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AA105631-4C95-4DAA-AEEB-7EAA12BA37B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_FilterDatabase" localSheetId="0" hidden="1">Sheet1!$A$1:$D$23673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3673" i="1" l="1"/>
  <c r="C23672" i="1"/>
  <c r="C23671" i="1"/>
  <c r="C23670" i="1"/>
  <c r="C23669" i="1"/>
  <c r="C23668" i="1"/>
  <c r="C23667" i="1"/>
  <c r="C23666" i="1"/>
  <c r="C23665" i="1"/>
  <c r="C23664" i="1"/>
  <c r="C23663" i="1"/>
  <c r="C23662" i="1"/>
  <c r="C23661" i="1"/>
  <c r="C23660" i="1"/>
  <c r="C23659" i="1"/>
  <c r="C23658" i="1"/>
  <c r="C23657" i="1"/>
  <c r="C23656" i="1"/>
  <c r="C23655" i="1"/>
  <c r="C23654" i="1"/>
  <c r="C23653" i="1"/>
  <c r="C23652" i="1"/>
  <c r="C23651" i="1"/>
  <c r="C23650" i="1"/>
  <c r="C23649" i="1"/>
  <c r="C23648" i="1"/>
  <c r="C23647" i="1"/>
  <c r="C23646" i="1"/>
  <c r="C23645" i="1"/>
  <c r="C23644" i="1"/>
  <c r="C23643" i="1"/>
  <c r="C23642" i="1"/>
  <c r="C23641" i="1"/>
  <c r="C23640" i="1"/>
  <c r="C23639" i="1"/>
  <c r="C23638" i="1"/>
  <c r="C23637" i="1"/>
  <c r="C23636" i="1"/>
  <c r="C23635" i="1"/>
  <c r="C23634" i="1"/>
  <c r="C23633" i="1"/>
  <c r="C23632" i="1"/>
  <c r="C23631" i="1"/>
  <c r="C23630" i="1"/>
  <c r="C23629" i="1"/>
  <c r="C23628" i="1"/>
  <c r="C23627" i="1"/>
  <c r="C23626" i="1"/>
  <c r="C23625" i="1"/>
  <c r="C23624" i="1"/>
  <c r="C23623" i="1"/>
  <c r="C23622" i="1"/>
  <c r="C23621" i="1"/>
  <c r="C23620" i="1"/>
  <c r="C23619" i="1"/>
  <c r="C23618" i="1"/>
  <c r="C23617" i="1"/>
  <c r="C23616" i="1"/>
  <c r="C23615" i="1"/>
  <c r="C23614" i="1"/>
  <c r="C23613" i="1"/>
  <c r="C23612" i="1"/>
  <c r="C23611" i="1"/>
  <c r="C23610" i="1"/>
  <c r="C23609" i="1"/>
  <c r="C23608" i="1"/>
  <c r="C23607" i="1"/>
  <c r="C23606" i="1"/>
  <c r="C23605" i="1"/>
  <c r="C23604" i="1"/>
  <c r="C23603" i="1"/>
  <c r="C23602" i="1"/>
  <c r="C23601" i="1"/>
  <c r="C23600" i="1"/>
  <c r="C23599" i="1"/>
  <c r="C23598" i="1"/>
  <c r="C23597" i="1"/>
  <c r="C23596" i="1"/>
  <c r="C23595" i="1"/>
  <c r="C23594" i="1"/>
  <c r="C23593" i="1"/>
  <c r="C23592" i="1"/>
  <c r="C23591" i="1"/>
  <c r="C23590" i="1"/>
  <c r="C23589" i="1"/>
  <c r="C23588" i="1"/>
  <c r="C23587" i="1"/>
  <c r="C23586" i="1"/>
  <c r="C23585" i="1"/>
  <c r="C23584" i="1"/>
  <c r="C23583" i="1"/>
  <c r="C23582" i="1"/>
  <c r="C23581" i="1"/>
  <c r="C23580" i="1"/>
  <c r="C23579" i="1"/>
  <c r="C23578" i="1"/>
  <c r="C23577" i="1"/>
  <c r="C23576" i="1"/>
  <c r="C23575" i="1"/>
  <c r="C23574" i="1"/>
  <c r="C23573" i="1"/>
  <c r="C23572" i="1"/>
  <c r="C23571" i="1"/>
  <c r="C23570" i="1"/>
  <c r="C23569" i="1"/>
  <c r="C23568" i="1"/>
  <c r="C23567" i="1"/>
  <c r="C23566" i="1"/>
  <c r="C23565" i="1"/>
  <c r="C23564" i="1"/>
  <c r="C23563" i="1"/>
  <c r="C23562" i="1"/>
  <c r="C23561" i="1"/>
  <c r="C23560" i="1"/>
  <c r="C23559" i="1"/>
  <c r="C23558" i="1"/>
  <c r="C23557" i="1"/>
  <c r="C23556" i="1"/>
  <c r="C23555" i="1"/>
  <c r="C23554" i="1"/>
  <c r="C23553" i="1"/>
  <c r="C23552" i="1"/>
  <c r="C23551" i="1"/>
  <c r="C23550" i="1"/>
  <c r="C23549" i="1"/>
  <c r="C23548" i="1"/>
  <c r="C23547" i="1"/>
  <c r="C23546" i="1"/>
  <c r="C23545" i="1"/>
  <c r="C23544" i="1"/>
  <c r="C23543" i="1"/>
  <c r="C23542" i="1"/>
  <c r="C23541" i="1"/>
  <c r="C23540" i="1"/>
  <c r="C23539" i="1"/>
  <c r="C23538" i="1"/>
  <c r="C23537" i="1"/>
  <c r="C23536" i="1"/>
  <c r="C23535" i="1"/>
  <c r="C23534" i="1"/>
  <c r="C23533" i="1"/>
  <c r="C23532" i="1"/>
  <c r="C23531" i="1"/>
  <c r="C23530" i="1"/>
  <c r="C23529" i="1"/>
  <c r="C23528" i="1"/>
  <c r="C23527" i="1"/>
  <c r="C23526" i="1"/>
  <c r="C23525" i="1"/>
  <c r="C23524" i="1"/>
  <c r="C23523" i="1"/>
  <c r="C23522" i="1"/>
  <c r="C23521" i="1"/>
  <c r="C23520" i="1"/>
  <c r="C23519" i="1"/>
  <c r="C23518" i="1"/>
  <c r="C23517" i="1"/>
  <c r="C23516" i="1"/>
  <c r="C23515" i="1"/>
  <c r="C23514" i="1"/>
  <c r="C23513" i="1"/>
  <c r="C23512" i="1"/>
  <c r="C23511" i="1"/>
  <c r="C23510" i="1"/>
  <c r="C23509" i="1"/>
  <c r="C23508" i="1"/>
  <c r="C23507" i="1"/>
  <c r="C23506" i="1"/>
  <c r="C23505" i="1"/>
  <c r="C23504" i="1"/>
  <c r="C23503" i="1"/>
  <c r="C23502" i="1"/>
  <c r="C23501" i="1"/>
  <c r="C23500" i="1"/>
  <c r="C23499" i="1"/>
  <c r="C23498" i="1"/>
  <c r="C23497" i="1"/>
  <c r="C23496" i="1"/>
  <c r="C23495" i="1"/>
  <c r="C23494" i="1"/>
  <c r="C23493" i="1"/>
  <c r="C23492" i="1"/>
  <c r="C23491" i="1"/>
  <c r="C23490" i="1"/>
  <c r="C23489" i="1"/>
  <c r="C23488" i="1"/>
  <c r="C23487" i="1"/>
  <c r="C23486" i="1"/>
  <c r="C23485" i="1"/>
  <c r="C23484" i="1"/>
  <c r="C23483" i="1"/>
  <c r="C23482" i="1"/>
  <c r="C23481" i="1"/>
  <c r="C23480" i="1"/>
  <c r="C23479" i="1"/>
  <c r="C23478" i="1"/>
  <c r="C23477" i="1"/>
  <c r="C23476" i="1"/>
  <c r="C23475" i="1"/>
  <c r="C23474" i="1"/>
  <c r="C23473" i="1"/>
  <c r="C23472" i="1"/>
  <c r="C23471" i="1"/>
  <c r="C23470" i="1"/>
  <c r="C23469" i="1"/>
  <c r="C23468" i="1"/>
  <c r="C23467" i="1"/>
  <c r="C23466" i="1"/>
  <c r="C23465" i="1"/>
  <c r="C23464" i="1"/>
  <c r="C23463" i="1"/>
  <c r="C23462" i="1"/>
  <c r="C23461" i="1"/>
  <c r="C23460" i="1"/>
  <c r="C23459" i="1"/>
  <c r="C23458" i="1"/>
  <c r="C23457" i="1"/>
  <c r="C23456" i="1"/>
  <c r="C23455" i="1"/>
  <c r="C23454" i="1"/>
  <c r="C23453" i="1"/>
  <c r="C23452" i="1"/>
  <c r="C23451" i="1"/>
  <c r="C23450" i="1"/>
  <c r="C23449" i="1"/>
  <c r="C23448" i="1"/>
  <c r="C23447" i="1"/>
  <c r="C23446" i="1"/>
  <c r="C23445" i="1"/>
  <c r="C23444" i="1"/>
  <c r="C23443" i="1"/>
  <c r="C23442" i="1"/>
  <c r="C23441" i="1"/>
  <c r="C23440" i="1"/>
  <c r="C23439" i="1"/>
  <c r="C23438" i="1"/>
  <c r="C23437" i="1"/>
  <c r="C23436" i="1"/>
  <c r="C23435" i="1"/>
  <c r="C23434" i="1"/>
  <c r="C23433" i="1"/>
  <c r="C23432" i="1"/>
  <c r="C23431" i="1"/>
  <c r="C23430" i="1"/>
  <c r="C23429" i="1"/>
  <c r="C23428" i="1"/>
  <c r="C23427" i="1"/>
  <c r="C23426" i="1"/>
  <c r="C23425" i="1"/>
  <c r="C23424" i="1"/>
  <c r="C23423" i="1"/>
  <c r="C23422" i="1"/>
  <c r="C23421" i="1"/>
  <c r="C23420" i="1"/>
  <c r="C23419" i="1"/>
  <c r="C23418" i="1"/>
  <c r="C23417" i="1"/>
  <c r="C23416" i="1"/>
  <c r="C23415" i="1"/>
  <c r="C23414" i="1"/>
  <c r="C23413" i="1"/>
  <c r="C23412" i="1"/>
  <c r="C23411" i="1"/>
  <c r="C23410" i="1"/>
  <c r="C23409" i="1"/>
  <c r="C23408" i="1"/>
  <c r="C23407" i="1"/>
  <c r="C23406" i="1"/>
  <c r="C23405" i="1"/>
  <c r="C23404" i="1"/>
  <c r="C23403" i="1"/>
  <c r="C23402" i="1"/>
  <c r="C23401" i="1"/>
  <c r="C23400" i="1"/>
  <c r="C23399" i="1"/>
  <c r="C23398" i="1"/>
  <c r="C23397" i="1"/>
  <c r="C23396" i="1"/>
  <c r="C23395" i="1"/>
  <c r="C23394" i="1"/>
  <c r="C23393" i="1"/>
  <c r="C23392" i="1"/>
  <c r="C23391" i="1"/>
  <c r="C23390" i="1"/>
  <c r="C23389" i="1"/>
  <c r="C23388" i="1"/>
  <c r="C23387" i="1"/>
  <c r="C23386" i="1"/>
  <c r="C23385" i="1"/>
  <c r="C23384" i="1"/>
  <c r="C23383" i="1"/>
  <c r="C23382" i="1"/>
  <c r="C23381" i="1"/>
  <c r="C23380" i="1"/>
  <c r="C23379" i="1"/>
  <c r="C23378" i="1"/>
  <c r="C23377" i="1"/>
  <c r="C23376" i="1"/>
  <c r="C23375" i="1"/>
  <c r="C23374" i="1"/>
  <c r="C23373" i="1"/>
  <c r="C23372" i="1"/>
  <c r="C23371" i="1"/>
  <c r="C23370" i="1"/>
  <c r="C23369" i="1"/>
  <c r="C23368" i="1"/>
  <c r="C23367" i="1"/>
  <c r="C23366" i="1"/>
  <c r="C23365" i="1"/>
  <c r="C23364" i="1"/>
  <c r="C23363" i="1"/>
  <c r="C23362" i="1"/>
  <c r="C23361" i="1"/>
  <c r="C23360" i="1"/>
  <c r="C23359" i="1"/>
  <c r="C23358" i="1"/>
  <c r="C23357" i="1"/>
  <c r="C23356" i="1"/>
  <c r="C23355" i="1"/>
  <c r="C23354" i="1"/>
  <c r="C23353" i="1"/>
  <c r="C23352" i="1"/>
  <c r="C23351" i="1"/>
  <c r="C23350" i="1"/>
  <c r="C23349" i="1"/>
  <c r="C23348" i="1"/>
  <c r="C23347" i="1"/>
  <c r="C23346" i="1"/>
  <c r="C23345" i="1"/>
  <c r="C23344" i="1"/>
  <c r="C23343" i="1"/>
  <c r="C23342" i="1"/>
  <c r="C23341" i="1"/>
  <c r="C23340" i="1"/>
  <c r="C23339" i="1"/>
  <c r="C23338" i="1"/>
  <c r="C23337" i="1"/>
  <c r="C23336" i="1"/>
  <c r="C23335" i="1"/>
  <c r="C23334" i="1"/>
  <c r="C23333" i="1"/>
  <c r="C23332" i="1"/>
  <c r="C23331" i="1"/>
  <c r="C23330" i="1"/>
  <c r="C23329" i="1"/>
  <c r="C23328" i="1"/>
  <c r="C23327" i="1"/>
  <c r="C23326" i="1"/>
  <c r="C23325" i="1"/>
  <c r="C23324" i="1"/>
  <c r="C23323" i="1"/>
  <c r="C23322" i="1"/>
  <c r="C23321" i="1"/>
  <c r="C23320" i="1"/>
  <c r="C23319" i="1"/>
  <c r="C23318" i="1"/>
  <c r="C23317" i="1"/>
  <c r="C23316" i="1"/>
  <c r="C23315" i="1"/>
  <c r="C23314" i="1"/>
  <c r="C23313" i="1"/>
  <c r="C23312" i="1"/>
  <c r="C23311" i="1"/>
  <c r="C23310" i="1"/>
  <c r="C23309" i="1"/>
  <c r="C23308" i="1"/>
  <c r="C23307" i="1"/>
  <c r="C23306" i="1"/>
  <c r="C23305" i="1"/>
  <c r="C23304" i="1"/>
  <c r="C23303" i="1"/>
  <c r="C23302" i="1"/>
  <c r="C23301" i="1"/>
  <c r="C23300" i="1"/>
  <c r="C23299" i="1"/>
  <c r="C23298" i="1"/>
  <c r="C23297" i="1"/>
  <c r="C23296" i="1"/>
  <c r="C23295" i="1"/>
  <c r="C23294" i="1"/>
  <c r="C23293" i="1"/>
  <c r="C23292" i="1"/>
  <c r="C23291" i="1"/>
  <c r="C23290" i="1"/>
  <c r="C23289" i="1"/>
  <c r="C23288" i="1"/>
  <c r="C23287" i="1"/>
  <c r="C23286" i="1"/>
  <c r="C23285" i="1"/>
  <c r="C23284" i="1"/>
  <c r="C23283" i="1"/>
  <c r="C23282" i="1"/>
  <c r="C23281" i="1"/>
  <c r="C23280" i="1"/>
  <c r="C23279" i="1"/>
  <c r="C23278" i="1"/>
  <c r="C23277" i="1"/>
  <c r="C23276" i="1"/>
  <c r="C23275" i="1"/>
  <c r="C23274" i="1"/>
  <c r="C23273" i="1"/>
  <c r="C23272" i="1"/>
  <c r="C23271" i="1"/>
  <c r="C23270" i="1"/>
  <c r="C23269" i="1"/>
  <c r="C23268" i="1"/>
  <c r="C23267" i="1"/>
  <c r="C23266" i="1"/>
  <c r="C23265" i="1"/>
  <c r="C23264" i="1"/>
  <c r="C23263" i="1"/>
  <c r="C23262" i="1"/>
  <c r="C23261" i="1"/>
  <c r="C23260" i="1"/>
  <c r="C23259" i="1"/>
  <c r="C23258" i="1"/>
  <c r="C23257" i="1"/>
  <c r="C23256" i="1"/>
  <c r="C23255" i="1"/>
  <c r="C23254" i="1"/>
  <c r="C23253" i="1"/>
  <c r="C23252" i="1"/>
  <c r="C23251" i="1"/>
  <c r="C23250" i="1"/>
  <c r="C23249" i="1"/>
  <c r="C23248" i="1"/>
  <c r="C23247" i="1"/>
  <c r="C23246" i="1"/>
  <c r="C23245" i="1"/>
  <c r="C23244" i="1"/>
  <c r="C23243" i="1"/>
  <c r="C23242" i="1"/>
  <c r="C23241" i="1"/>
  <c r="C23240" i="1"/>
  <c r="C23239" i="1"/>
  <c r="C23238" i="1"/>
  <c r="C23237" i="1"/>
  <c r="C23236" i="1"/>
  <c r="C23235" i="1"/>
  <c r="C23234" i="1"/>
  <c r="C23233" i="1"/>
  <c r="C23232" i="1"/>
  <c r="C23231" i="1"/>
  <c r="C23230" i="1"/>
  <c r="C23229" i="1"/>
  <c r="C23228" i="1"/>
  <c r="C23227" i="1"/>
  <c r="C23226" i="1"/>
  <c r="C23225" i="1"/>
  <c r="C23224" i="1"/>
  <c r="C23223" i="1"/>
  <c r="C23222" i="1"/>
  <c r="C23221" i="1"/>
  <c r="C23220" i="1"/>
  <c r="C23219" i="1"/>
  <c r="C23218" i="1"/>
  <c r="C23217" i="1"/>
  <c r="C23216" i="1"/>
  <c r="C23215" i="1"/>
  <c r="C23214" i="1"/>
  <c r="C23213" i="1"/>
  <c r="C23212" i="1"/>
  <c r="C23211" i="1"/>
  <c r="C23210" i="1"/>
  <c r="C23209" i="1"/>
  <c r="C23208" i="1"/>
  <c r="C23207" i="1"/>
  <c r="C23206" i="1"/>
  <c r="C23205" i="1"/>
  <c r="C23204" i="1"/>
  <c r="C23203" i="1"/>
  <c r="C23202" i="1"/>
  <c r="C23201" i="1"/>
  <c r="C23200" i="1"/>
  <c r="C23199" i="1"/>
  <c r="C23198" i="1"/>
  <c r="C23197" i="1"/>
  <c r="C23196" i="1"/>
  <c r="C23195" i="1"/>
  <c r="C23194" i="1"/>
  <c r="C23193" i="1"/>
  <c r="C23192" i="1"/>
  <c r="C23191" i="1"/>
  <c r="C23190" i="1"/>
  <c r="C23189" i="1"/>
  <c r="C23188" i="1"/>
  <c r="C23187" i="1"/>
  <c r="C23186" i="1"/>
  <c r="C23185" i="1"/>
  <c r="C23184" i="1"/>
  <c r="C23183" i="1"/>
  <c r="C23182" i="1"/>
  <c r="C23181" i="1"/>
  <c r="C23180" i="1"/>
  <c r="C23179" i="1"/>
  <c r="C23178" i="1"/>
  <c r="C23177" i="1"/>
  <c r="C23176" i="1"/>
  <c r="C23175" i="1"/>
  <c r="C23174" i="1"/>
  <c r="C23173" i="1"/>
  <c r="C23172" i="1"/>
  <c r="C23171" i="1"/>
  <c r="C23170" i="1"/>
  <c r="C23169" i="1"/>
  <c r="C23168" i="1"/>
  <c r="C23167" i="1"/>
  <c r="C23166" i="1"/>
  <c r="C23165" i="1"/>
  <c r="C23164" i="1"/>
  <c r="C23163" i="1"/>
  <c r="C23162" i="1"/>
  <c r="C23161" i="1"/>
  <c r="C23160" i="1"/>
  <c r="C23159" i="1"/>
  <c r="C23158" i="1"/>
  <c r="C23157" i="1"/>
  <c r="C23156" i="1"/>
  <c r="C23155" i="1"/>
  <c r="C23154" i="1"/>
  <c r="C23153" i="1"/>
  <c r="C23152" i="1"/>
  <c r="C23151" i="1"/>
  <c r="C23150" i="1"/>
  <c r="C23149" i="1"/>
  <c r="C23148" i="1"/>
  <c r="C23147" i="1"/>
  <c r="C23146" i="1"/>
  <c r="C23145" i="1"/>
  <c r="C23144" i="1"/>
  <c r="C23143" i="1"/>
  <c r="C23142" i="1"/>
  <c r="C23141" i="1"/>
  <c r="C23140" i="1"/>
  <c r="C23139" i="1"/>
  <c r="C23138" i="1"/>
  <c r="C23137" i="1"/>
  <c r="C23136" i="1"/>
  <c r="C23135" i="1"/>
  <c r="C23134" i="1"/>
  <c r="C23133" i="1"/>
  <c r="C23132" i="1"/>
  <c r="C23131" i="1"/>
  <c r="C23130" i="1"/>
  <c r="C23129" i="1"/>
  <c r="C23128" i="1"/>
  <c r="C23127" i="1"/>
  <c r="C23126" i="1"/>
  <c r="C23125" i="1"/>
  <c r="C23124" i="1"/>
  <c r="C23123" i="1"/>
  <c r="C23122" i="1"/>
  <c r="C23121" i="1"/>
  <c r="C23120" i="1"/>
  <c r="C23119" i="1"/>
  <c r="C23118" i="1"/>
  <c r="C23117" i="1"/>
  <c r="C23116" i="1"/>
  <c r="C23115" i="1"/>
  <c r="C23114" i="1"/>
  <c r="C23113" i="1"/>
  <c r="C23112" i="1"/>
  <c r="C23111" i="1"/>
  <c r="C23110" i="1"/>
  <c r="C23109" i="1"/>
  <c r="C23108" i="1"/>
  <c r="C23107" i="1"/>
  <c r="C23106" i="1"/>
  <c r="C23105" i="1"/>
  <c r="C23104" i="1"/>
  <c r="C23103" i="1"/>
  <c r="C23102" i="1"/>
  <c r="C23101" i="1"/>
  <c r="C23100" i="1"/>
  <c r="C23099" i="1"/>
  <c r="C23098" i="1"/>
  <c r="C23097" i="1"/>
  <c r="C23096" i="1"/>
  <c r="C23095" i="1"/>
  <c r="C23094" i="1"/>
  <c r="C23093" i="1"/>
  <c r="C23092" i="1"/>
  <c r="C23091" i="1"/>
  <c r="C23090" i="1"/>
  <c r="C23089" i="1"/>
  <c r="C23088" i="1"/>
  <c r="C23087" i="1"/>
  <c r="C23086" i="1"/>
  <c r="C23085" i="1"/>
  <c r="C23084" i="1"/>
  <c r="C23083" i="1"/>
  <c r="C23082" i="1"/>
  <c r="C23081" i="1"/>
  <c r="C23080" i="1"/>
  <c r="C23079" i="1"/>
  <c r="C23078" i="1"/>
  <c r="C23077" i="1"/>
  <c r="C23076" i="1"/>
  <c r="C23075" i="1"/>
  <c r="C23074" i="1"/>
  <c r="C23073" i="1"/>
  <c r="C23072" i="1"/>
  <c r="C23071" i="1"/>
  <c r="C23070" i="1"/>
  <c r="C23069" i="1"/>
  <c r="C23068" i="1"/>
  <c r="C23067" i="1"/>
  <c r="C23066" i="1"/>
  <c r="C23065" i="1"/>
  <c r="C23064" i="1"/>
  <c r="C23063" i="1"/>
  <c r="C23062" i="1"/>
  <c r="C23061" i="1"/>
  <c r="C23060" i="1"/>
  <c r="C23059" i="1"/>
  <c r="C23058" i="1"/>
  <c r="C23057" i="1"/>
  <c r="C23056" i="1"/>
  <c r="C23055" i="1"/>
  <c r="C23054" i="1"/>
  <c r="C23053" i="1"/>
  <c r="C23052" i="1"/>
  <c r="C23051" i="1"/>
  <c r="C23050" i="1"/>
  <c r="C23049" i="1"/>
  <c r="C23048" i="1"/>
  <c r="C23047" i="1"/>
  <c r="C23046" i="1"/>
  <c r="C23045" i="1"/>
  <c r="C23044" i="1"/>
  <c r="C23043" i="1"/>
  <c r="C23042" i="1"/>
  <c r="C23041" i="1"/>
  <c r="C23040" i="1"/>
  <c r="C23039" i="1"/>
  <c r="C23038" i="1"/>
  <c r="C23037" i="1"/>
  <c r="C23036" i="1"/>
  <c r="C23035" i="1"/>
  <c r="C23034" i="1"/>
  <c r="C23033" i="1"/>
  <c r="C23032" i="1"/>
  <c r="C23031" i="1"/>
  <c r="C23030" i="1"/>
  <c r="C23029" i="1"/>
  <c r="C23028" i="1"/>
  <c r="C23027" i="1"/>
  <c r="C23026" i="1"/>
  <c r="C23025" i="1"/>
  <c r="C23024" i="1"/>
  <c r="C23023" i="1"/>
  <c r="C23022" i="1"/>
  <c r="C23021" i="1"/>
  <c r="C23020" i="1"/>
  <c r="C23019" i="1"/>
  <c r="C23018" i="1"/>
  <c r="C23017" i="1"/>
  <c r="C23016" i="1"/>
  <c r="C23015" i="1"/>
  <c r="C23014" i="1"/>
  <c r="C23013" i="1"/>
  <c r="C23012" i="1"/>
  <c r="C23011" i="1"/>
  <c r="C23010" i="1"/>
  <c r="C23009" i="1"/>
  <c r="C23008" i="1"/>
  <c r="C23007" i="1"/>
  <c r="C23006" i="1"/>
  <c r="C23005" i="1"/>
  <c r="C23004" i="1"/>
  <c r="C23003" i="1"/>
  <c r="C23002" i="1"/>
  <c r="C23001" i="1"/>
  <c r="C23000" i="1"/>
  <c r="C22999" i="1"/>
  <c r="C22998" i="1"/>
  <c r="C22997" i="1"/>
  <c r="C22996" i="1"/>
  <c r="C22995" i="1"/>
  <c r="C22994" i="1"/>
  <c r="C22993" i="1"/>
  <c r="C22992" i="1"/>
  <c r="C22991" i="1"/>
  <c r="C22990" i="1"/>
  <c r="C22989" i="1"/>
  <c r="C22988" i="1"/>
  <c r="C22987" i="1"/>
  <c r="C22986" i="1"/>
  <c r="C22985" i="1"/>
  <c r="C22984" i="1"/>
  <c r="C22983" i="1"/>
  <c r="C22982" i="1"/>
  <c r="C22981" i="1"/>
  <c r="C22980" i="1"/>
  <c r="C22979" i="1"/>
  <c r="C22978" i="1"/>
  <c r="C22977" i="1"/>
  <c r="C22976" i="1"/>
  <c r="C22975" i="1"/>
  <c r="C22974" i="1"/>
  <c r="C22973" i="1"/>
  <c r="C22972" i="1"/>
  <c r="C22971" i="1"/>
  <c r="C22970" i="1"/>
  <c r="C22969" i="1"/>
  <c r="C22968" i="1"/>
  <c r="C22967" i="1"/>
  <c r="C22966" i="1"/>
  <c r="C22965" i="1"/>
  <c r="C22964" i="1"/>
  <c r="C22963" i="1"/>
  <c r="C22962" i="1"/>
  <c r="C22961" i="1"/>
  <c r="C22960" i="1"/>
  <c r="C22959" i="1"/>
  <c r="C22958" i="1"/>
  <c r="C22957" i="1"/>
  <c r="C22956" i="1"/>
  <c r="C22955" i="1"/>
  <c r="C22954" i="1"/>
  <c r="C22953" i="1"/>
  <c r="C22952" i="1"/>
  <c r="C22951" i="1"/>
  <c r="C22950" i="1"/>
  <c r="C22949" i="1"/>
  <c r="C22948" i="1"/>
  <c r="C22947" i="1"/>
  <c r="C22946" i="1"/>
  <c r="C22945" i="1"/>
  <c r="C22944" i="1"/>
  <c r="C22943" i="1"/>
  <c r="C22942" i="1"/>
  <c r="C22941" i="1"/>
  <c r="C22940" i="1"/>
  <c r="C22939" i="1"/>
  <c r="C22938" i="1"/>
  <c r="C22937" i="1"/>
  <c r="C22936" i="1"/>
  <c r="C22935" i="1"/>
  <c r="C22934" i="1"/>
  <c r="C22933" i="1"/>
  <c r="C22932" i="1"/>
  <c r="C22931" i="1"/>
  <c r="C22930" i="1"/>
  <c r="C22929" i="1"/>
  <c r="C22928" i="1"/>
  <c r="C22927" i="1"/>
  <c r="C22926" i="1"/>
  <c r="C22925" i="1"/>
  <c r="C22924" i="1"/>
  <c r="C22923" i="1"/>
  <c r="C22922" i="1"/>
  <c r="C22921" i="1"/>
  <c r="C22920" i="1"/>
  <c r="C22919" i="1"/>
  <c r="C22918" i="1"/>
  <c r="C22917" i="1"/>
  <c r="C22916" i="1"/>
  <c r="C22915" i="1"/>
  <c r="C22914" i="1"/>
  <c r="C22913" i="1"/>
  <c r="C22912" i="1"/>
  <c r="C22911" i="1"/>
  <c r="C22910" i="1"/>
  <c r="C22909" i="1"/>
  <c r="C22908" i="1"/>
  <c r="C22907" i="1"/>
  <c r="C22906" i="1"/>
  <c r="C22905" i="1"/>
  <c r="C22904" i="1"/>
  <c r="C22903" i="1"/>
  <c r="C22902" i="1"/>
  <c r="C22901" i="1"/>
  <c r="C22900" i="1"/>
  <c r="C22899" i="1"/>
  <c r="C22898" i="1"/>
  <c r="C22897" i="1"/>
  <c r="C22896" i="1"/>
  <c r="C22895" i="1"/>
  <c r="C22894" i="1"/>
  <c r="C22893" i="1"/>
  <c r="C22892" i="1"/>
  <c r="C22891" i="1"/>
  <c r="C22890" i="1"/>
  <c r="C22889" i="1"/>
  <c r="C22888" i="1"/>
  <c r="C22887" i="1"/>
  <c r="C22886" i="1"/>
  <c r="C22885" i="1"/>
  <c r="C22884" i="1"/>
  <c r="C22883" i="1"/>
  <c r="C22882" i="1"/>
  <c r="C22881" i="1"/>
  <c r="C22880" i="1"/>
  <c r="C22879" i="1"/>
  <c r="C22878" i="1"/>
  <c r="C22877" i="1"/>
  <c r="C22876" i="1"/>
  <c r="C22875" i="1"/>
  <c r="C22874" i="1"/>
  <c r="C22873" i="1"/>
  <c r="C22872" i="1"/>
  <c r="C22871" i="1"/>
  <c r="C22870" i="1"/>
  <c r="C22869" i="1"/>
  <c r="C22868" i="1"/>
  <c r="C22867" i="1"/>
  <c r="C22866" i="1"/>
  <c r="C22865" i="1"/>
  <c r="C22864" i="1"/>
  <c r="C22863" i="1"/>
  <c r="C22862" i="1"/>
  <c r="C22861" i="1"/>
  <c r="C22860" i="1"/>
  <c r="C22859" i="1"/>
  <c r="C22858" i="1"/>
  <c r="C22857" i="1"/>
  <c r="C22856" i="1"/>
  <c r="C22855" i="1"/>
  <c r="C22854" i="1"/>
  <c r="C22853" i="1"/>
  <c r="C22852" i="1"/>
  <c r="C22851" i="1"/>
  <c r="C22850" i="1"/>
  <c r="C22849" i="1"/>
  <c r="C22848" i="1"/>
  <c r="C22847" i="1"/>
  <c r="C22846" i="1"/>
  <c r="C22845" i="1"/>
  <c r="C22844" i="1"/>
  <c r="C22843" i="1"/>
  <c r="C22842" i="1"/>
  <c r="C22841" i="1"/>
  <c r="C22840" i="1"/>
  <c r="C22839" i="1"/>
  <c r="C22838" i="1"/>
  <c r="C22837" i="1"/>
  <c r="C22836" i="1"/>
  <c r="C22835" i="1"/>
  <c r="C22834" i="1"/>
  <c r="C22833" i="1"/>
  <c r="C22832" i="1"/>
  <c r="C22831" i="1"/>
  <c r="C22830" i="1"/>
  <c r="C22829" i="1"/>
  <c r="C22828" i="1"/>
  <c r="C22827" i="1"/>
  <c r="C22826" i="1"/>
  <c r="C22825" i="1"/>
  <c r="C22824" i="1"/>
  <c r="C22823" i="1"/>
  <c r="C22822" i="1"/>
  <c r="C22821" i="1"/>
  <c r="C22820" i="1"/>
  <c r="C22819" i="1"/>
  <c r="C22818" i="1"/>
  <c r="C22817" i="1"/>
  <c r="C22816" i="1"/>
  <c r="C22815" i="1"/>
  <c r="C22814" i="1"/>
  <c r="C22813" i="1"/>
  <c r="C22812" i="1"/>
  <c r="C22811" i="1"/>
  <c r="C22810" i="1"/>
  <c r="C22809" i="1"/>
  <c r="C22808" i="1"/>
  <c r="C22807" i="1"/>
  <c r="C22806" i="1"/>
  <c r="C22805" i="1"/>
  <c r="C22804" i="1"/>
  <c r="C22803" i="1"/>
  <c r="C22802" i="1"/>
  <c r="C22801" i="1"/>
  <c r="C22800" i="1"/>
  <c r="C22799" i="1"/>
  <c r="C22798" i="1"/>
  <c r="C22797" i="1"/>
  <c r="C22796" i="1"/>
  <c r="C22795" i="1"/>
  <c r="C22794" i="1"/>
  <c r="C22793" i="1"/>
  <c r="C22792" i="1"/>
  <c r="C22791" i="1"/>
  <c r="C22790" i="1"/>
  <c r="C22789" i="1"/>
  <c r="C22788" i="1"/>
  <c r="C22787" i="1"/>
  <c r="C22786" i="1"/>
  <c r="C22785" i="1"/>
  <c r="C22784" i="1"/>
  <c r="C22783" i="1"/>
  <c r="C22782" i="1"/>
  <c r="C22781" i="1"/>
  <c r="C22780" i="1"/>
  <c r="C22779" i="1"/>
  <c r="C22778" i="1"/>
  <c r="C22777" i="1"/>
  <c r="C22776" i="1"/>
  <c r="C22775" i="1"/>
  <c r="C22774" i="1"/>
  <c r="C22773" i="1"/>
  <c r="C22772" i="1"/>
  <c r="C22771" i="1"/>
  <c r="C22770" i="1"/>
  <c r="C22769" i="1"/>
  <c r="C22768" i="1"/>
  <c r="C22767" i="1"/>
  <c r="C22766" i="1"/>
  <c r="C22765" i="1"/>
  <c r="C22764" i="1"/>
  <c r="C22763" i="1"/>
  <c r="C22762" i="1"/>
  <c r="C22761" i="1"/>
  <c r="C22760" i="1"/>
  <c r="C22759" i="1"/>
  <c r="C22758" i="1"/>
  <c r="C22757" i="1"/>
  <c r="C22756" i="1"/>
  <c r="C22755" i="1"/>
  <c r="C22754" i="1"/>
  <c r="C22753" i="1"/>
  <c r="C22752" i="1"/>
  <c r="C22751" i="1"/>
  <c r="C22750" i="1"/>
  <c r="C22749" i="1"/>
  <c r="C22748" i="1"/>
  <c r="C22747" i="1"/>
  <c r="C22746" i="1"/>
  <c r="C22745" i="1"/>
  <c r="C22744" i="1"/>
  <c r="C22743" i="1"/>
  <c r="C22742" i="1"/>
  <c r="C22741" i="1"/>
  <c r="C22740" i="1"/>
  <c r="C22739" i="1"/>
  <c r="C22738" i="1"/>
  <c r="C22737" i="1"/>
  <c r="C22736" i="1"/>
  <c r="C22735" i="1"/>
  <c r="C22734" i="1"/>
  <c r="C22733" i="1"/>
  <c r="C22732" i="1"/>
  <c r="C22731" i="1"/>
  <c r="C22730" i="1"/>
  <c r="C22729" i="1"/>
  <c r="C22728" i="1"/>
  <c r="C22727" i="1"/>
  <c r="C22726" i="1"/>
  <c r="C22725" i="1"/>
  <c r="C22724" i="1"/>
  <c r="C22723" i="1"/>
  <c r="C22722" i="1"/>
  <c r="C22721" i="1"/>
  <c r="C22720" i="1"/>
  <c r="C22719" i="1"/>
  <c r="C22718" i="1"/>
  <c r="C22717" i="1"/>
  <c r="C22716" i="1"/>
  <c r="C22715" i="1"/>
  <c r="C22714" i="1"/>
  <c r="C22713" i="1"/>
  <c r="C22712" i="1"/>
  <c r="C22711" i="1"/>
  <c r="C22710" i="1"/>
  <c r="C22709" i="1"/>
  <c r="C22708" i="1"/>
  <c r="C22707" i="1"/>
  <c r="C22706" i="1"/>
  <c r="C22705" i="1"/>
  <c r="C22704" i="1"/>
  <c r="C22703" i="1"/>
  <c r="C22702" i="1"/>
  <c r="C22701" i="1"/>
  <c r="C22700" i="1"/>
  <c r="C22699" i="1"/>
  <c r="C22698" i="1"/>
  <c r="C22697" i="1"/>
  <c r="C22696" i="1"/>
  <c r="C22695" i="1"/>
  <c r="C22694" i="1"/>
  <c r="C22693" i="1"/>
  <c r="C22692" i="1"/>
  <c r="C22691" i="1"/>
  <c r="C22690" i="1"/>
  <c r="C22689" i="1"/>
  <c r="C22688" i="1"/>
  <c r="C22687" i="1"/>
  <c r="C22686" i="1"/>
  <c r="C22685" i="1"/>
  <c r="C22684" i="1"/>
  <c r="C22683" i="1"/>
  <c r="C22682" i="1"/>
  <c r="C22681" i="1"/>
  <c r="C22680" i="1"/>
  <c r="C22679" i="1"/>
  <c r="C22678" i="1"/>
  <c r="C22677" i="1"/>
  <c r="C22676" i="1"/>
  <c r="C22675" i="1"/>
  <c r="C22674" i="1"/>
  <c r="C22673" i="1"/>
  <c r="C22672" i="1"/>
  <c r="C22671" i="1"/>
  <c r="C22670" i="1"/>
  <c r="C22669" i="1"/>
  <c r="C22668" i="1"/>
  <c r="C22667" i="1"/>
  <c r="C22666" i="1"/>
  <c r="C22665" i="1"/>
  <c r="C22664" i="1"/>
  <c r="C22663" i="1"/>
  <c r="C22662" i="1"/>
  <c r="C22661" i="1"/>
  <c r="C22660" i="1"/>
  <c r="C22659" i="1"/>
  <c r="C22658" i="1"/>
  <c r="C22657" i="1"/>
  <c r="C22656" i="1"/>
  <c r="C22655" i="1"/>
  <c r="C22654" i="1"/>
  <c r="C22653" i="1"/>
  <c r="C22652" i="1"/>
  <c r="C22651" i="1"/>
  <c r="C22650" i="1"/>
  <c r="C22649" i="1"/>
  <c r="C22648" i="1"/>
  <c r="C22647" i="1"/>
  <c r="C22646" i="1"/>
  <c r="C22645" i="1"/>
  <c r="C22644" i="1"/>
  <c r="C22643" i="1"/>
  <c r="C22642" i="1"/>
  <c r="C22641" i="1"/>
  <c r="C22640" i="1"/>
  <c r="C22639" i="1"/>
  <c r="C22638" i="1"/>
  <c r="C22637" i="1"/>
  <c r="C22636" i="1"/>
  <c r="C22635" i="1"/>
  <c r="C22634" i="1"/>
  <c r="C22633" i="1"/>
  <c r="C22632" i="1"/>
  <c r="C22631" i="1"/>
  <c r="C22630" i="1"/>
  <c r="C22629" i="1"/>
  <c r="C22628" i="1"/>
  <c r="C22627" i="1"/>
  <c r="C22626" i="1"/>
  <c r="C22625" i="1"/>
  <c r="C22624" i="1"/>
  <c r="C22623" i="1"/>
  <c r="C22622" i="1"/>
  <c r="C22621" i="1"/>
  <c r="C22620" i="1"/>
  <c r="C22619" i="1"/>
  <c r="C22618" i="1"/>
  <c r="C22617" i="1"/>
  <c r="C22616" i="1"/>
  <c r="C22615" i="1"/>
  <c r="C22614" i="1"/>
  <c r="C22613" i="1"/>
  <c r="C22612" i="1"/>
  <c r="C22611" i="1"/>
  <c r="C22610" i="1"/>
  <c r="C22609" i="1"/>
  <c r="C22608" i="1"/>
  <c r="C22607" i="1"/>
  <c r="C22606" i="1"/>
  <c r="C22605" i="1"/>
  <c r="C22604" i="1"/>
  <c r="C22603" i="1"/>
  <c r="C22602" i="1"/>
  <c r="C22601" i="1"/>
  <c r="C22600" i="1"/>
  <c r="C22599" i="1"/>
  <c r="C22598" i="1"/>
  <c r="C22597" i="1"/>
  <c r="C22596" i="1"/>
  <c r="C22595" i="1"/>
  <c r="C22594" i="1"/>
  <c r="C22593" i="1"/>
  <c r="C22592" i="1"/>
  <c r="C22591" i="1"/>
  <c r="C22590" i="1"/>
  <c r="C22589" i="1"/>
  <c r="C22588" i="1"/>
  <c r="C22587" i="1"/>
  <c r="C22586" i="1"/>
  <c r="C22585" i="1"/>
  <c r="C22584" i="1"/>
  <c r="C22583" i="1"/>
  <c r="C22582" i="1"/>
  <c r="C22581" i="1"/>
  <c r="C22580" i="1"/>
  <c r="C22579" i="1"/>
  <c r="C22578" i="1"/>
  <c r="C22577" i="1"/>
  <c r="C22576" i="1"/>
  <c r="C22575" i="1"/>
  <c r="C22574" i="1"/>
  <c r="C22573" i="1"/>
  <c r="C22572" i="1"/>
  <c r="C22571" i="1"/>
  <c r="C22570" i="1"/>
  <c r="C22569" i="1"/>
  <c r="C22568" i="1"/>
  <c r="C22567" i="1"/>
  <c r="C22566" i="1"/>
  <c r="C22565" i="1"/>
  <c r="C22564" i="1"/>
  <c r="C22563" i="1"/>
  <c r="C22562" i="1"/>
  <c r="C22561" i="1"/>
  <c r="C22560" i="1"/>
  <c r="C22559" i="1"/>
  <c r="C22558" i="1"/>
  <c r="C22557" i="1"/>
  <c r="C22556" i="1"/>
  <c r="C22555" i="1"/>
  <c r="C22554" i="1"/>
  <c r="C22553" i="1"/>
  <c r="C22552" i="1"/>
  <c r="C22551" i="1"/>
  <c r="C22550" i="1"/>
  <c r="C22549" i="1"/>
  <c r="C22548" i="1"/>
  <c r="C22547" i="1"/>
  <c r="C22546" i="1"/>
  <c r="C22545" i="1"/>
  <c r="C22544" i="1"/>
  <c r="C22543" i="1"/>
  <c r="C22542" i="1"/>
  <c r="C22541" i="1"/>
  <c r="C22540" i="1"/>
  <c r="C22539" i="1"/>
  <c r="C22538" i="1"/>
  <c r="C22537" i="1"/>
  <c r="C22536" i="1"/>
  <c r="C22535" i="1"/>
  <c r="C22534" i="1"/>
  <c r="C22533" i="1"/>
  <c r="C22532" i="1"/>
  <c r="C22531" i="1"/>
  <c r="C22530" i="1"/>
  <c r="C22529" i="1"/>
  <c r="C22528" i="1"/>
  <c r="C22527" i="1"/>
  <c r="C22526" i="1"/>
  <c r="C22525" i="1"/>
  <c r="C22524" i="1"/>
  <c r="C22523" i="1"/>
  <c r="C22522" i="1"/>
  <c r="C22521" i="1"/>
  <c r="C22520" i="1"/>
  <c r="C22519" i="1"/>
  <c r="C22518" i="1"/>
  <c r="C22517" i="1"/>
  <c r="C22516" i="1"/>
  <c r="C22515" i="1"/>
  <c r="C22514" i="1"/>
  <c r="C22513" i="1"/>
  <c r="C22512" i="1"/>
  <c r="C22511" i="1"/>
  <c r="C22510" i="1"/>
  <c r="C22509" i="1"/>
  <c r="C22508" i="1"/>
  <c r="C22507" i="1"/>
  <c r="C22506" i="1"/>
  <c r="C22505" i="1"/>
  <c r="C22504" i="1"/>
  <c r="C22503" i="1"/>
  <c r="C22502" i="1"/>
  <c r="C22501" i="1"/>
  <c r="C22500" i="1"/>
  <c r="C22499" i="1"/>
  <c r="C22498" i="1"/>
  <c r="C22497" i="1"/>
  <c r="C22496" i="1"/>
  <c r="C22495" i="1"/>
  <c r="C22494" i="1"/>
  <c r="C22493" i="1"/>
  <c r="C22492" i="1"/>
  <c r="C22491" i="1"/>
  <c r="C22490" i="1"/>
  <c r="C22489" i="1"/>
  <c r="C22488" i="1"/>
  <c r="C22487" i="1"/>
  <c r="C22486" i="1"/>
  <c r="C22485" i="1"/>
  <c r="C22484" i="1"/>
  <c r="C22483" i="1"/>
  <c r="C22482" i="1"/>
  <c r="C22481" i="1"/>
  <c r="C22480" i="1"/>
  <c r="C22479" i="1"/>
  <c r="C22478" i="1"/>
  <c r="C22477" i="1"/>
  <c r="C22476" i="1"/>
  <c r="C22475" i="1"/>
  <c r="C22474" i="1"/>
  <c r="C22473" i="1"/>
  <c r="C22472" i="1"/>
  <c r="C22471" i="1"/>
  <c r="C22470" i="1"/>
  <c r="C22469" i="1"/>
  <c r="C22468" i="1"/>
  <c r="C22467" i="1"/>
  <c r="C22466" i="1"/>
  <c r="C22465" i="1"/>
  <c r="C22464" i="1"/>
  <c r="C22463" i="1"/>
  <c r="C22462" i="1"/>
  <c r="C22461" i="1"/>
  <c r="C22460" i="1"/>
  <c r="C22459" i="1"/>
  <c r="C22458" i="1"/>
  <c r="C22457" i="1"/>
  <c r="C22456" i="1"/>
  <c r="C22455" i="1"/>
  <c r="C22454" i="1"/>
  <c r="C22453" i="1"/>
  <c r="C22452" i="1"/>
  <c r="C22451" i="1"/>
  <c r="C22450" i="1"/>
  <c r="C22449" i="1"/>
  <c r="C22448" i="1"/>
  <c r="C22447" i="1"/>
  <c r="C22446" i="1"/>
  <c r="C22445" i="1"/>
  <c r="C22444" i="1"/>
  <c r="C22443" i="1"/>
  <c r="C22442" i="1"/>
  <c r="C22441" i="1"/>
  <c r="C22440" i="1"/>
  <c r="C22439" i="1"/>
  <c r="C22438" i="1"/>
  <c r="C22437" i="1"/>
  <c r="C22436" i="1"/>
  <c r="C22435" i="1"/>
  <c r="C22434" i="1"/>
  <c r="C22433" i="1"/>
  <c r="C22432" i="1"/>
  <c r="C22431" i="1"/>
  <c r="C22430" i="1"/>
  <c r="C22429" i="1"/>
  <c r="C22428" i="1"/>
  <c r="C22427" i="1"/>
  <c r="C22426" i="1"/>
  <c r="C22425" i="1"/>
  <c r="C22424" i="1"/>
  <c r="C22423" i="1"/>
  <c r="C22422" i="1"/>
  <c r="C22421" i="1"/>
  <c r="C22420" i="1"/>
  <c r="C22419" i="1"/>
  <c r="C22418" i="1"/>
  <c r="C22417" i="1"/>
  <c r="C22416" i="1"/>
  <c r="C22415" i="1"/>
  <c r="C22414" i="1"/>
  <c r="C22413" i="1"/>
  <c r="C22412" i="1"/>
  <c r="C22411" i="1"/>
  <c r="C22410" i="1"/>
  <c r="C22409" i="1"/>
  <c r="C22408" i="1"/>
  <c r="C22407" i="1"/>
  <c r="C22406" i="1"/>
  <c r="C22405" i="1"/>
  <c r="C22404" i="1"/>
  <c r="C22403" i="1"/>
  <c r="C22402" i="1"/>
  <c r="C22401" i="1"/>
  <c r="C22400" i="1"/>
  <c r="C22399" i="1"/>
  <c r="C22398" i="1"/>
  <c r="C22397" i="1"/>
  <c r="C22396" i="1"/>
  <c r="C22395" i="1"/>
  <c r="C22394" i="1"/>
  <c r="C22393" i="1"/>
  <c r="C22392" i="1"/>
  <c r="C22391" i="1"/>
  <c r="C22390" i="1"/>
  <c r="C22389" i="1"/>
  <c r="C22388" i="1"/>
  <c r="C22387" i="1"/>
  <c r="C22386" i="1"/>
  <c r="C22385" i="1"/>
  <c r="C22384" i="1"/>
  <c r="C22383" i="1"/>
  <c r="C22382" i="1"/>
  <c r="C22381" i="1"/>
  <c r="C22380" i="1"/>
  <c r="C22379" i="1"/>
  <c r="C22378" i="1"/>
  <c r="C22377" i="1"/>
  <c r="C22376" i="1"/>
  <c r="C22375" i="1"/>
  <c r="C22374" i="1"/>
  <c r="C22373" i="1"/>
  <c r="C22372" i="1"/>
  <c r="C22371" i="1"/>
  <c r="C22370" i="1"/>
  <c r="C22369" i="1"/>
  <c r="C22368" i="1"/>
  <c r="C22367" i="1"/>
  <c r="C22366" i="1"/>
  <c r="C22365" i="1"/>
  <c r="C22364" i="1"/>
  <c r="C22363" i="1"/>
  <c r="C22362" i="1"/>
  <c r="C22361" i="1"/>
  <c r="C22360" i="1"/>
  <c r="C22359" i="1"/>
  <c r="C22358" i="1"/>
  <c r="C22357" i="1"/>
  <c r="C22356" i="1"/>
  <c r="C22355" i="1"/>
  <c r="C22354" i="1"/>
  <c r="C22353" i="1"/>
  <c r="C22352" i="1"/>
  <c r="C22351" i="1"/>
  <c r="C22350" i="1"/>
  <c r="C22349" i="1"/>
  <c r="C22348" i="1"/>
  <c r="C22347" i="1"/>
  <c r="C22346" i="1"/>
  <c r="C22345" i="1"/>
  <c r="C22344" i="1"/>
  <c r="C22343" i="1"/>
  <c r="C22342" i="1"/>
  <c r="C22341" i="1"/>
  <c r="C22340" i="1"/>
  <c r="C22339" i="1"/>
  <c r="C22338" i="1"/>
  <c r="C22337" i="1"/>
  <c r="C22336" i="1"/>
  <c r="C22335" i="1"/>
  <c r="C22334" i="1"/>
  <c r="C22333" i="1"/>
  <c r="C22332" i="1"/>
  <c r="C22331" i="1"/>
  <c r="C22330" i="1"/>
  <c r="C22329" i="1"/>
  <c r="C22328" i="1"/>
  <c r="C22327" i="1"/>
  <c r="C22326" i="1"/>
  <c r="C22325" i="1"/>
  <c r="C22324" i="1"/>
  <c r="C22323" i="1"/>
  <c r="C22322" i="1"/>
  <c r="C22321" i="1"/>
  <c r="C22320" i="1"/>
  <c r="C22319" i="1"/>
  <c r="C22318" i="1"/>
  <c r="C22317" i="1"/>
  <c r="C22316" i="1"/>
  <c r="C22315" i="1"/>
  <c r="C22314" i="1"/>
  <c r="C22313" i="1"/>
  <c r="C22312" i="1"/>
  <c r="C22311" i="1"/>
  <c r="C22310" i="1"/>
  <c r="C22309" i="1"/>
  <c r="C22308" i="1"/>
  <c r="C22307" i="1"/>
  <c r="C22306" i="1"/>
  <c r="C22305" i="1"/>
  <c r="C22304" i="1"/>
  <c r="C22303" i="1"/>
  <c r="C22302" i="1"/>
  <c r="C22301" i="1"/>
  <c r="C22300" i="1"/>
  <c r="C22299" i="1"/>
  <c r="C22298" i="1"/>
  <c r="C22297" i="1"/>
  <c r="C22296" i="1"/>
  <c r="C22295" i="1"/>
  <c r="C22294" i="1"/>
  <c r="C22293" i="1"/>
  <c r="C22292" i="1"/>
  <c r="C22291" i="1"/>
  <c r="C22290" i="1"/>
  <c r="C22289" i="1"/>
  <c r="C22288" i="1"/>
  <c r="C22287" i="1"/>
  <c r="C22286" i="1"/>
  <c r="C22285" i="1"/>
  <c r="C22284" i="1"/>
  <c r="C22283" i="1"/>
  <c r="C22282" i="1"/>
  <c r="C22281" i="1"/>
  <c r="C22280" i="1"/>
  <c r="C22279" i="1"/>
  <c r="C22278" i="1"/>
  <c r="C22277" i="1"/>
  <c r="C22276" i="1"/>
  <c r="C22275" i="1"/>
  <c r="C22274" i="1"/>
  <c r="C22273" i="1"/>
  <c r="C22272" i="1"/>
  <c r="C22271" i="1"/>
  <c r="C22270" i="1"/>
  <c r="C22269" i="1"/>
  <c r="C22268" i="1"/>
  <c r="C22267" i="1"/>
  <c r="C22266" i="1"/>
  <c r="C22265" i="1"/>
  <c r="C22264" i="1"/>
  <c r="C22263" i="1"/>
  <c r="C22262" i="1"/>
  <c r="C22261" i="1"/>
  <c r="C22260" i="1"/>
  <c r="C22259" i="1"/>
  <c r="C22258" i="1"/>
  <c r="C22257" i="1"/>
  <c r="C22256" i="1"/>
  <c r="C22255" i="1"/>
  <c r="C22254" i="1"/>
  <c r="C22253" i="1"/>
  <c r="C22252" i="1"/>
  <c r="C22251" i="1"/>
  <c r="C22250" i="1"/>
  <c r="C22249" i="1"/>
  <c r="C22248" i="1"/>
  <c r="C22247" i="1"/>
  <c r="C22246" i="1"/>
  <c r="C22245" i="1"/>
  <c r="C22244" i="1"/>
  <c r="C22243" i="1"/>
  <c r="C22242" i="1"/>
  <c r="C22241" i="1"/>
  <c r="C22240" i="1"/>
  <c r="C22239" i="1"/>
  <c r="C22238" i="1"/>
  <c r="C22237" i="1"/>
  <c r="C22236" i="1"/>
  <c r="C22235" i="1"/>
  <c r="C22234" i="1"/>
  <c r="C22233" i="1"/>
  <c r="C22232" i="1"/>
  <c r="C22231" i="1"/>
  <c r="C22230" i="1"/>
  <c r="C22229" i="1"/>
  <c r="C22228" i="1"/>
  <c r="C22227" i="1"/>
  <c r="C22226" i="1"/>
  <c r="C22225" i="1"/>
  <c r="C22224" i="1"/>
  <c r="C22223" i="1"/>
  <c r="C22222" i="1"/>
  <c r="C22221" i="1"/>
  <c r="C22220" i="1"/>
  <c r="C22219" i="1"/>
  <c r="C22218" i="1"/>
  <c r="C22217" i="1"/>
  <c r="C22216" i="1"/>
  <c r="C22215" i="1"/>
  <c r="C22214" i="1"/>
  <c r="C22213" i="1"/>
  <c r="C22212" i="1"/>
  <c r="C22211" i="1"/>
  <c r="C22210" i="1"/>
  <c r="C22209" i="1"/>
  <c r="C22208" i="1"/>
  <c r="C22207" i="1"/>
  <c r="C22206" i="1"/>
  <c r="C22205" i="1"/>
  <c r="C22204" i="1"/>
  <c r="C22203" i="1"/>
  <c r="C22202" i="1"/>
  <c r="C22201" i="1"/>
  <c r="C22200" i="1"/>
  <c r="C22199" i="1"/>
  <c r="C22198" i="1"/>
  <c r="C22197" i="1"/>
  <c r="C22196" i="1"/>
  <c r="C22195" i="1"/>
  <c r="C22194" i="1"/>
  <c r="C22193" i="1"/>
  <c r="C22192" i="1"/>
  <c r="C22191" i="1"/>
  <c r="C22190" i="1"/>
  <c r="C22189" i="1"/>
  <c r="C22188" i="1"/>
  <c r="C22187" i="1"/>
  <c r="C22186" i="1"/>
  <c r="C22185" i="1"/>
  <c r="C22184" i="1"/>
  <c r="C22183" i="1"/>
  <c r="C22182" i="1"/>
  <c r="C22181" i="1"/>
  <c r="C22180" i="1"/>
  <c r="C22179" i="1"/>
  <c r="C22178" i="1"/>
  <c r="C22177" i="1"/>
  <c r="C22176" i="1"/>
  <c r="C22175" i="1"/>
  <c r="C22174" i="1"/>
  <c r="C22173" i="1"/>
  <c r="C22172" i="1"/>
  <c r="C22171" i="1"/>
  <c r="C22170" i="1"/>
  <c r="C22169" i="1"/>
  <c r="C22168" i="1"/>
  <c r="C22167" i="1"/>
  <c r="C22166" i="1"/>
  <c r="C22165" i="1"/>
  <c r="C22164" i="1"/>
  <c r="C22163" i="1"/>
  <c r="C22162" i="1"/>
  <c r="C22161" i="1"/>
  <c r="C22160" i="1"/>
  <c r="C22159" i="1"/>
  <c r="C22158" i="1"/>
  <c r="C22157" i="1"/>
  <c r="C22156" i="1"/>
  <c r="C22155" i="1"/>
  <c r="C22154" i="1"/>
  <c r="C22153" i="1"/>
  <c r="C22152" i="1"/>
  <c r="C22151" i="1"/>
  <c r="C22150" i="1"/>
  <c r="C22149" i="1"/>
  <c r="C22148" i="1"/>
  <c r="C22147" i="1"/>
  <c r="C22146" i="1"/>
  <c r="C22145" i="1"/>
  <c r="C22144" i="1"/>
  <c r="C22143" i="1"/>
  <c r="C22142" i="1"/>
  <c r="C22141" i="1"/>
  <c r="C22140" i="1"/>
  <c r="C22139" i="1"/>
  <c r="C22138" i="1"/>
  <c r="C22137" i="1"/>
  <c r="C22136" i="1"/>
  <c r="C22135" i="1"/>
  <c r="C22134" i="1"/>
  <c r="C22133" i="1"/>
  <c r="C22132" i="1"/>
  <c r="C22131" i="1"/>
  <c r="C22130" i="1"/>
  <c r="C22129" i="1"/>
  <c r="C22128" i="1"/>
  <c r="C22127" i="1"/>
  <c r="C22126" i="1"/>
  <c r="C22125" i="1"/>
  <c r="C22124" i="1"/>
  <c r="C22123" i="1"/>
  <c r="C22122" i="1"/>
  <c r="C22121" i="1"/>
  <c r="C22120" i="1"/>
  <c r="C22119" i="1"/>
  <c r="C22118" i="1"/>
  <c r="C22117" i="1"/>
  <c r="C22116" i="1"/>
  <c r="C22115" i="1"/>
  <c r="C22114" i="1"/>
  <c r="C22113" i="1"/>
  <c r="C22112" i="1"/>
  <c r="C22111" i="1"/>
  <c r="C22110" i="1"/>
  <c r="C22109" i="1"/>
  <c r="C22108" i="1"/>
  <c r="C22107" i="1"/>
  <c r="C22106" i="1"/>
  <c r="C22105" i="1"/>
  <c r="C22104" i="1"/>
  <c r="C22103" i="1"/>
  <c r="C22102" i="1"/>
  <c r="C22101" i="1"/>
  <c r="C22100" i="1"/>
  <c r="C22099" i="1"/>
  <c r="C22098" i="1"/>
  <c r="C22097" i="1"/>
  <c r="C22096" i="1"/>
  <c r="C22095" i="1"/>
  <c r="C22094" i="1"/>
  <c r="C22093" i="1"/>
  <c r="C22092" i="1"/>
  <c r="C22091" i="1"/>
  <c r="C22090" i="1"/>
  <c r="C22089" i="1"/>
  <c r="C22088" i="1"/>
  <c r="C22087" i="1"/>
  <c r="C22086" i="1"/>
  <c r="C22085" i="1"/>
  <c r="C22084" i="1"/>
  <c r="C22083" i="1"/>
  <c r="C22082" i="1"/>
  <c r="C22081" i="1"/>
  <c r="C22080" i="1"/>
  <c r="C22079" i="1"/>
  <c r="C22078" i="1"/>
  <c r="C22077" i="1"/>
  <c r="C22076" i="1"/>
  <c r="C22075" i="1"/>
  <c r="C22074" i="1"/>
  <c r="C22073" i="1"/>
  <c r="C22072" i="1"/>
  <c r="C22071" i="1"/>
  <c r="C22070" i="1"/>
  <c r="C22069" i="1"/>
  <c r="C22068" i="1"/>
  <c r="C22067" i="1"/>
  <c r="C22066" i="1"/>
  <c r="C22065" i="1"/>
  <c r="C22064" i="1"/>
  <c r="C22063" i="1"/>
  <c r="C22062" i="1"/>
  <c r="C22061" i="1"/>
  <c r="C22060" i="1"/>
  <c r="C22059" i="1"/>
  <c r="C22058" i="1"/>
  <c r="C22057" i="1"/>
  <c r="C22056" i="1"/>
  <c r="C22055" i="1"/>
  <c r="C22054" i="1"/>
  <c r="C22053" i="1"/>
  <c r="C22052" i="1"/>
  <c r="C22051" i="1"/>
  <c r="C22050" i="1"/>
  <c r="C22049" i="1"/>
  <c r="C22048" i="1"/>
  <c r="C22047" i="1"/>
  <c r="C22046" i="1"/>
  <c r="C22045" i="1"/>
  <c r="C22044" i="1"/>
  <c r="C22043" i="1"/>
  <c r="C22042" i="1"/>
  <c r="C22041" i="1"/>
  <c r="C22040" i="1"/>
  <c r="C22039" i="1"/>
  <c r="C22038" i="1"/>
  <c r="C22037" i="1"/>
  <c r="C22036" i="1"/>
  <c r="C22035" i="1"/>
  <c r="C22034" i="1"/>
  <c r="C22033" i="1"/>
  <c r="C22032" i="1"/>
  <c r="C22031" i="1"/>
  <c r="C22030" i="1"/>
  <c r="C22029" i="1"/>
  <c r="C22028" i="1"/>
  <c r="C22027" i="1"/>
  <c r="C22026" i="1"/>
  <c r="C22025" i="1"/>
  <c r="C22024" i="1"/>
  <c r="C22023" i="1"/>
  <c r="C22022" i="1"/>
  <c r="C22021" i="1"/>
  <c r="C22020" i="1"/>
  <c r="C22019" i="1"/>
  <c r="C22018" i="1"/>
  <c r="C22017" i="1"/>
  <c r="C22016" i="1"/>
  <c r="C22015" i="1"/>
  <c r="C22014" i="1"/>
  <c r="C22013" i="1"/>
  <c r="C22012" i="1"/>
  <c r="C22011" i="1"/>
  <c r="C22010" i="1"/>
  <c r="C22009" i="1"/>
  <c r="C22008" i="1"/>
  <c r="C22007" i="1"/>
  <c r="C22006" i="1"/>
  <c r="C22005" i="1"/>
  <c r="C22004" i="1"/>
  <c r="C22003" i="1"/>
  <c r="C22002" i="1"/>
  <c r="C22001" i="1"/>
  <c r="C22000" i="1"/>
  <c r="C21999" i="1"/>
  <c r="C21998" i="1"/>
  <c r="C21997" i="1"/>
  <c r="C21996" i="1"/>
  <c r="C21995" i="1"/>
  <c r="C21994" i="1"/>
  <c r="C21993" i="1"/>
  <c r="C21992" i="1"/>
  <c r="C21991" i="1"/>
  <c r="C21990" i="1"/>
  <c r="C21989" i="1"/>
  <c r="C21988" i="1"/>
  <c r="C21987" i="1"/>
  <c r="C21986" i="1"/>
  <c r="C21985" i="1"/>
  <c r="C21984" i="1"/>
  <c r="C21983" i="1"/>
  <c r="C21982" i="1"/>
  <c r="C21981" i="1"/>
  <c r="C21980" i="1"/>
  <c r="C21979" i="1"/>
  <c r="C21978" i="1"/>
  <c r="C21977" i="1"/>
  <c r="C21976" i="1"/>
  <c r="C21975" i="1"/>
  <c r="C21974" i="1"/>
  <c r="C21973" i="1"/>
  <c r="C21972" i="1"/>
  <c r="C21971" i="1"/>
  <c r="C21970" i="1"/>
  <c r="C21969" i="1"/>
  <c r="C21968" i="1"/>
  <c r="C21967" i="1"/>
  <c r="C21966" i="1"/>
  <c r="C21965" i="1"/>
  <c r="C21964" i="1"/>
  <c r="C21963" i="1"/>
  <c r="C21962" i="1"/>
  <c r="C21961" i="1"/>
  <c r="C21960" i="1"/>
  <c r="C21959" i="1"/>
  <c r="C21958" i="1"/>
  <c r="C21957" i="1"/>
  <c r="C21956" i="1"/>
  <c r="C21955" i="1"/>
  <c r="C21954" i="1"/>
  <c r="C21953" i="1"/>
  <c r="C21952" i="1"/>
  <c r="C21951" i="1"/>
  <c r="C21950" i="1"/>
  <c r="C21949" i="1"/>
  <c r="C21948" i="1"/>
  <c r="C21947" i="1"/>
  <c r="C21946" i="1"/>
  <c r="C21945" i="1"/>
  <c r="C21944" i="1"/>
  <c r="C21943" i="1"/>
  <c r="C21942" i="1"/>
  <c r="C21941" i="1"/>
  <c r="C21940" i="1"/>
  <c r="C21939" i="1"/>
  <c r="C21938" i="1"/>
  <c r="C21937" i="1"/>
  <c r="C21936" i="1"/>
  <c r="C21935" i="1"/>
  <c r="C21934" i="1"/>
  <c r="C21933" i="1"/>
  <c r="C21932" i="1"/>
  <c r="C21931" i="1"/>
  <c r="C21930" i="1"/>
  <c r="C21929" i="1"/>
  <c r="C21928" i="1"/>
  <c r="C21927" i="1"/>
  <c r="C21926" i="1"/>
  <c r="C21925" i="1"/>
  <c r="C21924" i="1"/>
  <c r="C21923" i="1"/>
  <c r="C21922" i="1"/>
  <c r="C21921" i="1"/>
  <c r="C21920" i="1"/>
  <c r="C21919" i="1"/>
  <c r="C21918" i="1"/>
  <c r="C21917" i="1"/>
  <c r="C21916" i="1"/>
  <c r="C21915" i="1"/>
  <c r="C21914" i="1"/>
  <c r="C21913" i="1"/>
  <c r="C21912" i="1"/>
  <c r="C21911" i="1"/>
  <c r="C21910" i="1"/>
  <c r="C21909" i="1"/>
  <c r="C21908" i="1"/>
  <c r="C21907" i="1"/>
  <c r="C21906" i="1"/>
  <c r="C21905" i="1"/>
  <c r="C21904" i="1"/>
  <c r="C21903" i="1"/>
  <c r="C21902" i="1"/>
  <c r="C21901" i="1"/>
  <c r="C21900" i="1"/>
  <c r="C21899" i="1"/>
  <c r="C21898" i="1"/>
  <c r="C21897" i="1"/>
  <c r="C21896" i="1"/>
  <c r="C21895" i="1"/>
  <c r="C21894" i="1"/>
  <c r="C21893" i="1"/>
  <c r="C21892" i="1"/>
  <c r="C21891" i="1"/>
  <c r="C21890" i="1"/>
  <c r="C21889" i="1"/>
  <c r="C21888" i="1"/>
  <c r="C21887" i="1"/>
  <c r="C21886" i="1"/>
  <c r="C21885" i="1"/>
  <c r="C21884" i="1"/>
  <c r="C21883" i="1"/>
  <c r="C21882" i="1"/>
  <c r="C21881" i="1"/>
  <c r="C21880" i="1"/>
  <c r="C21879" i="1"/>
  <c r="C21878" i="1"/>
  <c r="C21877" i="1"/>
  <c r="C21876" i="1"/>
  <c r="C21875" i="1"/>
  <c r="C21874" i="1"/>
  <c r="C21873" i="1"/>
  <c r="C21872" i="1"/>
  <c r="C21871" i="1"/>
  <c r="C21870" i="1"/>
  <c r="C21869" i="1"/>
  <c r="C21868" i="1"/>
  <c r="C21867" i="1"/>
  <c r="C21866" i="1"/>
  <c r="C21865" i="1"/>
  <c r="C21864" i="1"/>
  <c r="C21863" i="1"/>
  <c r="C21862" i="1"/>
  <c r="C21861" i="1"/>
  <c r="C21860" i="1"/>
  <c r="C21859" i="1"/>
  <c r="C21858" i="1"/>
  <c r="C21857" i="1"/>
  <c r="C21856" i="1"/>
  <c r="C21855" i="1"/>
  <c r="C21854" i="1"/>
  <c r="C21853" i="1"/>
  <c r="C21852" i="1"/>
  <c r="C21851" i="1"/>
  <c r="C21850" i="1"/>
  <c r="C21849" i="1"/>
  <c r="C21848" i="1"/>
  <c r="C21847" i="1"/>
  <c r="C21846" i="1"/>
  <c r="C21845" i="1"/>
  <c r="C21844" i="1"/>
  <c r="C21843" i="1"/>
  <c r="C21842" i="1"/>
  <c r="C21841" i="1"/>
  <c r="C21840" i="1"/>
  <c r="C21839" i="1"/>
  <c r="C21838" i="1"/>
  <c r="C21837" i="1"/>
  <c r="C21836" i="1"/>
  <c r="C21835" i="1"/>
  <c r="C21834" i="1"/>
  <c r="C21833" i="1"/>
  <c r="C21832" i="1"/>
  <c r="C21831" i="1"/>
  <c r="C21830" i="1"/>
  <c r="C21829" i="1"/>
  <c r="C21828" i="1"/>
  <c r="C21827" i="1"/>
  <c r="C21826" i="1"/>
  <c r="C21825" i="1"/>
  <c r="C21824" i="1"/>
  <c r="C21823" i="1"/>
  <c r="C21822" i="1"/>
  <c r="C21821" i="1"/>
  <c r="C21820" i="1"/>
  <c r="C21819" i="1"/>
  <c r="C21818" i="1"/>
  <c r="C21817" i="1"/>
  <c r="C21816" i="1"/>
  <c r="C21815" i="1"/>
  <c r="C21814" i="1"/>
  <c r="C21813" i="1"/>
  <c r="C21812" i="1"/>
  <c r="C21811" i="1"/>
  <c r="C21810" i="1"/>
  <c r="C21809" i="1"/>
  <c r="C21808" i="1"/>
  <c r="C21807" i="1"/>
  <c r="C21806" i="1"/>
  <c r="C21805" i="1"/>
  <c r="C21804" i="1"/>
  <c r="C21803" i="1"/>
  <c r="C21802" i="1"/>
  <c r="C21801" i="1"/>
  <c r="C21800" i="1"/>
  <c r="C21799" i="1"/>
  <c r="C21798" i="1"/>
  <c r="C21797" i="1"/>
  <c r="C21796" i="1"/>
  <c r="C21795" i="1"/>
  <c r="C21794" i="1"/>
  <c r="C21793" i="1"/>
  <c r="C21792" i="1"/>
  <c r="C21791" i="1"/>
  <c r="C21790" i="1"/>
  <c r="C21789" i="1"/>
  <c r="C21788" i="1"/>
  <c r="C21787" i="1"/>
  <c r="C21786" i="1"/>
  <c r="C21785" i="1"/>
  <c r="C21784" i="1"/>
  <c r="C21783" i="1"/>
  <c r="C21782" i="1"/>
  <c r="C21781" i="1"/>
  <c r="C21780" i="1"/>
  <c r="C21779" i="1"/>
  <c r="C21778" i="1"/>
  <c r="C21777" i="1"/>
  <c r="C21776" i="1"/>
  <c r="C21775" i="1"/>
  <c r="C21774" i="1"/>
  <c r="C21773" i="1"/>
  <c r="C21772" i="1"/>
  <c r="C21771" i="1"/>
  <c r="C21770" i="1"/>
  <c r="C21769" i="1"/>
  <c r="C21768" i="1"/>
  <c r="C21767" i="1"/>
  <c r="C21766" i="1"/>
  <c r="C21765" i="1"/>
  <c r="C21764" i="1"/>
  <c r="C21763" i="1"/>
  <c r="C21762" i="1"/>
  <c r="C21761" i="1"/>
  <c r="C21760" i="1"/>
  <c r="C21759" i="1"/>
  <c r="C21758" i="1"/>
  <c r="C21757" i="1"/>
  <c r="C21756" i="1"/>
  <c r="C21755" i="1"/>
  <c r="C21754" i="1"/>
  <c r="C21753" i="1"/>
  <c r="C21752" i="1"/>
  <c r="C21751" i="1"/>
  <c r="C21750" i="1"/>
  <c r="C21749" i="1"/>
  <c r="C21748" i="1"/>
  <c r="C21747" i="1"/>
  <c r="C21746" i="1"/>
  <c r="C21745" i="1"/>
  <c r="C21744" i="1"/>
  <c r="C21743" i="1"/>
  <c r="C21742" i="1"/>
  <c r="C21741" i="1"/>
  <c r="C21740" i="1"/>
  <c r="C21739" i="1"/>
  <c r="C21738" i="1"/>
  <c r="C21737" i="1"/>
  <c r="C21736" i="1"/>
  <c r="C21735" i="1"/>
  <c r="C21734" i="1"/>
  <c r="C21733" i="1"/>
  <c r="C21732" i="1"/>
  <c r="C21731" i="1"/>
  <c r="C21730" i="1"/>
  <c r="C21729" i="1"/>
  <c r="C21728" i="1"/>
  <c r="C21727" i="1"/>
  <c r="C21726" i="1"/>
  <c r="C21725" i="1"/>
  <c r="C21724" i="1"/>
  <c r="C21723" i="1"/>
  <c r="C21722" i="1"/>
  <c r="C21721" i="1"/>
  <c r="C21720" i="1"/>
  <c r="C21719" i="1"/>
  <c r="C21718" i="1"/>
  <c r="C21717" i="1"/>
  <c r="C21716" i="1"/>
  <c r="C21715" i="1"/>
  <c r="C21714" i="1"/>
  <c r="C21713" i="1"/>
  <c r="C21712" i="1"/>
  <c r="C21711" i="1"/>
  <c r="C21710" i="1"/>
  <c r="C21709" i="1"/>
  <c r="C21708" i="1"/>
  <c r="C21707" i="1"/>
  <c r="C21706" i="1"/>
  <c r="C21705" i="1"/>
  <c r="C21704" i="1"/>
  <c r="C21703" i="1"/>
  <c r="C21702" i="1"/>
  <c r="C21701" i="1"/>
  <c r="C21700" i="1"/>
  <c r="C21699" i="1"/>
  <c r="C21698" i="1"/>
  <c r="C21697" i="1"/>
  <c r="C21696" i="1"/>
  <c r="C21695" i="1"/>
  <c r="C21694" i="1"/>
  <c r="C21693" i="1"/>
  <c r="C21692" i="1"/>
  <c r="C21691" i="1"/>
  <c r="C21690" i="1"/>
  <c r="C21689" i="1"/>
  <c r="C21688" i="1"/>
  <c r="C21687" i="1"/>
  <c r="C21686" i="1"/>
  <c r="C21685" i="1"/>
  <c r="C21684" i="1"/>
  <c r="C21683" i="1"/>
  <c r="C21682" i="1"/>
  <c r="C21681" i="1"/>
  <c r="C21680" i="1"/>
  <c r="C21679" i="1"/>
  <c r="C21678" i="1"/>
  <c r="C21677" i="1"/>
  <c r="C21676" i="1"/>
  <c r="C21675" i="1"/>
  <c r="C21674" i="1"/>
  <c r="C21673" i="1"/>
  <c r="C21672" i="1"/>
  <c r="C21671" i="1"/>
  <c r="C21670" i="1"/>
  <c r="C21669" i="1"/>
  <c r="C21668" i="1"/>
  <c r="C21667" i="1"/>
  <c r="C21666" i="1"/>
  <c r="C21665" i="1"/>
  <c r="C21664" i="1"/>
  <c r="C21663" i="1"/>
  <c r="C21662" i="1"/>
  <c r="C21661" i="1"/>
  <c r="C21660" i="1"/>
  <c r="C21659" i="1"/>
  <c r="C21658" i="1"/>
  <c r="C21657" i="1"/>
  <c r="C21656" i="1"/>
  <c r="C21655" i="1"/>
  <c r="C21654" i="1"/>
  <c r="C21653" i="1"/>
  <c r="C21652" i="1"/>
  <c r="C21651" i="1"/>
  <c r="C21650" i="1"/>
  <c r="C21649" i="1"/>
  <c r="C21648" i="1"/>
  <c r="C21647" i="1"/>
  <c r="C21646" i="1"/>
  <c r="C21645" i="1"/>
  <c r="C21644" i="1"/>
  <c r="C21643" i="1"/>
  <c r="C21642" i="1"/>
  <c r="C21641" i="1"/>
  <c r="C21640" i="1"/>
  <c r="C21639" i="1"/>
  <c r="C21638" i="1"/>
  <c r="C21637" i="1"/>
  <c r="C21636" i="1"/>
  <c r="C21635" i="1"/>
  <c r="C21634" i="1"/>
  <c r="C21633" i="1"/>
  <c r="C21632" i="1"/>
  <c r="C21631" i="1"/>
  <c r="C21630" i="1"/>
  <c r="C21629" i="1"/>
  <c r="C21628" i="1"/>
  <c r="C21627" i="1"/>
  <c r="C21626" i="1"/>
  <c r="C21625" i="1"/>
  <c r="C21624" i="1"/>
  <c r="C21623" i="1"/>
  <c r="C21622" i="1"/>
  <c r="C21621" i="1"/>
  <c r="C21620" i="1"/>
  <c r="C21619" i="1"/>
  <c r="C21618" i="1"/>
  <c r="C21617" i="1"/>
  <c r="C21616" i="1"/>
  <c r="C21615" i="1"/>
  <c r="C21614" i="1"/>
  <c r="C21613" i="1"/>
  <c r="C21612" i="1"/>
  <c r="C21611" i="1"/>
  <c r="C21610" i="1"/>
  <c r="C21609" i="1"/>
  <c r="C21608" i="1"/>
  <c r="C21607" i="1"/>
  <c r="C21606" i="1"/>
  <c r="C21605" i="1"/>
  <c r="C21604" i="1"/>
  <c r="C21603" i="1"/>
  <c r="C21602" i="1"/>
  <c r="C21601" i="1"/>
  <c r="C21600" i="1"/>
  <c r="C21599" i="1"/>
  <c r="C21598" i="1"/>
  <c r="C21597" i="1"/>
  <c r="C21596" i="1"/>
  <c r="C21595" i="1"/>
  <c r="C21594" i="1"/>
  <c r="C21593" i="1"/>
  <c r="C21592" i="1"/>
  <c r="C21591" i="1"/>
  <c r="C21590" i="1"/>
  <c r="C21589" i="1"/>
  <c r="C21588" i="1"/>
  <c r="C21587" i="1"/>
  <c r="C21586" i="1"/>
  <c r="C21585" i="1"/>
  <c r="C21584" i="1"/>
  <c r="C21583" i="1"/>
  <c r="C21582" i="1"/>
  <c r="C21581" i="1"/>
  <c r="C21580" i="1"/>
  <c r="C21579" i="1"/>
  <c r="C21578" i="1"/>
  <c r="C21577" i="1"/>
  <c r="C21576" i="1"/>
  <c r="C21575" i="1"/>
  <c r="C21574" i="1"/>
  <c r="C21573" i="1"/>
  <c r="C21572" i="1"/>
  <c r="C21571" i="1"/>
  <c r="C21570" i="1"/>
  <c r="C21569" i="1"/>
  <c r="C21568" i="1"/>
  <c r="C21567" i="1"/>
  <c r="C21566" i="1"/>
  <c r="C21565" i="1"/>
  <c r="C21564" i="1"/>
  <c r="C21563" i="1"/>
  <c r="C21562" i="1"/>
  <c r="C21561" i="1"/>
  <c r="C21560" i="1"/>
  <c r="C21559" i="1"/>
  <c r="C21558" i="1"/>
  <c r="C21557" i="1"/>
  <c r="C21556" i="1"/>
  <c r="C21555" i="1"/>
  <c r="C21554" i="1"/>
  <c r="C21553" i="1"/>
  <c r="C21552" i="1"/>
  <c r="C21551" i="1"/>
  <c r="C21550" i="1"/>
  <c r="C21549" i="1"/>
  <c r="C21548" i="1"/>
  <c r="C21547" i="1"/>
  <c r="C21546" i="1"/>
  <c r="C21545" i="1"/>
  <c r="C21544" i="1"/>
  <c r="C21543" i="1"/>
  <c r="C21542" i="1"/>
  <c r="C21541" i="1"/>
  <c r="C21540" i="1"/>
  <c r="C21539" i="1"/>
  <c r="C21538" i="1"/>
  <c r="C21537" i="1"/>
  <c r="C21536" i="1"/>
  <c r="C21535" i="1"/>
  <c r="C21534" i="1"/>
  <c r="C21533" i="1"/>
  <c r="C21532" i="1"/>
  <c r="C21531" i="1"/>
  <c r="C21530" i="1"/>
  <c r="C21529" i="1"/>
  <c r="C21528" i="1"/>
  <c r="C21527" i="1"/>
  <c r="C21526" i="1"/>
  <c r="C21525" i="1"/>
  <c r="C21524" i="1"/>
  <c r="C21523" i="1"/>
  <c r="C21522" i="1"/>
  <c r="C21521" i="1"/>
  <c r="C21520" i="1"/>
  <c r="C21519" i="1"/>
  <c r="C21518" i="1"/>
  <c r="C21517" i="1"/>
  <c r="C21516" i="1"/>
  <c r="C21515" i="1"/>
  <c r="C21514" i="1"/>
  <c r="C21513" i="1"/>
  <c r="C21512" i="1"/>
  <c r="C21511" i="1"/>
  <c r="C21510" i="1"/>
  <c r="C21509" i="1"/>
  <c r="C21508" i="1"/>
  <c r="C21507" i="1"/>
  <c r="C21506" i="1"/>
  <c r="C21505" i="1"/>
  <c r="C21504" i="1"/>
  <c r="C21503" i="1"/>
  <c r="C21502" i="1"/>
  <c r="C21501" i="1"/>
  <c r="C21500" i="1"/>
  <c r="C21499" i="1"/>
  <c r="C21498" i="1"/>
  <c r="C21497" i="1"/>
  <c r="C21496" i="1"/>
  <c r="C21495" i="1"/>
  <c r="C21494" i="1"/>
  <c r="C21493" i="1"/>
  <c r="C21492" i="1"/>
  <c r="C21491" i="1"/>
  <c r="C21490" i="1"/>
  <c r="C21489" i="1"/>
  <c r="C21488" i="1"/>
  <c r="C21487" i="1"/>
  <c r="C21486" i="1"/>
  <c r="C21485" i="1"/>
  <c r="C21484" i="1"/>
  <c r="C21483" i="1"/>
  <c r="C21482" i="1"/>
  <c r="C21481" i="1"/>
  <c r="C21480" i="1"/>
  <c r="C21479" i="1"/>
  <c r="C21478" i="1"/>
  <c r="C21477" i="1"/>
  <c r="C21476" i="1"/>
  <c r="C21475" i="1"/>
  <c r="C21474" i="1"/>
  <c r="C21473" i="1"/>
  <c r="C21472" i="1"/>
  <c r="C21471" i="1"/>
  <c r="C21470" i="1"/>
  <c r="C21469" i="1"/>
  <c r="C21468" i="1"/>
  <c r="C21467" i="1"/>
  <c r="C21466" i="1"/>
  <c r="C21465" i="1"/>
  <c r="C21464" i="1"/>
  <c r="C21463" i="1"/>
  <c r="C21462" i="1"/>
  <c r="C21461" i="1"/>
  <c r="C21460" i="1"/>
  <c r="C21459" i="1"/>
  <c r="C21458" i="1"/>
  <c r="C21457" i="1"/>
  <c r="C21456" i="1"/>
  <c r="C21455" i="1"/>
  <c r="C21454" i="1"/>
  <c r="C21453" i="1"/>
  <c r="C21452" i="1"/>
  <c r="C21451" i="1"/>
  <c r="C21450" i="1"/>
  <c r="C21449" i="1"/>
  <c r="C21448" i="1"/>
  <c r="C21447" i="1"/>
  <c r="C21446" i="1"/>
  <c r="C21445" i="1"/>
  <c r="C21444" i="1"/>
  <c r="C21443" i="1"/>
  <c r="C21442" i="1"/>
  <c r="C21441" i="1"/>
  <c r="C21440" i="1"/>
  <c r="C21439" i="1"/>
  <c r="C21438" i="1"/>
  <c r="C21437" i="1"/>
  <c r="C21436" i="1"/>
  <c r="C21435" i="1"/>
  <c r="C21434" i="1"/>
  <c r="C21433" i="1"/>
  <c r="C21432" i="1"/>
  <c r="C21431" i="1"/>
  <c r="C21430" i="1"/>
  <c r="C21429" i="1"/>
  <c r="C21428" i="1"/>
  <c r="C21427" i="1"/>
  <c r="C21426" i="1"/>
  <c r="C21425" i="1"/>
  <c r="C21424" i="1"/>
  <c r="C21423" i="1"/>
  <c r="C21422" i="1"/>
  <c r="C21421" i="1"/>
  <c r="C21420" i="1"/>
  <c r="C21419" i="1"/>
  <c r="C21418" i="1"/>
  <c r="C21417" i="1"/>
  <c r="C21416" i="1"/>
  <c r="C21415" i="1"/>
  <c r="C21414" i="1"/>
  <c r="C21413" i="1"/>
  <c r="C21412" i="1"/>
  <c r="C21411" i="1"/>
  <c r="C21410" i="1"/>
  <c r="C21409" i="1"/>
  <c r="C21408" i="1"/>
  <c r="C21407" i="1"/>
  <c r="C21406" i="1"/>
  <c r="C21405" i="1"/>
  <c r="C21404" i="1"/>
  <c r="C21403" i="1"/>
  <c r="C21402" i="1"/>
  <c r="C21401" i="1"/>
  <c r="C21400" i="1"/>
  <c r="C21399" i="1"/>
  <c r="C21398" i="1"/>
  <c r="C21397" i="1"/>
  <c r="C21396" i="1"/>
  <c r="C21395" i="1"/>
  <c r="C21394" i="1"/>
  <c r="C21393" i="1"/>
  <c r="C21392" i="1"/>
  <c r="C21391" i="1"/>
  <c r="C21390" i="1"/>
  <c r="C21389" i="1"/>
  <c r="C21388" i="1"/>
  <c r="C21387" i="1"/>
  <c r="C21386" i="1"/>
  <c r="C21385" i="1"/>
  <c r="C21384" i="1"/>
  <c r="C21383" i="1"/>
  <c r="C21382" i="1"/>
  <c r="C21381" i="1"/>
  <c r="C21380" i="1"/>
  <c r="C21379" i="1"/>
  <c r="C21378" i="1"/>
  <c r="C21377" i="1"/>
  <c r="C21376" i="1"/>
  <c r="C21375" i="1"/>
  <c r="C21374" i="1"/>
  <c r="C21373" i="1"/>
  <c r="C21372" i="1"/>
  <c r="C21371" i="1"/>
  <c r="C21370" i="1"/>
  <c r="C21369" i="1"/>
  <c r="C21368" i="1"/>
  <c r="C21367" i="1"/>
  <c r="C21366" i="1"/>
  <c r="C21365" i="1"/>
  <c r="C21364" i="1"/>
  <c r="C21363" i="1"/>
  <c r="C21362" i="1"/>
  <c r="C21361" i="1"/>
  <c r="C21360" i="1"/>
  <c r="C21359" i="1"/>
  <c r="C21358" i="1"/>
  <c r="C21357" i="1"/>
  <c r="C21356" i="1"/>
  <c r="C21355" i="1"/>
  <c r="C21354" i="1"/>
  <c r="C21353" i="1"/>
  <c r="C21352" i="1"/>
  <c r="C21351" i="1"/>
  <c r="C21350" i="1"/>
  <c r="C21349" i="1"/>
  <c r="C21348" i="1"/>
  <c r="C21347" i="1"/>
  <c r="C21346" i="1"/>
  <c r="C21345" i="1"/>
  <c r="C21344" i="1"/>
  <c r="C21343" i="1"/>
  <c r="C21342" i="1"/>
  <c r="C21341" i="1"/>
  <c r="C21340" i="1"/>
  <c r="C21339" i="1"/>
  <c r="C21338" i="1"/>
  <c r="C21337" i="1"/>
  <c r="C21336" i="1"/>
  <c r="C21335" i="1"/>
  <c r="C21334" i="1"/>
  <c r="C21333" i="1"/>
  <c r="C21332" i="1"/>
  <c r="C21331" i="1"/>
  <c r="C21330" i="1"/>
  <c r="C21329" i="1"/>
  <c r="C21328" i="1"/>
  <c r="C21327" i="1"/>
  <c r="C21326" i="1"/>
  <c r="C21325" i="1"/>
  <c r="C21324" i="1"/>
  <c r="C21323" i="1"/>
  <c r="C21322" i="1"/>
  <c r="C21321" i="1"/>
  <c r="C21320" i="1"/>
  <c r="C21319" i="1"/>
  <c r="C21318" i="1"/>
  <c r="C21317" i="1"/>
  <c r="C21316" i="1"/>
  <c r="C21315" i="1"/>
  <c r="C21314" i="1"/>
  <c r="C21313" i="1"/>
  <c r="C21312" i="1"/>
  <c r="C21311" i="1"/>
  <c r="C21310" i="1"/>
  <c r="C21309" i="1"/>
  <c r="C21308" i="1"/>
  <c r="C21307" i="1"/>
  <c r="C21306" i="1"/>
  <c r="C21305" i="1"/>
  <c r="C21304" i="1"/>
  <c r="C21303" i="1"/>
  <c r="C21302" i="1"/>
  <c r="C21301" i="1"/>
  <c r="C21300" i="1"/>
  <c r="C21299" i="1"/>
  <c r="C21298" i="1"/>
  <c r="C21297" i="1"/>
  <c r="C21296" i="1"/>
  <c r="C21295" i="1"/>
  <c r="C21294" i="1"/>
  <c r="C21293" i="1"/>
  <c r="C21292" i="1"/>
  <c r="C21291" i="1"/>
  <c r="C21290" i="1"/>
  <c r="C21289" i="1"/>
  <c r="C21288" i="1"/>
  <c r="C21287" i="1"/>
  <c r="C21286" i="1"/>
  <c r="C21285" i="1"/>
  <c r="C21284" i="1"/>
  <c r="C21283" i="1"/>
  <c r="C21282" i="1"/>
  <c r="C21281" i="1"/>
  <c r="C21280" i="1"/>
  <c r="C21279" i="1"/>
  <c r="C21278" i="1"/>
  <c r="C21277" i="1"/>
  <c r="C21276" i="1"/>
  <c r="C21275" i="1"/>
  <c r="C21274" i="1"/>
  <c r="C21273" i="1"/>
  <c r="C21272" i="1"/>
  <c r="C21271" i="1"/>
  <c r="C21270" i="1"/>
  <c r="C21269" i="1"/>
  <c r="C21268" i="1"/>
  <c r="C21267" i="1"/>
  <c r="C21266" i="1"/>
  <c r="C21265" i="1"/>
  <c r="C21264" i="1"/>
  <c r="C21263" i="1"/>
  <c r="C21262" i="1"/>
  <c r="C21261" i="1"/>
  <c r="C21260" i="1"/>
  <c r="C21259" i="1"/>
  <c r="C21258" i="1"/>
  <c r="C21257" i="1"/>
  <c r="C21256" i="1"/>
  <c r="C21255" i="1"/>
  <c r="C21254" i="1"/>
  <c r="C21253" i="1"/>
  <c r="C21252" i="1"/>
  <c r="C21251" i="1"/>
  <c r="C21250" i="1"/>
  <c r="C21249" i="1"/>
  <c r="C21248" i="1"/>
  <c r="C21247" i="1"/>
  <c r="C21246" i="1"/>
  <c r="C21245" i="1"/>
  <c r="C21244" i="1"/>
  <c r="C21243" i="1"/>
  <c r="C21242" i="1"/>
  <c r="C21241" i="1"/>
  <c r="C21240" i="1"/>
  <c r="C21239" i="1"/>
  <c r="C21238" i="1"/>
  <c r="C21237" i="1"/>
  <c r="C21236" i="1"/>
  <c r="C21235" i="1"/>
  <c r="C21234" i="1"/>
  <c r="C21233" i="1"/>
  <c r="C21232" i="1"/>
  <c r="C21231" i="1"/>
  <c r="C21230" i="1"/>
  <c r="C21229" i="1"/>
  <c r="C21228" i="1"/>
  <c r="C21227" i="1"/>
  <c r="C21226" i="1"/>
  <c r="C21225" i="1"/>
  <c r="C21224" i="1"/>
  <c r="C21223" i="1"/>
  <c r="C21222" i="1"/>
  <c r="C21221" i="1"/>
  <c r="C21220" i="1"/>
  <c r="C21219" i="1"/>
  <c r="C21218" i="1"/>
  <c r="C21217" i="1"/>
  <c r="C21216" i="1"/>
  <c r="C21215" i="1"/>
  <c r="C21214" i="1"/>
  <c r="C21213" i="1"/>
  <c r="C21212" i="1"/>
  <c r="C21211" i="1"/>
  <c r="C21210" i="1"/>
  <c r="C21209" i="1"/>
  <c r="C21208" i="1"/>
  <c r="C21207" i="1"/>
  <c r="C21206" i="1"/>
  <c r="C21205" i="1"/>
  <c r="C21204" i="1"/>
  <c r="C21203" i="1"/>
  <c r="C21202" i="1"/>
  <c r="C21201" i="1"/>
  <c r="C21200" i="1"/>
  <c r="C21199" i="1"/>
  <c r="C21198" i="1"/>
  <c r="C21197" i="1"/>
  <c r="C21196" i="1"/>
  <c r="C21195" i="1"/>
  <c r="C21194" i="1"/>
  <c r="C21193" i="1"/>
  <c r="C21192" i="1"/>
  <c r="C21191" i="1"/>
  <c r="C21190" i="1"/>
  <c r="C21189" i="1"/>
  <c r="C21188" i="1"/>
  <c r="C21187" i="1"/>
  <c r="C21186" i="1"/>
  <c r="C21185" i="1"/>
  <c r="C21184" i="1"/>
  <c r="C21183" i="1"/>
  <c r="C21182" i="1"/>
  <c r="C21181" i="1"/>
  <c r="C21180" i="1"/>
  <c r="C21179" i="1"/>
  <c r="C21178" i="1"/>
  <c r="C21177" i="1"/>
  <c r="C21176" i="1"/>
  <c r="C21175" i="1"/>
  <c r="C21174" i="1"/>
  <c r="C21173" i="1"/>
  <c r="C21172" i="1"/>
  <c r="C21171" i="1"/>
  <c r="C21170" i="1"/>
  <c r="C21169" i="1"/>
  <c r="C21168" i="1"/>
  <c r="C21167" i="1"/>
  <c r="C21166" i="1"/>
  <c r="C21165" i="1"/>
  <c r="C21164" i="1"/>
  <c r="C21163" i="1"/>
  <c r="C21162" i="1"/>
  <c r="C21161" i="1"/>
  <c r="C21160" i="1"/>
  <c r="C21159" i="1"/>
  <c r="C21158" i="1"/>
  <c r="C21157" i="1"/>
  <c r="C21156" i="1"/>
  <c r="C21155" i="1"/>
  <c r="C21154" i="1"/>
  <c r="C21153" i="1"/>
  <c r="C21152" i="1"/>
  <c r="C21151" i="1"/>
  <c r="C21150" i="1"/>
  <c r="C21149" i="1"/>
  <c r="C21148" i="1"/>
  <c r="C21147" i="1"/>
  <c r="C21146" i="1"/>
  <c r="C21145" i="1"/>
  <c r="C21144" i="1"/>
  <c r="C21143" i="1"/>
  <c r="C21142" i="1"/>
  <c r="C21141" i="1"/>
  <c r="C21140" i="1"/>
  <c r="C21139" i="1"/>
  <c r="C21138" i="1"/>
  <c r="C21137" i="1"/>
  <c r="C21136" i="1"/>
  <c r="C21135" i="1"/>
  <c r="C21134" i="1"/>
  <c r="C21133" i="1"/>
  <c r="C21132" i="1"/>
  <c r="C21131" i="1"/>
  <c r="C21130" i="1"/>
  <c r="C21129" i="1"/>
  <c r="C21128" i="1"/>
  <c r="C21127" i="1"/>
  <c r="C21126" i="1"/>
  <c r="C21125" i="1"/>
  <c r="C21124" i="1"/>
  <c r="C21123" i="1"/>
  <c r="C21122" i="1"/>
  <c r="C21121" i="1"/>
  <c r="C21120" i="1"/>
  <c r="C21119" i="1"/>
  <c r="C21118" i="1"/>
  <c r="C21117" i="1"/>
  <c r="C21116" i="1"/>
  <c r="C21115" i="1"/>
  <c r="C21114" i="1"/>
  <c r="C21113" i="1"/>
  <c r="C21112" i="1"/>
  <c r="C21111" i="1"/>
  <c r="C21110" i="1"/>
  <c r="C21109" i="1"/>
  <c r="C21108" i="1"/>
  <c r="C21107" i="1"/>
  <c r="C21106" i="1"/>
  <c r="C21105" i="1"/>
  <c r="C21104" i="1"/>
  <c r="C21103" i="1"/>
  <c r="C21102" i="1"/>
  <c r="C21101" i="1"/>
  <c r="C21100" i="1"/>
  <c r="C21099" i="1"/>
  <c r="C21098" i="1"/>
  <c r="C21097" i="1"/>
  <c r="C21096" i="1"/>
  <c r="C21095" i="1"/>
  <c r="C21094" i="1"/>
  <c r="C21093" i="1"/>
  <c r="C21092" i="1"/>
  <c r="C21091" i="1"/>
  <c r="C21090" i="1"/>
  <c r="C21089" i="1"/>
  <c r="C21088" i="1"/>
  <c r="C21087" i="1"/>
  <c r="C21086" i="1"/>
  <c r="C21085" i="1"/>
  <c r="C21084" i="1"/>
  <c r="C21083" i="1"/>
  <c r="C21082" i="1"/>
  <c r="C21081" i="1"/>
  <c r="C21080" i="1"/>
  <c r="C21079" i="1"/>
  <c r="C21078" i="1"/>
  <c r="C21077" i="1"/>
  <c r="C21076" i="1"/>
  <c r="C21075" i="1"/>
  <c r="C21074" i="1"/>
  <c r="C21073" i="1"/>
  <c r="C21072" i="1"/>
  <c r="C21071" i="1"/>
  <c r="C21070" i="1"/>
  <c r="C21069" i="1"/>
  <c r="C21068" i="1"/>
  <c r="C21067" i="1"/>
  <c r="C21066" i="1"/>
  <c r="C21065" i="1"/>
  <c r="C21064" i="1"/>
  <c r="C21063" i="1"/>
  <c r="C21062" i="1"/>
  <c r="C21061" i="1"/>
  <c r="C21060" i="1"/>
  <c r="C21059" i="1"/>
  <c r="C21058" i="1"/>
  <c r="C21057" i="1"/>
  <c r="C21056" i="1"/>
  <c r="C21055" i="1"/>
  <c r="C21054" i="1"/>
  <c r="C21053" i="1"/>
  <c r="C21052" i="1"/>
  <c r="C21051" i="1"/>
  <c r="C21050" i="1"/>
  <c r="C21049" i="1"/>
  <c r="C21048" i="1"/>
  <c r="C21047" i="1"/>
  <c r="C21046" i="1"/>
  <c r="C21045" i="1"/>
  <c r="C21044" i="1"/>
  <c r="C21043" i="1"/>
  <c r="C21042" i="1"/>
  <c r="C21041" i="1"/>
  <c r="C21040" i="1"/>
  <c r="C21039" i="1"/>
  <c r="C21038" i="1"/>
  <c r="C21037" i="1"/>
  <c r="C21036" i="1"/>
  <c r="C21035" i="1"/>
  <c r="C21034" i="1"/>
  <c r="C21033" i="1"/>
  <c r="C21032" i="1"/>
  <c r="C21031" i="1"/>
  <c r="C21030" i="1"/>
  <c r="C21029" i="1"/>
  <c r="C21028" i="1"/>
  <c r="C21027" i="1"/>
  <c r="C21026" i="1"/>
  <c r="C21025" i="1"/>
  <c r="C21024" i="1"/>
  <c r="C21023" i="1"/>
  <c r="C21022" i="1"/>
  <c r="C21021" i="1"/>
  <c r="C21020" i="1"/>
  <c r="C21019" i="1"/>
  <c r="C21018" i="1"/>
  <c r="C21017" i="1"/>
  <c r="C21016" i="1"/>
  <c r="C21015" i="1"/>
  <c r="C21014" i="1"/>
  <c r="C21013" i="1"/>
  <c r="C21012" i="1"/>
  <c r="C21011" i="1"/>
  <c r="C21010" i="1"/>
  <c r="C21009" i="1"/>
  <c r="C21008" i="1"/>
  <c r="C21007" i="1"/>
  <c r="C21006" i="1"/>
  <c r="C21005" i="1"/>
  <c r="C21004" i="1"/>
  <c r="C21003" i="1"/>
  <c r="C21002" i="1"/>
  <c r="C21001" i="1"/>
  <c r="C21000" i="1"/>
  <c r="C20999" i="1"/>
  <c r="C20998" i="1"/>
  <c r="C20997" i="1"/>
  <c r="C20996" i="1"/>
  <c r="C20995" i="1"/>
  <c r="C20994" i="1"/>
  <c r="C20993" i="1"/>
  <c r="C20992" i="1"/>
  <c r="C20991" i="1"/>
  <c r="C20990" i="1"/>
  <c r="C20989" i="1"/>
  <c r="C20988" i="1"/>
  <c r="C20987" i="1"/>
  <c r="C20986" i="1"/>
  <c r="C20985" i="1"/>
  <c r="C20984" i="1"/>
  <c r="C20983" i="1"/>
  <c r="C20982" i="1"/>
  <c r="C20981" i="1"/>
  <c r="C20980" i="1"/>
  <c r="C20979" i="1"/>
  <c r="C20978" i="1"/>
  <c r="C20977" i="1"/>
  <c r="C20976" i="1"/>
  <c r="C20975" i="1"/>
  <c r="C20974" i="1"/>
  <c r="C20973" i="1"/>
  <c r="C20972" i="1"/>
  <c r="C20971" i="1"/>
  <c r="C20970" i="1"/>
  <c r="C20969" i="1"/>
  <c r="C20968" i="1"/>
  <c r="C20967" i="1"/>
  <c r="C20966" i="1"/>
  <c r="C20965" i="1"/>
  <c r="C20964" i="1"/>
  <c r="C20963" i="1"/>
  <c r="C20962" i="1"/>
  <c r="C20961" i="1"/>
  <c r="C20960" i="1"/>
  <c r="C20959" i="1"/>
  <c r="C20958" i="1"/>
  <c r="C20957" i="1"/>
  <c r="C20956" i="1"/>
  <c r="C20955" i="1"/>
  <c r="C20954" i="1"/>
  <c r="C20953" i="1"/>
  <c r="C20952" i="1"/>
  <c r="C20951" i="1"/>
  <c r="C20950" i="1"/>
  <c r="C20949" i="1"/>
  <c r="C20948" i="1"/>
  <c r="C20947" i="1"/>
  <c r="C20946" i="1"/>
  <c r="C20945" i="1"/>
  <c r="C20944" i="1"/>
  <c r="C20943" i="1"/>
  <c r="C20942" i="1"/>
  <c r="C20941" i="1"/>
  <c r="C20940" i="1"/>
  <c r="C20939" i="1"/>
  <c r="C20938" i="1"/>
  <c r="C20937" i="1"/>
  <c r="C20936" i="1"/>
  <c r="C20935" i="1"/>
  <c r="C20934" i="1"/>
  <c r="C20933" i="1"/>
  <c r="C20932" i="1"/>
  <c r="C20931" i="1"/>
  <c r="C20930" i="1"/>
  <c r="C20929" i="1"/>
  <c r="C20928" i="1"/>
  <c r="C20927" i="1"/>
  <c r="C20926" i="1"/>
  <c r="C20925" i="1"/>
  <c r="C20924" i="1"/>
  <c r="C20923" i="1"/>
  <c r="C20922" i="1"/>
  <c r="C20921" i="1"/>
  <c r="C20920" i="1"/>
  <c r="C20919" i="1"/>
  <c r="C20918" i="1"/>
  <c r="C20917" i="1"/>
  <c r="C20916" i="1"/>
  <c r="C20915" i="1"/>
  <c r="C20914" i="1"/>
  <c r="C20913" i="1"/>
  <c r="C20912" i="1"/>
  <c r="C20911" i="1"/>
  <c r="C20910" i="1"/>
  <c r="C20909" i="1"/>
  <c r="C20908" i="1"/>
  <c r="C20907" i="1"/>
  <c r="C20906" i="1"/>
  <c r="C20905" i="1"/>
  <c r="C20904" i="1"/>
  <c r="C20903" i="1"/>
  <c r="C20902" i="1"/>
  <c r="C20901" i="1"/>
  <c r="C20900" i="1"/>
  <c r="C20899" i="1"/>
  <c r="C20898" i="1"/>
  <c r="C20897" i="1"/>
  <c r="C20896" i="1"/>
  <c r="C20895" i="1"/>
  <c r="C20894" i="1"/>
  <c r="C20893" i="1"/>
  <c r="C20892" i="1"/>
  <c r="C20891" i="1"/>
  <c r="C20890" i="1"/>
  <c r="C20889" i="1"/>
  <c r="C20888" i="1"/>
  <c r="C20887" i="1"/>
  <c r="C20886" i="1"/>
  <c r="C20885" i="1"/>
  <c r="C20884" i="1"/>
  <c r="C20883" i="1"/>
  <c r="C20882" i="1"/>
  <c r="C20881" i="1"/>
  <c r="C20880" i="1"/>
  <c r="C20879" i="1"/>
  <c r="C20878" i="1"/>
  <c r="C20877" i="1"/>
  <c r="C20876" i="1"/>
  <c r="C20875" i="1"/>
  <c r="C20874" i="1"/>
  <c r="C20873" i="1"/>
  <c r="C20872" i="1"/>
  <c r="C20871" i="1"/>
  <c r="C20870" i="1"/>
  <c r="C20869" i="1"/>
  <c r="C20868" i="1"/>
  <c r="C20867" i="1"/>
  <c r="C20866" i="1"/>
  <c r="C20865" i="1"/>
  <c r="C20864" i="1"/>
  <c r="C20863" i="1"/>
  <c r="C20862" i="1"/>
  <c r="C20861" i="1"/>
  <c r="C20860" i="1"/>
  <c r="C20859" i="1"/>
  <c r="C20858" i="1"/>
  <c r="C20857" i="1"/>
  <c r="C20856" i="1"/>
  <c r="C20855" i="1"/>
  <c r="C20854" i="1"/>
  <c r="C20853" i="1"/>
  <c r="C20852" i="1"/>
  <c r="C20851" i="1"/>
  <c r="C20850" i="1"/>
  <c r="C20849" i="1"/>
  <c r="C20848" i="1"/>
  <c r="C20847" i="1"/>
  <c r="C20846" i="1"/>
  <c r="C20845" i="1"/>
  <c r="C20844" i="1"/>
  <c r="C20843" i="1"/>
  <c r="C20842" i="1"/>
  <c r="C20841" i="1"/>
  <c r="C20840" i="1"/>
  <c r="C20839" i="1"/>
  <c r="C20838" i="1"/>
  <c r="C20837" i="1"/>
  <c r="C20836" i="1"/>
  <c r="C20835" i="1"/>
  <c r="C20834" i="1"/>
  <c r="C20833" i="1"/>
  <c r="C20832" i="1"/>
  <c r="C20831" i="1"/>
  <c r="C20830" i="1"/>
  <c r="C20829" i="1"/>
  <c r="C20828" i="1"/>
  <c r="C20827" i="1"/>
  <c r="C20826" i="1"/>
  <c r="C20825" i="1"/>
  <c r="C20824" i="1"/>
  <c r="C20823" i="1"/>
  <c r="C20822" i="1"/>
  <c r="C20821" i="1"/>
  <c r="C20820" i="1"/>
  <c r="C20819" i="1"/>
  <c r="C20818" i="1"/>
  <c r="C20817" i="1"/>
  <c r="C20816" i="1"/>
  <c r="C20815" i="1"/>
  <c r="C20814" i="1"/>
  <c r="C20813" i="1"/>
  <c r="C20812" i="1"/>
  <c r="C20811" i="1"/>
  <c r="C20810" i="1"/>
  <c r="C20809" i="1"/>
  <c r="C20808" i="1"/>
  <c r="C20807" i="1"/>
  <c r="C20806" i="1"/>
  <c r="C20805" i="1"/>
  <c r="C20804" i="1"/>
  <c r="C20803" i="1"/>
  <c r="C20802" i="1"/>
  <c r="C20801" i="1"/>
  <c r="C20800" i="1"/>
  <c r="C20799" i="1"/>
  <c r="C20798" i="1"/>
  <c r="C20797" i="1"/>
  <c r="C20796" i="1"/>
  <c r="C20795" i="1"/>
  <c r="C20794" i="1"/>
  <c r="C20793" i="1"/>
  <c r="C20792" i="1"/>
  <c r="C20791" i="1"/>
  <c r="C20790" i="1"/>
  <c r="C20789" i="1"/>
  <c r="C20788" i="1"/>
  <c r="C20787" i="1"/>
  <c r="C20786" i="1"/>
  <c r="C20785" i="1"/>
  <c r="C20784" i="1"/>
  <c r="C20783" i="1"/>
  <c r="C20782" i="1"/>
  <c r="C20781" i="1"/>
  <c r="C20780" i="1"/>
  <c r="C20779" i="1"/>
  <c r="C20778" i="1"/>
  <c r="C20777" i="1"/>
  <c r="C20776" i="1"/>
  <c r="C20775" i="1"/>
  <c r="C20774" i="1"/>
  <c r="C20773" i="1"/>
  <c r="C20772" i="1"/>
  <c r="C20771" i="1"/>
  <c r="C20770" i="1"/>
  <c r="C20769" i="1"/>
  <c r="C20768" i="1"/>
  <c r="C20767" i="1"/>
  <c r="C20766" i="1"/>
  <c r="C20765" i="1"/>
  <c r="C20764" i="1"/>
  <c r="C20763" i="1"/>
  <c r="C20762" i="1"/>
  <c r="C20761" i="1"/>
  <c r="C20760" i="1"/>
  <c r="C20759" i="1"/>
  <c r="C20758" i="1"/>
  <c r="C20757" i="1"/>
  <c r="C20756" i="1"/>
  <c r="C20755" i="1"/>
  <c r="C20754" i="1"/>
  <c r="C20753" i="1"/>
  <c r="C20752" i="1"/>
  <c r="C20751" i="1"/>
  <c r="C20750" i="1"/>
  <c r="C20749" i="1"/>
  <c r="C20748" i="1"/>
  <c r="C20747" i="1"/>
  <c r="C20746" i="1"/>
  <c r="C20745" i="1"/>
  <c r="C20744" i="1"/>
  <c r="C20743" i="1"/>
  <c r="C20742" i="1"/>
  <c r="C20741" i="1"/>
  <c r="C20740" i="1"/>
  <c r="C20739" i="1"/>
  <c r="C20738" i="1"/>
  <c r="C20737" i="1"/>
  <c r="C20736" i="1"/>
  <c r="C20735" i="1"/>
  <c r="C20734" i="1"/>
  <c r="C20733" i="1"/>
  <c r="C20732" i="1"/>
  <c r="C20731" i="1"/>
  <c r="C20730" i="1"/>
  <c r="C20729" i="1"/>
  <c r="C20728" i="1"/>
  <c r="C20727" i="1"/>
  <c r="C20726" i="1"/>
  <c r="C20725" i="1"/>
  <c r="C20724" i="1"/>
  <c r="C20723" i="1"/>
  <c r="C20722" i="1"/>
  <c r="C20721" i="1"/>
  <c r="C20720" i="1"/>
  <c r="C20719" i="1"/>
  <c r="C20718" i="1"/>
  <c r="C20717" i="1"/>
  <c r="C20716" i="1"/>
  <c r="C20715" i="1"/>
  <c r="C20714" i="1"/>
  <c r="C20713" i="1"/>
  <c r="C20712" i="1"/>
  <c r="C20711" i="1"/>
  <c r="C20710" i="1"/>
  <c r="C20709" i="1"/>
  <c r="C20708" i="1"/>
  <c r="C20707" i="1"/>
  <c r="C20706" i="1"/>
  <c r="C20705" i="1"/>
  <c r="C20704" i="1"/>
  <c r="C20703" i="1"/>
  <c r="C20702" i="1"/>
  <c r="C20701" i="1"/>
  <c r="C20700" i="1"/>
  <c r="C20699" i="1"/>
  <c r="C20698" i="1"/>
  <c r="C20697" i="1"/>
  <c r="C20696" i="1"/>
  <c r="C20695" i="1"/>
  <c r="C20694" i="1"/>
  <c r="C20693" i="1"/>
  <c r="C20692" i="1"/>
  <c r="C20691" i="1"/>
  <c r="C20690" i="1"/>
  <c r="C20689" i="1"/>
  <c r="C20688" i="1"/>
  <c r="C20687" i="1"/>
  <c r="C20686" i="1"/>
  <c r="C20685" i="1"/>
  <c r="C20684" i="1"/>
  <c r="C20683" i="1"/>
  <c r="C20682" i="1"/>
  <c r="C20681" i="1"/>
  <c r="C20680" i="1"/>
  <c r="C20679" i="1"/>
  <c r="C20678" i="1"/>
  <c r="C20677" i="1"/>
  <c r="C20676" i="1"/>
  <c r="C20675" i="1"/>
  <c r="C20674" i="1"/>
  <c r="C20673" i="1"/>
  <c r="C20672" i="1"/>
  <c r="C20671" i="1"/>
  <c r="C20670" i="1"/>
  <c r="C20669" i="1"/>
  <c r="C20668" i="1"/>
  <c r="C20667" i="1"/>
  <c r="C20666" i="1"/>
  <c r="C20665" i="1"/>
  <c r="C20664" i="1"/>
  <c r="C20663" i="1"/>
  <c r="C20662" i="1"/>
  <c r="C20661" i="1"/>
  <c r="C20660" i="1"/>
  <c r="C20659" i="1"/>
  <c r="C20658" i="1"/>
  <c r="C20657" i="1"/>
  <c r="C20656" i="1"/>
  <c r="C20655" i="1"/>
  <c r="C20654" i="1"/>
  <c r="C20653" i="1"/>
  <c r="C20652" i="1"/>
  <c r="C20651" i="1"/>
  <c r="C20650" i="1"/>
  <c r="C20649" i="1"/>
  <c r="C20648" i="1"/>
  <c r="C20647" i="1"/>
  <c r="C20646" i="1"/>
  <c r="C20645" i="1"/>
  <c r="C20644" i="1"/>
  <c r="C20643" i="1"/>
  <c r="C20642" i="1"/>
  <c r="C20641" i="1"/>
  <c r="C20640" i="1"/>
  <c r="C20639" i="1"/>
  <c r="C20638" i="1"/>
  <c r="C20637" i="1"/>
  <c r="C20636" i="1"/>
  <c r="C20635" i="1"/>
  <c r="C20634" i="1"/>
  <c r="C20633" i="1"/>
  <c r="C20632" i="1"/>
  <c r="C20631" i="1"/>
  <c r="C20630" i="1"/>
  <c r="C20629" i="1"/>
  <c r="C20628" i="1"/>
  <c r="C20627" i="1"/>
  <c r="C20626" i="1"/>
  <c r="C20625" i="1"/>
  <c r="C20624" i="1"/>
  <c r="C20623" i="1"/>
  <c r="C20622" i="1"/>
  <c r="C20621" i="1"/>
  <c r="C20620" i="1"/>
  <c r="C20619" i="1"/>
  <c r="C20618" i="1"/>
  <c r="C20617" i="1"/>
  <c r="C20616" i="1"/>
  <c r="C20615" i="1"/>
  <c r="C20614" i="1"/>
  <c r="C20613" i="1"/>
  <c r="C20612" i="1"/>
  <c r="C20611" i="1"/>
  <c r="C20610" i="1"/>
  <c r="C20609" i="1"/>
  <c r="C20608" i="1"/>
  <c r="C20607" i="1"/>
  <c r="C20606" i="1"/>
  <c r="C20605" i="1"/>
  <c r="C20604" i="1"/>
  <c r="C20603" i="1"/>
  <c r="C20602" i="1"/>
  <c r="C20601" i="1"/>
  <c r="C20600" i="1"/>
  <c r="C20599" i="1"/>
  <c r="C20598" i="1"/>
  <c r="C20597" i="1"/>
  <c r="C20596" i="1"/>
  <c r="C20595" i="1"/>
  <c r="C20594" i="1"/>
  <c r="C20593" i="1"/>
  <c r="C20592" i="1"/>
  <c r="C20591" i="1"/>
  <c r="C20590" i="1"/>
  <c r="C20589" i="1"/>
  <c r="C20588" i="1"/>
  <c r="C20587" i="1"/>
  <c r="C20586" i="1"/>
  <c r="C20585" i="1"/>
  <c r="C20584" i="1"/>
  <c r="C20583" i="1"/>
  <c r="C20582" i="1"/>
  <c r="C20581" i="1"/>
  <c r="C20580" i="1"/>
  <c r="C20579" i="1"/>
  <c r="C20578" i="1"/>
  <c r="C20577" i="1"/>
  <c r="C20576" i="1"/>
  <c r="C20575" i="1"/>
  <c r="C20574" i="1"/>
  <c r="C20573" i="1"/>
  <c r="C20572" i="1"/>
  <c r="C20571" i="1"/>
  <c r="C20570" i="1"/>
  <c r="C20569" i="1"/>
  <c r="C20568" i="1"/>
  <c r="C20567" i="1"/>
  <c r="C20566" i="1"/>
  <c r="C20565" i="1"/>
  <c r="C20564" i="1"/>
  <c r="C20563" i="1"/>
  <c r="C20562" i="1"/>
  <c r="C20561" i="1"/>
  <c r="C20560" i="1"/>
  <c r="C20559" i="1"/>
  <c r="C20558" i="1"/>
  <c r="C20557" i="1"/>
  <c r="C20556" i="1"/>
  <c r="C20555" i="1"/>
  <c r="C20554" i="1"/>
  <c r="C20553" i="1"/>
  <c r="C20552" i="1"/>
  <c r="C20551" i="1"/>
  <c r="C20550" i="1"/>
  <c r="C20549" i="1"/>
  <c r="C20548" i="1"/>
  <c r="C20547" i="1"/>
  <c r="C20546" i="1"/>
  <c r="C20545" i="1"/>
  <c r="C20544" i="1"/>
  <c r="C20543" i="1"/>
  <c r="C20542" i="1"/>
  <c r="C20541" i="1"/>
  <c r="C20540" i="1"/>
  <c r="C20539" i="1"/>
  <c r="C20538" i="1"/>
  <c r="C20537" i="1"/>
  <c r="C20536" i="1"/>
  <c r="C20535" i="1"/>
  <c r="C20534" i="1"/>
  <c r="C20533" i="1"/>
  <c r="C20532" i="1"/>
  <c r="C20531" i="1"/>
  <c r="C20530" i="1"/>
  <c r="C20529" i="1"/>
  <c r="C20528" i="1"/>
  <c r="C20527" i="1"/>
  <c r="C20526" i="1"/>
  <c r="C20525" i="1"/>
  <c r="C20524" i="1"/>
  <c r="C20523" i="1"/>
  <c r="C20522" i="1"/>
  <c r="C20521" i="1"/>
  <c r="C20520" i="1"/>
  <c r="C20519" i="1"/>
  <c r="C20518" i="1"/>
  <c r="C20517" i="1"/>
  <c r="C20516" i="1"/>
  <c r="C20515" i="1"/>
  <c r="C20514" i="1"/>
  <c r="C20513" i="1"/>
  <c r="C20512" i="1"/>
  <c r="C20511" i="1"/>
  <c r="C20510" i="1"/>
  <c r="C20509" i="1"/>
  <c r="C20508" i="1"/>
  <c r="C20507" i="1"/>
  <c r="C20506" i="1"/>
  <c r="C20505" i="1"/>
  <c r="C20504" i="1"/>
  <c r="C20503" i="1"/>
  <c r="C20502" i="1"/>
  <c r="C20501" i="1"/>
  <c r="C20500" i="1"/>
  <c r="C20499" i="1"/>
  <c r="C20498" i="1"/>
  <c r="C20497" i="1"/>
  <c r="C20496" i="1"/>
  <c r="C20495" i="1"/>
  <c r="C20494" i="1"/>
  <c r="C20493" i="1"/>
  <c r="C20492" i="1"/>
  <c r="C20491" i="1"/>
  <c r="C20490" i="1"/>
  <c r="C20489" i="1"/>
  <c r="C20488" i="1"/>
  <c r="C20487" i="1"/>
  <c r="C20486" i="1"/>
  <c r="C20485" i="1"/>
  <c r="C20484" i="1"/>
  <c r="C20483" i="1"/>
  <c r="C20482" i="1"/>
  <c r="C20481" i="1"/>
  <c r="C20480" i="1"/>
  <c r="C20479" i="1"/>
  <c r="C20478" i="1"/>
  <c r="C20477" i="1"/>
  <c r="C20476" i="1"/>
  <c r="C20475" i="1"/>
  <c r="C20474" i="1"/>
  <c r="C20473" i="1"/>
  <c r="C20472" i="1"/>
  <c r="C20471" i="1"/>
  <c r="C20470" i="1"/>
  <c r="C20469" i="1"/>
  <c r="C20468" i="1"/>
  <c r="C20467" i="1"/>
  <c r="C20466" i="1"/>
  <c r="C20465" i="1"/>
  <c r="C20464" i="1"/>
  <c r="C20463" i="1"/>
  <c r="C20462" i="1"/>
  <c r="C20461" i="1"/>
  <c r="C20460" i="1"/>
  <c r="C20459" i="1"/>
  <c r="C20458" i="1"/>
  <c r="C20457" i="1"/>
  <c r="C20456" i="1"/>
  <c r="C20455" i="1"/>
  <c r="C20454" i="1"/>
  <c r="C20453" i="1"/>
  <c r="C20452" i="1"/>
  <c r="C20451" i="1"/>
  <c r="C20450" i="1"/>
  <c r="C20449" i="1"/>
  <c r="C20448" i="1"/>
  <c r="C20447" i="1"/>
  <c r="C20446" i="1"/>
  <c r="C20445" i="1"/>
  <c r="C20444" i="1"/>
  <c r="C20443" i="1"/>
  <c r="C20442" i="1"/>
  <c r="C20441" i="1"/>
  <c r="C20440" i="1"/>
  <c r="C20439" i="1"/>
  <c r="C20438" i="1"/>
  <c r="C20437" i="1"/>
  <c r="C20436" i="1"/>
  <c r="C20435" i="1"/>
  <c r="C20434" i="1"/>
  <c r="C20433" i="1"/>
  <c r="C20432" i="1"/>
  <c r="C20431" i="1"/>
  <c r="C20430" i="1"/>
  <c r="C20429" i="1"/>
  <c r="C20428" i="1"/>
  <c r="C20427" i="1"/>
  <c r="C20426" i="1"/>
  <c r="C20425" i="1"/>
  <c r="C20424" i="1"/>
  <c r="C20423" i="1"/>
  <c r="C20422" i="1"/>
  <c r="C20421" i="1"/>
  <c r="C20420" i="1"/>
  <c r="C20419" i="1"/>
  <c r="C20418" i="1"/>
  <c r="C20417" i="1"/>
  <c r="C20416" i="1"/>
  <c r="C20415" i="1"/>
  <c r="C20414" i="1"/>
  <c r="C20413" i="1"/>
  <c r="C20412" i="1"/>
  <c r="C20411" i="1"/>
  <c r="C20410" i="1"/>
  <c r="C20409" i="1"/>
  <c r="C20408" i="1"/>
  <c r="C20407" i="1"/>
  <c r="C20406" i="1"/>
  <c r="C20405" i="1"/>
  <c r="C20404" i="1"/>
  <c r="C20403" i="1"/>
  <c r="C20402" i="1"/>
  <c r="C20401" i="1"/>
  <c r="C20400" i="1"/>
  <c r="C20399" i="1"/>
  <c r="C20398" i="1"/>
  <c r="C20397" i="1"/>
  <c r="C20396" i="1"/>
  <c r="C20395" i="1"/>
  <c r="C20394" i="1"/>
  <c r="C20393" i="1"/>
  <c r="C20392" i="1"/>
  <c r="C20391" i="1"/>
  <c r="C20390" i="1"/>
  <c r="C20389" i="1"/>
  <c r="C20388" i="1"/>
  <c r="C20387" i="1"/>
  <c r="C20386" i="1"/>
  <c r="C20385" i="1"/>
  <c r="C20384" i="1"/>
  <c r="C20383" i="1"/>
  <c r="C20382" i="1"/>
  <c r="C20381" i="1"/>
  <c r="C20380" i="1"/>
  <c r="C20379" i="1"/>
  <c r="C20378" i="1"/>
  <c r="C20377" i="1"/>
  <c r="C20376" i="1"/>
  <c r="C20375" i="1"/>
  <c r="C20374" i="1"/>
  <c r="C20373" i="1"/>
  <c r="C20372" i="1"/>
  <c r="C20371" i="1"/>
  <c r="C20370" i="1"/>
  <c r="C20369" i="1"/>
  <c r="C20368" i="1"/>
  <c r="C20367" i="1"/>
  <c r="C20366" i="1"/>
  <c r="C20365" i="1"/>
  <c r="C20364" i="1"/>
  <c r="C20363" i="1"/>
  <c r="C20362" i="1"/>
  <c r="C20361" i="1"/>
  <c r="C20360" i="1"/>
  <c r="C20359" i="1"/>
  <c r="C20358" i="1"/>
  <c r="C20357" i="1"/>
  <c r="C20356" i="1"/>
  <c r="C20355" i="1"/>
  <c r="C20354" i="1"/>
  <c r="C20353" i="1"/>
  <c r="C20352" i="1"/>
  <c r="C20351" i="1"/>
  <c r="C20350" i="1"/>
  <c r="C20349" i="1"/>
  <c r="C20348" i="1"/>
  <c r="C20347" i="1"/>
  <c r="C20346" i="1"/>
  <c r="C20345" i="1"/>
  <c r="C20344" i="1"/>
  <c r="C20343" i="1"/>
  <c r="C20342" i="1"/>
  <c r="C20341" i="1"/>
  <c r="C20340" i="1"/>
  <c r="C20339" i="1"/>
  <c r="C20338" i="1"/>
  <c r="C20337" i="1"/>
  <c r="C20336" i="1"/>
  <c r="C20335" i="1"/>
  <c r="C20334" i="1"/>
  <c r="C20333" i="1"/>
  <c r="C20332" i="1"/>
  <c r="C20331" i="1"/>
  <c r="C20330" i="1"/>
  <c r="C20329" i="1"/>
  <c r="C20328" i="1"/>
  <c r="C20327" i="1"/>
  <c r="C20326" i="1"/>
  <c r="C20325" i="1"/>
  <c r="C20324" i="1"/>
  <c r="C20323" i="1"/>
  <c r="C20322" i="1"/>
  <c r="C20321" i="1"/>
  <c r="C20320" i="1"/>
  <c r="C20319" i="1"/>
  <c r="C20318" i="1"/>
  <c r="C20317" i="1"/>
  <c r="C20316" i="1"/>
  <c r="C20315" i="1"/>
  <c r="C20314" i="1"/>
  <c r="C20313" i="1"/>
  <c r="C20312" i="1"/>
  <c r="C20311" i="1"/>
  <c r="C20310" i="1"/>
  <c r="C20309" i="1"/>
  <c r="C20308" i="1"/>
  <c r="C20307" i="1"/>
  <c r="C20306" i="1"/>
  <c r="C20305" i="1"/>
  <c r="C20304" i="1"/>
  <c r="C20303" i="1"/>
  <c r="C20302" i="1"/>
  <c r="C20301" i="1"/>
  <c r="C20300" i="1"/>
  <c r="C20299" i="1"/>
  <c r="C20298" i="1"/>
  <c r="C20297" i="1"/>
  <c r="C20296" i="1"/>
  <c r="C20295" i="1"/>
  <c r="C20294" i="1"/>
  <c r="C20293" i="1"/>
  <c r="C20292" i="1"/>
  <c r="C20291" i="1"/>
  <c r="C20290" i="1"/>
  <c r="C20289" i="1"/>
  <c r="C20288" i="1"/>
  <c r="C20287" i="1"/>
  <c r="C20286" i="1"/>
  <c r="C20285" i="1"/>
  <c r="C20284" i="1"/>
  <c r="C20283" i="1"/>
  <c r="C20282" i="1"/>
  <c r="C20281" i="1"/>
  <c r="C20280" i="1"/>
  <c r="C20279" i="1"/>
  <c r="C20278" i="1"/>
  <c r="C20277" i="1"/>
  <c r="C20276" i="1"/>
  <c r="C20275" i="1"/>
  <c r="C20274" i="1"/>
  <c r="C20273" i="1"/>
  <c r="C20272" i="1"/>
  <c r="C20271" i="1"/>
  <c r="C20270" i="1"/>
  <c r="C20269" i="1"/>
  <c r="C20268" i="1"/>
  <c r="C20267" i="1"/>
  <c r="C20266" i="1"/>
  <c r="C20265" i="1"/>
  <c r="C20264" i="1"/>
  <c r="C20263" i="1"/>
  <c r="C20262" i="1"/>
  <c r="C20261" i="1"/>
  <c r="C20260" i="1"/>
  <c r="C20259" i="1"/>
  <c r="C20258" i="1"/>
  <c r="C20257" i="1"/>
  <c r="C20256" i="1"/>
  <c r="C20255" i="1"/>
  <c r="C20254" i="1"/>
  <c r="C20253" i="1"/>
  <c r="C20252" i="1"/>
  <c r="C20251" i="1"/>
  <c r="C20250" i="1"/>
  <c r="C20249" i="1"/>
  <c r="C20248" i="1"/>
  <c r="C20247" i="1"/>
  <c r="C20246" i="1"/>
  <c r="C20245" i="1"/>
  <c r="C20244" i="1"/>
  <c r="C20243" i="1"/>
  <c r="C20242" i="1"/>
  <c r="C20241" i="1"/>
  <c r="C20240" i="1"/>
  <c r="C20239" i="1"/>
  <c r="C20238" i="1"/>
  <c r="C20237" i="1"/>
  <c r="C20236" i="1"/>
  <c r="C20235" i="1"/>
  <c r="C20234" i="1"/>
  <c r="C20233" i="1"/>
  <c r="C20232" i="1"/>
  <c r="C20231" i="1"/>
  <c r="C20230" i="1"/>
  <c r="C20229" i="1"/>
  <c r="C20228" i="1"/>
  <c r="C20227" i="1"/>
  <c r="C20226" i="1"/>
  <c r="C20225" i="1"/>
  <c r="C20224" i="1"/>
  <c r="C20223" i="1"/>
  <c r="C20222" i="1"/>
  <c r="C20221" i="1"/>
  <c r="C20220" i="1"/>
  <c r="C20219" i="1"/>
  <c r="C20218" i="1"/>
  <c r="C20217" i="1"/>
  <c r="C20216" i="1"/>
  <c r="C20215" i="1"/>
  <c r="C20214" i="1"/>
  <c r="C20213" i="1"/>
  <c r="C20212" i="1"/>
  <c r="C20211" i="1"/>
  <c r="C20210" i="1"/>
  <c r="C20209" i="1"/>
  <c r="C20208" i="1"/>
  <c r="C20207" i="1"/>
  <c r="C20206" i="1"/>
  <c r="C20205" i="1"/>
  <c r="C20204" i="1"/>
  <c r="C20203" i="1"/>
  <c r="C20202" i="1"/>
  <c r="C20201" i="1"/>
  <c r="C20200" i="1"/>
  <c r="C20199" i="1"/>
  <c r="C20198" i="1"/>
  <c r="C20197" i="1"/>
  <c r="C20196" i="1"/>
  <c r="C20195" i="1"/>
  <c r="C20194" i="1"/>
  <c r="C20193" i="1"/>
  <c r="C20192" i="1"/>
  <c r="C20191" i="1"/>
  <c r="C20190" i="1"/>
  <c r="C20189" i="1"/>
  <c r="C20188" i="1"/>
  <c r="C20187" i="1"/>
  <c r="C20186" i="1"/>
  <c r="C20185" i="1"/>
  <c r="C20184" i="1"/>
  <c r="C20183" i="1"/>
  <c r="C20182" i="1"/>
  <c r="C20181" i="1"/>
  <c r="C20180" i="1"/>
  <c r="C20179" i="1"/>
  <c r="C20178" i="1"/>
  <c r="C20177" i="1"/>
  <c r="C20176" i="1"/>
  <c r="C20175" i="1"/>
  <c r="C20174" i="1"/>
  <c r="C20173" i="1"/>
  <c r="C20172" i="1"/>
  <c r="C20171" i="1"/>
  <c r="C20170" i="1"/>
  <c r="C20169" i="1"/>
  <c r="C20168" i="1"/>
  <c r="C20167" i="1"/>
  <c r="C20166" i="1"/>
  <c r="C20165" i="1"/>
  <c r="C20164" i="1"/>
  <c r="C20163" i="1"/>
  <c r="C20162" i="1"/>
  <c r="C20161" i="1"/>
  <c r="C20160" i="1"/>
  <c r="C20159" i="1"/>
  <c r="C20158" i="1"/>
  <c r="C20157" i="1"/>
  <c r="C20156" i="1"/>
  <c r="C20155" i="1"/>
  <c r="C20154" i="1"/>
  <c r="C20153" i="1"/>
  <c r="C20152" i="1"/>
  <c r="C20151" i="1"/>
  <c r="C20150" i="1"/>
  <c r="C20149" i="1"/>
  <c r="C20148" i="1"/>
  <c r="C20147" i="1"/>
  <c r="C20146" i="1"/>
  <c r="C20145" i="1"/>
  <c r="C20144" i="1"/>
  <c r="C20143" i="1"/>
  <c r="C20142" i="1"/>
  <c r="C20141" i="1"/>
  <c r="C20140" i="1"/>
  <c r="C20139" i="1"/>
  <c r="C20138" i="1"/>
  <c r="C20137" i="1"/>
  <c r="C20136" i="1"/>
  <c r="C20135" i="1"/>
  <c r="C20134" i="1"/>
  <c r="C20133" i="1"/>
  <c r="C20132" i="1"/>
  <c r="C20131" i="1"/>
  <c r="C20130" i="1"/>
  <c r="C20129" i="1"/>
  <c r="C20128" i="1"/>
  <c r="C20127" i="1"/>
  <c r="C20126" i="1"/>
  <c r="C20125" i="1"/>
  <c r="C20124" i="1"/>
  <c r="C20123" i="1"/>
  <c r="C20122" i="1"/>
  <c r="C20121" i="1"/>
  <c r="C20120" i="1"/>
  <c r="C20119" i="1"/>
  <c r="C20118" i="1"/>
  <c r="C20117" i="1"/>
  <c r="C20116" i="1"/>
  <c r="C20115" i="1"/>
  <c r="C20114" i="1"/>
  <c r="C20113" i="1"/>
  <c r="C20112" i="1"/>
  <c r="C20111" i="1"/>
  <c r="C20110" i="1"/>
  <c r="C20109" i="1"/>
  <c r="C20108" i="1"/>
  <c r="C20107" i="1"/>
  <c r="C20106" i="1"/>
  <c r="C20105" i="1"/>
  <c r="C20104" i="1"/>
  <c r="C20103" i="1"/>
  <c r="C20102" i="1"/>
  <c r="C20101" i="1"/>
  <c r="C20100" i="1"/>
  <c r="C20099" i="1"/>
  <c r="C20098" i="1"/>
  <c r="C20097" i="1"/>
  <c r="C20096" i="1"/>
  <c r="C20095" i="1"/>
  <c r="C20094" i="1"/>
  <c r="C20093" i="1"/>
  <c r="C20092" i="1"/>
  <c r="C20091" i="1"/>
  <c r="C20090" i="1"/>
  <c r="C20089" i="1"/>
  <c r="C20088" i="1"/>
  <c r="C20087" i="1"/>
  <c r="C20086" i="1"/>
  <c r="C20085" i="1"/>
  <c r="C20084" i="1"/>
  <c r="C20083" i="1"/>
  <c r="C20082" i="1"/>
  <c r="C20081" i="1"/>
  <c r="C20080" i="1"/>
  <c r="C20079" i="1"/>
  <c r="C20078" i="1"/>
  <c r="C20077" i="1"/>
  <c r="C20076" i="1"/>
  <c r="C20075" i="1"/>
  <c r="C20074" i="1"/>
  <c r="C20073" i="1"/>
  <c r="C20072" i="1"/>
  <c r="C20071" i="1"/>
  <c r="C20070" i="1"/>
  <c r="C20069" i="1"/>
  <c r="C20068" i="1"/>
  <c r="C20067" i="1"/>
  <c r="C20066" i="1"/>
  <c r="C20065" i="1"/>
  <c r="C20064" i="1"/>
  <c r="C20063" i="1"/>
  <c r="C20062" i="1"/>
  <c r="C20061" i="1"/>
  <c r="C20060" i="1"/>
  <c r="C20059" i="1"/>
  <c r="C20058" i="1"/>
  <c r="C20057" i="1"/>
  <c r="C20056" i="1"/>
  <c r="C20055" i="1"/>
  <c r="C20054" i="1"/>
  <c r="C20053" i="1"/>
  <c r="C20052" i="1"/>
  <c r="C20051" i="1"/>
  <c r="C20050" i="1"/>
  <c r="C20049" i="1"/>
  <c r="C20048" i="1"/>
  <c r="C20047" i="1"/>
  <c r="C20046" i="1"/>
  <c r="C20045" i="1"/>
  <c r="C20044" i="1"/>
  <c r="C20043" i="1"/>
  <c r="C20042" i="1"/>
  <c r="C20041" i="1"/>
  <c r="C20040" i="1"/>
  <c r="C20039" i="1"/>
  <c r="C20038" i="1"/>
  <c r="C20037" i="1"/>
  <c r="C20036" i="1"/>
  <c r="C20035" i="1"/>
  <c r="C20034" i="1"/>
  <c r="C20033" i="1"/>
  <c r="C20032" i="1"/>
  <c r="C20031" i="1"/>
  <c r="C20030" i="1"/>
  <c r="C20029" i="1"/>
  <c r="C20028" i="1"/>
  <c r="C20027" i="1"/>
  <c r="C20026" i="1"/>
  <c r="C20025" i="1"/>
  <c r="C20024" i="1"/>
  <c r="C20023" i="1"/>
  <c r="C20022" i="1"/>
  <c r="C20021" i="1"/>
  <c r="C20020" i="1"/>
  <c r="C20019" i="1"/>
  <c r="C20018" i="1"/>
  <c r="C20017" i="1"/>
  <c r="C20016" i="1"/>
  <c r="C20015" i="1"/>
  <c r="C20014" i="1"/>
  <c r="C20013" i="1"/>
  <c r="C20012" i="1"/>
  <c r="C20011" i="1"/>
  <c r="C20010" i="1"/>
  <c r="C20009" i="1"/>
  <c r="C20008" i="1"/>
  <c r="C20007" i="1"/>
  <c r="C20006" i="1"/>
  <c r="C20005" i="1"/>
  <c r="C20004" i="1"/>
  <c r="C20003" i="1"/>
  <c r="C20002" i="1"/>
  <c r="C20001" i="1"/>
  <c r="C20000" i="1"/>
  <c r="C19999" i="1"/>
  <c r="C19998" i="1"/>
  <c r="C19997" i="1"/>
  <c r="C19996" i="1"/>
  <c r="C19995" i="1"/>
  <c r="C19994" i="1"/>
  <c r="C19993" i="1"/>
  <c r="C19992" i="1"/>
  <c r="C19991" i="1"/>
  <c r="C19990" i="1"/>
  <c r="C19989" i="1"/>
  <c r="C19988" i="1"/>
  <c r="C19987" i="1"/>
  <c r="C19986" i="1"/>
  <c r="C19985" i="1"/>
  <c r="C19984" i="1"/>
  <c r="C19983" i="1"/>
  <c r="C19982" i="1"/>
  <c r="C19981" i="1"/>
  <c r="C19980" i="1"/>
  <c r="C19979" i="1"/>
  <c r="C19978" i="1"/>
  <c r="C19977" i="1"/>
  <c r="C19976" i="1"/>
  <c r="C19975" i="1"/>
  <c r="C19974" i="1"/>
  <c r="C19973" i="1"/>
  <c r="C19972" i="1"/>
  <c r="C19971" i="1"/>
  <c r="C19970" i="1"/>
  <c r="C19969" i="1"/>
  <c r="C19968" i="1"/>
  <c r="C19967" i="1"/>
  <c r="C19966" i="1"/>
  <c r="C19965" i="1"/>
  <c r="C19964" i="1"/>
  <c r="C19963" i="1"/>
  <c r="C19962" i="1"/>
  <c r="C19961" i="1"/>
  <c r="C19960" i="1"/>
  <c r="C19959" i="1"/>
  <c r="C19958" i="1"/>
  <c r="C19957" i="1"/>
  <c r="C19956" i="1"/>
  <c r="C19955" i="1"/>
  <c r="C19954" i="1"/>
  <c r="C19953" i="1"/>
  <c r="C19952" i="1"/>
  <c r="C19951" i="1"/>
  <c r="C19950" i="1"/>
  <c r="C19949" i="1"/>
  <c r="C19948" i="1"/>
  <c r="C19947" i="1"/>
  <c r="C19946" i="1"/>
  <c r="C19945" i="1"/>
  <c r="C19944" i="1"/>
  <c r="C19943" i="1"/>
  <c r="C19942" i="1"/>
  <c r="C19941" i="1"/>
  <c r="C19940" i="1"/>
  <c r="C19939" i="1"/>
  <c r="C19938" i="1"/>
  <c r="C19937" i="1"/>
  <c r="C19936" i="1"/>
  <c r="C19935" i="1"/>
  <c r="C19934" i="1"/>
  <c r="C19933" i="1"/>
  <c r="C19932" i="1"/>
  <c r="C19931" i="1"/>
  <c r="C19930" i="1"/>
  <c r="C19929" i="1"/>
  <c r="C19928" i="1"/>
  <c r="C19927" i="1"/>
  <c r="C19926" i="1"/>
  <c r="C19925" i="1"/>
  <c r="C19924" i="1"/>
  <c r="C19923" i="1"/>
  <c r="C19922" i="1"/>
  <c r="C19921" i="1"/>
  <c r="C19920" i="1"/>
  <c r="C19919" i="1"/>
  <c r="C19918" i="1"/>
  <c r="C19917" i="1"/>
  <c r="C19916" i="1"/>
  <c r="C19915" i="1"/>
  <c r="C19914" i="1"/>
  <c r="C19913" i="1"/>
  <c r="C19912" i="1"/>
  <c r="C19911" i="1"/>
  <c r="C19910" i="1"/>
  <c r="C19909" i="1"/>
  <c r="C19908" i="1"/>
  <c r="C19907" i="1"/>
  <c r="C19906" i="1"/>
  <c r="C19905" i="1"/>
  <c r="C19904" i="1"/>
  <c r="C19903" i="1"/>
  <c r="C19902" i="1"/>
  <c r="C19901" i="1"/>
  <c r="C19900" i="1"/>
  <c r="C19899" i="1"/>
  <c r="C19898" i="1"/>
  <c r="C19897" i="1"/>
  <c r="C19896" i="1"/>
  <c r="C19895" i="1"/>
  <c r="C19894" i="1"/>
  <c r="C19893" i="1"/>
  <c r="C19892" i="1"/>
  <c r="C19891" i="1"/>
  <c r="C19890" i="1"/>
  <c r="C19889" i="1"/>
  <c r="C19888" i="1"/>
  <c r="C19887" i="1"/>
  <c r="C19886" i="1"/>
  <c r="C19885" i="1"/>
  <c r="C19884" i="1"/>
  <c r="C19883" i="1"/>
  <c r="C19882" i="1"/>
  <c r="C19881" i="1"/>
  <c r="C19880" i="1"/>
  <c r="C19879" i="1"/>
  <c r="C19878" i="1"/>
  <c r="C19877" i="1"/>
  <c r="C19876" i="1"/>
  <c r="C19875" i="1"/>
  <c r="C19874" i="1"/>
  <c r="C19873" i="1"/>
  <c r="C19872" i="1"/>
  <c r="C19871" i="1"/>
  <c r="C19870" i="1"/>
  <c r="C19869" i="1"/>
  <c r="C19868" i="1"/>
  <c r="C19867" i="1"/>
  <c r="C19866" i="1"/>
  <c r="C19865" i="1"/>
  <c r="C19864" i="1"/>
  <c r="C19863" i="1"/>
  <c r="C19862" i="1"/>
  <c r="C19861" i="1"/>
  <c r="C19860" i="1"/>
  <c r="C19859" i="1"/>
  <c r="C19858" i="1"/>
  <c r="C19857" i="1"/>
  <c r="C19856" i="1"/>
  <c r="C19855" i="1"/>
  <c r="C19854" i="1"/>
  <c r="C19853" i="1"/>
  <c r="C19852" i="1"/>
  <c r="C19851" i="1"/>
  <c r="C19850" i="1"/>
  <c r="C19849" i="1"/>
  <c r="C19848" i="1"/>
  <c r="C19847" i="1"/>
  <c r="C19846" i="1"/>
  <c r="C19845" i="1"/>
  <c r="C19844" i="1"/>
  <c r="C19843" i="1"/>
  <c r="C19842" i="1"/>
  <c r="C19841" i="1"/>
  <c r="C19840" i="1"/>
  <c r="C19839" i="1"/>
  <c r="C19838" i="1"/>
  <c r="C19837" i="1"/>
  <c r="C19836" i="1"/>
  <c r="C19835" i="1"/>
  <c r="C19834" i="1"/>
  <c r="C19833" i="1"/>
  <c r="C19832" i="1"/>
  <c r="C19831" i="1"/>
  <c r="C19830" i="1"/>
  <c r="C19829" i="1"/>
  <c r="C19828" i="1"/>
  <c r="C19827" i="1"/>
  <c r="C19826" i="1"/>
  <c r="C19825" i="1"/>
  <c r="C19824" i="1"/>
  <c r="C19823" i="1"/>
  <c r="C19822" i="1"/>
  <c r="C19821" i="1"/>
  <c r="C19820" i="1"/>
  <c r="C19819" i="1"/>
  <c r="C19818" i="1"/>
  <c r="C19817" i="1"/>
  <c r="C19816" i="1"/>
  <c r="C19815" i="1"/>
  <c r="C19814" i="1"/>
  <c r="C19813" i="1"/>
  <c r="C19812" i="1"/>
  <c r="C19811" i="1"/>
  <c r="C19810" i="1"/>
  <c r="C19809" i="1"/>
  <c r="C19808" i="1"/>
  <c r="C19807" i="1"/>
  <c r="C19806" i="1"/>
  <c r="C19805" i="1"/>
  <c r="C19804" i="1"/>
  <c r="C19803" i="1"/>
  <c r="C19802" i="1"/>
  <c r="C19801" i="1"/>
  <c r="C19800" i="1"/>
  <c r="C19799" i="1"/>
  <c r="C19798" i="1"/>
  <c r="C19797" i="1"/>
  <c r="C19796" i="1"/>
  <c r="C19795" i="1"/>
  <c r="C19794" i="1"/>
  <c r="C19793" i="1"/>
  <c r="C19792" i="1"/>
  <c r="C19791" i="1"/>
  <c r="C19790" i="1"/>
  <c r="C19789" i="1"/>
  <c r="C19788" i="1"/>
  <c r="C19787" i="1"/>
  <c r="C19786" i="1"/>
  <c r="C19785" i="1"/>
  <c r="C19784" i="1"/>
  <c r="C19783" i="1"/>
  <c r="C19782" i="1"/>
  <c r="C19781" i="1"/>
  <c r="C19780" i="1"/>
  <c r="C19779" i="1"/>
  <c r="C19778" i="1"/>
  <c r="C19777" i="1"/>
  <c r="C19776" i="1"/>
  <c r="C19775" i="1"/>
  <c r="C19774" i="1"/>
  <c r="C19773" i="1"/>
  <c r="C19772" i="1"/>
  <c r="C19771" i="1"/>
  <c r="C19770" i="1"/>
  <c r="C19769" i="1"/>
  <c r="C19768" i="1"/>
  <c r="C19767" i="1"/>
  <c r="C19766" i="1"/>
  <c r="C19765" i="1"/>
  <c r="C19764" i="1"/>
  <c r="C19763" i="1"/>
  <c r="C19762" i="1"/>
  <c r="C19761" i="1"/>
  <c r="C19760" i="1"/>
  <c r="C19759" i="1"/>
  <c r="C19758" i="1"/>
  <c r="C19757" i="1"/>
  <c r="C19756" i="1"/>
  <c r="C19755" i="1"/>
  <c r="C19754" i="1"/>
  <c r="C19753" i="1"/>
  <c r="C19752" i="1"/>
  <c r="C19751" i="1"/>
  <c r="C19750" i="1"/>
  <c r="C19749" i="1"/>
  <c r="C19748" i="1"/>
  <c r="C19747" i="1"/>
  <c r="C19746" i="1"/>
  <c r="C19745" i="1"/>
  <c r="C19744" i="1"/>
  <c r="C19743" i="1"/>
  <c r="C19742" i="1"/>
  <c r="C19741" i="1"/>
  <c r="C19740" i="1"/>
  <c r="C19739" i="1"/>
  <c r="C19738" i="1"/>
  <c r="C19737" i="1"/>
  <c r="C19736" i="1"/>
  <c r="C19735" i="1"/>
  <c r="C19734" i="1"/>
  <c r="C19733" i="1"/>
  <c r="C19732" i="1"/>
  <c r="C19731" i="1"/>
  <c r="C19730" i="1"/>
  <c r="C19729" i="1"/>
  <c r="C19728" i="1"/>
  <c r="C19727" i="1"/>
  <c r="C19726" i="1"/>
  <c r="C19725" i="1"/>
  <c r="C19724" i="1"/>
  <c r="C19723" i="1"/>
  <c r="C19722" i="1"/>
  <c r="C19721" i="1"/>
  <c r="C19720" i="1"/>
  <c r="C19719" i="1"/>
  <c r="C19718" i="1"/>
  <c r="C19717" i="1"/>
  <c r="C19716" i="1"/>
  <c r="C19715" i="1"/>
  <c r="C19714" i="1"/>
  <c r="C19713" i="1"/>
  <c r="C19712" i="1"/>
  <c r="C19711" i="1"/>
  <c r="C19710" i="1"/>
  <c r="C19709" i="1"/>
  <c r="C19708" i="1"/>
  <c r="C19707" i="1"/>
  <c r="C19706" i="1"/>
  <c r="C19705" i="1"/>
  <c r="C19704" i="1"/>
  <c r="C19703" i="1"/>
  <c r="C19702" i="1"/>
  <c r="C19701" i="1"/>
  <c r="C19700" i="1"/>
  <c r="C19699" i="1"/>
  <c r="C19698" i="1"/>
  <c r="C19697" i="1"/>
  <c r="C19696" i="1"/>
  <c r="C19695" i="1"/>
  <c r="C19694" i="1"/>
  <c r="C19693" i="1"/>
  <c r="C19692" i="1"/>
  <c r="C19691" i="1"/>
  <c r="C19690" i="1"/>
  <c r="C19689" i="1"/>
  <c r="C19688" i="1"/>
  <c r="C19687" i="1"/>
  <c r="C19686" i="1"/>
  <c r="C19685" i="1"/>
  <c r="C19684" i="1"/>
  <c r="C19683" i="1"/>
  <c r="C19682" i="1"/>
  <c r="C19681" i="1"/>
  <c r="C19680" i="1"/>
  <c r="C19679" i="1"/>
  <c r="C19678" i="1"/>
  <c r="C19677" i="1"/>
  <c r="C19676" i="1"/>
  <c r="C19675" i="1"/>
  <c r="C19674" i="1"/>
  <c r="C19673" i="1"/>
  <c r="C19672" i="1"/>
  <c r="C19671" i="1"/>
  <c r="C19670" i="1"/>
  <c r="C19669" i="1"/>
  <c r="C19668" i="1"/>
  <c r="C19667" i="1"/>
  <c r="C19666" i="1"/>
  <c r="C19665" i="1"/>
  <c r="C19664" i="1"/>
  <c r="C19663" i="1"/>
  <c r="C19662" i="1"/>
  <c r="C19661" i="1"/>
  <c r="C19660" i="1"/>
  <c r="C19659" i="1"/>
  <c r="C19658" i="1"/>
  <c r="C19657" i="1"/>
  <c r="C19656" i="1"/>
  <c r="C19655" i="1"/>
  <c r="C19654" i="1"/>
  <c r="C19653" i="1"/>
  <c r="C19652" i="1"/>
  <c r="C19651" i="1"/>
  <c r="C19650" i="1"/>
  <c r="C19649" i="1"/>
  <c r="C19648" i="1"/>
  <c r="C19647" i="1"/>
  <c r="C19646" i="1"/>
  <c r="C19645" i="1"/>
  <c r="C19644" i="1"/>
  <c r="C19643" i="1"/>
  <c r="C19642" i="1"/>
  <c r="C19641" i="1"/>
  <c r="C19640" i="1"/>
  <c r="C19639" i="1"/>
  <c r="C19638" i="1"/>
  <c r="C19637" i="1"/>
  <c r="C19636" i="1"/>
  <c r="C19635" i="1"/>
  <c r="C19634" i="1"/>
  <c r="C19633" i="1"/>
  <c r="C19632" i="1"/>
  <c r="C19631" i="1"/>
  <c r="C19630" i="1"/>
  <c r="C19629" i="1"/>
  <c r="C19628" i="1"/>
  <c r="C19627" i="1"/>
  <c r="C19626" i="1"/>
  <c r="C19625" i="1"/>
  <c r="C19624" i="1"/>
  <c r="C19623" i="1"/>
  <c r="C19622" i="1"/>
  <c r="C19621" i="1"/>
  <c r="C19620" i="1"/>
  <c r="C19619" i="1"/>
  <c r="C19618" i="1"/>
  <c r="C19617" i="1"/>
  <c r="C19616" i="1"/>
  <c r="C19615" i="1"/>
  <c r="C19614" i="1"/>
  <c r="C19613" i="1"/>
  <c r="C19612" i="1"/>
  <c r="C19611" i="1"/>
  <c r="C19610" i="1"/>
  <c r="C19609" i="1"/>
  <c r="C19608" i="1"/>
  <c r="C19607" i="1"/>
  <c r="C19606" i="1"/>
  <c r="C19605" i="1"/>
  <c r="C19604" i="1"/>
  <c r="C19603" i="1"/>
  <c r="C19602" i="1"/>
  <c r="C19601" i="1"/>
  <c r="C19600" i="1"/>
  <c r="C19599" i="1"/>
  <c r="C19598" i="1"/>
  <c r="C19597" i="1"/>
  <c r="C19596" i="1"/>
  <c r="C19595" i="1"/>
  <c r="C19594" i="1"/>
  <c r="C19593" i="1"/>
  <c r="C19592" i="1"/>
  <c r="C19591" i="1"/>
  <c r="C19590" i="1"/>
  <c r="C19589" i="1"/>
  <c r="C19588" i="1"/>
  <c r="C19587" i="1"/>
  <c r="C19586" i="1"/>
  <c r="C19585" i="1"/>
  <c r="C19584" i="1"/>
  <c r="C19583" i="1"/>
  <c r="C19582" i="1"/>
  <c r="C19581" i="1"/>
  <c r="C19580" i="1"/>
  <c r="C19579" i="1"/>
  <c r="C19578" i="1"/>
  <c r="C19577" i="1"/>
  <c r="C19576" i="1"/>
  <c r="C19575" i="1"/>
  <c r="C19574" i="1"/>
  <c r="C19573" i="1"/>
  <c r="C19572" i="1"/>
  <c r="C19571" i="1"/>
  <c r="C19570" i="1"/>
  <c r="C19569" i="1"/>
  <c r="C19568" i="1"/>
  <c r="C19567" i="1"/>
  <c r="C19566" i="1"/>
  <c r="C19565" i="1"/>
  <c r="C19564" i="1"/>
  <c r="C19563" i="1"/>
  <c r="C19562" i="1"/>
  <c r="C19561" i="1"/>
  <c r="C19560" i="1"/>
  <c r="C19559" i="1"/>
  <c r="C19558" i="1"/>
  <c r="C19557" i="1"/>
  <c r="C19556" i="1"/>
  <c r="C19555" i="1"/>
  <c r="C19554" i="1"/>
  <c r="C19553" i="1"/>
  <c r="C19552" i="1"/>
  <c r="C19551" i="1"/>
  <c r="C19550" i="1"/>
  <c r="C19549" i="1"/>
  <c r="C19548" i="1"/>
  <c r="C19547" i="1"/>
  <c r="C19546" i="1"/>
  <c r="C19545" i="1"/>
  <c r="C19544" i="1"/>
  <c r="C19543" i="1"/>
  <c r="C19542" i="1"/>
  <c r="C19541" i="1"/>
  <c r="C19540" i="1"/>
  <c r="C19539" i="1"/>
  <c r="C19538" i="1"/>
  <c r="C19537" i="1"/>
  <c r="C19536" i="1"/>
  <c r="C19535" i="1"/>
  <c r="C19534" i="1"/>
  <c r="C19533" i="1"/>
  <c r="C19532" i="1"/>
  <c r="C19531" i="1"/>
  <c r="C19530" i="1"/>
  <c r="C19529" i="1"/>
  <c r="C19528" i="1"/>
  <c r="C19527" i="1"/>
  <c r="C19526" i="1"/>
  <c r="C19525" i="1"/>
  <c r="C19524" i="1"/>
  <c r="C19523" i="1"/>
  <c r="C19522" i="1"/>
  <c r="C19521" i="1"/>
  <c r="C19520" i="1"/>
  <c r="C19519" i="1"/>
  <c r="C19518" i="1"/>
  <c r="C19517" i="1"/>
  <c r="C19516" i="1"/>
  <c r="C19515" i="1"/>
  <c r="C19514" i="1"/>
  <c r="C19513" i="1"/>
  <c r="C19512" i="1"/>
  <c r="C19511" i="1"/>
  <c r="C19510" i="1"/>
  <c r="C19509" i="1"/>
  <c r="C19508" i="1"/>
  <c r="C19507" i="1"/>
  <c r="C19506" i="1"/>
  <c r="C19505" i="1"/>
  <c r="C19504" i="1"/>
  <c r="C19503" i="1"/>
  <c r="C19502" i="1"/>
  <c r="C19501" i="1"/>
  <c r="C19500" i="1"/>
  <c r="C19499" i="1"/>
  <c r="C19498" i="1"/>
  <c r="C19497" i="1"/>
  <c r="C19496" i="1"/>
  <c r="C19495" i="1"/>
  <c r="C19494" i="1"/>
  <c r="C19493" i="1"/>
  <c r="C19492" i="1"/>
  <c r="C19491" i="1"/>
  <c r="C19490" i="1"/>
  <c r="C19489" i="1"/>
  <c r="C19488" i="1"/>
  <c r="C19487" i="1"/>
  <c r="C19486" i="1"/>
  <c r="C19485" i="1"/>
  <c r="C19484" i="1"/>
  <c r="C19483" i="1"/>
  <c r="C19482" i="1"/>
  <c r="C19481" i="1"/>
  <c r="C19480" i="1"/>
  <c r="C19479" i="1"/>
  <c r="C19478" i="1"/>
  <c r="C19477" i="1"/>
  <c r="C19476" i="1"/>
  <c r="C19475" i="1"/>
  <c r="C19474" i="1"/>
  <c r="C19473" i="1"/>
  <c r="C19472" i="1"/>
  <c r="C19471" i="1"/>
  <c r="C19470" i="1"/>
  <c r="C19469" i="1"/>
  <c r="C19468" i="1"/>
  <c r="C19467" i="1"/>
  <c r="C19466" i="1"/>
  <c r="C19465" i="1"/>
  <c r="C19464" i="1"/>
  <c r="C19463" i="1"/>
  <c r="C19462" i="1"/>
  <c r="C19461" i="1"/>
  <c r="C19460" i="1"/>
  <c r="C19459" i="1"/>
  <c r="C19458" i="1"/>
  <c r="C19457" i="1"/>
  <c r="C19456" i="1"/>
  <c r="C19455" i="1"/>
  <c r="C19454" i="1"/>
  <c r="C19453" i="1"/>
  <c r="C19452" i="1"/>
  <c r="C19451" i="1"/>
  <c r="C19450" i="1"/>
  <c r="C19449" i="1"/>
  <c r="C19448" i="1"/>
  <c r="C19447" i="1"/>
  <c r="C19446" i="1"/>
  <c r="C19445" i="1"/>
  <c r="C19444" i="1"/>
  <c r="C19443" i="1"/>
  <c r="C19442" i="1"/>
  <c r="C19441" i="1"/>
  <c r="C19440" i="1"/>
  <c r="C19439" i="1"/>
  <c r="C19438" i="1"/>
  <c r="C19437" i="1"/>
  <c r="C19436" i="1"/>
  <c r="C19435" i="1"/>
  <c r="C19434" i="1"/>
  <c r="C19433" i="1"/>
  <c r="C19432" i="1"/>
  <c r="C19431" i="1"/>
  <c r="C19430" i="1"/>
  <c r="C19429" i="1"/>
  <c r="C19428" i="1"/>
  <c r="C19427" i="1"/>
  <c r="C19426" i="1"/>
  <c r="C19425" i="1"/>
  <c r="C19424" i="1"/>
  <c r="C19423" i="1"/>
  <c r="C19422" i="1"/>
  <c r="C19421" i="1"/>
  <c r="C19420" i="1"/>
  <c r="C19419" i="1"/>
  <c r="C19418" i="1"/>
  <c r="C19417" i="1"/>
  <c r="C19416" i="1"/>
  <c r="C19415" i="1"/>
  <c r="C19414" i="1"/>
  <c r="C19413" i="1"/>
  <c r="C19412" i="1"/>
  <c r="C19411" i="1"/>
  <c r="C19410" i="1"/>
  <c r="C19409" i="1"/>
  <c r="C19408" i="1"/>
  <c r="C19407" i="1"/>
  <c r="C19406" i="1"/>
  <c r="C19405" i="1"/>
  <c r="C19404" i="1"/>
  <c r="C19403" i="1"/>
  <c r="C19402" i="1"/>
  <c r="C19401" i="1"/>
  <c r="C19400" i="1"/>
  <c r="C19399" i="1"/>
  <c r="C19398" i="1"/>
  <c r="C19397" i="1"/>
  <c r="C19396" i="1"/>
  <c r="C19395" i="1"/>
  <c r="C19394" i="1"/>
  <c r="C19393" i="1"/>
  <c r="C19392" i="1"/>
  <c r="C19391" i="1"/>
  <c r="C19390" i="1"/>
  <c r="C19389" i="1"/>
  <c r="C19388" i="1"/>
  <c r="C19387" i="1"/>
  <c r="C19386" i="1"/>
  <c r="C19385" i="1"/>
  <c r="C19384" i="1"/>
  <c r="C19383" i="1"/>
  <c r="C19382" i="1"/>
  <c r="C19381" i="1"/>
  <c r="C19380" i="1"/>
  <c r="C19379" i="1"/>
  <c r="C19378" i="1"/>
  <c r="C19377" i="1"/>
  <c r="C19376" i="1"/>
  <c r="C19375" i="1"/>
  <c r="C19374" i="1"/>
  <c r="C19373" i="1"/>
  <c r="C19372" i="1"/>
  <c r="C19371" i="1"/>
  <c r="C19370" i="1"/>
  <c r="C19369" i="1"/>
  <c r="C19368" i="1"/>
  <c r="C19367" i="1"/>
  <c r="C19366" i="1"/>
  <c r="C19365" i="1"/>
  <c r="C19364" i="1"/>
  <c r="C19363" i="1"/>
  <c r="C19362" i="1"/>
  <c r="C19361" i="1"/>
  <c r="C19360" i="1"/>
  <c r="C19359" i="1"/>
  <c r="C19358" i="1"/>
  <c r="C19357" i="1"/>
  <c r="C19356" i="1"/>
  <c r="C19355" i="1"/>
  <c r="C19354" i="1"/>
  <c r="C19353" i="1"/>
  <c r="C19352" i="1"/>
  <c r="C19351" i="1"/>
  <c r="C19350" i="1"/>
  <c r="C19349" i="1"/>
  <c r="C19348" i="1"/>
  <c r="C19347" i="1"/>
  <c r="C19346" i="1"/>
  <c r="C19345" i="1"/>
  <c r="C19344" i="1"/>
  <c r="C19343" i="1"/>
  <c r="C19342" i="1"/>
  <c r="C19341" i="1"/>
  <c r="C19340" i="1"/>
  <c r="C19339" i="1"/>
  <c r="C19338" i="1"/>
  <c r="C19337" i="1"/>
  <c r="C19336" i="1"/>
  <c r="C19335" i="1"/>
  <c r="C19334" i="1"/>
  <c r="C19333" i="1"/>
  <c r="C19332" i="1"/>
  <c r="C19331" i="1"/>
  <c r="C19330" i="1"/>
  <c r="C19329" i="1"/>
  <c r="C19328" i="1"/>
  <c r="C19327" i="1"/>
  <c r="C19326" i="1"/>
  <c r="C19325" i="1"/>
  <c r="C19324" i="1"/>
  <c r="C19323" i="1"/>
  <c r="C19322" i="1"/>
  <c r="C19321" i="1"/>
  <c r="C19320" i="1"/>
  <c r="C19319" i="1"/>
  <c r="C19318" i="1"/>
  <c r="C19317" i="1"/>
  <c r="C19316" i="1"/>
  <c r="C19315" i="1"/>
  <c r="C19314" i="1"/>
  <c r="C19313" i="1"/>
  <c r="C19312" i="1"/>
  <c r="C19311" i="1"/>
  <c r="C19310" i="1"/>
  <c r="C19309" i="1"/>
  <c r="C19308" i="1"/>
  <c r="C19307" i="1"/>
  <c r="C19306" i="1"/>
  <c r="C19305" i="1"/>
  <c r="C19304" i="1"/>
  <c r="C19303" i="1"/>
  <c r="C19302" i="1"/>
  <c r="C19301" i="1"/>
  <c r="C19300" i="1"/>
  <c r="C19299" i="1"/>
  <c r="C19298" i="1"/>
  <c r="C19297" i="1"/>
  <c r="C19296" i="1"/>
  <c r="C19295" i="1"/>
  <c r="C19294" i="1"/>
  <c r="C19293" i="1"/>
  <c r="C19292" i="1"/>
  <c r="C19291" i="1"/>
  <c r="C19290" i="1"/>
  <c r="C19289" i="1"/>
  <c r="C19288" i="1"/>
  <c r="C19287" i="1"/>
  <c r="C19286" i="1"/>
  <c r="C19285" i="1"/>
  <c r="C19284" i="1"/>
  <c r="C19283" i="1"/>
  <c r="C19282" i="1"/>
  <c r="C19281" i="1"/>
  <c r="C19280" i="1"/>
  <c r="C19279" i="1"/>
  <c r="C19278" i="1"/>
  <c r="C19277" i="1"/>
  <c r="C19276" i="1"/>
  <c r="C19275" i="1"/>
  <c r="C19274" i="1"/>
  <c r="C19273" i="1"/>
  <c r="C19272" i="1"/>
  <c r="C19271" i="1"/>
  <c r="C19270" i="1"/>
  <c r="C19269" i="1"/>
  <c r="C19268" i="1"/>
  <c r="C19267" i="1"/>
  <c r="C19266" i="1"/>
  <c r="C19265" i="1"/>
  <c r="C19264" i="1"/>
  <c r="C19263" i="1"/>
  <c r="C19262" i="1"/>
  <c r="C19261" i="1"/>
  <c r="C19260" i="1"/>
  <c r="C19259" i="1"/>
  <c r="C19258" i="1"/>
  <c r="C19257" i="1"/>
  <c r="C19256" i="1"/>
  <c r="C19255" i="1"/>
  <c r="C19254" i="1"/>
  <c r="C19253" i="1"/>
  <c r="C19252" i="1"/>
  <c r="C19251" i="1"/>
  <c r="C19250" i="1"/>
  <c r="C19249" i="1"/>
  <c r="C19248" i="1"/>
  <c r="C19247" i="1"/>
  <c r="C19246" i="1"/>
  <c r="C19245" i="1"/>
  <c r="C19244" i="1"/>
  <c r="C19243" i="1"/>
  <c r="C19242" i="1"/>
  <c r="C19241" i="1"/>
  <c r="C19240" i="1"/>
  <c r="C19239" i="1"/>
  <c r="C19238" i="1"/>
  <c r="C19237" i="1"/>
  <c r="C19236" i="1"/>
  <c r="C19235" i="1"/>
  <c r="C19234" i="1"/>
  <c r="C19233" i="1"/>
  <c r="C19232" i="1"/>
  <c r="C19231" i="1"/>
  <c r="C19230" i="1"/>
  <c r="C19229" i="1"/>
  <c r="C19228" i="1"/>
  <c r="C19227" i="1"/>
  <c r="C19226" i="1"/>
  <c r="C19225" i="1"/>
  <c r="C19224" i="1"/>
  <c r="C19223" i="1"/>
  <c r="C19222" i="1"/>
  <c r="C19221" i="1"/>
  <c r="C19220" i="1"/>
  <c r="C19219" i="1"/>
  <c r="C19218" i="1"/>
  <c r="C19217" i="1"/>
  <c r="C19216" i="1"/>
  <c r="C19215" i="1"/>
  <c r="C19214" i="1"/>
  <c r="C19213" i="1"/>
  <c r="C19212" i="1"/>
  <c r="C19211" i="1"/>
  <c r="C19210" i="1"/>
  <c r="C19209" i="1"/>
  <c r="C19208" i="1"/>
  <c r="C19207" i="1"/>
  <c r="C19206" i="1"/>
  <c r="C19205" i="1"/>
  <c r="C19204" i="1"/>
  <c r="C19203" i="1"/>
  <c r="C19202" i="1"/>
  <c r="C19201" i="1"/>
  <c r="C19200" i="1"/>
  <c r="C19199" i="1"/>
  <c r="C19198" i="1"/>
  <c r="C19197" i="1"/>
  <c r="C19196" i="1"/>
  <c r="C19195" i="1"/>
  <c r="C19194" i="1"/>
  <c r="C19193" i="1"/>
  <c r="C19192" i="1"/>
  <c r="C19191" i="1"/>
  <c r="C19190" i="1"/>
  <c r="C19189" i="1"/>
  <c r="C19188" i="1"/>
  <c r="C19187" i="1"/>
  <c r="C19186" i="1"/>
  <c r="C19185" i="1"/>
  <c r="C19184" i="1"/>
  <c r="C19183" i="1"/>
  <c r="C19182" i="1"/>
  <c r="C19181" i="1"/>
  <c r="C19180" i="1"/>
  <c r="C19179" i="1"/>
  <c r="C19178" i="1"/>
  <c r="C19177" i="1"/>
  <c r="C19176" i="1"/>
  <c r="C19175" i="1"/>
  <c r="C19174" i="1"/>
  <c r="C19173" i="1"/>
  <c r="C19172" i="1"/>
  <c r="C19171" i="1"/>
  <c r="C19170" i="1"/>
  <c r="C19169" i="1"/>
  <c r="C19168" i="1"/>
  <c r="C19167" i="1"/>
  <c r="C19166" i="1"/>
  <c r="C19165" i="1"/>
  <c r="C19164" i="1"/>
  <c r="C19163" i="1"/>
  <c r="C19162" i="1"/>
  <c r="C19161" i="1"/>
  <c r="C19160" i="1"/>
  <c r="C19159" i="1"/>
  <c r="C19158" i="1"/>
  <c r="C19157" i="1"/>
  <c r="C19156" i="1"/>
  <c r="C19155" i="1"/>
  <c r="C19154" i="1"/>
  <c r="C19153" i="1"/>
  <c r="C19152" i="1"/>
  <c r="C19151" i="1"/>
  <c r="C19150" i="1"/>
  <c r="C19149" i="1"/>
  <c r="C19148" i="1"/>
  <c r="C19147" i="1"/>
  <c r="C19146" i="1"/>
  <c r="C19145" i="1"/>
  <c r="C19144" i="1"/>
  <c r="C19143" i="1"/>
  <c r="C19142" i="1"/>
  <c r="C19141" i="1"/>
  <c r="C19140" i="1"/>
  <c r="C19139" i="1"/>
  <c r="C19138" i="1"/>
  <c r="C19137" i="1"/>
  <c r="C19136" i="1"/>
  <c r="C19135" i="1"/>
  <c r="C19134" i="1"/>
  <c r="C19133" i="1"/>
  <c r="C19132" i="1"/>
  <c r="C19131" i="1"/>
  <c r="C19130" i="1"/>
  <c r="C19129" i="1"/>
  <c r="C19128" i="1"/>
  <c r="C19127" i="1"/>
  <c r="C19126" i="1"/>
  <c r="C19125" i="1"/>
  <c r="C19124" i="1"/>
  <c r="C19123" i="1"/>
  <c r="C19122" i="1"/>
  <c r="C19121" i="1"/>
  <c r="C19120" i="1"/>
  <c r="C19119" i="1"/>
  <c r="C19118" i="1"/>
  <c r="C19117" i="1"/>
  <c r="C19116" i="1"/>
  <c r="C19115" i="1"/>
  <c r="C19114" i="1"/>
  <c r="C19113" i="1"/>
  <c r="C19112" i="1"/>
  <c r="C19111" i="1"/>
  <c r="C19110" i="1"/>
  <c r="C19109" i="1"/>
  <c r="C19108" i="1"/>
  <c r="C19107" i="1"/>
  <c r="C19106" i="1"/>
  <c r="C19105" i="1"/>
  <c r="C19104" i="1"/>
  <c r="C19103" i="1"/>
  <c r="C19102" i="1"/>
  <c r="C19101" i="1"/>
  <c r="C19100" i="1"/>
  <c r="C19099" i="1"/>
  <c r="C19098" i="1"/>
  <c r="C19097" i="1"/>
  <c r="C19096" i="1"/>
  <c r="C19095" i="1"/>
  <c r="C19094" i="1"/>
  <c r="C19093" i="1"/>
  <c r="C19092" i="1"/>
  <c r="C19091" i="1"/>
  <c r="C19090" i="1"/>
  <c r="C19089" i="1"/>
  <c r="C19088" i="1"/>
  <c r="C19087" i="1"/>
  <c r="C19086" i="1"/>
  <c r="C19085" i="1"/>
  <c r="C19084" i="1"/>
  <c r="C19083" i="1"/>
  <c r="C19082" i="1"/>
  <c r="C19081" i="1"/>
  <c r="C19080" i="1"/>
  <c r="C19079" i="1"/>
  <c r="C19078" i="1"/>
  <c r="C19077" i="1"/>
  <c r="C19076" i="1"/>
  <c r="C19075" i="1"/>
  <c r="C19074" i="1"/>
  <c r="C19073" i="1"/>
  <c r="C19072" i="1"/>
  <c r="C19071" i="1"/>
  <c r="C19070" i="1"/>
  <c r="C19069" i="1"/>
  <c r="C19068" i="1"/>
  <c r="C19067" i="1"/>
  <c r="C19066" i="1"/>
  <c r="C19065" i="1"/>
  <c r="C19064" i="1"/>
  <c r="C19063" i="1"/>
  <c r="C19062" i="1"/>
  <c r="C19061" i="1"/>
  <c r="C19060" i="1"/>
  <c r="C19059" i="1"/>
  <c r="C19058" i="1"/>
  <c r="C19057" i="1"/>
  <c r="C19056" i="1"/>
  <c r="C19055" i="1"/>
  <c r="C19054" i="1"/>
  <c r="C19053" i="1"/>
  <c r="C19052" i="1"/>
  <c r="C19051" i="1"/>
  <c r="C19050" i="1"/>
  <c r="C19049" i="1"/>
  <c r="C19048" i="1"/>
  <c r="C19047" i="1"/>
  <c r="C19046" i="1"/>
  <c r="C19045" i="1"/>
  <c r="C19044" i="1"/>
  <c r="C19043" i="1"/>
  <c r="C19042" i="1"/>
  <c r="C19041" i="1"/>
  <c r="C19040" i="1"/>
  <c r="C19039" i="1"/>
  <c r="C19038" i="1"/>
  <c r="C19037" i="1"/>
  <c r="C19036" i="1"/>
  <c r="C19035" i="1"/>
  <c r="C19034" i="1"/>
  <c r="C19033" i="1"/>
  <c r="C19032" i="1"/>
  <c r="C19031" i="1"/>
  <c r="C19030" i="1"/>
  <c r="C19029" i="1"/>
  <c r="C19028" i="1"/>
  <c r="C19027" i="1"/>
  <c r="C19026" i="1"/>
  <c r="C19025" i="1"/>
  <c r="C19024" i="1"/>
  <c r="C19023" i="1"/>
  <c r="C19022" i="1"/>
  <c r="C19021" i="1"/>
  <c r="C19020" i="1"/>
  <c r="C19019" i="1"/>
  <c r="C19018" i="1"/>
  <c r="C19017" i="1"/>
  <c r="C19016" i="1"/>
  <c r="C19015" i="1"/>
  <c r="C19014" i="1"/>
  <c r="C19013" i="1"/>
  <c r="C19012" i="1"/>
  <c r="C19011" i="1"/>
  <c r="C19010" i="1"/>
  <c r="C19009" i="1"/>
  <c r="C19008" i="1"/>
  <c r="C19007" i="1"/>
  <c r="C19006" i="1"/>
  <c r="C19005" i="1"/>
  <c r="C19004" i="1"/>
  <c r="C19003" i="1"/>
  <c r="C19002" i="1"/>
  <c r="C19001" i="1"/>
  <c r="C19000" i="1"/>
  <c r="C18999" i="1"/>
  <c r="C18998" i="1"/>
  <c r="C18997" i="1"/>
  <c r="C18996" i="1"/>
  <c r="C18995" i="1"/>
  <c r="C18994" i="1"/>
  <c r="C18993" i="1"/>
  <c r="C18992" i="1"/>
  <c r="C18991" i="1"/>
  <c r="C18990" i="1"/>
  <c r="C18989" i="1"/>
  <c r="C18988" i="1"/>
  <c r="C18987" i="1"/>
  <c r="C18986" i="1"/>
  <c r="C18985" i="1"/>
  <c r="C18984" i="1"/>
  <c r="C18983" i="1"/>
  <c r="C18982" i="1"/>
  <c r="C18981" i="1"/>
  <c r="C18980" i="1"/>
  <c r="C18979" i="1"/>
  <c r="C18978" i="1"/>
  <c r="C18977" i="1"/>
  <c r="C18976" i="1"/>
  <c r="C18975" i="1"/>
  <c r="C18974" i="1"/>
  <c r="C18973" i="1"/>
  <c r="C18972" i="1"/>
  <c r="C18971" i="1"/>
  <c r="C18970" i="1"/>
  <c r="C18969" i="1"/>
  <c r="C18968" i="1"/>
  <c r="C18967" i="1"/>
  <c r="C18966" i="1"/>
  <c r="C18965" i="1"/>
  <c r="C18964" i="1"/>
  <c r="C18963" i="1"/>
  <c r="C18962" i="1"/>
  <c r="C18961" i="1"/>
  <c r="C18960" i="1"/>
  <c r="C18959" i="1"/>
  <c r="C18958" i="1"/>
  <c r="C18957" i="1"/>
  <c r="C18956" i="1"/>
  <c r="C18955" i="1"/>
  <c r="C18954" i="1"/>
  <c r="C18953" i="1"/>
  <c r="C18952" i="1"/>
  <c r="C18951" i="1"/>
  <c r="C18950" i="1"/>
  <c r="C18949" i="1"/>
  <c r="C18948" i="1"/>
  <c r="C18947" i="1"/>
  <c r="C18946" i="1"/>
  <c r="C18945" i="1"/>
  <c r="C18944" i="1"/>
  <c r="C18943" i="1"/>
  <c r="C18942" i="1"/>
  <c r="C18941" i="1"/>
  <c r="C18940" i="1"/>
  <c r="C18939" i="1"/>
  <c r="C18938" i="1"/>
  <c r="C18937" i="1"/>
  <c r="C18936" i="1"/>
  <c r="C18935" i="1"/>
  <c r="C18934" i="1"/>
  <c r="C18933" i="1"/>
  <c r="C18932" i="1"/>
  <c r="C18931" i="1"/>
  <c r="C18930" i="1"/>
  <c r="C18929" i="1"/>
  <c r="C18928" i="1"/>
  <c r="C18927" i="1"/>
  <c r="C18926" i="1"/>
  <c r="C18925" i="1"/>
  <c r="C18924" i="1"/>
  <c r="C18923" i="1"/>
  <c r="C18922" i="1"/>
  <c r="C18921" i="1"/>
  <c r="C18920" i="1"/>
  <c r="C18919" i="1"/>
  <c r="C18918" i="1"/>
  <c r="C18917" i="1"/>
  <c r="C18916" i="1"/>
  <c r="C18915" i="1"/>
  <c r="C18914" i="1"/>
  <c r="C18913" i="1"/>
  <c r="C18912" i="1"/>
  <c r="C18911" i="1"/>
  <c r="C18910" i="1"/>
  <c r="C18909" i="1"/>
  <c r="C18908" i="1"/>
  <c r="C18907" i="1"/>
  <c r="C18906" i="1"/>
  <c r="C18905" i="1"/>
  <c r="C18904" i="1"/>
  <c r="C18903" i="1"/>
  <c r="C18902" i="1"/>
  <c r="C18901" i="1"/>
  <c r="C18900" i="1"/>
  <c r="C18899" i="1"/>
  <c r="C18898" i="1"/>
  <c r="C18897" i="1"/>
  <c r="C18896" i="1"/>
  <c r="C18895" i="1"/>
  <c r="C18894" i="1"/>
  <c r="C18893" i="1"/>
  <c r="C18892" i="1"/>
  <c r="C18891" i="1"/>
  <c r="C18890" i="1"/>
  <c r="C18889" i="1"/>
  <c r="C18888" i="1"/>
  <c r="C18887" i="1"/>
  <c r="C18886" i="1"/>
  <c r="C18885" i="1"/>
  <c r="C18884" i="1"/>
  <c r="C18883" i="1"/>
  <c r="C18882" i="1"/>
  <c r="C18881" i="1"/>
  <c r="C18880" i="1"/>
  <c r="C18879" i="1"/>
  <c r="C18878" i="1"/>
  <c r="C18877" i="1"/>
  <c r="C18876" i="1"/>
  <c r="C18875" i="1"/>
  <c r="C18874" i="1"/>
  <c r="C18873" i="1"/>
  <c r="C18872" i="1"/>
  <c r="C18871" i="1"/>
  <c r="C18870" i="1"/>
  <c r="C18869" i="1"/>
  <c r="C18868" i="1"/>
  <c r="C18867" i="1"/>
  <c r="C18866" i="1"/>
  <c r="C18865" i="1"/>
  <c r="C18864" i="1"/>
  <c r="C18863" i="1"/>
  <c r="C18862" i="1"/>
  <c r="C18861" i="1"/>
  <c r="C18860" i="1"/>
  <c r="C18859" i="1"/>
  <c r="C18858" i="1"/>
  <c r="C18857" i="1"/>
  <c r="C18856" i="1"/>
  <c r="C18855" i="1"/>
  <c r="C18854" i="1"/>
  <c r="C18853" i="1"/>
  <c r="C18852" i="1"/>
  <c r="C18851" i="1"/>
  <c r="C18850" i="1"/>
  <c r="C18849" i="1"/>
  <c r="C18848" i="1"/>
  <c r="C18847" i="1"/>
  <c r="C18846" i="1"/>
  <c r="C18845" i="1"/>
  <c r="C18844" i="1"/>
  <c r="C18843" i="1"/>
  <c r="C18842" i="1"/>
  <c r="C18841" i="1"/>
  <c r="C18840" i="1"/>
  <c r="C18839" i="1"/>
  <c r="C18838" i="1"/>
  <c r="C18837" i="1"/>
  <c r="C18836" i="1"/>
  <c r="C18835" i="1"/>
  <c r="C18834" i="1"/>
  <c r="C18833" i="1"/>
  <c r="C18832" i="1"/>
  <c r="C18831" i="1"/>
  <c r="C18830" i="1"/>
  <c r="C18829" i="1"/>
  <c r="C18828" i="1"/>
  <c r="C18827" i="1"/>
  <c r="C18826" i="1"/>
  <c r="C18825" i="1"/>
  <c r="C18824" i="1"/>
  <c r="C18823" i="1"/>
  <c r="C18822" i="1"/>
  <c r="C18821" i="1"/>
  <c r="C18820" i="1"/>
  <c r="C18819" i="1"/>
  <c r="C18818" i="1"/>
  <c r="C18817" i="1"/>
  <c r="C18816" i="1"/>
  <c r="C18815" i="1"/>
  <c r="C18814" i="1"/>
  <c r="C18813" i="1"/>
  <c r="C18812" i="1"/>
  <c r="C18811" i="1"/>
  <c r="C18810" i="1"/>
  <c r="C18809" i="1"/>
  <c r="C18808" i="1"/>
  <c r="C18807" i="1"/>
  <c r="C18806" i="1"/>
  <c r="C18805" i="1"/>
  <c r="C18804" i="1"/>
  <c r="C18803" i="1"/>
  <c r="C18802" i="1"/>
  <c r="C18801" i="1"/>
  <c r="C18800" i="1"/>
  <c r="C18799" i="1"/>
  <c r="C18798" i="1"/>
  <c r="C18797" i="1"/>
  <c r="C18796" i="1"/>
  <c r="C18795" i="1"/>
  <c r="C18794" i="1"/>
  <c r="C18793" i="1"/>
  <c r="C18792" i="1"/>
  <c r="C18791" i="1"/>
  <c r="C18790" i="1"/>
  <c r="C18789" i="1"/>
  <c r="C18788" i="1"/>
  <c r="C18787" i="1"/>
  <c r="C18786" i="1"/>
  <c r="C18785" i="1"/>
  <c r="C18784" i="1"/>
  <c r="C18783" i="1"/>
  <c r="C18782" i="1"/>
  <c r="C18781" i="1"/>
  <c r="C18780" i="1"/>
  <c r="C18779" i="1"/>
  <c r="C18778" i="1"/>
  <c r="C18777" i="1"/>
  <c r="C18776" i="1"/>
  <c r="C18775" i="1"/>
  <c r="C18774" i="1"/>
  <c r="C18773" i="1"/>
  <c r="C18772" i="1"/>
  <c r="C18771" i="1"/>
  <c r="C18770" i="1"/>
  <c r="C18769" i="1"/>
  <c r="C18768" i="1"/>
  <c r="C18767" i="1"/>
  <c r="C18766" i="1"/>
  <c r="C18765" i="1"/>
  <c r="C18764" i="1"/>
  <c r="C18763" i="1"/>
  <c r="C18762" i="1"/>
  <c r="C18761" i="1"/>
  <c r="C18760" i="1"/>
  <c r="C18759" i="1"/>
  <c r="C18758" i="1"/>
  <c r="C18757" i="1"/>
  <c r="C18756" i="1"/>
  <c r="C18755" i="1"/>
  <c r="C18754" i="1"/>
  <c r="C18753" i="1"/>
  <c r="C18752" i="1"/>
  <c r="C18751" i="1"/>
  <c r="C18750" i="1"/>
  <c r="C18749" i="1"/>
  <c r="C18748" i="1"/>
  <c r="C18747" i="1"/>
  <c r="C18746" i="1"/>
  <c r="C18745" i="1"/>
  <c r="C18744" i="1"/>
  <c r="C18743" i="1"/>
  <c r="C18742" i="1"/>
  <c r="C18741" i="1"/>
  <c r="C18740" i="1"/>
  <c r="C18739" i="1"/>
  <c r="C18738" i="1"/>
  <c r="C18737" i="1"/>
  <c r="C18736" i="1"/>
  <c r="C18735" i="1"/>
  <c r="C18734" i="1"/>
  <c r="C18733" i="1"/>
  <c r="C18732" i="1"/>
  <c r="C18731" i="1"/>
  <c r="C18730" i="1"/>
  <c r="C18729" i="1"/>
  <c r="C18728" i="1"/>
  <c r="C18727" i="1"/>
  <c r="C18726" i="1"/>
  <c r="C18725" i="1"/>
  <c r="C18724" i="1"/>
  <c r="C18723" i="1"/>
  <c r="C18722" i="1"/>
  <c r="C18721" i="1"/>
  <c r="C18720" i="1"/>
  <c r="C18719" i="1"/>
  <c r="C18718" i="1"/>
  <c r="C18717" i="1"/>
  <c r="C18716" i="1"/>
  <c r="C18715" i="1"/>
  <c r="C18714" i="1"/>
  <c r="C18713" i="1"/>
  <c r="C18712" i="1"/>
  <c r="C18711" i="1"/>
  <c r="C18710" i="1"/>
  <c r="C18709" i="1"/>
  <c r="C18708" i="1"/>
  <c r="C18707" i="1"/>
  <c r="C18706" i="1"/>
  <c r="C18705" i="1"/>
  <c r="C18704" i="1"/>
  <c r="C18703" i="1"/>
  <c r="C18702" i="1"/>
  <c r="C18701" i="1"/>
  <c r="C18700" i="1"/>
  <c r="C18699" i="1"/>
  <c r="C18698" i="1"/>
  <c r="C18697" i="1"/>
  <c r="C18696" i="1"/>
  <c r="C18695" i="1"/>
  <c r="C18694" i="1"/>
  <c r="C18693" i="1"/>
  <c r="C18692" i="1"/>
  <c r="C18691" i="1"/>
  <c r="C18690" i="1"/>
  <c r="C18689" i="1"/>
  <c r="C18688" i="1"/>
  <c r="C18687" i="1"/>
  <c r="C18686" i="1"/>
  <c r="C18685" i="1"/>
  <c r="C18684" i="1"/>
  <c r="C18683" i="1"/>
  <c r="C18682" i="1"/>
  <c r="C18681" i="1"/>
  <c r="C18680" i="1"/>
  <c r="C18679" i="1"/>
  <c r="C18678" i="1"/>
  <c r="C18677" i="1"/>
  <c r="C18676" i="1"/>
  <c r="C18675" i="1"/>
  <c r="C18674" i="1"/>
  <c r="C18673" i="1"/>
  <c r="C18672" i="1"/>
  <c r="C18671" i="1"/>
  <c r="C18670" i="1"/>
  <c r="C18669" i="1"/>
  <c r="C18668" i="1"/>
  <c r="C18667" i="1"/>
  <c r="C18666" i="1"/>
  <c r="C18665" i="1"/>
  <c r="C18664" i="1"/>
  <c r="C18663" i="1"/>
  <c r="C18662" i="1"/>
  <c r="C18661" i="1"/>
  <c r="C18660" i="1"/>
  <c r="C18659" i="1"/>
  <c r="C18658" i="1"/>
  <c r="C18657" i="1"/>
  <c r="C18656" i="1"/>
  <c r="C18655" i="1"/>
  <c r="C18654" i="1"/>
  <c r="C18653" i="1"/>
  <c r="C18652" i="1"/>
  <c r="C18651" i="1"/>
  <c r="C18650" i="1"/>
  <c r="C18649" i="1"/>
  <c r="C18648" i="1"/>
  <c r="C18647" i="1"/>
  <c r="C18646" i="1"/>
  <c r="C18645" i="1"/>
  <c r="C18644" i="1"/>
  <c r="C18643" i="1"/>
  <c r="C18642" i="1"/>
  <c r="C18641" i="1"/>
  <c r="C18640" i="1"/>
  <c r="C18639" i="1"/>
  <c r="C18638" i="1"/>
  <c r="C18637" i="1"/>
  <c r="C18636" i="1"/>
  <c r="C18635" i="1"/>
  <c r="C18634" i="1"/>
  <c r="C18633" i="1"/>
  <c r="C18632" i="1"/>
  <c r="C18631" i="1"/>
  <c r="C18630" i="1"/>
  <c r="C18629" i="1"/>
  <c r="C18628" i="1"/>
  <c r="C18627" i="1"/>
  <c r="C18626" i="1"/>
  <c r="C18625" i="1"/>
  <c r="C18624" i="1"/>
  <c r="C18623" i="1"/>
  <c r="C18622" i="1"/>
  <c r="C18621" i="1"/>
  <c r="C18620" i="1"/>
  <c r="C18619" i="1"/>
  <c r="C18618" i="1"/>
  <c r="C18617" i="1"/>
  <c r="C18616" i="1"/>
  <c r="C18615" i="1"/>
  <c r="C18614" i="1"/>
  <c r="C18613" i="1"/>
  <c r="C18612" i="1"/>
  <c r="C18611" i="1"/>
  <c r="C18610" i="1"/>
  <c r="C18609" i="1"/>
  <c r="C18608" i="1"/>
  <c r="C18607" i="1"/>
  <c r="C18606" i="1"/>
  <c r="C18605" i="1"/>
  <c r="C18604" i="1"/>
  <c r="C18603" i="1"/>
  <c r="C18602" i="1"/>
  <c r="C18601" i="1"/>
  <c r="C18600" i="1"/>
  <c r="C18599" i="1"/>
  <c r="C18598" i="1"/>
  <c r="C18597" i="1"/>
  <c r="C18596" i="1"/>
  <c r="C18595" i="1"/>
  <c r="C18594" i="1"/>
  <c r="C18593" i="1"/>
  <c r="C18592" i="1"/>
  <c r="C18591" i="1"/>
  <c r="C18590" i="1"/>
  <c r="C18589" i="1"/>
  <c r="C18588" i="1"/>
  <c r="C18587" i="1"/>
  <c r="C18586" i="1"/>
  <c r="C18585" i="1"/>
  <c r="C18584" i="1"/>
  <c r="C18583" i="1"/>
  <c r="C18582" i="1"/>
  <c r="C18581" i="1"/>
  <c r="C18580" i="1"/>
  <c r="C18579" i="1"/>
  <c r="C18578" i="1"/>
  <c r="C18577" i="1"/>
  <c r="C18576" i="1"/>
  <c r="C18575" i="1"/>
  <c r="C18574" i="1"/>
  <c r="C18573" i="1"/>
  <c r="C18572" i="1"/>
  <c r="C18571" i="1"/>
  <c r="C18570" i="1"/>
  <c r="C18569" i="1"/>
  <c r="C18568" i="1"/>
  <c r="C18567" i="1"/>
  <c r="C18566" i="1"/>
  <c r="C18565" i="1"/>
  <c r="C18564" i="1"/>
  <c r="C18563" i="1"/>
  <c r="C18562" i="1"/>
  <c r="C18561" i="1"/>
  <c r="C18560" i="1"/>
  <c r="C18559" i="1"/>
  <c r="C18558" i="1"/>
  <c r="C18557" i="1"/>
  <c r="C18556" i="1"/>
  <c r="C18555" i="1"/>
  <c r="C18554" i="1"/>
  <c r="C18553" i="1"/>
  <c r="C18552" i="1"/>
  <c r="C18551" i="1"/>
  <c r="C18550" i="1"/>
  <c r="C18549" i="1"/>
  <c r="C18548" i="1"/>
  <c r="C18547" i="1"/>
  <c r="C18546" i="1"/>
  <c r="C18545" i="1"/>
  <c r="C18544" i="1"/>
  <c r="C18543" i="1"/>
  <c r="C18542" i="1"/>
  <c r="C18541" i="1"/>
  <c r="C18540" i="1"/>
  <c r="C18539" i="1"/>
  <c r="C18538" i="1"/>
  <c r="C18537" i="1"/>
  <c r="C18536" i="1"/>
  <c r="C18535" i="1"/>
  <c r="C18534" i="1"/>
  <c r="C18533" i="1"/>
  <c r="C18532" i="1"/>
  <c r="C18531" i="1"/>
  <c r="C18530" i="1"/>
  <c r="C18529" i="1"/>
  <c r="C18528" i="1"/>
  <c r="C18527" i="1"/>
  <c r="C18526" i="1"/>
  <c r="C18525" i="1"/>
  <c r="C18524" i="1"/>
  <c r="C18523" i="1"/>
  <c r="C18522" i="1"/>
  <c r="C18521" i="1"/>
  <c r="C18520" i="1"/>
  <c r="C18519" i="1"/>
  <c r="C18518" i="1"/>
  <c r="C18517" i="1"/>
  <c r="C18516" i="1"/>
  <c r="C18515" i="1"/>
  <c r="C18514" i="1"/>
  <c r="C18513" i="1"/>
  <c r="C18512" i="1"/>
  <c r="C18511" i="1"/>
  <c r="C18510" i="1"/>
  <c r="C18509" i="1"/>
  <c r="C18508" i="1"/>
  <c r="C18507" i="1"/>
  <c r="C18506" i="1"/>
  <c r="C18505" i="1"/>
  <c r="C18504" i="1"/>
  <c r="C18503" i="1"/>
  <c r="C18502" i="1"/>
  <c r="C18501" i="1"/>
  <c r="C18500" i="1"/>
  <c r="C18499" i="1"/>
  <c r="C18498" i="1"/>
  <c r="C18497" i="1"/>
  <c r="C18496" i="1"/>
  <c r="C18495" i="1"/>
  <c r="C18494" i="1"/>
  <c r="C18493" i="1"/>
  <c r="C18492" i="1"/>
  <c r="C18491" i="1"/>
  <c r="C18490" i="1"/>
  <c r="C18489" i="1"/>
  <c r="C18488" i="1"/>
  <c r="C18487" i="1"/>
  <c r="C18486" i="1"/>
  <c r="C18485" i="1"/>
  <c r="C18484" i="1"/>
  <c r="C18483" i="1"/>
  <c r="C18482" i="1"/>
  <c r="C18481" i="1"/>
  <c r="C18480" i="1"/>
  <c r="C18479" i="1"/>
  <c r="C18478" i="1"/>
  <c r="C18477" i="1"/>
  <c r="C18476" i="1"/>
  <c r="C18475" i="1"/>
  <c r="C18474" i="1"/>
  <c r="C18473" i="1"/>
  <c r="C18472" i="1"/>
  <c r="C18471" i="1"/>
  <c r="C18470" i="1"/>
  <c r="C18469" i="1"/>
  <c r="C18468" i="1"/>
  <c r="C18467" i="1"/>
  <c r="C18466" i="1"/>
  <c r="C18465" i="1"/>
  <c r="C18464" i="1"/>
  <c r="C18463" i="1"/>
  <c r="C18462" i="1"/>
  <c r="C18461" i="1"/>
  <c r="C18460" i="1"/>
  <c r="C18459" i="1"/>
  <c r="C18458" i="1"/>
  <c r="C18457" i="1"/>
  <c r="C18456" i="1"/>
  <c r="C18455" i="1"/>
  <c r="C18454" i="1"/>
  <c r="C18453" i="1"/>
  <c r="C18452" i="1"/>
  <c r="C18451" i="1"/>
  <c r="C18450" i="1"/>
  <c r="C18449" i="1"/>
  <c r="C18448" i="1"/>
  <c r="C18447" i="1"/>
  <c r="C18446" i="1"/>
  <c r="C18445" i="1"/>
  <c r="C18444" i="1"/>
  <c r="C18443" i="1"/>
  <c r="C18442" i="1"/>
  <c r="C18441" i="1"/>
  <c r="C18440" i="1"/>
  <c r="C18439" i="1"/>
  <c r="C18438" i="1"/>
  <c r="C18437" i="1"/>
  <c r="C18436" i="1"/>
  <c r="C18435" i="1"/>
  <c r="C18434" i="1"/>
  <c r="C18433" i="1"/>
  <c r="C18432" i="1"/>
  <c r="C18431" i="1"/>
  <c r="C18430" i="1"/>
  <c r="C18429" i="1"/>
  <c r="C18428" i="1"/>
  <c r="C18427" i="1"/>
  <c r="C18426" i="1"/>
  <c r="C18425" i="1"/>
  <c r="C18424" i="1"/>
  <c r="C18423" i="1"/>
  <c r="C18422" i="1"/>
  <c r="C18421" i="1"/>
  <c r="C18420" i="1"/>
  <c r="C18419" i="1"/>
  <c r="C18418" i="1"/>
  <c r="C18417" i="1"/>
  <c r="C18416" i="1"/>
  <c r="C18415" i="1"/>
  <c r="C18414" i="1"/>
  <c r="C18413" i="1"/>
  <c r="C18412" i="1"/>
  <c r="C18411" i="1"/>
  <c r="C18410" i="1"/>
  <c r="C18409" i="1"/>
  <c r="C18408" i="1"/>
  <c r="C18407" i="1"/>
  <c r="C18406" i="1"/>
  <c r="C18405" i="1"/>
  <c r="C18404" i="1"/>
  <c r="C18403" i="1"/>
  <c r="C18402" i="1"/>
  <c r="C18401" i="1"/>
  <c r="C18400" i="1"/>
  <c r="C18399" i="1"/>
  <c r="C18398" i="1"/>
  <c r="C18397" i="1"/>
  <c r="C18396" i="1"/>
  <c r="C18395" i="1"/>
  <c r="C18394" i="1"/>
  <c r="C18393" i="1"/>
  <c r="C18392" i="1"/>
  <c r="C18391" i="1"/>
  <c r="C18390" i="1"/>
  <c r="C18389" i="1"/>
  <c r="C18388" i="1"/>
  <c r="C18387" i="1"/>
  <c r="C18386" i="1"/>
  <c r="C18385" i="1"/>
  <c r="C18384" i="1"/>
  <c r="C18383" i="1"/>
  <c r="C18382" i="1"/>
  <c r="C18381" i="1"/>
  <c r="C18380" i="1"/>
  <c r="C18379" i="1"/>
  <c r="C18378" i="1"/>
  <c r="C18377" i="1"/>
  <c r="C18376" i="1"/>
  <c r="C18375" i="1"/>
  <c r="C18374" i="1"/>
  <c r="C18373" i="1"/>
  <c r="C18372" i="1"/>
  <c r="C18371" i="1"/>
  <c r="C18370" i="1"/>
  <c r="C18369" i="1"/>
  <c r="C18368" i="1"/>
  <c r="C18367" i="1"/>
  <c r="C18366" i="1"/>
  <c r="C18365" i="1"/>
  <c r="C18364" i="1"/>
  <c r="C18363" i="1"/>
  <c r="C18362" i="1"/>
  <c r="C18361" i="1"/>
  <c r="C18360" i="1"/>
  <c r="C18359" i="1"/>
  <c r="C18358" i="1"/>
  <c r="C18357" i="1"/>
  <c r="C18356" i="1"/>
  <c r="C18355" i="1"/>
  <c r="C18354" i="1"/>
  <c r="C18353" i="1"/>
  <c r="C18352" i="1"/>
  <c r="C18351" i="1"/>
  <c r="C18350" i="1"/>
  <c r="C18349" i="1"/>
  <c r="C18348" i="1"/>
  <c r="C18347" i="1"/>
  <c r="C18346" i="1"/>
  <c r="C18345" i="1"/>
  <c r="C18344" i="1"/>
  <c r="C18343" i="1"/>
  <c r="C18342" i="1"/>
  <c r="C18341" i="1"/>
  <c r="C18340" i="1"/>
  <c r="C18339" i="1"/>
  <c r="C18338" i="1"/>
  <c r="C18337" i="1"/>
  <c r="C18336" i="1"/>
  <c r="C18335" i="1"/>
  <c r="C18334" i="1"/>
  <c r="C18333" i="1"/>
  <c r="C18332" i="1"/>
  <c r="C18331" i="1"/>
  <c r="C18330" i="1"/>
  <c r="C18329" i="1"/>
  <c r="C18328" i="1"/>
  <c r="C18327" i="1"/>
  <c r="C18326" i="1"/>
  <c r="C18325" i="1"/>
  <c r="C18324" i="1"/>
  <c r="C18323" i="1"/>
  <c r="C18322" i="1"/>
  <c r="C18321" i="1"/>
  <c r="C18320" i="1"/>
  <c r="C18319" i="1"/>
  <c r="C18318" i="1"/>
  <c r="C18317" i="1"/>
  <c r="C18316" i="1"/>
  <c r="C18315" i="1"/>
  <c r="C18314" i="1"/>
  <c r="C18313" i="1"/>
  <c r="C18312" i="1"/>
  <c r="C18311" i="1"/>
  <c r="C18310" i="1"/>
  <c r="C18309" i="1"/>
  <c r="C18308" i="1"/>
  <c r="C18307" i="1"/>
  <c r="C18306" i="1"/>
  <c r="C18305" i="1"/>
  <c r="C18304" i="1"/>
  <c r="C18303" i="1"/>
  <c r="C18302" i="1"/>
  <c r="C18301" i="1"/>
  <c r="C18300" i="1"/>
  <c r="C18299" i="1"/>
  <c r="C18298" i="1"/>
  <c r="C18297" i="1"/>
  <c r="C18296" i="1"/>
  <c r="C18295" i="1"/>
  <c r="C18294" i="1"/>
  <c r="C18293" i="1"/>
  <c r="C18292" i="1"/>
  <c r="C18291" i="1"/>
  <c r="C18290" i="1"/>
  <c r="C18289" i="1"/>
  <c r="C18288" i="1"/>
  <c r="C18287" i="1"/>
  <c r="C18286" i="1"/>
  <c r="C18285" i="1"/>
  <c r="C18284" i="1"/>
  <c r="C18283" i="1"/>
  <c r="C18282" i="1"/>
  <c r="C18281" i="1"/>
  <c r="C18280" i="1"/>
  <c r="C18279" i="1"/>
  <c r="C18278" i="1"/>
  <c r="C18277" i="1"/>
  <c r="C18276" i="1"/>
  <c r="C18275" i="1"/>
  <c r="C18274" i="1"/>
  <c r="C18273" i="1"/>
  <c r="C18272" i="1"/>
  <c r="C18271" i="1"/>
  <c r="C18270" i="1"/>
  <c r="C18269" i="1"/>
  <c r="C18268" i="1"/>
  <c r="C18267" i="1"/>
  <c r="C18266" i="1"/>
  <c r="C18265" i="1"/>
  <c r="C18264" i="1"/>
  <c r="C18263" i="1"/>
  <c r="C18262" i="1"/>
  <c r="C18261" i="1"/>
  <c r="C18260" i="1"/>
  <c r="C18259" i="1"/>
  <c r="C18258" i="1"/>
  <c r="C18257" i="1"/>
  <c r="C18256" i="1"/>
  <c r="C18255" i="1"/>
  <c r="C18254" i="1"/>
  <c r="C18253" i="1"/>
  <c r="C18252" i="1"/>
  <c r="C18251" i="1"/>
  <c r="C18250" i="1"/>
  <c r="C18249" i="1"/>
  <c r="C18248" i="1"/>
  <c r="C18247" i="1"/>
  <c r="C18246" i="1"/>
  <c r="C18245" i="1"/>
  <c r="C18244" i="1"/>
  <c r="C18243" i="1"/>
  <c r="C18242" i="1"/>
  <c r="C18241" i="1"/>
  <c r="C18240" i="1"/>
  <c r="C18239" i="1"/>
  <c r="C18238" i="1"/>
  <c r="C18237" i="1"/>
  <c r="C18236" i="1"/>
  <c r="C18235" i="1"/>
  <c r="C18234" i="1"/>
  <c r="C18233" i="1"/>
  <c r="C18232" i="1"/>
  <c r="C18231" i="1"/>
  <c r="C18230" i="1"/>
  <c r="C18229" i="1"/>
  <c r="C18228" i="1"/>
  <c r="C18227" i="1"/>
  <c r="C18226" i="1"/>
  <c r="C18225" i="1"/>
  <c r="C18224" i="1"/>
  <c r="C18223" i="1"/>
  <c r="C18222" i="1"/>
  <c r="C18221" i="1"/>
  <c r="C18220" i="1"/>
  <c r="C18219" i="1"/>
  <c r="C18218" i="1"/>
  <c r="C18217" i="1"/>
  <c r="C18216" i="1"/>
  <c r="C18215" i="1"/>
  <c r="C18214" i="1"/>
  <c r="C18213" i="1"/>
  <c r="C18212" i="1"/>
  <c r="C18211" i="1"/>
  <c r="C18210" i="1"/>
  <c r="C18209" i="1"/>
  <c r="C18208" i="1"/>
  <c r="C18207" i="1"/>
  <c r="C18206" i="1"/>
  <c r="C18205" i="1"/>
  <c r="C18204" i="1"/>
  <c r="C18203" i="1"/>
  <c r="C18202" i="1"/>
  <c r="C18201" i="1"/>
  <c r="C18200" i="1"/>
  <c r="C18199" i="1"/>
  <c r="C18198" i="1"/>
  <c r="C18197" i="1"/>
  <c r="C18196" i="1"/>
  <c r="C18195" i="1"/>
  <c r="C18194" i="1"/>
  <c r="C18193" i="1"/>
  <c r="C18192" i="1"/>
  <c r="C18191" i="1"/>
  <c r="C18190" i="1"/>
  <c r="C18189" i="1"/>
  <c r="C18188" i="1"/>
  <c r="C18187" i="1"/>
  <c r="C18186" i="1"/>
  <c r="C18185" i="1"/>
  <c r="C18184" i="1"/>
  <c r="C18183" i="1"/>
  <c r="C18182" i="1"/>
  <c r="C18181" i="1"/>
  <c r="C18180" i="1"/>
  <c r="C18179" i="1"/>
  <c r="C18178" i="1"/>
  <c r="C18177" i="1"/>
  <c r="C18176" i="1"/>
  <c r="C18175" i="1"/>
  <c r="C18174" i="1"/>
  <c r="C18173" i="1"/>
  <c r="C18172" i="1"/>
  <c r="C18171" i="1"/>
  <c r="C18170" i="1"/>
  <c r="C18169" i="1"/>
  <c r="C18168" i="1"/>
  <c r="C18167" i="1"/>
  <c r="C18166" i="1"/>
  <c r="C18165" i="1"/>
  <c r="C18164" i="1"/>
  <c r="C18163" i="1"/>
  <c r="C18162" i="1"/>
  <c r="C18161" i="1"/>
  <c r="C18160" i="1"/>
  <c r="C18159" i="1"/>
  <c r="C18158" i="1"/>
  <c r="C18157" i="1"/>
  <c r="C18156" i="1"/>
  <c r="C18155" i="1"/>
  <c r="C18154" i="1"/>
  <c r="C18153" i="1"/>
  <c r="C18152" i="1"/>
  <c r="C18151" i="1"/>
  <c r="C18150" i="1"/>
  <c r="C18149" i="1"/>
  <c r="C18148" i="1"/>
  <c r="C18147" i="1"/>
  <c r="C18146" i="1"/>
  <c r="C18145" i="1"/>
  <c r="C18144" i="1"/>
  <c r="C18143" i="1"/>
  <c r="C18142" i="1"/>
  <c r="C18141" i="1"/>
  <c r="C18140" i="1"/>
  <c r="C18139" i="1"/>
  <c r="C18138" i="1"/>
  <c r="C18137" i="1"/>
  <c r="C18136" i="1"/>
  <c r="C18135" i="1"/>
  <c r="C18134" i="1"/>
  <c r="C18133" i="1"/>
  <c r="C18132" i="1"/>
  <c r="C18131" i="1"/>
  <c r="C18130" i="1"/>
  <c r="C18129" i="1"/>
  <c r="C18128" i="1"/>
  <c r="C18127" i="1"/>
  <c r="C18126" i="1"/>
  <c r="C18125" i="1"/>
  <c r="C18124" i="1"/>
  <c r="C18123" i="1"/>
  <c r="C18122" i="1"/>
  <c r="C18121" i="1"/>
  <c r="C18120" i="1"/>
  <c r="C18119" i="1"/>
  <c r="C18118" i="1"/>
  <c r="C18117" i="1"/>
  <c r="C18116" i="1"/>
  <c r="C18115" i="1"/>
  <c r="C18114" i="1"/>
  <c r="C18113" i="1"/>
  <c r="C18112" i="1"/>
  <c r="C18111" i="1"/>
  <c r="C18110" i="1"/>
  <c r="C18109" i="1"/>
  <c r="C18108" i="1"/>
  <c r="C18107" i="1"/>
  <c r="C18106" i="1"/>
  <c r="C18105" i="1"/>
  <c r="C18104" i="1"/>
  <c r="C18103" i="1"/>
  <c r="C18102" i="1"/>
  <c r="C18101" i="1"/>
  <c r="C18100" i="1"/>
  <c r="C18099" i="1"/>
  <c r="C18098" i="1"/>
  <c r="C18097" i="1"/>
  <c r="C18096" i="1"/>
  <c r="C18095" i="1"/>
  <c r="C18094" i="1"/>
  <c r="C18093" i="1"/>
  <c r="C18092" i="1"/>
  <c r="C18091" i="1"/>
  <c r="C18090" i="1"/>
  <c r="C18089" i="1"/>
  <c r="C18088" i="1"/>
  <c r="C18087" i="1"/>
  <c r="C18086" i="1"/>
  <c r="C18085" i="1"/>
  <c r="C18084" i="1"/>
  <c r="C18083" i="1"/>
  <c r="C18082" i="1"/>
  <c r="C18081" i="1"/>
  <c r="C18080" i="1"/>
  <c r="C18079" i="1"/>
  <c r="C18078" i="1"/>
  <c r="C18077" i="1"/>
  <c r="C18076" i="1"/>
  <c r="C18075" i="1"/>
  <c r="C18074" i="1"/>
  <c r="C18073" i="1"/>
  <c r="C18072" i="1"/>
  <c r="C18071" i="1"/>
  <c r="C18070" i="1"/>
  <c r="C18069" i="1"/>
  <c r="C18068" i="1"/>
  <c r="C18067" i="1"/>
  <c r="C18066" i="1"/>
  <c r="C18065" i="1"/>
  <c r="C18064" i="1"/>
  <c r="C18063" i="1"/>
  <c r="C18062" i="1"/>
  <c r="C18061" i="1"/>
  <c r="C18060" i="1"/>
  <c r="C18059" i="1"/>
  <c r="C18058" i="1"/>
  <c r="C18057" i="1"/>
  <c r="C18056" i="1"/>
  <c r="C18055" i="1"/>
  <c r="C18054" i="1"/>
  <c r="C18053" i="1"/>
  <c r="C18052" i="1"/>
  <c r="C18051" i="1"/>
  <c r="C18050" i="1"/>
  <c r="C18049" i="1"/>
  <c r="C18048" i="1"/>
  <c r="C18047" i="1"/>
  <c r="C18046" i="1"/>
  <c r="C18045" i="1"/>
  <c r="C18044" i="1"/>
  <c r="C18043" i="1"/>
  <c r="C18042" i="1"/>
  <c r="C18041" i="1"/>
  <c r="C18040" i="1"/>
  <c r="C18039" i="1"/>
  <c r="C18038" i="1"/>
  <c r="C18037" i="1"/>
  <c r="C18036" i="1"/>
  <c r="C18035" i="1"/>
  <c r="C18034" i="1"/>
  <c r="C18033" i="1"/>
  <c r="C18032" i="1"/>
  <c r="C18031" i="1"/>
  <c r="C18030" i="1"/>
  <c r="C18029" i="1"/>
  <c r="C18028" i="1"/>
  <c r="C18027" i="1"/>
  <c r="C18026" i="1"/>
  <c r="C18025" i="1"/>
  <c r="C18024" i="1"/>
  <c r="C18023" i="1"/>
  <c r="C18022" i="1"/>
  <c r="C18021" i="1"/>
  <c r="C18020" i="1"/>
  <c r="C18019" i="1"/>
  <c r="C18018" i="1"/>
  <c r="C18017" i="1"/>
  <c r="C18016" i="1"/>
  <c r="C18015" i="1"/>
  <c r="C18014" i="1"/>
  <c r="C18013" i="1"/>
  <c r="C18012" i="1"/>
  <c r="C18011" i="1"/>
  <c r="C18010" i="1"/>
  <c r="C18009" i="1"/>
  <c r="C18008" i="1"/>
  <c r="C18007" i="1"/>
  <c r="C18006" i="1"/>
  <c r="C18005" i="1"/>
  <c r="C18004" i="1"/>
  <c r="C18003" i="1"/>
  <c r="C18002" i="1"/>
  <c r="C18001" i="1"/>
  <c r="C18000" i="1"/>
  <c r="C17999" i="1"/>
  <c r="C17998" i="1"/>
  <c r="C17997" i="1"/>
  <c r="C17996" i="1"/>
  <c r="C17995" i="1"/>
  <c r="C17994" i="1"/>
  <c r="C17993" i="1"/>
  <c r="C17992" i="1"/>
  <c r="C17991" i="1"/>
  <c r="C17990" i="1"/>
  <c r="C17989" i="1"/>
  <c r="C17988" i="1"/>
  <c r="C17987" i="1"/>
  <c r="C17986" i="1"/>
  <c r="C17985" i="1"/>
  <c r="C17984" i="1"/>
  <c r="C17983" i="1"/>
  <c r="C17982" i="1"/>
  <c r="C17981" i="1"/>
  <c r="C17980" i="1"/>
  <c r="C17979" i="1"/>
  <c r="C17978" i="1"/>
  <c r="C17977" i="1"/>
  <c r="C17976" i="1"/>
  <c r="C17975" i="1"/>
  <c r="C17974" i="1"/>
  <c r="C17973" i="1"/>
  <c r="C17972" i="1"/>
  <c r="C17971" i="1"/>
  <c r="C17970" i="1"/>
  <c r="C17969" i="1"/>
  <c r="C17968" i="1"/>
  <c r="C17967" i="1"/>
  <c r="C17966" i="1"/>
  <c r="C17965" i="1"/>
  <c r="C17964" i="1"/>
  <c r="C17963" i="1"/>
  <c r="C17962" i="1"/>
  <c r="C17961" i="1"/>
  <c r="C17960" i="1"/>
  <c r="C17959" i="1"/>
  <c r="C17958" i="1"/>
  <c r="C17957" i="1"/>
  <c r="C17956" i="1"/>
  <c r="C17955" i="1"/>
  <c r="C17954" i="1"/>
  <c r="C17953" i="1"/>
  <c r="C17952" i="1"/>
  <c r="C17951" i="1"/>
  <c r="C17950" i="1"/>
  <c r="C17949" i="1"/>
  <c r="C17948" i="1"/>
  <c r="C17947" i="1"/>
  <c r="C17946" i="1"/>
  <c r="C17945" i="1"/>
  <c r="C17944" i="1"/>
  <c r="C17943" i="1"/>
  <c r="C17942" i="1"/>
  <c r="C17941" i="1"/>
  <c r="C17940" i="1"/>
  <c r="C17939" i="1"/>
  <c r="C17938" i="1"/>
  <c r="C17937" i="1"/>
  <c r="C17936" i="1"/>
  <c r="C17935" i="1"/>
  <c r="C17934" i="1"/>
  <c r="C17933" i="1"/>
  <c r="C17932" i="1"/>
  <c r="C17931" i="1"/>
  <c r="C17930" i="1"/>
  <c r="C17929" i="1"/>
  <c r="C17928" i="1"/>
  <c r="C17927" i="1"/>
  <c r="C17926" i="1"/>
  <c r="C17925" i="1"/>
  <c r="C17924" i="1"/>
  <c r="C17923" i="1"/>
  <c r="C17922" i="1"/>
  <c r="C17921" i="1"/>
  <c r="C17920" i="1"/>
  <c r="C17919" i="1"/>
  <c r="C17918" i="1"/>
  <c r="C17917" i="1"/>
  <c r="C17916" i="1"/>
  <c r="C17915" i="1"/>
  <c r="C17914" i="1"/>
  <c r="C17913" i="1"/>
  <c r="C17912" i="1"/>
  <c r="C17911" i="1"/>
  <c r="C17910" i="1"/>
  <c r="C17909" i="1"/>
  <c r="C17908" i="1"/>
  <c r="C17907" i="1"/>
  <c r="C17906" i="1"/>
  <c r="C17905" i="1"/>
  <c r="C17904" i="1"/>
  <c r="C17903" i="1"/>
  <c r="C17902" i="1"/>
  <c r="C17901" i="1"/>
  <c r="C17900" i="1"/>
  <c r="C17899" i="1"/>
  <c r="C17898" i="1"/>
  <c r="C17897" i="1"/>
  <c r="C17896" i="1"/>
  <c r="C17895" i="1"/>
  <c r="C17894" i="1"/>
  <c r="C17893" i="1"/>
  <c r="C17892" i="1"/>
  <c r="C17891" i="1"/>
  <c r="C17890" i="1"/>
  <c r="C17889" i="1"/>
  <c r="C17888" i="1"/>
  <c r="C17887" i="1"/>
  <c r="C17886" i="1"/>
  <c r="C17885" i="1"/>
  <c r="C17884" i="1"/>
  <c r="C17883" i="1"/>
  <c r="C17882" i="1"/>
  <c r="C17881" i="1"/>
  <c r="C17880" i="1"/>
  <c r="C17879" i="1"/>
  <c r="C17878" i="1"/>
  <c r="C17877" i="1"/>
  <c r="C17876" i="1"/>
  <c r="C17875" i="1"/>
  <c r="C17874" i="1"/>
  <c r="C17873" i="1"/>
  <c r="C17872" i="1"/>
  <c r="C17871" i="1"/>
  <c r="C17870" i="1"/>
  <c r="C17869" i="1"/>
  <c r="C17868" i="1"/>
  <c r="C17867" i="1"/>
  <c r="C17866" i="1"/>
  <c r="C17865" i="1"/>
  <c r="C17864" i="1"/>
  <c r="C17863" i="1"/>
  <c r="C17862" i="1"/>
  <c r="C17861" i="1"/>
  <c r="C17860" i="1"/>
  <c r="C17859" i="1"/>
  <c r="C17858" i="1"/>
  <c r="C17857" i="1"/>
  <c r="C17856" i="1"/>
  <c r="C17855" i="1"/>
  <c r="C17854" i="1"/>
  <c r="C17853" i="1"/>
  <c r="C17852" i="1"/>
  <c r="C17851" i="1"/>
  <c r="C17850" i="1"/>
  <c r="C17849" i="1"/>
  <c r="C17848" i="1"/>
  <c r="C17847" i="1"/>
  <c r="C17846" i="1"/>
  <c r="C17845" i="1"/>
  <c r="C17844" i="1"/>
  <c r="C17843" i="1"/>
  <c r="C17842" i="1"/>
  <c r="C17841" i="1"/>
  <c r="C17840" i="1"/>
  <c r="C17839" i="1"/>
  <c r="C17838" i="1"/>
  <c r="C17837" i="1"/>
  <c r="C17836" i="1"/>
  <c r="C17835" i="1"/>
  <c r="C17834" i="1"/>
  <c r="C17833" i="1"/>
  <c r="C17832" i="1"/>
  <c r="C17831" i="1"/>
  <c r="C17830" i="1"/>
  <c r="C17829" i="1"/>
  <c r="C17828" i="1"/>
  <c r="C17827" i="1"/>
  <c r="C17826" i="1"/>
  <c r="C17825" i="1"/>
  <c r="C17824" i="1"/>
  <c r="C17823" i="1"/>
  <c r="C17822" i="1"/>
  <c r="C17821" i="1"/>
  <c r="C17820" i="1"/>
  <c r="C17819" i="1"/>
  <c r="C17818" i="1"/>
  <c r="C17817" i="1"/>
  <c r="C17816" i="1"/>
  <c r="C17815" i="1"/>
  <c r="C17814" i="1"/>
  <c r="C17813" i="1"/>
  <c r="C17812" i="1"/>
  <c r="C17811" i="1"/>
  <c r="C17810" i="1"/>
  <c r="C17809" i="1"/>
  <c r="C17808" i="1"/>
  <c r="C17807" i="1"/>
  <c r="C17806" i="1"/>
  <c r="C17805" i="1"/>
  <c r="C17804" i="1"/>
  <c r="C17803" i="1"/>
  <c r="C17802" i="1"/>
  <c r="C17801" i="1"/>
  <c r="C17800" i="1"/>
  <c r="C17799" i="1"/>
  <c r="C17798" i="1"/>
  <c r="C17797" i="1"/>
  <c r="C17796" i="1"/>
  <c r="C17795" i="1"/>
  <c r="C17794" i="1"/>
  <c r="C17793" i="1"/>
  <c r="C17792" i="1"/>
  <c r="C17791" i="1"/>
  <c r="C17790" i="1"/>
  <c r="C17789" i="1"/>
  <c r="C17788" i="1"/>
  <c r="C17787" i="1"/>
  <c r="C17786" i="1"/>
  <c r="C17785" i="1"/>
  <c r="C17784" i="1"/>
  <c r="C17783" i="1"/>
  <c r="C17782" i="1"/>
  <c r="C17781" i="1"/>
  <c r="C17780" i="1"/>
  <c r="C17779" i="1"/>
  <c r="C17778" i="1"/>
  <c r="C17777" i="1"/>
  <c r="C17776" i="1"/>
  <c r="C17775" i="1"/>
  <c r="C17774" i="1"/>
  <c r="C17773" i="1"/>
  <c r="C17772" i="1"/>
  <c r="C17771" i="1"/>
  <c r="C17770" i="1"/>
  <c r="C17769" i="1"/>
  <c r="C17768" i="1"/>
  <c r="C17767" i="1"/>
  <c r="C17766" i="1"/>
  <c r="C17765" i="1"/>
  <c r="C17764" i="1"/>
  <c r="C17763" i="1"/>
  <c r="C17762" i="1"/>
  <c r="C17761" i="1"/>
  <c r="C17760" i="1"/>
  <c r="C17759" i="1"/>
  <c r="C17758" i="1"/>
  <c r="C17757" i="1"/>
  <c r="C17756" i="1"/>
  <c r="C17755" i="1"/>
  <c r="C17754" i="1"/>
  <c r="C17753" i="1"/>
  <c r="C17752" i="1"/>
  <c r="C17751" i="1"/>
  <c r="C17750" i="1"/>
  <c r="C17749" i="1"/>
  <c r="C17748" i="1"/>
  <c r="C17747" i="1"/>
  <c r="C17746" i="1"/>
  <c r="C17745" i="1"/>
  <c r="C17744" i="1"/>
  <c r="C17743" i="1"/>
  <c r="C17742" i="1"/>
  <c r="C17741" i="1"/>
  <c r="C17740" i="1"/>
  <c r="C17739" i="1"/>
  <c r="C17738" i="1"/>
  <c r="C17737" i="1"/>
  <c r="C17736" i="1"/>
  <c r="C17735" i="1"/>
  <c r="C17734" i="1"/>
  <c r="C17733" i="1"/>
  <c r="C17732" i="1"/>
  <c r="C17731" i="1"/>
  <c r="C17730" i="1"/>
  <c r="C17729" i="1"/>
  <c r="C17728" i="1"/>
  <c r="C17727" i="1"/>
  <c r="C17726" i="1"/>
  <c r="C17725" i="1"/>
  <c r="C17724" i="1"/>
  <c r="C17723" i="1"/>
  <c r="C17722" i="1"/>
  <c r="C17721" i="1"/>
  <c r="C17720" i="1"/>
  <c r="C17719" i="1"/>
  <c r="C17718" i="1"/>
  <c r="C17717" i="1"/>
  <c r="C17716" i="1"/>
  <c r="C17715" i="1"/>
  <c r="C17714" i="1"/>
  <c r="C17713" i="1"/>
  <c r="C17712" i="1"/>
  <c r="C17711" i="1"/>
  <c r="C17710" i="1"/>
  <c r="C17709" i="1"/>
  <c r="C17708" i="1"/>
  <c r="C17707" i="1"/>
  <c r="C17706" i="1"/>
  <c r="C17705" i="1"/>
  <c r="C17704" i="1"/>
  <c r="C17703" i="1"/>
  <c r="C17702" i="1"/>
  <c r="C17701" i="1"/>
  <c r="C17700" i="1"/>
  <c r="C17699" i="1"/>
  <c r="C17698" i="1"/>
  <c r="C17697" i="1"/>
  <c r="C17696" i="1"/>
  <c r="C17695" i="1"/>
  <c r="C17694" i="1"/>
  <c r="C17693" i="1"/>
  <c r="C17692" i="1"/>
  <c r="C17691" i="1"/>
  <c r="C17690" i="1"/>
  <c r="C17689" i="1"/>
  <c r="C17688" i="1"/>
  <c r="C17687" i="1"/>
  <c r="C17686" i="1"/>
  <c r="C17685" i="1"/>
  <c r="C17684" i="1"/>
  <c r="C17683" i="1"/>
  <c r="C17682" i="1"/>
  <c r="C17681" i="1"/>
  <c r="C17680" i="1"/>
  <c r="C17679" i="1"/>
  <c r="C17678" i="1"/>
  <c r="C17677" i="1"/>
  <c r="C17676" i="1"/>
  <c r="C17675" i="1"/>
  <c r="C17674" i="1"/>
  <c r="C17673" i="1"/>
  <c r="C17672" i="1"/>
  <c r="C17671" i="1"/>
  <c r="C17670" i="1"/>
  <c r="C17669" i="1"/>
  <c r="C17668" i="1"/>
  <c r="C17667" i="1"/>
  <c r="C17666" i="1"/>
  <c r="C17665" i="1"/>
  <c r="C17664" i="1"/>
  <c r="C17663" i="1"/>
  <c r="C17662" i="1"/>
  <c r="C17661" i="1"/>
  <c r="C17660" i="1"/>
  <c r="C17659" i="1"/>
  <c r="C17658" i="1"/>
  <c r="C17657" i="1"/>
  <c r="C17656" i="1"/>
  <c r="C17655" i="1"/>
  <c r="C17654" i="1"/>
  <c r="C17653" i="1"/>
  <c r="C17652" i="1"/>
  <c r="C17651" i="1"/>
  <c r="C17650" i="1"/>
  <c r="C17649" i="1"/>
  <c r="C17648" i="1"/>
  <c r="C17647" i="1"/>
  <c r="C17646" i="1"/>
  <c r="C17645" i="1"/>
  <c r="C17644" i="1"/>
  <c r="C17643" i="1"/>
  <c r="C17642" i="1"/>
  <c r="C17641" i="1"/>
  <c r="C17640" i="1"/>
  <c r="C17639" i="1"/>
  <c r="C17638" i="1"/>
  <c r="C17637" i="1"/>
  <c r="C17636" i="1"/>
  <c r="C17635" i="1"/>
  <c r="C17634" i="1"/>
  <c r="C17633" i="1"/>
  <c r="C17632" i="1"/>
  <c r="C17631" i="1"/>
  <c r="C17630" i="1"/>
  <c r="C17629" i="1"/>
  <c r="C17628" i="1"/>
  <c r="C17627" i="1"/>
  <c r="C17626" i="1"/>
  <c r="C17625" i="1"/>
  <c r="C17624" i="1"/>
  <c r="C17623" i="1"/>
  <c r="C17622" i="1"/>
  <c r="C17621" i="1"/>
  <c r="C17620" i="1"/>
  <c r="C17619" i="1"/>
  <c r="C17618" i="1"/>
  <c r="C17617" i="1"/>
  <c r="C17616" i="1"/>
  <c r="C17615" i="1"/>
  <c r="C17614" i="1"/>
  <c r="C17613" i="1"/>
  <c r="C17612" i="1"/>
  <c r="C17611" i="1"/>
  <c r="C17610" i="1"/>
  <c r="C17609" i="1"/>
  <c r="C17608" i="1"/>
  <c r="C17607" i="1"/>
  <c r="C17606" i="1"/>
  <c r="C17605" i="1"/>
  <c r="C17604" i="1"/>
  <c r="C17603" i="1"/>
  <c r="C17602" i="1"/>
  <c r="C17601" i="1"/>
  <c r="C17600" i="1"/>
  <c r="C17599" i="1"/>
  <c r="C17598" i="1"/>
  <c r="C17597" i="1"/>
  <c r="C17596" i="1"/>
  <c r="C17595" i="1"/>
  <c r="C17594" i="1"/>
  <c r="C17593" i="1"/>
  <c r="C17592" i="1"/>
  <c r="C17591" i="1"/>
  <c r="C17590" i="1"/>
  <c r="C17589" i="1"/>
  <c r="C17588" i="1"/>
  <c r="C17587" i="1"/>
  <c r="C17586" i="1"/>
  <c r="C17585" i="1"/>
  <c r="C17584" i="1"/>
  <c r="C17583" i="1"/>
  <c r="C17582" i="1"/>
  <c r="C17581" i="1"/>
  <c r="C17580" i="1"/>
  <c r="C17579" i="1"/>
  <c r="C17578" i="1"/>
  <c r="C17577" i="1"/>
  <c r="C17576" i="1"/>
  <c r="C17575" i="1"/>
  <c r="C17574" i="1"/>
  <c r="C17573" i="1"/>
  <c r="C17572" i="1"/>
  <c r="C17571" i="1"/>
  <c r="C17570" i="1"/>
  <c r="C17569" i="1"/>
  <c r="C17568" i="1"/>
  <c r="C17567" i="1"/>
  <c r="C17566" i="1"/>
  <c r="C17565" i="1"/>
  <c r="C17564" i="1"/>
  <c r="C17563" i="1"/>
  <c r="C17562" i="1"/>
  <c r="C17561" i="1"/>
  <c r="C17560" i="1"/>
  <c r="C17559" i="1"/>
  <c r="C17558" i="1"/>
  <c r="C17557" i="1"/>
  <c r="C17556" i="1"/>
  <c r="C17555" i="1"/>
  <c r="C17554" i="1"/>
  <c r="C17553" i="1"/>
  <c r="C17552" i="1"/>
  <c r="C17551" i="1"/>
  <c r="C17550" i="1"/>
  <c r="C17549" i="1"/>
  <c r="C17548" i="1"/>
  <c r="C17547" i="1"/>
  <c r="C17546" i="1"/>
  <c r="C17545" i="1"/>
  <c r="C17544" i="1"/>
  <c r="C17543" i="1"/>
  <c r="C17542" i="1"/>
  <c r="C17541" i="1"/>
  <c r="C17540" i="1"/>
  <c r="C17539" i="1"/>
  <c r="C17538" i="1"/>
  <c r="C17537" i="1"/>
  <c r="C17536" i="1"/>
  <c r="C17535" i="1"/>
  <c r="C17534" i="1"/>
  <c r="C17533" i="1"/>
  <c r="C17532" i="1"/>
  <c r="C17531" i="1"/>
  <c r="C17530" i="1"/>
  <c r="C17529" i="1"/>
  <c r="C17528" i="1"/>
  <c r="C17527" i="1"/>
  <c r="C17526" i="1"/>
  <c r="C17525" i="1"/>
  <c r="C17524" i="1"/>
  <c r="C17523" i="1"/>
  <c r="C17522" i="1"/>
  <c r="C17521" i="1"/>
  <c r="C17520" i="1"/>
  <c r="C17519" i="1"/>
  <c r="C17518" i="1"/>
  <c r="C17517" i="1"/>
  <c r="C17516" i="1"/>
  <c r="C17515" i="1"/>
  <c r="C17514" i="1"/>
  <c r="C17513" i="1"/>
  <c r="C17512" i="1"/>
  <c r="C17511" i="1"/>
  <c r="C17510" i="1"/>
  <c r="C17509" i="1"/>
  <c r="C17508" i="1"/>
  <c r="C17507" i="1"/>
  <c r="C17506" i="1"/>
  <c r="C17505" i="1"/>
  <c r="C17504" i="1"/>
  <c r="C17503" i="1"/>
  <c r="C17502" i="1"/>
  <c r="C17501" i="1"/>
  <c r="C17500" i="1"/>
  <c r="C17499" i="1"/>
  <c r="C17498" i="1"/>
  <c r="C17497" i="1"/>
  <c r="C17496" i="1"/>
  <c r="C17495" i="1"/>
  <c r="C17494" i="1"/>
  <c r="C17493" i="1"/>
  <c r="C17492" i="1"/>
  <c r="C17491" i="1"/>
  <c r="C17490" i="1"/>
  <c r="C17489" i="1"/>
  <c r="C17488" i="1"/>
  <c r="C17487" i="1"/>
  <c r="C17486" i="1"/>
  <c r="C17485" i="1"/>
  <c r="C17484" i="1"/>
  <c r="C17483" i="1"/>
  <c r="C17482" i="1"/>
  <c r="C17481" i="1"/>
  <c r="C17480" i="1"/>
  <c r="C17479" i="1"/>
  <c r="C17478" i="1"/>
  <c r="C17477" i="1"/>
  <c r="C17476" i="1"/>
  <c r="C17475" i="1"/>
  <c r="C17474" i="1"/>
  <c r="C17473" i="1"/>
  <c r="C17472" i="1"/>
  <c r="C17471" i="1"/>
  <c r="C17470" i="1"/>
  <c r="C17469" i="1"/>
  <c r="C17468" i="1"/>
  <c r="C17467" i="1"/>
  <c r="C17466" i="1"/>
  <c r="C17465" i="1"/>
  <c r="C17464" i="1"/>
  <c r="C17463" i="1"/>
  <c r="C17462" i="1"/>
  <c r="C17461" i="1"/>
  <c r="C17460" i="1"/>
  <c r="C17459" i="1"/>
  <c r="C17458" i="1"/>
  <c r="C17457" i="1"/>
  <c r="C17456" i="1"/>
  <c r="C17455" i="1"/>
  <c r="C17454" i="1"/>
  <c r="C17453" i="1"/>
  <c r="C17452" i="1"/>
  <c r="C17451" i="1"/>
  <c r="C17450" i="1"/>
  <c r="C17449" i="1"/>
  <c r="C17448" i="1"/>
  <c r="C17447" i="1"/>
  <c r="C17446" i="1"/>
  <c r="C17445" i="1"/>
  <c r="C17444" i="1"/>
  <c r="C17443" i="1"/>
  <c r="C17442" i="1"/>
  <c r="C17441" i="1"/>
  <c r="C17440" i="1"/>
  <c r="C17439" i="1"/>
  <c r="C17438" i="1"/>
  <c r="C17437" i="1"/>
  <c r="C17436" i="1"/>
  <c r="C17435" i="1"/>
  <c r="C17434" i="1"/>
  <c r="C17433" i="1"/>
  <c r="C17432" i="1"/>
  <c r="C17431" i="1"/>
  <c r="C17430" i="1"/>
  <c r="C17429" i="1"/>
  <c r="C17428" i="1"/>
  <c r="C17427" i="1"/>
  <c r="C17426" i="1"/>
  <c r="C17425" i="1"/>
  <c r="C17424" i="1"/>
  <c r="C17423" i="1"/>
  <c r="C17422" i="1"/>
  <c r="C17421" i="1"/>
  <c r="C17420" i="1"/>
  <c r="C17419" i="1"/>
  <c r="C17418" i="1"/>
  <c r="C17417" i="1"/>
  <c r="C17416" i="1"/>
  <c r="C17415" i="1"/>
  <c r="C17414" i="1"/>
  <c r="C17413" i="1"/>
  <c r="C17412" i="1"/>
  <c r="C17411" i="1"/>
  <c r="C17410" i="1"/>
  <c r="C17409" i="1"/>
  <c r="C17408" i="1"/>
  <c r="C17407" i="1"/>
  <c r="C17406" i="1"/>
  <c r="C17405" i="1"/>
  <c r="C17404" i="1"/>
  <c r="C17403" i="1"/>
  <c r="C17402" i="1"/>
  <c r="C17401" i="1"/>
  <c r="C17400" i="1"/>
  <c r="C17399" i="1"/>
  <c r="C17398" i="1"/>
  <c r="C17397" i="1"/>
  <c r="C17396" i="1"/>
  <c r="C17395" i="1"/>
  <c r="C17394" i="1"/>
  <c r="C17393" i="1"/>
  <c r="C17392" i="1"/>
  <c r="C17391" i="1"/>
  <c r="C17390" i="1"/>
  <c r="C17389" i="1"/>
  <c r="C17388" i="1"/>
  <c r="C17387" i="1"/>
  <c r="C17386" i="1"/>
  <c r="C17385" i="1"/>
  <c r="C17384" i="1"/>
  <c r="C17383" i="1"/>
  <c r="C17382" i="1"/>
  <c r="C17381" i="1"/>
  <c r="C17380" i="1"/>
  <c r="C17379" i="1"/>
  <c r="C17378" i="1"/>
  <c r="C17377" i="1"/>
  <c r="C17376" i="1"/>
  <c r="C17375" i="1"/>
  <c r="C17374" i="1"/>
  <c r="C17373" i="1"/>
  <c r="C17372" i="1"/>
  <c r="C17371" i="1"/>
  <c r="C17370" i="1"/>
  <c r="C17369" i="1"/>
  <c r="C17368" i="1"/>
  <c r="C17367" i="1"/>
  <c r="C17366" i="1"/>
  <c r="C17365" i="1"/>
  <c r="C17364" i="1"/>
  <c r="C17363" i="1"/>
  <c r="C17362" i="1"/>
  <c r="C17361" i="1"/>
  <c r="C17360" i="1"/>
  <c r="C17359" i="1"/>
  <c r="C17358" i="1"/>
  <c r="C17357" i="1"/>
  <c r="C17356" i="1"/>
  <c r="C17355" i="1"/>
  <c r="C17354" i="1"/>
  <c r="C17353" i="1"/>
  <c r="C17352" i="1"/>
  <c r="C17351" i="1"/>
  <c r="C17350" i="1"/>
  <c r="C17349" i="1"/>
  <c r="C17348" i="1"/>
  <c r="C17347" i="1"/>
  <c r="C17346" i="1"/>
  <c r="C17345" i="1"/>
  <c r="C17344" i="1"/>
  <c r="C17343" i="1"/>
  <c r="C17342" i="1"/>
  <c r="C17341" i="1"/>
  <c r="C17340" i="1"/>
  <c r="C17339" i="1"/>
  <c r="C17338" i="1"/>
  <c r="C17337" i="1"/>
  <c r="C17336" i="1"/>
  <c r="C17335" i="1"/>
  <c r="C17334" i="1"/>
  <c r="C17333" i="1"/>
  <c r="C17332" i="1"/>
  <c r="C17331" i="1"/>
  <c r="C17330" i="1"/>
  <c r="C17329" i="1"/>
  <c r="C17328" i="1"/>
  <c r="C17327" i="1"/>
  <c r="C17326" i="1"/>
  <c r="C17325" i="1"/>
  <c r="C17324" i="1"/>
  <c r="C17323" i="1"/>
  <c r="C17322" i="1"/>
  <c r="C17321" i="1"/>
  <c r="C17320" i="1"/>
  <c r="C17319" i="1"/>
  <c r="C17318" i="1"/>
  <c r="C17317" i="1"/>
  <c r="C17316" i="1"/>
  <c r="C17315" i="1"/>
  <c r="C17314" i="1"/>
  <c r="C17313" i="1"/>
  <c r="C17312" i="1"/>
  <c r="C17311" i="1"/>
  <c r="C17310" i="1"/>
  <c r="C17309" i="1"/>
  <c r="C17308" i="1"/>
  <c r="C17307" i="1"/>
  <c r="C17306" i="1"/>
  <c r="C17305" i="1"/>
  <c r="C17304" i="1"/>
  <c r="C17303" i="1"/>
  <c r="C17302" i="1"/>
  <c r="C17301" i="1"/>
  <c r="C17300" i="1"/>
  <c r="C17299" i="1"/>
  <c r="C17298" i="1"/>
  <c r="C17297" i="1"/>
  <c r="C17296" i="1"/>
  <c r="C17295" i="1"/>
  <c r="C17294" i="1"/>
  <c r="C17293" i="1"/>
  <c r="C17292" i="1"/>
  <c r="C17291" i="1"/>
  <c r="C17290" i="1"/>
  <c r="C17289" i="1"/>
  <c r="C17288" i="1"/>
  <c r="C17287" i="1"/>
  <c r="C17286" i="1"/>
  <c r="C17285" i="1"/>
  <c r="C17284" i="1"/>
  <c r="C17283" i="1"/>
  <c r="C17282" i="1"/>
  <c r="C17281" i="1"/>
  <c r="C17280" i="1"/>
  <c r="C17279" i="1"/>
  <c r="C17278" i="1"/>
  <c r="C17277" i="1"/>
  <c r="C17276" i="1"/>
  <c r="C17275" i="1"/>
  <c r="C17274" i="1"/>
  <c r="C17273" i="1"/>
  <c r="C17272" i="1"/>
  <c r="C17271" i="1"/>
  <c r="C17270" i="1"/>
  <c r="C17269" i="1"/>
  <c r="C17268" i="1"/>
  <c r="C17267" i="1"/>
  <c r="C17266" i="1"/>
  <c r="C17265" i="1"/>
  <c r="C17264" i="1"/>
  <c r="C17263" i="1"/>
  <c r="C17262" i="1"/>
  <c r="C17261" i="1"/>
  <c r="C17260" i="1"/>
  <c r="C17259" i="1"/>
  <c r="C17258" i="1"/>
  <c r="C17257" i="1"/>
  <c r="C17256" i="1"/>
  <c r="C17255" i="1"/>
  <c r="C17254" i="1"/>
  <c r="C17253" i="1"/>
  <c r="C17252" i="1"/>
  <c r="C17251" i="1"/>
  <c r="C17250" i="1"/>
  <c r="C17249" i="1"/>
  <c r="C17248" i="1"/>
  <c r="C17247" i="1"/>
  <c r="C17246" i="1"/>
  <c r="C17245" i="1"/>
  <c r="C17244" i="1"/>
  <c r="C17243" i="1"/>
  <c r="C17242" i="1"/>
  <c r="C17241" i="1"/>
  <c r="C17240" i="1"/>
  <c r="C17239" i="1"/>
  <c r="C17238" i="1"/>
  <c r="C17237" i="1"/>
  <c r="C17236" i="1"/>
  <c r="C17235" i="1"/>
  <c r="C17234" i="1"/>
  <c r="C17233" i="1"/>
  <c r="C17232" i="1"/>
  <c r="C17231" i="1"/>
  <c r="C17230" i="1"/>
  <c r="C17229" i="1"/>
  <c r="C17228" i="1"/>
  <c r="C17227" i="1"/>
  <c r="C17226" i="1"/>
  <c r="C17225" i="1"/>
  <c r="C17224" i="1"/>
  <c r="C17223" i="1"/>
  <c r="C17222" i="1"/>
  <c r="C17221" i="1"/>
  <c r="C17220" i="1"/>
  <c r="C17219" i="1"/>
  <c r="C17218" i="1"/>
  <c r="C17217" i="1"/>
  <c r="C17216" i="1"/>
  <c r="C17215" i="1"/>
  <c r="C17214" i="1"/>
  <c r="C17213" i="1"/>
  <c r="C17212" i="1"/>
  <c r="C17211" i="1"/>
  <c r="C17210" i="1"/>
  <c r="C17209" i="1"/>
  <c r="C17208" i="1"/>
  <c r="C17207" i="1"/>
  <c r="C17206" i="1"/>
  <c r="C17205" i="1"/>
  <c r="C17204" i="1"/>
  <c r="C17203" i="1"/>
  <c r="C17202" i="1"/>
  <c r="C17201" i="1"/>
  <c r="C17200" i="1"/>
  <c r="C17199" i="1"/>
  <c r="C17198" i="1"/>
  <c r="C17197" i="1"/>
  <c r="C17196" i="1"/>
  <c r="C17195" i="1"/>
  <c r="C17194" i="1"/>
  <c r="C17193" i="1"/>
  <c r="C17192" i="1"/>
  <c r="C17191" i="1"/>
  <c r="C17190" i="1"/>
  <c r="C17189" i="1"/>
  <c r="C17188" i="1"/>
  <c r="C17187" i="1"/>
  <c r="C17186" i="1"/>
  <c r="C17185" i="1"/>
  <c r="C17184" i="1"/>
  <c r="C17183" i="1"/>
  <c r="C17182" i="1"/>
  <c r="C17181" i="1"/>
  <c r="C17180" i="1"/>
  <c r="C17179" i="1"/>
  <c r="C17178" i="1"/>
  <c r="C17177" i="1"/>
  <c r="C17176" i="1"/>
  <c r="C17175" i="1"/>
  <c r="C17174" i="1"/>
  <c r="C17173" i="1"/>
  <c r="C17172" i="1"/>
  <c r="C17171" i="1"/>
  <c r="C17170" i="1"/>
  <c r="C17169" i="1"/>
  <c r="C17168" i="1"/>
  <c r="C17167" i="1"/>
  <c r="C17166" i="1"/>
  <c r="C17165" i="1"/>
  <c r="C17164" i="1"/>
  <c r="C17163" i="1"/>
  <c r="C17162" i="1"/>
  <c r="C17161" i="1"/>
  <c r="C17160" i="1"/>
  <c r="C17159" i="1"/>
  <c r="C17158" i="1"/>
  <c r="C17157" i="1"/>
  <c r="C17156" i="1"/>
  <c r="C17155" i="1"/>
  <c r="C17154" i="1"/>
  <c r="C17153" i="1"/>
  <c r="C17152" i="1"/>
  <c r="C17151" i="1"/>
  <c r="C17150" i="1"/>
  <c r="C17149" i="1"/>
  <c r="C17148" i="1"/>
  <c r="C17147" i="1"/>
  <c r="C17146" i="1"/>
  <c r="C17145" i="1"/>
  <c r="C17144" i="1"/>
  <c r="C17143" i="1"/>
  <c r="C17142" i="1"/>
  <c r="C17141" i="1"/>
  <c r="C17140" i="1"/>
  <c r="C17139" i="1"/>
  <c r="C17138" i="1"/>
  <c r="C17137" i="1"/>
  <c r="C17136" i="1"/>
  <c r="C17135" i="1"/>
  <c r="C17134" i="1"/>
  <c r="C17133" i="1"/>
  <c r="C17132" i="1"/>
  <c r="C17131" i="1"/>
  <c r="C17130" i="1"/>
  <c r="C17129" i="1"/>
  <c r="C17128" i="1"/>
  <c r="C17127" i="1"/>
  <c r="C17126" i="1"/>
  <c r="C17125" i="1"/>
  <c r="C17124" i="1"/>
  <c r="C17123" i="1"/>
  <c r="C17122" i="1"/>
  <c r="C17121" i="1"/>
  <c r="C17120" i="1"/>
  <c r="C17119" i="1"/>
  <c r="C17118" i="1"/>
  <c r="C17117" i="1"/>
  <c r="C17116" i="1"/>
  <c r="C17115" i="1"/>
  <c r="C17114" i="1"/>
  <c r="C17113" i="1"/>
  <c r="C17112" i="1"/>
  <c r="C17111" i="1"/>
  <c r="C17110" i="1"/>
  <c r="C17109" i="1"/>
  <c r="C17108" i="1"/>
  <c r="C17107" i="1"/>
  <c r="C17106" i="1"/>
  <c r="C17105" i="1"/>
  <c r="C17104" i="1"/>
  <c r="C17103" i="1"/>
  <c r="C17102" i="1"/>
  <c r="C17101" i="1"/>
  <c r="C17100" i="1"/>
  <c r="C17099" i="1"/>
  <c r="C17098" i="1"/>
  <c r="C17097" i="1"/>
  <c r="C17096" i="1"/>
  <c r="C17095" i="1"/>
  <c r="C17094" i="1"/>
  <c r="C17093" i="1"/>
  <c r="C17092" i="1"/>
  <c r="C17091" i="1"/>
  <c r="C17090" i="1"/>
  <c r="C17089" i="1"/>
  <c r="C17088" i="1"/>
  <c r="C17087" i="1"/>
  <c r="C17086" i="1"/>
  <c r="C17085" i="1"/>
  <c r="C17084" i="1"/>
  <c r="C17083" i="1"/>
  <c r="C17082" i="1"/>
  <c r="C17081" i="1"/>
  <c r="C17080" i="1"/>
  <c r="C17079" i="1"/>
  <c r="C17078" i="1"/>
  <c r="C17077" i="1"/>
  <c r="C17076" i="1"/>
  <c r="C17075" i="1"/>
  <c r="C17074" i="1"/>
  <c r="C17073" i="1"/>
  <c r="C17072" i="1"/>
  <c r="C17071" i="1"/>
  <c r="C17070" i="1"/>
  <c r="C17069" i="1"/>
  <c r="C17068" i="1"/>
  <c r="C17067" i="1"/>
  <c r="C17066" i="1"/>
  <c r="C17065" i="1"/>
  <c r="C17064" i="1"/>
  <c r="C17063" i="1"/>
  <c r="C17062" i="1"/>
  <c r="C17061" i="1"/>
  <c r="C17060" i="1"/>
  <c r="C17059" i="1"/>
  <c r="C17058" i="1"/>
  <c r="C17057" i="1"/>
  <c r="C17056" i="1"/>
  <c r="C17055" i="1"/>
  <c r="C17054" i="1"/>
  <c r="C17053" i="1"/>
  <c r="C17052" i="1"/>
  <c r="C17051" i="1"/>
  <c r="C17050" i="1"/>
  <c r="C17049" i="1"/>
  <c r="C17048" i="1"/>
  <c r="C17047" i="1"/>
  <c r="C17046" i="1"/>
  <c r="C17045" i="1"/>
  <c r="C17044" i="1"/>
  <c r="C17043" i="1"/>
  <c r="C17042" i="1"/>
  <c r="C17041" i="1"/>
  <c r="C17040" i="1"/>
  <c r="C17039" i="1"/>
  <c r="C17038" i="1"/>
  <c r="C17037" i="1"/>
  <c r="C17036" i="1"/>
  <c r="C17035" i="1"/>
  <c r="C17034" i="1"/>
  <c r="C17033" i="1"/>
  <c r="C17032" i="1"/>
  <c r="C17031" i="1"/>
  <c r="C17030" i="1"/>
  <c r="C17029" i="1"/>
  <c r="C17028" i="1"/>
  <c r="C17027" i="1"/>
  <c r="C17026" i="1"/>
  <c r="C17025" i="1"/>
  <c r="C17024" i="1"/>
  <c r="C17023" i="1"/>
  <c r="C17022" i="1"/>
  <c r="C17021" i="1"/>
  <c r="C17020" i="1"/>
  <c r="C17019" i="1"/>
  <c r="C17018" i="1"/>
  <c r="C17017" i="1"/>
  <c r="C17016" i="1"/>
  <c r="C17015" i="1"/>
  <c r="C17014" i="1"/>
  <c r="C17013" i="1"/>
  <c r="C17012" i="1"/>
  <c r="C17011" i="1"/>
  <c r="C17010" i="1"/>
  <c r="C17009" i="1"/>
  <c r="C17008" i="1"/>
  <c r="C17007" i="1"/>
  <c r="C17006" i="1"/>
  <c r="C17005" i="1"/>
  <c r="C17004" i="1"/>
  <c r="C17003" i="1"/>
  <c r="C17002" i="1"/>
  <c r="C17001" i="1"/>
  <c r="C17000" i="1"/>
  <c r="C16999" i="1"/>
  <c r="C16998" i="1"/>
  <c r="C16997" i="1"/>
  <c r="C16996" i="1"/>
  <c r="C16995" i="1"/>
  <c r="C16994" i="1"/>
  <c r="C16993" i="1"/>
  <c r="C16992" i="1"/>
  <c r="C16991" i="1"/>
  <c r="C16990" i="1"/>
  <c r="C16989" i="1"/>
  <c r="C16988" i="1"/>
  <c r="C16987" i="1"/>
  <c r="C16986" i="1"/>
  <c r="C16985" i="1"/>
  <c r="C16984" i="1"/>
  <c r="C16983" i="1"/>
  <c r="C16982" i="1"/>
  <c r="C16981" i="1"/>
  <c r="C16980" i="1"/>
  <c r="C16979" i="1"/>
  <c r="C16978" i="1"/>
  <c r="C16977" i="1"/>
  <c r="C16976" i="1"/>
  <c r="C16975" i="1"/>
  <c r="C16974" i="1"/>
  <c r="C16973" i="1"/>
  <c r="C16972" i="1"/>
  <c r="C16971" i="1"/>
  <c r="C16970" i="1"/>
  <c r="C16969" i="1"/>
  <c r="C16968" i="1"/>
  <c r="C16967" i="1"/>
  <c r="C16966" i="1"/>
  <c r="C16965" i="1"/>
  <c r="C16964" i="1"/>
  <c r="C16963" i="1"/>
  <c r="C16962" i="1"/>
  <c r="C16961" i="1"/>
  <c r="C16960" i="1"/>
  <c r="C16959" i="1"/>
  <c r="C16958" i="1"/>
  <c r="C16957" i="1"/>
  <c r="C16956" i="1"/>
  <c r="C16955" i="1"/>
  <c r="C16954" i="1"/>
  <c r="C16953" i="1"/>
  <c r="C16952" i="1"/>
  <c r="C16951" i="1"/>
  <c r="C16950" i="1"/>
  <c r="C16949" i="1"/>
  <c r="C16948" i="1"/>
  <c r="C16947" i="1"/>
  <c r="C16946" i="1"/>
  <c r="C16945" i="1"/>
  <c r="C16944" i="1"/>
  <c r="C16943" i="1"/>
  <c r="C16942" i="1"/>
  <c r="C16941" i="1"/>
  <c r="C16940" i="1"/>
  <c r="C16939" i="1"/>
  <c r="C16938" i="1"/>
  <c r="C16937" i="1"/>
  <c r="C16936" i="1"/>
  <c r="C16935" i="1"/>
  <c r="C16934" i="1"/>
  <c r="C16933" i="1"/>
  <c r="C16932" i="1"/>
  <c r="C16931" i="1"/>
  <c r="C16930" i="1"/>
  <c r="C16929" i="1"/>
  <c r="C16928" i="1"/>
  <c r="C16927" i="1"/>
  <c r="C16926" i="1"/>
  <c r="C16925" i="1"/>
  <c r="C16924" i="1"/>
  <c r="C16923" i="1"/>
  <c r="C16922" i="1"/>
  <c r="C16921" i="1"/>
  <c r="C16920" i="1"/>
  <c r="C16919" i="1"/>
  <c r="C16918" i="1"/>
  <c r="C16917" i="1"/>
  <c r="C16916" i="1"/>
  <c r="C16915" i="1"/>
  <c r="C16914" i="1"/>
  <c r="C16913" i="1"/>
  <c r="C16912" i="1"/>
  <c r="C16911" i="1"/>
  <c r="C16910" i="1"/>
  <c r="C16909" i="1"/>
  <c r="C16908" i="1"/>
  <c r="C16907" i="1"/>
  <c r="C16906" i="1"/>
  <c r="C16905" i="1"/>
  <c r="C16904" i="1"/>
  <c r="C16903" i="1"/>
  <c r="C16902" i="1"/>
  <c r="C16901" i="1"/>
  <c r="C16900" i="1"/>
  <c r="C16899" i="1"/>
  <c r="C16898" i="1"/>
  <c r="C16897" i="1"/>
  <c r="C16896" i="1"/>
  <c r="C16895" i="1"/>
  <c r="C16894" i="1"/>
  <c r="C16893" i="1"/>
  <c r="C16892" i="1"/>
  <c r="C16891" i="1"/>
  <c r="C16890" i="1"/>
  <c r="C16889" i="1"/>
  <c r="C16888" i="1"/>
  <c r="C16887" i="1"/>
  <c r="C16886" i="1"/>
  <c r="C16885" i="1"/>
  <c r="C16884" i="1"/>
  <c r="C16883" i="1"/>
  <c r="C16882" i="1"/>
  <c r="C16881" i="1"/>
  <c r="C16880" i="1"/>
  <c r="C16879" i="1"/>
  <c r="C16878" i="1"/>
  <c r="C16877" i="1"/>
  <c r="C16876" i="1"/>
  <c r="C16875" i="1"/>
  <c r="C16874" i="1"/>
  <c r="C16873" i="1"/>
  <c r="C16872" i="1"/>
  <c r="C16871" i="1"/>
  <c r="C16870" i="1"/>
  <c r="C16869" i="1"/>
  <c r="C16868" i="1"/>
  <c r="C16867" i="1"/>
  <c r="C16866" i="1"/>
  <c r="C16865" i="1"/>
  <c r="C16864" i="1"/>
  <c r="C16863" i="1"/>
  <c r="C16862" i="1"/>
  <c r="C16861" i="1"/>
  <c r="C16860" i="1"/>
  <c r="C16859" i="1"/>
  <c r="C16858" i="1"/>
  <c r="C16857" i="1"/>
  <c r="C16856" i="1"/>
  <c r="C16855" i="1"/>
  <c r="C16854" i="1"/>
  <c r="C16853" i="1"/>
  <c r="C16852" i="1"/>
  <c r="C16851" i="1"/>
  <c r="C16850" i="1"/>
  <c r="C16849" i="1"/>
  <c r="C16848" i="1"/>
  <c r="C16847" i="1"/>
  <c r="C16846" i="1"/>
  <c r="C16845" i="1"/>
  <c r="C16844" i="1"/>
  <c r="C16843" i="1"/>
  <c r="C16842" i="1"/>
  <c r="C16841" i="1"/>
  <c r="C16840" i="1"/>
  <c r="C16839" i="1"/>
  <c r="C16838" i="1"/>
  <c r="C16837" i="1"/>
  <c r="C16836" i="1"/>
  <c r="C16835" i="1"/>
  <c r="C16834" i="1"/>
  <c r="C16833" i="1"/>
  <c r="C16832" i="1"/>
  <c r="C16831" i="1"/>
  <c r="C16830" i="1"/>
  <c r="C16829" i="1"/>
  <c r="C16828" i="1"/>
  <c r="C16827" i="1"/>
  <c r="C16826" i="1"/>
  <c r="C16825" i="1"/>
  <c r="C16824" i="1"/>
  <c r="C16823" i="1"/>
  <c r="C16822" i="1"/>
  <c r="C16821" i="1"/>
  <c r="C16820" i="1"/>
  <c r="C16819" i="1"/>
  <c r="C16818" i="1"/>
  <c r="C16817" i="1"/>
  <c r="C16816" i="1"/>
  <c r="C16815" i="1"/>
  <c r="C16814" i="1"/>
  <c r="C16813" i="1"/>
  <c r="C16812" i="1"/>
  <c r="C16811" i="1"/>
  <c r="C16810" i="1"/>
  <c r="C16809" i="1"/>
  <c r="C16808" i="1"/>
  <c r="C16807" i="1"/>
  <c r="C16806" i="1"/>
  <c r="C16805" i="1"/>
  <c r="C16804" i="1"/>
  <c r="C16803" i="1"/>
  <c r="C16802" i="1"/>
  <c r="C16801" i="1"/>
  <c r="C16800" i="1"/>
  <c r="C16799" i="1"/>
  <c r="C16798" i="1"/>
  <c r="C16797" i="1"/>
  <c r="C16796" i="1"/>
  <c r="C16795" i="1"/>
  <c r="C16794" i="1"/>
  <c r="C16793" i="1"/>
  <c r="C16792" i="1"/>
  <c r="C16791" i="1"/>
  <c r="C16790" i="1"/>
  <c r="C16789" i="1"/>
  <c r="C16788" i="1"/>
  <c r="C16787" i="1"/>
  <c r="C16786" i="1"/>
  <c r="C16785" i="1"/>
  <c r="C16784" i="1"/>
  <c r="C16783" i="1"/>
  <c r="C16782" i="1"/>
  <c r="C16781" i="1"/>
  <c r="C16780" i="1"/>
  <c r="C16779" i="1"/>
  <c r="C16778" i="1"/>
  <c r="C16777" i="1"/>
  <c r="C16776" i="1"/>
  <c r="C16775" i="1"/>
  <c r="C16774" i="1"/>
  <c r="C16773" i="1"/>
  <c r="C16772" i="1"/>
  <c r="C16771" i="1"/>
  <c r="C16770" i="1"/>
  <c r="C16769" i="1"/>
  <c r="C16768" i="1"/>
  <c r="C16767" i="1"/>
  <c r="C16766" i="1"/>
  <c r="C16765" i="1"/>
  <c r="C16764" i="1"/>
  <c r="C16763" i="1"/>
  <c r="C16762" i="1"/>
  <c r="C16761" i="1"/>
  <c r="C16760" i="1"/>
  <c r="C16759" i="1"/>
  <c r="C16758" i="1"/>
  <c r="C16757" i="1"/>
  <c r="C16756" i="1"/>
  <c r="C16755" i="1"/>
  <c r="C16754" i="1"/>
  <c r="C16753" i="1"/>
  <c r="C16752" i="1"/>
  <c r="C16751" i="1"/>
  <c r="C16750" i="1"/>
  <c r="C16749" i="1"/>
  <c r="C16748" i="1"/>
  <c r="C16747" i="1"/>
  <c r="C16746" i="1"/>
  <c r="C16745" i="1"/>
  <c r="C16744" i="1"/>
  <c r="C16743" i="1"/>
  <c r="C16742" i="1"/>
  <c r="C16741" i="1"/>
  <c r="C16740" i="1"/>
  <c r="C16739" i="1"/>
  <c r="C16738" i="1"/>
  <c r="C16737" i="1"/>
  <c r="C16736" i="1"/>
  <c r="C16735" i="1"/>
  <c r="C16734" i="1"/>
  <c r="C16733" i="1"/>
  <c r="C16732" i="1"/>
  <c r="C16731" i="1"/>
  <c r="C16730" i="1"/>
  <c r="C16729" i="1"/>
  <c r="C16728" i="1"/>
  <c r="C16727" i="1"/>
  <c r="C16726" i="1"/>
  <c r="C16725" i="1"/>
  <c r="C16724" i="1"/>
  <c r="C16723" i="1"/>
  <c r="C16722" i="1"/>
  <c r="C16721" i="1"/>
  <c r="C16720" i="1"/>
  <c r="C16719" i="1"/>
  <c r="C16718" i="1"/>
  <c r="C16717" i="1"/>
  <c r="C16716" i="1"/>
  <c r="C16715" i="1"/>
  <c r="C16714" i="1"/>
  <c r="C16713" i="1"/>
  <c r="C16712" i="1"/>
  <c r="C16711" i="1"/>
  <c r="C16710" i="1"/>
  <c r="C16709" i="1"/>
  <c r="C16708" i="1"/>
  <c r="C16707" i="1"/>
  <c r="C16706" i="1"/>
  <c r="C16705" i="1"/>
  <c r="C16704" i="1"/>
  <c r="C16703" i="1"/>
  <c r="C16702" i="1"/>
  <c r="C16701" i="1"/>
  <c r="C16700" i="1"/>
  <c r="C16699" i="1"/>
  <c r="C16698" i="1"/>
  <c r="C16697" i="1"/>
  <c r="C16696" i="1"/>
  <c r="C16695" i="1"/>
  <c r="C16694" i="1"/>
  <c r="C16693" i="1"/>
  <c r="C16692" i="1"/>
  <c r="C16691" i="1"/>
  <c r="C16690" i="1"/>
  <c r="C16689" i="1"/>
  <c r="C16688" i="1"/>
  <c r="C16687" i="1"/>
  <c r="C16686" i="1"/>
  <c r="C16685" i="1"/>
  <c r="C16684" i="1"/>
  <c r="C16683" i="1"/>
  <c r="C16682" i="1"/>
  <c r="C16681" i="1"/>
  <c r="C16680" i="1"/>
  <c r="C16679" i="1"/>
  <c r="C16678" i="1"/>
  <c r="C16677" i="1"/>
  <c r="C16676" i="1"/>
  <c r="C16675" i="1"/>
  <c r="C16674" i="1"/>
  <c r="C16673" i="1"/>
  <c r="C16672" i="1"/>
  <c r="C16671" i="1"/>
  <c r="C16670" i="1"/>
  <c r="C16669" i="1"/>
  <c r="C16668" i="1"/>
  <c r="C16667" i="1"/>
  <c r="C16666" i="1"/>
  <c r="C16665" i="1"/>
  <c r="C16664" i="1"/>
  <c r="C16663" i="1"/>
  <c r="C16662" i="1"/>
  <c r="C16661" i="1"/>
  <c r="C16660" i="1"/>
  <c r="C16659" i="1"/>
  <c r="C16658" i="1"/>
  <c r="C16657" i="1"/>
  <c r="C16656" i="1"/>
  <c r="C16655" i="1"/>
  <c r="C16654" i="1"/>
  <c r="C16653" i="1"/>
  <c r="C16652" i="1"/>
  <c r="C16651" i="1"/>
  <c r="C16650" i="1"/>
  <c r="C16649" i="1"/>
  <c r="C16648" i="1"/>
  <c r="C16647" i="1"/>
  <c r="C16646" i="1"/>
  <c r="C16645" i="1"/>
  <c r="C16644" i="1"/>
  <c r="C16643" i="1"/>
  <c r="C16642" i="1"/>
  <c r="C16641" i="1"/>
  <c r="C16640" i="1"/>
  <c r="C16639" i="1"/>
  <c r="C16638" i="1"/>
  <c r="C16637" i="1"/>
  <c r="C16636" i="1"/>
  <c r="C16635" i="1"/>
  <c r="C16634" i="1"/>
  <c r="C16633" i="1"/>
  <c r="C16632" i="1"/>
  <c r="C16631" i="1"/>
  <c r="C16630" i="1"/>
  <c r="C16629" i="1"/>
  <c r="C16628" i="1"/>
  <c r="C16627" i="1"/>
  <c r="C16626" i="1"/>
  <c r="C16625" i="1"/>
  <c r="C16624" i="1"/>
  <c r="C16623" i="1"/>
  <c r="C16622" i="1"/>
  <c r="C16621" i="1"/>
  <c r="C16620" i="1"/>
  <c r="C16619" i="1"/>
  <c r="C16618" i="1"/>
  <c r="C16617" i="1"/>
  <c r="C16616" i="1"/>
  <c r="C16615" i="1"/>
  <c r="C16614" i="1"/>
  <c r="C16613" i="1"/>
  <c r="C16612" i="1"/>
  <c r="C16611" i="1"/>
  <c r="C16610" i="1"/>
  <c r="C16609" i="1"/>
  <c r="C16608" i="1"/>
  <c r="C16607" i="1"/>
  <c r="C16606" i="1"/>
  <c r="C16605" i="1"/>
  <c r="C16604" i="1"/>
  <c r="C16603" i="1"/>
  <c r="C16602" i="1"/>
  <c r="C16601" i="1"/>
  <c r="C16600" i="1"/>
  <c r="C16599" i="1"/>
  <c r="C16598" i="1"/>
  <c r="C16597" i="1"/>
  <c r="C16596" i="1"/>
  <c r="C16595" i="1"/>
  <c r="C16594" i="1"/>
  <c r="C16593" i="1"/>
  <c r="C16592" i="1"/>
  <c r="C16591" i="1"/>
  <c r="C16590" i="1"/>
  <c r="C16589" i="1"/>
  <c r="C16588" i="1"/>
  <c r="C16587" i="1"/>
  <c r="C16586" i="1"/>
  <c r="C16585" i="1"/>
  <c r="C16584" i="1"/>
  <c r="C16583" i="1"/>
  <c r="C16582" i="1"/>
  <c r="C16581" i="1"/>
  <c r="C16580" i="1"/>
  <c r="C16579" i="1"/>
  <c r="C16578" i="1"/>
  <c r="C16577" i="1"/>
  <c r="C16576" i="1"/>
  <c r="C16575" i="1"/>
  <c r="C16574" i="1"/>
  <c r="C16573" i="1"/>
  <c r="C16572" i="1"/>
  <c r="C16571" i="1"/>
  <c r="C16570" i="1"/>
  <c r="C16569" i="1"/>
  <c r="C16568" i="1"/>
  <c r="C16567" i="1"/>
  <c r="C16566" i="1"/>
  <c r="C16565" i="1"/>
  <c r="C16564" i="1"/>
  <c r="C16563" i="1"/>
  <c r="C16562" i="1"/>
  <c r="C16561" i="1"/>
  <c r="C16560" i="1"/>
  <c r="C16559" i="1"/>
  <c r="C16558" i="1"/>
  <c r="C16557" i="1"/>
  <c r="C16556" i="1"/>
  <c r="C16555" i="1"/>
  <c r="C16554" i="1"/>
  <c r="C16553" i="1"/>
  <c r="C16552" i="1"/>
  <c r="C16551" i="1"/>
  <c r="C16550" i="1"/>
  <c r="C16549" i="1"/>
  <c r="C16548" i="1"/>
  <c r="C16547" i="1"/>
  <c r="C16546" i="1"/>
  <c r="C16545" i="1"/>
  <c r="C16544" i="1"/>
  <c r="C16543" i="1"/>
  <c r="C16542" i="1"/>
  <c r="C16541" i="1"/>
  <c r="C16540" i="1"/>
  <c r="C16539" i="1"/>
  <c r="C16538" i="1"/>
  <c r="C16537" i="1"/>
  <c r="C16536" i="1"/>
  <c r="C16535" i="1"/>
  <c r="C16534" i="1"/>
  <c r="C16533" i="1"/>
  <c r="C16532" i="1"/>
  <c r="C16531" i="1"/>
  <c r="C16530" i="1"/>
  <c r="C16529" i="1"/>
  <c r="C16528" i="1"/>
  <c r="C16527" i="1"/>
  <c r="C16526" i="1"/>
  <c r="C16525" i="1"/>
  <c r="C16524" i="1"/>
  <c r="C16523" i="1"/>
  <c r="C16522" i="1"/>
  <c r="C16521" i="1"/>
  <c r="C16520" i="1"/>
  <c r="C16519" i="1"/>
  <c r="C16518" i="1"/>
  <c r="C16517" i="1"/>
  <c r="C16516" i="1"/>
  <c r="C16515" i="1"/>
  <c r="C16514" i="1"/>
  <c r="C16513" i="1"/>
  <c r="C16512" i="1"/>
  <c r="C16511" i="1"/>
  <c r="C16510" i="1"/>
  <c r="C16509" i="1"/>
  <c r="C16508" i="1"/>
  <c r="C16507" i="1"/>
  <c r="C16506" i="1"/>
  <c r="C16505" i="1"/>
  <c r="C16504" i="1"/>
  <c r="C16503" i="1"/>
  <c r="C16502" i="1"/>
  <c r="C16501" i="1"/>
  <c r="C16500" i="1"/>
  <c r="C16499" i="1"/>
  <c r="C16498" i="1"/>
  <c r="C16497" i="1"/>
  <c r="C16496" i="1"/>
  <c r="C16495" i="1"/>
  <c r="C16494" i="1"/>
  <c r="C16493" i="1"/>
  <c r="C16492" i="1"/>
  <c r="C16491" i="1"/>
  <c r="C16490" i="1"/>
  <c r="C16489" i="1"/>
  <c r="C16488" i="1"/>
  <c r="C16487" i="1"/>
  <c r="C16486" i="1"/>
  <c r="C16485" i="1"/>
  <c r="C16484" i="1"/>
  <c r="C16483" i="1"/>
  <c r="C16482" i="1"/>
  <c r="C16481" i="1"/>
  <c r="C16480" i="1"/>
  <c r="C16479" i="1"/>
  <c r="C16478" i="1"/>
  <c r="C16477" i="1"/>
  <c r="C16476" i="1"/>
  <c r="C16475" i="1"/>
  <c r="C16474" i="1"/>
  <c r="C16473" i="1"/>
  <c r="C16472" i="1"/>
  <c r="C16471" i="1"/>
  <c r="C16470" i="1"/>
  <c r="C16469" i="1"/>
  <c r="C16468" i="1"/>
  <c r="C16467" i="1"/>
  <c r="C16466" i="1"/>
  <c r="C16465" i="1"/>
  <c r="C16464" i="1"/>
  <c r="C16463" i="1"/>
  <c r="C16462" i="1"/>
  <c r="C16461" i="1"/>
  <c r="C16460" i="1"/>
  <c r="C16459" i="1"/>
  <c r="C16458" i="1"/>
  <c r="C16457" i="1"/>
  <c r="C16456" i="1"/>
  <c r="C16455" i="1"/>
  <c r="C16454" i="1"/>
  <c r="C16453" i="1"/>
  <c r="C16452" i="1"/>
  <c r="C16451" i="1"/>
  <c r="C16450" i="1"/>
  <c r="C16449" i="1"/>
  <c r="C16448" i="1"/>
  <c r="C16447" i="1"/>
  <c r="C16446" i="1"/>
  <c r="C16445" i="1"/>
  <c r="C16444" i="1"/>
  <c r="C16443" i="1"/>
  <c r="C16442" i="1"/>
  <c r="C16441" i="1"/>
  <c r="C16440" i="1"/>
  <c r="C16439" i="1"/>
  <c r="C16438" i="1"/>
  <c r="C16437" i="1"/>
  <c r="C16436" i="1"/>
  <c r="C16435" i="1"/>
  <c r="C16434" i="1"/>
  <c r="C16433" i="1"/>
  <c r="C16432" i="1"/>
  <c r="C16431" i="1"/>
  <c r="C16430" i="1"/>
  <c r="C16429" i="1"/>
  <c r="C16428" i="1"/>
  <c r="C16427" i="1"/>
  <c r="C16426" i="1"/>
  <c r="C16425" i="1"/>
  <c r="C16424" i="1"/>
  <c r="C16423" i="1"/>
  <c r="C16422" i="1"/>
  <c r="C16421" i="1"/>
  <c r="C16420" i="1"/>
  <c r="C16419" i="1"/>
  <c r="C16418" i="1"/>
  <c r="C16417" i="1"/>
  <c r="C16416" i="1"/>
  <c r="C16415" i="1"/>
  <c r="C16414" i="1"/>
  <c r="C16413" i="1"/>
  <c r="C16412" i="1"/>
  <c r="C16411" i="1"/>
  <c r="C16410" i="1"/>
  <c r="C16409" i="1"/>
  <c r="C16408" i="1"/>
  <c r="C16407" i="1"/>
  <c r="C16406" i="1"/>
  <c r="C16405" i="1"/>
  <c r="C16404" i="1"/>
  <c r="C16403" i="1"/>
  <c r="C16402" i="1"/>
  <c r="C16401" i="1"/>
  <c r="C16400" i="1"/>
  <c r="C16399" i="1"/>
  <c r="C16398" i="1"/>
  <c r="C16397" i="1"/>
  <c r="C16396" i="1"/>
  <c r="C16395" i="1"/>
  <c r="C16394" i="1"/>
  <c r="C16393" i="1"/>
  <c r="C16392" i="1"/>
  <c r="C16391" i="1"/>
  <c r="C16390" i="1"/>
  <c r="C16389" i="1"/>
  <c r="C16388" i="1"/>
  <c r="C16387" i="1"/>
  <c r="C16386" i="1"/>
  <c r="C16385" i="1"/>
  <c r="C16384" i="1"/>
  <c r="C16383" i="1"/>
  <c r="C16382" i="1"/>
  <c r="C16381" i="1"/>
  <c r="C16380" i="1"/>
  <c r="C16379" i="1"/>
  <c r="C16378" i="1"/>
  <c r="C16377" i="1"/>
  <c r="C16376" i="1"/>
  <c r="C16375" i="1"/>
  <c r="C16374" i="1"/>
  <c r="C16373" i="1"/>
  <c r="C16372" i="1"/>
  <c r="C16371" i="1"/>
  <c r="C16370" i="1"/>
  <c r="C16369" i="1"/>
  <c r="C16368" i="1"/>
  <c r="C16367" i="1"/>
  <c r="C16366" i="1"/>
  <c r="C16365" i="1"/>
  <c r="C16364" i="1"/>
  <c r="C16363" i="1"/>
  <c r="C16362" i="1"/>
  <c r="C16361" i="1"/>
  <c r="C16360" i="1"/>
  <c r="C16359" i="1"/>
  <c r="C16358" i="1"/>
  <c r="C16357" i="1"/>
  <c r="C16356" i="1"/>
  <c r="C16355" i="1"/>
  <c r="C16354" i="1"/>
  <c r="C16353" i="1"/>
  <c r="C16352" i="1"/>
  <c r="C16351" i="1"/>
  <c r="C16350" i="1"/>
  <c r="C16349" i="1"/>
  <c r="C16348" i="1"/>
  <c r="C16347" i="1"/>
  <c r="C16346" i="1"/>
  <c r="C16345" i="1"/>
  <c r="C16344" i="1"/>
  <c r="C16343" i="1"/>
  <c r="C16342" i="1"/>
  <c r="C16341" i="1"/>
  <c r="C16340" i="1"/>
  <c r="C16339" i="1"/>
  <c r="C16338" i="1"/>
  <c r="C16337" i="1"/>
  <c r="C16336" i="1"/>
  <c r="C16335" i="1"/>
  <c r="C16334" i="1"/>
  <c r="C16333" i="1"/>
  <c r="C16332" i="1"/>
  <c r="C16331" i="1"/>
  <c r="C16330" i="1"/>
  <c r="C16329" i="1"/>
  <c r="C16328" i="1"/>
  <c r="C16327" i="1"/>
  <c r="C16326" i="1"/>
  <c r="C16325" i="1"/>
  <c r="C16324" i="1"/>
  <c r="C16323" i="1"/>
  <c r="C16322" i="1"/>
  <c r="C16321" i="1"/>
  <c r="C16320" i="1"/>
  <c r="C16319" i="1"/>
  <c r="C16318" i="1"/>
  <c r="C16317" i="1"/>
  <c r="C16316" i="1"/>
  <c r="C16315" i="1"/>
  <c r="C16314" i="1"/>
  <c r="C16313" i="1"/>
  <c r="C16312" i="1"/>
  <c r="C16311" i="1"/>
  <c r="C16310" i="1"/>
  <c r="C16309" i="1"/>
  <c r="C16308" i="1"/>
  <c r="C16307" i="1"/>
  <c r="C16306" i="1"/>
  <c r="C16305" i="1"/>
  <c r="C16304" i="1"/>
  <c r="C16303" i="1"/>
  <c r="C16302" i="1"/>
  <c r="C16301" i="1"/>
  <c r="C16300" i="1"/>
  <c r="C16299" i="1"/>
  <c r="C16298" i="1"/>
  <c r="C16297" i="1"/>
  <c r="C16296" i="1"/>
  <c r="C16295" i="1"/>
  <c r="C16294" i="1"/>
  <c r="C16293" i="1"/>
  <c r="C16292" i="1"/>
  <c r="C16291" i="1"/>
  <c r="C16290" i="1"/>
  <c r="C16289" i="1"/>
  <c r="C16288" i="1"/>
  <c r="C16287" i="1"/>
  <c r="C16286" i="1"/>
  <c r="C16285" i="1"/>
  <c r="C16284" i="1"/>
  <c r="C16283" i="1"/>
  <c r="C16282" i="1"/>
  <c r="C16281" i="1"/>
  <c r="C16280" i="1"/>
  <c r="C16279" i="1"/>
  <c r="C16278" i="1"/>
  <c r="C16277" i="1"/>
  <c r="C16276" i="1"/>
  <c r="C16275" i="1"/>
  <c r="C16274" i="1"/>
  <c r="C16273" i="1"/>
  <c r="C16272" i="1"/>
  <c r="C16271" i="1"/>
  <c r="C16270" i="1"/>
  <c r="C16269" i="1"/>
  <c r="C16268" i="1"/>
  <c r="C16267" i="1"/>
  <c r="C16266" i="1"/>
  <c r="C16265" i="1"/>
  <c r="C16264" i="1"/>
  <c r="C16263" i="1"/>
  <c r="C16262" i="1"/>
  <c r="C16261" i="1"/>
  <c r="C16260" i="1"/>
  <c r="C16259" i="1"/>
  <c r="C16258" i="1"/>
  <c r="C16257" i="1"/>
  <c r="C16256" i="1"/>
  <c r="C16255" i="1"/>
  <c r="C16254" i="1"/>
  <c r="C16253" i="1"/>
  <c r="C16252" i="1"/>
  <c r="C16251" i="1"/>
  <c r="C16250" i="1"/>
  <c r="C16249" i="1"/>
  <c r="C16248" i="1"/>
  <c r="C16247" i="1"/>
  <c r="C16246" i="1"/>
  <c r="C16245" i="1"/>
  <c r="C16244" i="1"/>
  <c r="C16243" i="1"/>
  <c r="C16242" i="1"/>
  <c r="C16241" i="1"/>
  <c r="C16240" i="1"/>
  <c r="C16239" i="1"/>
  <c r="C16238" i="1"/>
  <c r="C16237" i="1"/>
  <c r="C16236" i="1"/>
  <c r="C16235" i="1"/>
  <c r="C16234" i="1"/>
  <c r="C16233" i="1"/>
  <c r="C16232" i="1"/>
  <c r="C16231" i="1"/>
  <c r="C16230" i="1"/>
  <c r="C16229" i="1"/>
  <c r="C16228" i="1"/>
  <c r="C16227" i="1"/>
  <c r="C16226" i="1"/>
  <c r="C16225" i="1"/>
  <c r="C16224" i="1"/>
  <c r="C16223" i="1"/>
  <c r="C16222" i="1"/>
  <c r="C16221" i="1"/>
  <c r="C16220" i="1"/>
  <c r="C16219" i="1"/>
  <c r="C16218" i="1"/>
  <c r="C16217" i="1"/>
  <c r="C16216" i="1"/>
  <c r="C16215" i="1"/>
  <c r="C16214" i="1"/>
  <c r="C16213" i="1"/>
  <c r="C16212" i="1"/>
  <c r="C16211" i="1"/>
  <c r="C16210" i="1"/>
  <c r="C16209" i="1"/>
  <c r="C16208" i="1"/>
  <c r="C16207" i="1"/>
  <c r="C16206" i="1"/>
  <c r="C16205" i="1"/>
  <c r="C16204" i="1"/>
  <c r="C16203" i="1"/>
  <c r="C16202" i="1"/>
  <c r="C16201" i="1"/>
  <c r="C16200" i="1"/>
  <c r="C16199" i="1"/>
  <c r="C16198" i="1"/>
  <c r="C16197" i="1"/>
  <c r="C16196" i="1"/>
  <c r="C16195" i="1"/>
  <c r="C16194" i="1"/>
  <c r="C16193" i="1"/>
  <c r="C16192" i="1"/>
  <c r="C16191" i="1"/>
  <c r="C16190" i="1"/>
  <c r="C16189" i="1"/>
  <c r="C16188" i="1"/>
  <c r="C16187" i="1"/>
  <c r="C16186" i="1"/>
  <c r="C16185" i="1"/>
  <c r="C16184" i="1"/>
  <c r="C16183" i="1"/>
  <c r="C16182" i="1"/>
  <c r="C16181" i="1"/>
  <c r="C16180" i="1"/>
  <c r="C16179" i="1"/>
  <c r="C16178" i="1"/>
  <c r="C16177" i="1"/>
  <c r="C16176" i="1"/>
  <c r="C16175" i="1"/>
  <c r="C16174" i="1"/>
  <c r="C16173" i="1"/>
  <c r="C16172" i="1"/>
  <c r="C16171" i="1"/>
  <c r="C16170" i="1"/>
  <c r="C16169" i="1"/>
  <c r="C16168" i="1"/>
  <c r="C16167" i="1"/>
  <c r="C16166" i="1"/>
  <c r="C16165" i="1"/>
  <c r="C16164" i="1"/>
  <c r="C16163" i="1"/>
  <c r="C16162" i="1"/>
  <c r="C16161" i="1"/>
  <c r="C16160" i="1"/>
  <c r="C16159" i="1"/>
  <c r="C16158" i="1"/>
  <c r="C16157" i="1"/>
  <c r="C16156" i="1"/>
  <c r="C16155" i="1"/>
  <c r="C16154" i="1"/>
  <c r="C16153" i="1"/>
  <c r="C16152" i="1"/>
  <c r="C16151" i="1"/>
  <c r="C16150" i="1"/>
  <c r="C16149" i="1"/>
  <c r="C16148" i="1"/>
  <c r="C16147" i="1"/>
  <c r="C16146" i="1"/>
  <c r="C16145" i="1"/>
  <c r="C16144" i="1"/>
  <c r="C16143" i="1"/>
  <c r="C16142" i="1"/>
  <c r="C16141" i="1"/>
  <c r="C16140" i="1"/>
  <c r="C16139" i="1"/>
  <c r="C16138" i="1"/>
  <c r="C16137" i="1"/>
  <c r="C16136" i="1"/>
  <c r="C16135" i="1"/>
  <c r="C16134" i="1"/>
  <c r="C16133" i="1"/>
  <c r="C16132" i="1"/>
  <c r="C16131" i="1"/>
  <c r="C16130" i="1"/>
  <c r="C16129" i="1"/>
  <c r="C16128" i="1"/>
  <c r="C16127" i="1"/>
  <c r="C16126" i="1"/>
  <c r="C16125" i="1"/>
  <c r="C16124" i="1"/>
  <c r="C16123" i="1"/>
  <c r="C16122" i="1"/>
  <c r="C16121" i="1"/>
  <c r="C16120" i="1"/>
  <c r="C16119" i="1"/>
  <c r="C16118" i="1"/>
  <c r="C16117" i="1"/>
  <c r="C16116" i="1"/>
  <c r="C16115" i="1"/>
  <c r="C16114" i="1"/>
  <c r="C16113" i="1"/>
  <c r="C16112" i="1"/>
  <c r="C16111" i="1"/>
  <c r="C16110" i="1"/>
  <c r="C16109" i="1"/>
  <c r="C16108" i="1"/>
  <c r="C16107" i="1"/>
  <c r="C16106" i="1"/>
  <c r="C16105" i="1"/>
  <c r="C16104" i="1"/>
  <c r="C16103" i="1"/>
  <c r="C16102" i="1"/>
  <c r="C16101" i="1"/>
  <c r="C16100" i="1"/>
  <c r="C16099" i="1"/>
  <c r="C16098" i="1"/>
  <c r="C16097" i="1"/>
  <c r="C16096" i="1"/>
  <c r="C16095" i="1"/>
  <c r="C16094" i="1"/>
  <c r="C16093" i="1"/>
  <c r="C16092" i="1"/>
  <c r="C16091" i="1"/>
  <c r="C16090" i="1"/>
  <c r="C16089" i="1"/>
  <c r="C16088" i="1"/>
  <c r="C16087" i="1"/>
  <c r="C16086" i="1"/>
  <c r="C16085" i="1"/>
  <c r="C16084" i="1"/>
  <c r="C16083" i="1"/>
  <c r="C16082" i="1"/>
  <c r="C16081" i="1"/>
  <c r="C16080" i="1"/>
  <c r="C16079" i="1"/>
  <c r="C16078" i="1"/>
  <c r="C16077" i="1"/>
  <c r="C16076" i="1"/>
  <c r="C16075" i="1"/>
  <c r="C16074" i="1"/>
  <c r="C16073" i="1"/>
  <c r="C16072" i="1"/>
  <c r="C16071" i="1"/>
  <c r="C16070" i="1"/>
  <c r="C16069" i="1"/>
  <c r="C16068" i="1"/>
  <c r="C16067" i="1"/>
  <c r="C16066" i="1"/>
  <c r="C16065" i="1"/>
  <c r="C16064" i="1"/>
  <c r="C16063" i="1"/>
  <c r="C16062" i="1"/>
  <c r="C16061" i="1"/>
  <c r="C16060" i="1"/>
  <c r="C16059" i="1"/>
  <c r="C16058" i="1"/>
  <c r="C16057" i="1"/>
  <c r="C16056" i="1"/>
  <c r="C16055" i="1"/>
  <c r="C16054" i="1"/>
  <c r="C16053" i="1"/>
  <c r="C16052" i="1"/>
  <c r="C16051" i="1"/>
  <c r="C16050" i="1"/>
  <c r="C16049" i="1"/>
  <c r="C16048" i="1"/>
  <c r="C16047" i="1"/>
  <c r="C16046" i="1"/>
  <c r="C16045" i="1"/>
  <c r="C16044" i="1"/>
  <c r="C16043" i="1"/>
  <c r="C16042" i="1"/>
  <c r="C16041" i="1"/>
  <c r="C16040" i="1"/>
  <c r="C16039" i="1"/>
  <c r="C16038" i="1"/>
  <c r="C16037" i="1"/>
  <c r="C16036" i="1"/>
  <c r="C16035" i="1"/>
  <c r="C16034" i="1"/>
  <c r="C16033" i="1"/>
  <c r="C16032" i="1"/>
  <c r="C16031" i="1"/>
  <c r="C16030" i="1"/>
  <c r="C16029" i="1"/>
  <c r="C16028" i="1"/>
  <c r="C16027" i="1"/>
  <c r="C16026" i="1"/>
  <c r="C16025" i="1"/>
  <c r="C16024" i="1"/>
  <c r="C16023" i="1"/>
  <c r="C16022" i="1"/>
  <c r="C16021" i="1"/>
  <c r="C16020" i="1"/>
  <c r="C16019" i="1"/>
  <c r="C16018" i="1"/>
  <c r="C16017" i="1"/>
  <c r="C16016" i="1"/>
  <c r="C16015" i="1"/>
  <c r="C16014" i="1"/>
  <c r="C16013" i="1"/>
  <c r="C16012" i="1"/>
  <c r="C16011" i="1"/>
  <c r="C16010" i="1"/>
  <c r="C16009" i="1"/>
  <c r="C16008" i="1"/>
  <c r="C16007" i="1"/>
  <c r="C16006" i="1"/>
  <c r="C16005" i="1"/>
  <c r="C16004" i="1"/>
  <c r="C16003" i="1"/>
  <c r="C16002" i="1"/>
  <c r="C16001" i="1"/>
  <c r="C16000" i="1"/>
  <c r="C15999" i="1"/>
  <c r="C15998" i="1"/>
  <c r="C15997" i="1"/>
  <c r="C15996" i="1"/>
  <c r="C15995" i="1"/>
  <c r="C15994" i="1"/>
  <c r="C15993" i="1"/>
  <c r="C15992" i="1"/>
  <c r="C15991" i="1"/>
  <c r="C15990" i="1"/>
  <c r="C15989" i="1"/>
  <c r="C15988" i="1"/>
  <c r="C15987" i="1"/>
  <c r="C15986" i="1"/>
  <c r="C15985" i="1"/>
  <c r="C15984" i="1"/>
  <c r="C15983" i="1"/>
  <c r="C15982" i="1"/>
  <c r="C15981" i="1"/>
  <c r="C15980" i="1"/>
  <c r="C15979" i="1"/>
  <c r="C15978" i="1"/>
  <c r="C15977" i="1"/>
  <c r="C15976" i="1"/>
  <c r="C15975" i="1"/>
  <c r="C15974" i="1"/>
  <c r="C15973" i="1"/>
  <c r="C15972" i="1"/>
  <c r="C15971" i="1"/>
  <c r="C15970" i="1"/>
  <c r="C15969" i="1"/>
  <c r="C15968" i="1"/>
  <c r="C15967" i="1"/>
  <c r="C15966" i="1"/>
  <c r="C15965" i="1"/>
  <c r="C15964" i="1"/>
  <c r="C15963" i="1"/>
  <c r="C15962" i="1"/>
  <c r="C15961" i="1"/>
  <c r="C15960" i="1"/>
  <c r="C15959" i="1"/>
  <c r="C15958" i="1"/>
  <c r="C15957" i="1"/>
  <c r="C15956" i="1"/>
  <c r="C15955" i="1"/>
  <c r="C15954" i="1"/>
  <c r="C15953" i="1"/>
  <c r="C15952" i="1"/>
  <c r="C15951" i="1"/>
  <c r="C15950" i="1"/>
  <c r="C15949" i="1"/>
  <c r="C15948" i="1"/>
  <c r="C15947" i="1"/>
  <c r="C15946" i="1"/>
  <c r="C15945" i="1"/>
  <c r="C15944" i="1"/>
  <c r="C15943" i="1"/>
  <c r="C15942" i="1"/>
  <c r="C15941" i="1"/>
  <c r="C15940" i="1"/>
  <c r="C15939" i="1"/>
  <c r="C15938" i="1"/>
  <c r="C15937" i="1"/>
  <c r="C15936" i="1"/>
  <c r="C15935" i="1"/>
  <c r="C15934" i="1"/>
  <c r="C15933" i="1"/>
  <c r="C15932" i="1"/>
  <c r="C15931" i="1"/>
  <c r="C15930" i="1"/>
  <c r="C15929" i="1"/>
  <c r="C15928" i="1"/>
  <c r="C15927" i="1"/>
  <c r="C15926" i="1"/>
  <c r="C15925" i="1"/>
  <c r="C15924" i="1"/>
  <c r="C15923" i="1"/>
  <c r="C15922" i="1"/>
  <c r="C15921" i="1"/>
  <c r="C15920" i="1"/>
  <c r="C15919" i="1"/>
  <c r="C15918" i="1"/>
  <c r="C15917" i="1"/>
  <c r="C15916" i="1"/>
  <c r="C15915" i="1"/>
  <c r="C15914" i="1"/>
  <c r="C15913" i="1"/>
  <c r="C15912" i="1"/>
  <c r="C15911" i="1"/>
  <c r="C15910" i="1"/>
  <c r="C15909" i="1"/>
  <c r="C15908" i="1"/>
  <c r="C15907" i="1"/>
  <c r="C15906" i="1"/>
  <c r="C15905" i="1"/>
  <c r="C15904" i="1"/>
  <c r="C15903" i="1"/>
  <c r="C15902" i="1"/>
  <c r="C15901" i="1"/>
  <c r="C15900" i="1"/>
  <c r="C15899" i="1"/>
  <c r="C15898" i="1"/>
  <c r="C15897" i="1"/>
  <c r="C15896" i="1"/>
  <c r="C15895" i="1"/>
  <c r="C15894" i="1"/>
  <c r="C15893" i="1"/>
  <c r="C15892" i="1"/>
  <c r="C15891" i="1"/>
  <c r="C15890" i="1"/>
  <c r="C15889" i="1"/>
  <c r="C15888" i="1"/>
  <c r="C15887" i="1"/>
  <c r="C15886" i="1"/>
  <c r="C15885" i="1"/>
  <c r="C15884" i="1"/>
  <c r="C15883" i="1"/>
  <c r="C15882" i="1"/>
  <c r="C15881" i="1"/>
  <c r="C15880" i="1"/>
  <c r="C15879" i="1"/>
  <c r="C15878" i="1"/>
  <c r="C15877" i="1"/>
  <c r="C15876" i="1"/>
  <c r="C15875" i="1"/>
  <c r="C15874" i="1"/>
  <c r="C15873" i="1"/>
  <c r="C15872" i="1"/>
  <c r="C15871" i="1"/>
  <c r="C15870" i="1"/>
  <c r="C15869" i="1"/>
  <c r="C15868" i="1"/>
  <c r="C15867" i="1"/>
  <c r="C15866" i="1"/>
  <c r="C15865" i="1"/>
  <c r="C15864" i="1"/>
  <c r="C15863" i="1"/>
  <c r="C15862" i="1"/>
  <c r="C15861" i="1"/>
  <c r="C15860" i="1"/>
  <c r="C15859" i="1"/>
  <c r="C15858" i="1"/>
  <c r="C15857" i="1"/>
  <c r="C15856" i="1"/>
  <c r="C15855" i="1"/>
  <c r="C15854" i="1"/>
  <c r="C15853" i="1"/>
  <c r="C15852" i="1"/>
  <c r="C15851" i="1"/>
  <c r="C15850" i="1"/>
  <c r="C15849" i="1"/>
  <c r="C15848" i="1"/>
  <c r="C15847" i="1"/>
  <c r="C15846" i="1"/>
  <c r="C15845" i="1"/>
  <c r="C15844" i="1"/>
  <c r="C15843" i="1"/>
  <c r="C15842" i="1"/>
  <c r="C15841" i="1"/>
  <c r="C15840" i="1"/>
  <c r="C15839" i="1"/>
  <c r="C15838" i="1"/>
  <c r="C15837" i="1"/>
  <c r="C15836" i="1"/>
  <c r="C15835" i="1"/>
  <c r="C15834" i="1"/>
  <c r="C15833" i="1"/>
  <c r="C15832" i="1"/>
  <c r="C15831" i="1"/>
  <c r="C15830" i="1"/>
  <c r="C15829" i="1"/>
  <c r="C15828" i="1"/>
  <c r="C15827" i="1"/>
  <c r="C15826" i="1"/>
  <c r="C15825" i="1"/>
  <c r="C15824" i="1"/>
  <c r="C15823" i="1"/>
  <c r="C15822" i="1"/>
  <c r="C15821" i="1"/>
  <c r="C15820" i="1"/>
  <c r="C15819" i="1"/>
  <c r="C15818" i="1"/>
  <c r="C15817" i="1"/>
  <c r="C15816" i="1"/>
  <c r="C15815" i="1"/>
  <c r="C15814" i="1"/>
  <c r="C15813" i="1"/>
  <c r="C15812" i="1"/>
  <c r="C15811" i="1"/>
  <c r="C15810" i="1"/>
  <c r="C15809" i="1"/>
  <c r="C15808" i="1"/>
  <c r="C15807" i="1"/>
  <c r="C15806" i="1"/>
  <c r="C15805" i="1"/>
  <c r="C15804" i="1"/>
  <c r="C15803" i="1"/>
  <c r="C15802" i="1"/>
  <c r="C15801" i="1"/>
  <c r="C15800" i="1"/>
  <c r="C15799" i="1"/>
  <c r="C15798" i="1"/>
  <c r="C15797" i="1"/>
  <c r="C15796" i="1"/>
  <c r="C15795" i="1"/>
  <c r="C15794" i="1"/>
  <c r="C15793" i="1"/>
  <c r="C15792" i="1"/>
  <c r="C15791" i="1"/>
  <c r="C15790" i="1"/>
  <c r="C15789" i="1"/>
  <c r="C15788" i="1"/>
  <c r="C15787" i="1"/>
  <c r="C15786" i="1"/>
  <c r="C15785" i="1"/>
  <c r="C15784" i="1"/>
  <c r="C15783" i="1"/>
  <c r="C15782" i="1"/>
  <c r="C15781" i="1"/>
  <c r="C15780" i="1"/>
  <c r="C15779" i="1"/>
  <c r="C15778" i="1"/>
  <c r="C15777" i="1"/>
  <c r="C15776" i="1"/>
  <c r="C15775" i="1"/>
  <c r="C15774" i="1"/>
  <c r="C15773" i="1"/>
  <c r="C15772" i="1"/>
  <c r="C15771" i="1"/>
  <c r="C15770" i="1"/>
  <c r="C15769" i="1"/>
  <c r="C15768" i="1"/>
  <c r="C15767" i="1"/>
  <c r="C15766" i="1"/>
  <c r="C15765" i="1"/>
  <c r="C15764" i="1"/>
  <c r="C15763" i="1"/>
  <c r="C15762" i="1"/>
  <c r="C15761" i="1"/>
  <c r="C15760" i="1"/>
  <c r="C15759" i="1"/>
  <c r="C15758" i="1"/>
  <c r="C15757" i="1"/>
  <c r="C15756" i="1"/>
  <c r="C15755" i="1"/>
  <c r="C15754" i="1"/>
  <c r="C15753" i="1"/>
  <c r="C15752" i="1"/>
  <c r="C15751" i="1"/>
  <c r="C15750" i="1"/>
  <c r="C15749" i="1"/>
  <c r="C15748" i="1"/>
  <c r="C15747" i="1"/>
  <c r="C15746" i="1"/>
  <c r="C15745" i="1"/>
  <c r="C15744" i="1"/>
  <c r="C15743" i="1"/>
  <c r="C15742" i="1"/>
  <c r="C15741" i="1"/>
  <c r="C15740" i="1"/>
  <c r="C15739" i="1"/>
  <c r="C15738" i="1"/>
  <c r="C15737" i="1"/>
  <c r="C15736" i="1"/>
  <c r="C15735" i="1"/>
  <c r="C15734" i="1"/>
  <c r="C15733" i="1"/>
  <c r="C15732" i="1"/>
  <c r="C15731" i="1"/>
  <c r="C15730" i="1"/>
  <c r="C15729" i="1"/>
  <c r="C15728" i="1"/>
  <c r="C15727" i="1"/>
  <c r="C15726" i="1"/>
  <c r="C15725" i="1"/>
  <c r="C15724" i="1"/>
  <c r="C15723" i="1"/>
  <c r="C15722" i="1"/>
  <c r="C15721" i="1"/>
  <c r="C15720" i="1"/>
  <c r="C15719" i="1"/>
  <c r="C15718" i="1"/>
  <c r="C15717" i="1"/>
  <c r="C15716" i="1"/>
  <c r="C15715" i="1"/>
  <c r="C15714" i="1"/>
  <c r="C15713" i="1"/>
  <c r="C15712" i="1"/>
  <c r="C15711" i="1"/>
  <c r="C15710" i="1"/>
  <c r="C15709" i="1"/>
  <c r="C15708" i="1"/>
  <c r="C15707" i="1"/>
  <c r="C15706" i="1"/>
  <c r="C15705" i="1"/>
  <c r="C15704" i="1"/>
  <c r="C15703" i="1"/>
  <c r="C15702" i="1"/>
  <c r="C15701" i="1"/>
  <c r="C15700" i="1"/>
  <c r="C15699" i="1"/>
  <c r="C15698" i="1"/>
  <c r="C15697" i="1"/>
  <c r="C15696" i="1"/>
  <c r="C15695" i="1"/>
  <c r="C15694" i="1"/>
  <c r="C15693" i="1"/>
  <c r="C15692" i="1"/>
  <c r="C15691" i="1"/>
  <c r="C15690" i="1"/>
  <c r="C15689" i="1"/>
  <c r="C15688" i="1"/>
  <c r="C15687" i="1"/>
  <c r="C15686" i="1"/>
  <c r="C15685" i="1"/>
  <c r="C15684" i="1"/>
  <c r="C15683" i="1"/>
  <c r="C15682" i="1"/>
  <c r="C15681" i="1"/>
  <c r="C15680" i="1"/>
  <c r="C15679" i="1"/>
  <c r="C15678" i="1"/>
  <c r="C15677" i="1"/>
  <c r="C15676" i="1"/>
  <c r="C15675" i="1"/>
  <c r="C15674" i="1"/>
  <c r="C15673" i="1"/>
  <c r="C15672" i="1"/>
  <c r="C15671" i="1"/>
  <c r="C15670" i="1"/>
  <c r="C15669" i="1"/>
  <c r="C15668" i="1"/>
  <c r="C15667" i="1"/>
  <c r="C15666" i="1"/>
  <c r="C15665" i="1"/>
  <c r="C15664" i="1"/>
  <c r="C15663" i="1"/>
  <c r="C15662" i="1"/>
  <c r="C15661" i="1"/>
  <c r="C15660" i="1"/>
  <c r="C15659" i="1"/>
  <c r="C15658" i="1"/>
  <c r="C15657" i="1"/>
  <c r="C15656" i="1"/>
  <c r="C15655" i="1"/>
  <c r="C15654" i="1"/>
  <c r="C15653" i="1"/>
  <c r="C15652" i="1"/>
  <c r="C15651" i="1"/>
  <c r="C15650" i="1"/>
  <c r="C15649" i="1"/>
  <c r="C15648" i="1"/>
  <c r="C15647" i="1"/>
  <c r="C15646" i="1"/>
  <c r="C15645" i="1"/>
  <c r="C15644" i="1"/>
  <c r="C15643" i="1"/>
  <c r="C15642" i="1"/>
  <c r="C15641" i="1"/>
  <c r="C15640" i="1"/>
  <c r="C15639" i="1"/>
  <c r="C15638" i="1"/>
  <c r="C15637" i="1"/>
  <c r="C15636" i="1"/>
  <c r="C15635" i="1"/>
  <c r="C15634" i="1"/>
  <c r="C15633" i="1"/>
  <c r="C15632" i="1"/>
  <c r="C15631" i="1"/>
  <c r="C15630" i="1"/>
  <c r="C15629" i="1"/>
  <c r="C15628" i="1"/>
  <c r="C15627" i="1"/>
  <c r="C15626" i="1"/>
  <c r="C15625" i="1"/>
  <c r="C15624" i="1"/>
  <c r="C15623" i="1"/>
  <c r="C15622" i="1"/>
  <c r="C15621" i="1"/>
  <c r="C15620" i="1"/>
  <c r="C15619" i="1"/>
  <c r="C15618" i="1"/>
  <c r="C15617" i="1"/>
  <c r="C15616" i="1"/>
  <c r="C15615" i="1"/>
  <c r="C15614" i="1"/>
  <c r="C15613" i="1"/>
  <c r="C15612" i="1"/>
  <c r="C15611" i="1"/>
  <c r="C15610" i="1"/>
  <c r="C15609" i="1"/>
  <c r="C15608" i="1"/>
  <c r="C15607" i="1"/>
  <c r="C15606" i="1"/>
  <c r="C15605" i="1"/>
  <c r="C15604" i="1"/>
  <c r="C15603" i="1"/>
  <c r="C15602" i="1"/>
  <c r="C15601" i="1"/>
  <c r="C15600" i="1"/>
  <c r="C15599" i="1"/>
  <c r="C15598" i="1"/>
  <c r="C15597" i="1"/>
  <c r="C15596" i="1"/>
  <c r="C15595" i="1"/>
  <c r="C15594" i="1"/>
  <c r="C15593" i="1"/>
  <c r="C15592" i="1"/>
  <c r="C15591" i="1"/>
  <c r="C15590" i="1"/>
  <c r="C15589" i="1"/>
  <c r="C15588" i="1"/>
  <c r="C15587" i="1"/>
  <c r="C15586" i="1"/>
  <c r="C15585" i="1"/>
  <c r="C15584" i="1"/>
  <c r="C15583" i="1"/>
  <c r="C15582" i="1"/>
  <c r="C15581" i="1"/>
  <c r="C15580" i="1"/>
  <c r="C15579" i="1"/>
  <c r="C15578" i="1"/>
  <c r="C15577" i="1"/>
  <c r="C15576" i="1"/>
  <c r="C15575" i="1"/>
  <c r="C15574" i="1"/>
  <c r="C15573" i="1"/>
  <c r="C15572" i="1"/>
  <c r="C15571" i="1"/>
  <c r="C15570" i="1"/>
  <c r="C15569" i="1"/>
  <c r="C15568" i="1"/>
  <c r="C15567" i="1"/>
  <c r="C15566" i="1"/>
  <c r="C15565" i="1"/>
  <c r="C15564" i="1"/>
  <c r="C15563" i="1"/>
  <c r="C15562" i="1"/>
  <c r="C15561" i="1"/>
  <c r="C15560" i="1"/>
  <c r="C15559" i="1"/>
  <c r="C15558" i="1"/>
  <c r="C15557" i="1"/>
  <c r="C15556" i="1"/>
  <c r="C15555" i="1"/>
  <c r="C15554" i="1"/>
  <c r="C15553" i="1"/>
  <c r="C15552" i="1"/>
  <c r="C15551" i="1"/>
  <c r="C15550" i="1"/>
  <c r="C15549" i="1"/>
  <c r="C15548" i="1"/>
  <c r="C15547" i="1"/>
  <c r="C15546" i="1"/>
  <c r="C15545" i="1"/>
  <c r="C15544" i="1"/>
  <c r="C15543" i="1"/>
  <c r="C15542" i="1"/>
  <c r="C15541" i="1"/>
  <c r="C15540" i="1"/>
  <c r="C15539" i="1"/>
  <c r="C15538" i="1"/>
  <c r="C15537" i="1"/>
  <c r="C15536" i="1"/>
  <c r="C15535" i="1"/>
  <c r="C15534" i="1"/>
  <c r="C15533" i="1"/>
  <c r="C15532" i="1"/>
  <c r="C15531" i="1"/>
  <c r="C15530" i="1"/>
  <c r="C15529" i="1"/>
  <c r="C15528" i="1"/>
  <c r="C15527" i="1"/>
  <c r="C15526" i="1"/>
  <c r="C15525" i="1"/>
  <c r="C15524" i="1"/>
  <c r="C15523" i="1"/>
  <c r="C15522" i="1"/>
  <c r="C15521" i="1"/>
  <c r="C15520" i="1"/>
  <c r="C15519" i="1"/>
  <c r="C15518" i="1"/>
  <c r="C15517" i="1"/>
  <c r="C15516" i="1"/>
  <c r="C15515" i="1"/>
  <c r="C15514" i="1"/>
  <c r="C15513" i="1"/>
  <c r="C15512" i="1"/>
  <c r="C15511" i="1"/>
  <c r="C15510" i="1"/>
  <c r="C15509" i="1"/>
  <c r="C15508" i="1"/>
  <c r="C15507" i="1"/>
  <c r="C15506" i="1"/>
  <c r="C15505" i="1"/>
  <c r="C15504" i="1"/>
  <c r="C15503" i="1"/>
  <c r="C15502" i="1"/>
  <c r="C15501" i="1"/>
  <c r="C15500" i="1"/>
  <c r="C15499" i="1"/>
  <c r="C15498" i="1"/>
  <c r="C15497" i="1"/>
  <c r="C15496" i="1"/>
  <c r="C15495" i="1"/>
  <c r="C15494" i="1"/>
  <c r="C15493" i="1"/>
  <c r="C15492" i="1"/>
  <c r="C15491" i="1"/>
  <c r="C15490" i="1"/>
  <c r="C15489" i="1"/>
  <c r="C15488" i="1"/>
  <c r="C15487" i="1"/>
  <c r="C15486" i="1"/>
  <c r="C15485" i="1"/>
  <c r="C15484" i="1"/>
  <c r="C15483" i="1"/>
  <c r="C15482" i="1"/>
  <c r="C15481" i="1"/>
  <c r="C15480" i="1"/>
  <c r="C15479" i="1"/>
  <c r="C15478" i="1"/>
  <c r="C15477" i="1"/>
  <c r="C15476" i="1"/>
  <c r="C15475" i="1"/>
  <c r="C15474" i="1"/>
  <c r="C15473" i="1"/>
  <c r="C15472" i="1"/>
  <c r="C15471" i="1"/>
  <c r="C15470" i="1"/>
  <c r="C15469" i="1"/>
  <c r="C15468" i="1"/>
  <c r="C15467" i="1"/>
  <c r="C15466" i="1"/>
  <c r="C15465" i="1"/>
  <c r="C15464" i="1"/>
  <c r="C15463" i="1"/>
  <c r="C15462" i="1"/>
  <c r="C15461" i="1"/>
  <c r="C15460" i="1"/>
  <c r="C15459" i="1"/>
  <c r="C15458" i="1"/>
  <c r="C15457" i="1"/>
  <c r="C15456" i="1"/>
  <c r="C15455" i="1"/>
  <c r="C15454" i="1"/>
  <c r="C15453" i="1"/>
  <c r="C15452" i="1"/>
  <c r="C15451" i="1"/>
  <c r="C15450" i="1"/>
  <c r="C15449" i="1"/>
  <c r="C15448" i="1"/>
  <c r="C15447" i="1"/>
  <c r="C15446" i="1"/>
  <c r="C15445" i="1"/>
  <c r="C15444" i="1"/>
  <c r="C15443" i="1"/>
  <c r="C15442" i="1"/>
  <c r="C15441" i="1"/>
  <c r="C15440" i="1"/>
  <c r="C15439" i="1"/>
  <c r="C15438" i="1"/>
  <c r="C15437" i="1"/>
  <c r="C15436" i="1"/>
  <c r="C15435" i="1"/>
  <c r="C15434" i="1"/>
  <c r="C15433" i="1"/>
  <c r="C15432" i="1"/>
  <c r="C15431" i="1"/>
  <c r="C15430" i="1"/>
  <c r="C15429" i="1"/>
  <c r="C15428" i="1"/>
  <c r="C15427" i="1"/>
  <c r="C15426" i="1"/>
  <c r="C15425" i="1"/>
  <c r="C15424" i="1"/>
  <c r="C15423" i="1"/>
  <c r="C15422" i="1"/>
  <c r="C15421" i="1"/>
  <c r="C15420" i="1"/>
  <c r="C15419" i="1"/>
  <c r="C15418" i="1"/>
  <c r="C15417" i="1"/>
  <c r="C15416" i="1"/>
  <c r="C15415" i="1"/>
  <c r="C15414" i="1"/>
  <c r="C15413" i="1"/>
  <c r="C15412" i="1"/>
  <c r="C15411" i="1"/>
  <c r="C15410" i="1"/>
  <c r="C15409" i="1"/>
  <c r="C15408" i="1"/>
  <c r="C15407" i="1"/>
  <c r="C15406" i="1"/>
  <c r="C15405" i="1"/>
  <c r="C15404" i="1"/>
  <c r="C15403" i="1"/>
  <c r="C15402" i="1"/>
  <c r="C15401" i="1"/>
  <c r="C15400" i="1"/>
  <c r="C15399" i="1"/>
  <c r="C15398" i="1"/>
  <c r="C15397" i="1"/>
  <c r="C15396" i="1"/>
  <c r="C15395" i="1"/>
  <c r="C15394" i="1"/>
  <c r="C15393" i="1"/>
  <c r="C15392" i="1"/>
  <c r="C15391" i="1"/>
  <c r="C15390" i="1"/>
  <c r="C15389" i="1"/>
  <c r="C15388" i="1"/>
  <c r="C15387" i="1"/>
  <c r="C15386" i="1"/>
  <c r="C15385" i="1"/>
  <c r="C15384" i="1"/>
  <c r="C15383" i="1"/>
  <c r="C15382" i="1"/>
  <c r="C15381" i="1"/>
  <c r="C15380" i="1"/>
  <c r="C15379" i="1"/>
  <c r="C15378" i="1"/>
  <c r="C15377" i="1"/>
  <c r="C15376" i="1"/>
  <c r="C15375" i="1"/>
  <c r="C15374" i="1"/>
  <c r="C15373" i="1"/>
  <c r="C15372" i="1"/>
  <c r="C15371" i="1"/>
  <c r="C15370" i="1"/>
  <c r="C15369" i="1"/>
  <c r="C15368" i="1"/>
  <c r="C15367" i="1"/>
  <c r="C15366" i="1"/>
  <c r="C15365" i="1"/>
  <c r="C15364" i="1"/>
  <c r="C15363" i="1"/>
  <c r="C15362" i="1"/>
  <c r="C15361" i="1"/>
  <c r="C15360" i="1"/>
  <c r="C15359" i="1"/>
  <c r="C15358" i="1"/>
  <c r="C15357" i="1"/>
  <c r="C15356" i="1"/>
  <c r="C15355" i="1"/>
  <c r="C15354" i="1"/>
  <c r="C15353" i="1"/>
  <c r="C15352" i="1"/>
  <c r="C15351" i="1"/>
  <c r="C15350" i="1"/>
  <c r="C15349" i="1"/>
  <c r="C15348" i="1"/>
  <c r="C15347" i="1"/>
  <c r="C15346" i="1"/>
  <c r="C15345" i="1"/>
  <c r="C15344" i="1"/>
  <c r="C15343" i="1"/>
  <c r="C15342" i="1"/>
  <c r="C15341" i="1"/>
  <c r="C15340" i="1"/>
  <c r="C15339" i="1"/>
  <c r="C15338" i="1"/>
  <c r="C15337" i="1"/>
  <c r="C15336" i="1"/>
  <c r="C15335" i="1"/>
  <c r="C15334" i="1"/>
  <c r="C15333" i="1"/>
  <c r="C15332" i="1"/>
  <c r="C15331" i="1"/>
  <c r="C15330" i="1"/>
  <c r="C15329" i="1"/>
  <c r="C15328" i="1"/>
  <c r="C15327" i="1"/>
  <c r="C15326" i="1"/>
  <c r="C15325" i="1"/>
  <c r="C15324" i="1"/>
  <c r="C15323" i="1"/>
  <c r="C15322" i="1"/>
  <c r="C15321" i="1"/>
  <c r="C15320" i="1"/>
  <c r="C15319" i="1"/>
  <c r="C15318" i="1"/>
  <c r="C15317" i="1"/>
  <c r="C15316" i="1"/>
  <c r="C15315" i="1"/>
  <c r="C15314" i="1"/>
  <c r="C15313" i="1"/>
  <c r="C15312" i="1"/>
  <c r="C15311" i="1"/>
  <c r="C15310" i="1"/>
  <c r="C15309" i="1"/>
  <c r="C15308" i="1"/>
  <c r="C15307" i="1"/>
  <c r="C15306" i="1"/>
  <c r="C15305" i="1"/>
  <c r="C15304" i="1"/>
  <c r="C15303" i="1"/>
  <c r="C15302" i="1"/>
  <c r="C15301" i="1"/>
  <c r="C15300" i="1"/>
  <c r="C15299" i="1"/>
  <c r="C15298" i="1"/>
  <c r="C15297" i="1"/>
  <c r="C15296" i="1"/>
  <c r="C15295" i="1"/>
  <c r="C15294" i="1"/>
  <c r="C15293" i="1"/>
  <c r="C15292" i="1"/>
  <c r="C15291" i="1"/>
  <c r="C15290" i="1"/>
  <c r="C15289" i="1"/>
  <c r="C15288" i="1"/>
  <c r="C15287" i="1"/>
  <c r="C15286" i="1"/>
  <c r="C15285" i="1"/>
  <c r="C15284" i="1"/>
  <c r="C15283" i="1"/>
  <c r="C15282" i="1"/>
  <c r="C15281" i="1"/>
  <c r="C15280" i="1"/>
  <c r="C15279" i="1"/>
  <c r="C15278" i="1"/>
  <c r="C15277" i="1"/>
  <c r="C15276" i="1"/>
  <c r="C15275" i="1"/>
  <c r="C15274" i="1"/>
  <c r="C15273" i="1"/>
  <c r="C15272" i="1"/>
  <c r="C15271" i="1"/>
  <c r="C15270" i="1"/>
  <c r="C15269" i="1"/>
  <c r="C15268" i="1"/>
  <c r="C15267" i="1"/>
  <c r="C15266" i="1"/>
  <c r="C15265" i="1"/>
  <c r="C15264" i="1"/>
  <c r="C15263" i="1"/>
  <c r="C15262" i="1"/>
  <c r="C15261" i="1"/>
  <c r="C15260" i="1"/>
  <c r="C15259" i="1"/>
  <c r="C15258" i="1"/>
  <c r="C15257" i="1"/>
  <c r="C15256" i="1"/>
  <c r="C15255" i="1"/>
  <c r="C15254" i="1"/>
  <c r="C15253" i="1"/>
  <c r="C15252" i="1"/>
  <c r="C15251" i="1"/>
  <c r="C15250" i="1"/>
  <c r="C15249" i="1"/>
  <c r="C15248" i="1"/>
  <c r="C15247" i="1"/>
  <c r="C15246" i="1"/>
  <c r="C15245" i="1"/>
  <c r="C15244" i="1"/>
  <c r="C15243" i="1"/>
  <c r="C15242" i="1"/>
  <c r="C15241" i="1"/>
  <c r="C15240" i="1"/>
  <c r="C15239" i="1"/>
  <c r="C15238" i="1"/>
  <c r="C15237" i="1"/>
  <c r="C15236" i="1"/>
  <c r="C15235" i="1"/>
  <c r="C15234" i="1"/>
  <c r="C15233" i="1"/>
  <c r="C15232" i="1"/>
  <c r="C15231" i="1"/>
  <c r="C15230" i="1"/>
  <c r="C15229" i="1"/>
  <c r="C15228" i="1"/>
  <c r="C15227" i="1"/>
  <c r="C15226" i="1"/>
  <c r="C15225" i="1"/>
  <c r="C15224" i="1"/>
  <c r="C15223" i="1"/>
  <c r="C15222" i="1"/>
  <c r="C15221" i="1"/>
  <c r="C15220" i="1"/>
  <c r="C15219" i="1"/>
  <c r="C15218" i="1"/>
  <c r="C15217" i="1"/>
  <c r="C15216" i="1"/>
  <c r="C15215" i="1"/>
  <c r="C15214" i="1"/>
  <c r="C15213" i="1"/>
  <c r="C15212" i="1"/>
  <c r="C15211" i="1"/>
  <c r="C15210" i="1"/>
  <c r="C15209" i="1"/>
  <c r="C15208" i="1"/>
  <c r="C15207" i="1"/>
  <c r="C15206" i="1"/>
  <c r="C15205" i="1"/>
  <c r="C15204" i="1"/>
  <c r="C15203" i="1"/>
  <c r="C15202" i="1"/>
  <c r="C15201" i="1"/>
  <c r="C15200" i="1"/>
  <c r="C15199" i="1"/>
  <c r="C15198" i="1"/>
  <c r="C15197" i="1"/>
  <c r="C15196" i="1"/>
  <c r="C15195" i="1"/>
  <c r="C15194" i="1"/>
  <c r="C15193" i="1"/>
  <c r="C15192" i="1"/>
  <c r="C15191" i="1"/>
  <c r="C15190" i="1"/>
  <c r="C15189" i="1"/>
  <c r="C15188" i="1"/>
  <c r="C15187" i="1"/>
  <c r="C15186" i="1"/>
  <c r="C15185" i="1"/>
  <c r="C15184" i="1"/>
  <c r="C15183" i="1"/>
  <c r="C15182" i="1"/>
  <c r="C15181" i="1"/>
  <c r="C15180" i="1"/>
  <c r="C15179" i="1"/>
  <c r="C15178" i="1"/>
  <c r="C15177" i="1"/>
  <c r="C15176" i="1"/>
  <c r="C15175" i="1"/>
  <c r="C15174" i="1"/>
  <c r="C15173" i="1"/>
  <c r="C15172" i="1"/>
  <c r="C15171" i="1"/>
  <c r="C15170" i="1"/>
  <c r="C15169" i="1"/>
  <c r="C15168" i="1"/>
  <c r="C15167" i="1"/>
  <c r="C15166" i="1"/>
  <c r="C15165" i="1"/>
  <c r="C15164" i="1"/>
  <c r="C15163" i="1"/>
  <c r="C15162" i="1"/>
  <c r="C15161" i="1"/>
  <c r="C15160" i="1"/>
  <c r="C15159" i="1"/>
  <c r="C15158" i="1"/>
  <c r="C15157" i="1"/>
  <c r="C15156" i="1"/>
  <c r="C15155" i="1"/>
  <c r="C15154" i="1"/>
  <c r="C15153" i="1"/>
  <c r="C15152" i="1"/>
  <c r="C15151" i="1"/>
  <c r="C15150" i="1"/>
  <c r="C15149" i="1"/>
  <c r="C15148" i="1"/>
  <c r="C15147" i="1"/>
  <c r="C15146" i="1"/>
  <c r="C15145" i="1"/>
  <c r="C15144" i="1"/>
  <c r="C15143" i="1"/>
  <c r="C15142" i="1"/>
  <c r="C15141" i="1"/>
  <c r="C15140" i="1"/>
  <c r="C15139" i="1"/>
  <c r="C15138" i="1"/>
  <c r="C15137" i="1"/>
  <c r="C15136" i="1"/>
  <c r="C15135" i="1"/>
  <c r="C15134" i="1"/>
  <c r="C15133" i="1"/>
  <c r="C15132" i="1"/>
  <c r="C15131" i="1"/>
  <c r="C15130" i="1"/>
  <c r="C15129" i="1"/>
  <c r="C15128" i="1"/>
  <c r="C15127" i="1"/>
  <c r="C15126" i="1"/>
  <c r="C15125" i="1"/>
  <c r="C15124" i="1"/>
  <c r="C15123" i="1"/>
  <c r="C15122" i="1"/>
  <c r="C15121" i="1"/>
  <c r="C15120" i="1"/>
  <c r="C15119" i="1"/>
  <c r="C15118" i="1"/>
  <c r="C15117" i="1"/>
  <c r="C15116" i="1"/>
  <c r="C15115" i="1"/>
  <c r="C15114" i="1"/>
  <c r="C15113" i="1"/>
  <c r="C15112" i="1"/>
  <c r="C15111" i="1"/>
  <c r="C15110" i="1"/>
  <c r="C15109" i="1"/>
  <c r="C15108" i="1"/>
  <c r="C15107" i="1"/>
  <c r="C15106" i="1"/>
  <c r="C15105" i="1"/>
  <c r="C15104" i="1"/>
  <c r="C15103" i="1"/>
  <c r="C15102" i="1"/>
  <c r="C15101" i="1"/>
  <c r="C15100" i="1"/>
  <c r="C15099" i="1"/>
  <c r="C15098" i="1"/>
  <c r="C15097" i="1"/>
  <c r="C15096" i="1"/>
  <c r="C15095" i="1"/>
  <c r="C15094" i="1"/>
  <c r="C15093" i="1"/>
  <c r="C15092" i="1"/>
  <c r="C15091" i="1"/>
  <c r="C15090" i="1"/>
  <c r="C15089" i="1"/>
  <c r="C15088" i="1"/>
  <c r="C15087" i="1"/>
  <c r="C15086" i="1"/>
  <c r="C15085" i="1"/>
  <c r="C15084" i="1"/>
  <c r="C15083" i="1"/>
  <c r="C15082" i="1"/>
  <c r="C15081" i="1"/>
  <c r="C15080" i="1"/>
  <c r="C15079" i="1"/>
  <c r="C15078" i="1"/>
  <c r="C15077" i="1"/>
  <c r="C15076" i="1"/>
  <c r="C15075" i="1"/>
  <c r="C15074" i="1"/>
  <c r="C15073" i="1"/>
  <c r="C15072" i="1"/>
  <c r="C15071" i="1"/>
  <c r="C15070" i="1"/>
  <c r="C15069" i="1"/>
  <c r="C15068" i="1"/>
  <c r="C15067" i="1"/>
  <c r="C15066" i="1"/>
  <c r="C15065" i="1"/>
  <c r="C15064" i="1"/>
  <c r="C15063" i="1"/>
  <c r="C15062" i="1"/>
  <c r="C15061" i="1"/>
  <c r="C15060" i="1"/>
  <c r="C15059" i="1"/>
  <c r="C15058" i="1"/>
  <c r="C15057" i="1"/>
  <c r="C15056" i="1"/>
  <c r="C15055" i="1"/>
  <c r="C15054" i="1"/>
  <c r="C15053" i="1"/>
  <c r="C15052" i="1"/>
  <c r="C15051" i="1"/>
  <c r="C15050" i="1"/>
  <c r="C15049" i="1"/>
  <c r="C15048" i="1"/>
  <c r="C15047" i="1"/>
  <c r="C15046" i="1"/>
  <c r="C15045" i="1"/>
  <c r="C15044" i="1"/>
  <c r="C15043" i="1"/>
  <c r="C15042" i="1"/>
  <c r="C15041" i="1"/>
  <c r="C15040" i="1"/>
  <c r="C15039" i="1"/>
  <c r="C15038" i="1"/>
  <c r="C15037" i="1"/>
  <c r="C15036" i="1"/>
  <c r="C15035" i="1"/>
  <c r="C15034" i="1"/>
  <c r="C15033" i="1"/>
  <c r="C15032" i="1"/>
  <c r="C15031" i="1"/>
  <c r="C15030" i="1"/>
  <c r="C15029" i="1"/>
  <c r="C15028" i="1"/>
  <c r="C15027" i="1"/>
  <c r="C15026" i="1"/>
  <c r="C15025" i="1"/>
  <c r="C15024" i="1"/>
  <c r="C15023" i="1"/>
  <c r="C15022" i="1"/>
  <c r="C15021" i="1"/>
  <c r="C15020" i="1"/>
  <c r="C15019" i="1"/>
  <c r="C15018" i="1"/>
  <c r="C15017" i="1"/>
  <c r="C15016" i="1"/>
  <c r="C15015" i="1"/>
  <c r="C15014" i="1"/>
  <c r="C15013" i="1"/>
  <c r="C15012" i="1"/>
  <c r="C15011" i="1"/>
  <c r="C15010" i="1"/>
  <c r="C15009" i="1"/>
  <c r="C15008" i="1"/>
  <c r="C15007" i="1"/>
  <c r="C15006" i="1"/>
  <c r="C15005" i="1"/>
  <c r="C15004" i="1"/>
  <c r="C15003" i="1"/>
  <c r="C15002" i="1"/>
  <c r="C15001" i="1"/>
  <c r="C15000" i="1"/>
  <c r="C14999" i="1"/>
  <c r="C14998" i="1"/>
  <c r="C14997" i="1"/>
  <c r="C14996" i="1"/>
  <c r="C14995" i="1"/>
  <c r="C14994" i="1"/>
  <c r="C14993" i="1"/>
  <c r="C14992" i="1"/>
  <c r="C14991" i="1"/>
  <c r="C14990" i="1"/>
  <c r="C14989" i="1"/>
  <c r="C14988" i="1"/>
  <c r="C14987" i="1"/>
  <c r="C14986" i="1"/>
  <c r="C14985" i="1"/>
  <c r="C14984" i="1"/>
  <c r="C14983" i="1"/>
  <c r="C14982" i="1"/>
  <c r="C14981" i="1"/>
  <c r="C14980" i="1"/>
  <c r="C14979" i="1"/>
  <c r="C14978" i="1"/>
  <c r="C14977" i="1"/>
  <c r="C14976" i="1"/>
  <c r="C14975" i="1"/>
  <c r="C14974" i="1"/>
  <c r="C14973" i="1"/>
  <c r="C14972" i="1"/>
  <c r="C14971" i="1"/>
  <c r="C14970" i="1"/>
  <c r="C14969" i="1"/>
  <c r="C14968" i="1"/>
  <c r="C14967" i="1"/>
  <c r="C14966" i="1"/>
  <c r="C14965" i="1"/>
  <c r="C14964" i="1"/>
  <c r="C14963" i="1"/>
  <c r="C14962" i="1"/>
  <c r="C14961" i="1"/>
  <c r="C14960" i="1"/>
  <c r="C14959" i="1"/>
  <c r="C14958" i="1"/>
  <c r="C14957" i="1"/>
  <c r="C14956" i="1"/>
  <c r="C14955" i="1"/>
  <c r="C14954" i="1"/>
  <c r="C14953" i="1"/>
  <c r="C14952" i="1"/>
  <c r="C14951" i="1"/>
  <c r="C14950" i="1"/>
  <c r="C14949" i="1"/>
  <c r="C14948" i="1"/>
  <c r="C14947" i="1"/>
  <c r="C14946" i="1"/>
  <c r="C14945" i="1"/>
  <c r="C14944" i="1"/>
  <c r="C14943" i="1"/>
  <c r="C14942" i="1"/>
  <c r="C14941" i="1"/>
  <c r="C14940" i="1"/>
  <c r="C14939" i="1"/>
  <c r="C14938" i="1"/>
  <c r="C14937" i="1"/>
  <c r="C14936" i="1"/>
  <c r="C14935" i="1"/>
  <c r="C14934" i="1"/>
  <c r="C14933" i="1"/>
  <c r="C14932" i="1"/>
  <c r="C14931" i="1"/>
  <c r="C14930" i="1"/>
  <c r="C14929" i="1"/>
  <c r="C14928" i="1"/>
  <c r="C14927" i="1"/>
  <c r="C14926" i="1"/>
  <c r="C14925" i="1"/>
  <c r="C14924" i="1"/>
  <c r="C14923" i="1"/>
  <c r="C14922" i="1"/>
  <c r="C14921" i="1"/>
  <c r="C14920" i="1"/>
  <c r="C14919" i="1"/>
  <c r="C14918" i="1"/>
  <c r="C14917" i="1"/>
  <c r="C14916" i="1"/>
  <c r="C14915" i="1"/>
  <c r="C14914" i="1"/>
  <c r="C14913" i="1"/>
  <c r="C14912" i="1"/>
  <c r="C14911" i="1"/>
  <c r="C14910" i="1"/>
  <c r="C14909" i="1"/>
  <c r="C14908" i="1"/>
  <c r="C14907" i="1"/>
  <c r="C14906" i="1"/>
  <c r="C14905" i="1"/>
  <c r="C14904" i="1"/>
  <c r="C14903" i="1"/>
  <c r="C14902" i="1"/>
  <c r="C14901" i="1"/>
  <c r="C14900" i="1"/>
  <c r="C14899" i="1"/>
  <c r="C14898" i="1"/>
  <c r="C14897" i="1"/>
  <c r="C14896" i="1"/>
  <c r="C14895" i="1"/>
  <c r="C14894" i="1"/>
  <c r="C14893" i="1"/>
  <c r="C14892" i="1"/>
  <c r="C14891" i="1"/>
  <c r="C14890" i="1"/>
  <c r="C14889" i="1"/>
  <c r="C14888" i="1"/>
  <c r="C14887" i="1"/>
  <c r="C14886" i="1"/>
  <c r="C14885" i="1"/>
  <c r="C14884" i="1"/>
  <c r="C14883" i="1"/>
  <c r="C14882" i="1"/>
  <c r="C14881" i="1"/>
  <c r="C14880" i="1"/>
  <c r="C14879" i="1"/>
  <c r="C14878" i="1"/>
  <c r="C14877" i="1"/>
  <c r="C14876" i="1"/>
  <c r="C14875" i="1"/>
  <c r="C14874" i="1"/>
  <c r="C14873" i="1"/>
  <c r="C14872" i="1"/>
  <c r="C14871" i="1"/>
  <c r="C14870" i="1"/>
  <c r="C14869" i="1"/>
  <c r="C14868" i="1"/>
  <c r="C14867" i="1"/>
  <c r="C14866" i="1"/>
  <c r="C14865" i="1"/>
  <c r="C14864" i="1"/>
  <c r="C14863" i="1"/>
  <c r="C14862" i="1"/>
  <c r="C14861" i="1"/>
  <c r="C14860" i="1"/>
  <c r="C14859" i="1"/>
  <c r="C14858" i="1"/>
  <c r="C14857" i="1"/>
  <c r="C14856" i="1"/>
  <c r="C14855" i="1"/>
  <c r="C14854" i="1"/>
  <c r="C14853" i="1"/>
  <c r="C14852" i="1"/>
  <c r="C14851" i="1"/>
  <c r="C14850" i="1"/>
  <c r="C14849" i="1"/>
  <c r="C14848" i="1"/>
  <c r="C14847" i="1"/>
  <c r="C14846" i="1"/>
  <c r="C14845" i="1"/>
  <c r="C14844" i="1"/>
  <c r="C14843" i="1"/>
  <c r="C14842" i="1"/>
  <c r="C14841" i="1"/>
  <c r="C14840" i="1"/>
  <c r="C14839" i="1"/>
  <c r="C14838" i="1"/>
  <c r="C14837" i="1"/>
  <c r="C14836" i="1"/>
  <c r="C14835" i="1"/>
  <c r="C14834" i="1"/>
  <c r="C14833" i="1"/>
  <c r="C14832" i="1"/>
  <c r="C14831" i="1"/>
  <c r="C14830" i="1"/>
  <c r="C14829" i="1"/>
  <c r="C14828" i="1"/>
  <c r="C14827" i="1"/>
  <c r="C14826" i="1"/>
  <c r="C14825" i="1"/>
  <c r="C14824" i="1"/>
  <c r="C14823" i="1"/>
  <c r="C14822" i="1"/>
  <c r="C14821" i="1"/>
  <c r="C14820" i="1"/>
  <c r="C14819" i="1"/>
  <c r="C14818" i="1"/>
  <c r="C14817" i="1"/>
  <c r="C14816" i="1"/>
  <c r="C14815" i="1"/>
  <c r="C14814" i="1"/>
  <c r="C14813" i="1"/>
  <c r="C14812" i="1"/>
  <c r="C14811" i="1"/>
  <c r="C14810" i="1"/>
  <c r="C14809" i="1"/>
  <c r="C14808" i="1"/>
  <c r="C14807" i="1"/>
  <c r="C14806" i="1"/>
  <c r="C14805" i="1"/>
  <c r="C14804" i="1"/>
  <c r="C14803" i="1"/>
  <c r="C14802" i="1"/>
  <c r="C14801" i="1"/>
  <c r="C14800" i="1"/>
  <c r="C14799" i="1"/>
  <c r="C14798" i="1"/>
  <c r="C14797" i="1"/>
  <c r="C14796" i="1"/>
  <c r="C14795" i="1"/>
  <c r="C14794" i="1"/>
  <c r="C14793" i="1"/>
  <c r="C14792" i="1"/>
  <c r="C14791" i="1"/>
  <c r="C14790" i="1"/>
  <c r="C14789" i="1"/>
  <c r="C14788" i="1"/>
  <c r="C14787" i="1"/>
  <c r="C14786" i="1"/>
  <c r="C14785" i="1"/>
  <c r="C14784" i="1"/>
  <c r="C14783" i="1"/>
  <c r="C14782" i="1"/>
  <c r="C14781" i="1"/>
  <c r="C14780" i="1"/>
  <c r="C14779" i="1"/>
  <c r="C14778" i="1"/>
  <c r="C14777" i="1"/>
  <c r="C14776" i="1"/>
  <c r="C14775" i="1"/>
  <c r="C14774" i="1"/>
  <c r="C14773" i="1"/>
  <c r="C14772" i="1"/>
  <c r="C14771" i="1"/>
  <c r="C14770" i="1"/>
  <c r="C14769" i="1"/>
  <c r="C14768" i="1"/>
  <c r="C14767" i="1"/>
  <c r="C14766" i="1"/>
  <c r="C14765" i="1"/>
  <c r="C14764" i="1"/>
  <c r="C14763" i="1"/>
  <c r="C14762" i="1"/>
  <c r="C14761" i="1"/>
  <c r="C14760" i="1"/>
  <c r="C14759" i="1"/>
  <c r="C14758" i="1"/>
  <c r="C14757" i="1"/>
  <c r="C14756" i="1"/>
  <c r="C14755" i="1"/>
  <c r="C14754" i="1"/>
  <c r="C14753" i="1"/>
  <c r="C14752" i="1"/>
  <c r="C14751" i="1"/>
  <c r="C14750" i="1"/>
  <c r="C14749" i="1"/>
  <c r="C14748" i="1"/>
  <c r="C14747" i="1"/>
  <c r="C14746" i="1"/>
  <c r="C14745" i="1"/>
  <c r="C14744" i="1"/>
  <c r="C14743" i="1"/>
  <c r="C14742" i="1"/>
  <c r="C14741" i="1"/>
  <c r="C14740" i="1"/>
  <c r="C14739" i="1"/>
  <c r="C14738" i="1"/>
  <c r="C14737" i="1"/>
  <c r="C14736" i="1"/>
  <c r="C14735" i="1"/>
  <c r="C14734" i="1"/>
  <c r="C14733" i="1"/>
  <c r="C14732" i="1"/>
  <c r="C14731" i="1"/>
  <c r="C14730" i="1"/>
  <c r="C14729" i="1"/>
  <c r="C14728" i="1"/>
  <c r="C14727" i="1"/>
  <c r="C14726" i="1"/>
  <c r="C14725" i="1"/>
  <c r="C14724" i="1"/>
  <c r="C14723" i="1"/>
  <c r="C14722" i="1"/>
  <c r="C14721" i="1"/>
  <c r="C14720" i="1"/>
  <c r="C14719" i="1"/>
  <c r="C14718" i="1"/>
  <c r="C14717" i="1"/>
  <c r="C14716" i="1"/>
  <c r="C14715" i="1"/>
  <c r="C14714" i="1"/>
  <c r="C14713" i="1"/>
  <c r="C14712" i="1"/>
  <c r="C14711" i="1"/>
  <c r="C14710" i="1"/>
  <c r="C14709" i="1"/>
  <c r="C14708" i="1"/>
  <c r="C14707" i="1"/>
  <c r="C14706" i="1"/>
  <c r="C14705" i="1"/>
  <c r="C14704" i="1"/>
  <c r="C14703" i="1"/>
  <c r="C14702" i="1"/>
  <c r="C14701" i="1"/>
  <c r="C14700" i="1"/>
  <c r="C14699" i="1"/>
  <c r="C14698" i="1"/>
  <c r="C14697" i="1"/>
  <c r="C14696" i="1"/>
  <c r="C14695" i="1"/>
  <c r="C14694" i="1"/>
  <c r="C14693" i="1"/>
  <c r="C14692" i="1"/>
  <c r="C14691" i="1"/>
  <c r="C14690" i="1"/>
  <c r="C14689" i="1"/>
  <c r="C14688" i="1"/>
  <c r="C14687" i="1"/>
  <c r="C14686" i="1"/>
  <c r="C14685" i="1"/>
  <c r="C14684" i="1"/>
  <c r="C14683" i="1"/>
  <c r="C14682" i="1"/>
  <c r="C14681" i="1"/>
  <c r="C14680" i="1"/>
  <c r="C14679" i="1"/>
  <c r="C14678" i="1"/>
  <c r="C14677" i="1"/>
  <c r="C14676" i="1"/>
  <c r="C14675" i="1"/>
  <c r="C14674" i="1"/>
  <c r="C14673" i="1"/>
  <c r="C14672" i="1"/>
  <c r="C14671" i="1"/>
  <c r="C14670" i="1"/>
  <c r="C14669" i="1"/>
  <c r="C14668" i="1"/>
  <c r="C14667" i="1"/>
  <c r="C14666" i="1"/>
  <c r="C14665" i="1"/>
  <c r="C14664" i="1"/>
  <c r="C14663" i="1"/>
  <c r="C14662" i="1"/>
  <c r="C14661" i="1"/>
  <c r="C14660" i="1"/>
  <c r="C14659" i="1"/>
  <c r="C14658" i="1"/>
  <c r="C14657" i="1"/>
  <c r="C14656" i="1"/>
  <c r="C14655" i="1"/>
  <c r="C14654" i="1"/>
  <c r="C14653" i="1"/>
  <c r="C14652" i="1"/>
  <c r="C14651" i="1"/>
  <c r="C14650" i="1"/>
  <c r="C14649" i="1"/>
  <c r="C14648" i="1"/>
  <c r="C14647" i="1"/>
  <c r="C14646" i="1"/>
  <c r="C14645" i="1"/>
  <c r="C14644" i="1"/>
  <c r="C14643" i="1"/>
  <c r="C14642" i="1"/>
  <c r="C14641" i="1"/>
  <c r="C14640" i="1"/>
  <c r="C14639" i="1"/>
  <c r="C14638" i="1"/>
  <c r="C14637" i="1"/>
  <c r="C14636" i="1"/>
  <c r="C14635" i="1"/>
  <c r="C14634" i="1"/>
  <c r="C14633" i="1"/>
  <c r="C14632" i="1"/>
  <c r="C14631" i="1"/>
  <c r="C14630" i="1"/>
  <c r="C14629" i="1"/>
  <c r="C14628" i="1"/>
  <c r="C14627" i="1"/>
  <c r="C14626" i="1"/>
  <c r="C14625" i="1"/>
  <c r="C14624" i="1"/>
  <c r="C14623" i="1"/>
  <c r="C14622" i="1"/>
  <c r="C14621" i="1"/>
  <c r="C14620" i="1"/>
  <c r="C14619" i="1"/>
  <c r="C14618" i="1"/>
  <c r="C14617" i="1"/>
  <c r="C14616" i="1"/>
  <c r="C14615" i="1"/>
  <c r="C14614" i="1"/>
  <c r="C14613" i="1"/>
  <c r="C14612" i="1"/>
  <c r="C14611" i="1"/>
  <c r="C14610" i="1"/>
  <c r="C14609" i="1"/>
  <c r="C14608" i="1"/>
  <c r="C14607" i="1"/>
  <c r="C14606" i="1"/>
  <c r="C14605" i="1"/>
  <c r="C14604" i="1"/>
  <c r="C14603" i="1"/>
  <c r="C14602" i="1"/>
  <c r="C14601" i="1"/>
  <c r="C14600" i="1"/>
  <c r="C14599" i="1"/>
  <c r="C14598" i="1"/>
  <c r="C14597" i="1"/>
  <c r="C14596" i="1"/>
  <c r="C14595" i="1"/>
  <c r="C14594" i="1"/>
  <c r="C14593" i="1"/>
  <c r="C14592" i="1"/>
  <c r="C14591" i="1"/>
  <c r="C14590" i="1"/>
  <c r="C14589" i="1"/>
  <c r="C14588" i="1"/>
  <c r="C14587" i="1"/>
  <c r="C14586" i="1"/>
  <c r="C14585" i="1"/>
  <c r="C14584" i="1"/>
  <c r="C14583" i="1"/>
  <c r="C14582" i="1"/>
  <c r="C14581" i="1"/>
  <c r="C14580" i="1"/>
  <c r="C14579" i="1"/>
  <c r="C14578" i="1"/>
  <c r="C14577" i="1"/>
  <c r="C14576" i="1"/>
  <c r="C14575" i="1"/>
  <c r="C14574" i="1"/>
  <c r="C14573" i="1"/>
  <c r="C14572" i="1"/>
  <c r="C14571" i="1"/>
  <c r="C14570" i="1"/>
  <c r="C14569" i="1"/>
  <c r="C14568" i="1"/>
  <c r="C14567" i="1"/>
  <c r="C14566" i="1"/>
  <c r="C14565" i="1"/>
  <c r="C14564" i="1"/>
  <c r="C14563" i="1"/>
  <c r="C14562" i="1"/>
  <c r="C14561" i="1"/>
  <c r="C14560" i="1"/>
  <c r="C14559" i="1"/>
  <c r="C14558" i="1"/>
  <c r="C14557" i="1"/>
  <c r="C14556" i="1"/>
  <c r="C14555" i="1"/>
  <c r="C14554" i="1"/>
  <c r="C14553" i="1"/>
  <c r="C14552" i="1"/>
  <c r="C14551" i="1"/>
  <c r="C14550" i="1"/>
  <c r="C14549" i="1"/>
  <c r="C14548" i="1"/>
  <c r="C14547" i="1"/>
  <c r="C14546" i="1"/>
  <c r="C14545" i="1"/>
  <c r="C14544" i="1"/>
  <c r="C14543" i="1"/>
  <c r="C14542" i="1"/>
  <c r="C14541" i="1"/>
  <c r="C14540" i="1"/>
  <c r="C14539" i="1"/>
  <c r="C14538" i="1"/>
  <c r="C14537" i="1"/>
  <c r="C14536" i="1"/>
  <c r="C14535" i="1"/>
  <c r="C14534" i="1"/>
  <c r="C14533" i="1"/>
  <c r="C14532" i="1"/>
  <c r="C14531" i="1"/>
  <c r="C14530" i="1"/>
  <c r="C14529" i="1"/>
  <c r="C14528" i="1"/>
  <c r="C14527" i="1"/>
  <c r="C14526" i="1"/>
  <c r="C14525" i="1"/>
  <c r="C14524" i="1"/>
  <c r="C14523" i="1"/>
  <c r="C14522" i="1"/>
  <c r="C14521" i="1"/>
  <c r="C14520" i="1"/>
  <c r="C14519" i="1"/>
  <c r="C14518" i="1"/>
  <c r="C14517" i="1"/>
  <c r="C14516" i="1"/>
  <c r="C14515" i="1"/>
  <c r="C14514" i="1"/>
  <c r="C14513" i="1"/>
  <c r="C14512" i="1"/>
  <c r="C14511" i="1"/>
  <c r="C14510" i="1"/>
  <c r="C14509" i="1"/>
  <c r="C14508" i="1"/>
  <c r="C14507" i="1"/>
  <c r="C14506" i="1"/>
  <c r="C14505" i="1"/>
  <c r="C14504" i="1"/>
  <c r="C14503" i="1"/>
  <c r="C14502" i="1"/>
  <c r="C14501" i="1"/>
  <c r="C14500" i="1"/>
  <c r="C14499" i="1"/>
  <c r="C14498" i="1"/>
  <c r="C14497" i="1"/>
  <c r="C14496" i="1"/>
  <c r="C14495" i="1"/>
  <c r="C14494" i="1"/>
  <c r="C14493" i="1"/>
  <c r="C14492" i="1"/>
  <c r="C14491" i="1"/>
  <c r="C14490" i="1"/>
  <c r="C14489" i="1"/>
  <c r="C14488" i="1"/>
  <c r="C14487" i="1"/>
  <c r="C14486" i="1"/>
  <c r="C14485" i="1"/>
  <c r="C14484" i="1"/>
  <c r="C14483" i="1"/>
  <c r="C14482" i="1"/>
  <c r="C14481" i="1"/>
  <c r="C14480" i="1"/>
  <c r="C14479" i="1"/>
  <c r="C14478" i="1"/>
  <c r="C14477" i="1"/>
  <c r="C14476" i="1"/>
  <c r="C14475" i="1"/>
  <c r="C14474" i="1"/>
  <c r="C14473" i="1"/>
  <c r="C14472" i="1"/>
  <c r="C14471" i="1"/>
  <c r="C14470" i="1"/>
  <c r="C14469" i="1"/>
  <c r="C14468" i="1"/>
  <c r="C14467" i="1"/>
  <c r="C14466" i="1"/>
  <c r="C14465" i="1"/>
  <c r="C14464" i="1"/>
  <c r="C14463" i="1"/>
  <c r="C14462" i="1"/>
  <c r="C14461" i="1"/>
  <c r="C14460" i="1"/>
  <c r="C14459" i="1"/>
  <c r="C14458" i="1"/>
  <c r="C14457" i="1"/>
  <c r="C14456" i="1"/>
  <c r="C14455" i="1"/>
  <c r="C14454" i="1"/>
  <c r="C14453" i="1"/>
  <c r="C14452" i="1"/>
  <c r="C14451" i="1"/>
  <c r="C14450" i="1"/>
  <c r="C14449" i="1"/>
  <c r="C14448" i="1"/>
  <c r="C14447" i="1"/>
  <c r="C14446" i="1"/>
  <c r="C14445" i="1"/>
  <c r="C14444" i="1"/>
  <c r="C14443" i="1"/>
  <c r="C14442" i="1"/>
  <c r="C14441" i="1"/>
  <c r="C14440" i="1"/>
  <c r="C14439" i="1"/>
  <c r="C14438" i="1"/>
  <c r="C14437" i="1"/>
  <c r="C14436" i="1"/>
  <c r="C14435" i="1"/>
  <c r="C14434" i="1"/>
  <c r="C14433" i="1"/>
  <c r="C14432" i="1"/>
  <c r="C14431" i="1"/>
  <c r="C14430" i="1"/>
  <c r="C14429" i="1"/>
  <c r="C14428" i="1"/>
  <c r="C14427" i="1"/>
  <c r="C14426" i="1"/>
  <c r="C14425" i="1"/>
  <c r="C14424" i="1"/>
  <c r="C14423" i="1"/>
  <c r="C14422" i="1"/>
  <c r="C14421" i="1"/>
  <c r="C14420" i="1"/>
  <c r="C14419" i="1"/>
  <c r="C14418" i="1"/>
  <c r="C14417" i="1"/>
  <c r="C14416" i="1"/>
  <c r="C14415" i="1"/>
  <c r="C14414" i="1"/>
  <c r="C14413" i="1"/>
  <c r="C14412" i="1"/>
  <c r="C14411" i="1"/>
  <c r="C14410" i="1"/>
  <c r="C14409" i="1"/>
  <c r="C14408" i="1"/>
  <c r="C14407" i="1"/>
  <c r="C14406" i="1"/>
  <c r="C14405" i="1"/>
  <c r="C14404" i="1"/>
  <c r="C14403" i="1"/>
  <c r="C14402" i="1"/>
  <c r="C14401" i="1"/>
  <c r="C14400" i="1"/>
  <c r="C14399" i="1"/>
  <c r="C14398" i="1"/>
  <c r="C14397" i="1"/>
  <c r="C14396" i="1"/>
  <c r="C14395" i="1"/>
  <c r="C14394" i="1"/>
  <c r="C14393" i="1"/>
  <c r="C14392" i="1"/>
  <c r="C14391" i="1"/>
  <c r="C14390" i="1"/>
  <c r="C14389" i="1"/>
  <c r="C14388" i="1"/>
  <c r="C14387" i="1"/>
  <c r="C14386" i="1"/>
  <c r="C14385" i="1"/>
  <c r="C14384" i="1"/>
  <c r="C14383" i="1"/>
  <c r="C14382" i="1"/>
  <c r="C14381" i="1"/>
  <c r="C14380" i="1"/>
  <c r="C14379" i="1"/>
  <c r="C14378" i="1"/>
  <c r="C14377" i="1"/>
  <c r="C14376" i="1"/>
  <c r="C14375" i="1"/>
  <c r="C14374" i="1"/>
  <c r="C14373" i="1"/>
  <c r="C14372" i="1"/>
  <c r="C14371" i="1"/>
  <c r="C14370" i="1"/>
  <c r="C14369" i="1"/>
  <c r="C14368" i="1"/>
  <c r="C14367" i="1"/>
  <c r="C14366" i="1"/>
  <c r="C14365" i="1"/>
  <c r="C14364" i="1"/>
  <c r="C14363" i="1"/>
  <c r="C14362" i="1"/>
  <c r="C14361" i="1"/>
  <c r="C14360" i="1"/>
  <c r="C14359" i="1"/>
  <c r="C14358" i="1"/>
  <c r="C14357" i="1"/>
  <c r="C14356" i="1"/>
  <c r="C14355" i="1"/>
  <c r="C14354" i="1"/>
  <c r="C14353" i="1"/>
  <c r="C14352" i="1"/>
  <c r="C14351" i="1"/>
  <c r="C14350" i="1"/>
  <c r="C14349" i="1"/>
  <c r="C14348" i="1"/>
  <c r="C14347" i="1"/>
  <c r="C14346" i="1"/>
  <c r="C14345" i="1"/>
  <c r="C14344" i="1"/>
  <c r="C14343" i="1"/>
  <c r="C14342" i="1"/>
  <c r="C14341" i="1"/>
  <c r="C14340" i="1"/>
  <c r="C14339" i="1"/>
  <c r="C14338" i="1"/>
  <c r="C14337" i="1"/>
  <c r="C14336" i="1"/>
  <c r="C14335" i="1"/>
  <c r="C14334" i="1"/>
  <c r="C14333" i="1"/>
  <c r="C14332" i="1"/>
  <c r="C14331" i="1"/>
  <c r="C14330" i="1"/>
  <c r="C14329" i="1"/>
  <c r="C14328" i="1"/>
  <c r="C14327" i="1"/>
  <c r="C14326" i="1"/>
  <c r="C14325" i="1"/>
  <c r="C14324" i="1"/>
  <c r="C14323" i="1"/>
  <c r="C14322" i="1"/>
  <c r="C14321" i="1"/>
  <c r="C14320" i="1"/>
  <c r="C14319" i="1"/>
  <c r="C14318" i="1"/>
  <c r="C14317" i="1"/>
  <c r="C14316" i="1"/>
  <c r="C14315" i="1"/>
  <c r="C14314" i="1"/>
  <c r="C14313" i="1"/>
  <c r="C14312" i="1"/>
  <c r="C14311" i="1"/>
  <c r="C14310" i="1"/>
  <c r="C14309" i="1"/>
  <c r="C14308" i="1"/>
  <c r="C14307" i="1"/>
  <c r="C14306" i="1"/>
  <c r="C14305" i="1"/>
  <c r="C14304" i="1"/>
  <c r="C14303" i="1"/>
  <c r="C14302" i="1"/>
  <c r="C14301" i="1"/>
  <c r="C14300" i="1"/>
  <c r="C14299" i="1"/>
  <c r="C14298" i="1"/>
  <c r="C14297" i="1"/>
  <c r="C14296" i="1"/>
  <c r="C14295" i="1"/>
  <c r="C14294" i="1"/>
  <c r="C14293" i="1"/>
  <c r="C14292" i="1"/>
  <c r="C14291" i="1"/>
  <c r="C14290" i="1"/>
  <c r="C14289" i="1"/>
  <c r="C14288" i="1"/>
  <c r="C14287" i="1"/>
  <c r="C14286" i="1"/>
  <c r="C14285" i="1"/>
  <c r="C14284" i="1"/>
  <c r="C14283" i="1"/>
  <c r="C14282" i="1"/>
  <c r="C14281" i="1"/>
  <c r="C14280" i="1"/>
  <c r="C14279" i="1"/>
  <c r="C14278" i="1"/>
  <c r="C14277" i="1"/>
  <c r="C14276" i="1"/>
  <c r="C14275" i="1"/>
  <c r="C14274" i="1"/>
  <c r="C14273" i="1"/>
  <c r="C14272" i="1"/>
  <c r="C14271" i="1"/>
  <c r="C14270" i="1"/>
  <c r="C14269" i="1"/>
  <c r="C14268" i="1"/>
  <c r="C14267" i="1"/>
  <c r="C14266" i="1"/>
  <c r="C14265" i="1"/>
  <c r="C14264" i="1"/>
  <c r="C14263" i="1"/>
  <c r="C14262" i="1"/>
  <c r="C14261" i="1"/>
  <c r="C14260" i="1"/>
  <c r="C14259" i="1"/>
  <c r="C14258" i="1"/>
  <c r="C14257" i="1"/>
  <c r="C14256" i="1"/>
  <c r="C14255" i="1"/>
  <c r="C14254" i="1"/>
  <c r="C14253" i="1"/>
  <c r="C14252" i="1"/>
  <c r="C14251" i="1"/>
  <c r="C14250" i="1"/>
  <c r="C14249" i="1"/>
  <c r="C14248" i="1"/>
  <c r="C14247" i="1"/>
  <c r="C14246" i="1"/>
  <c r="C14245" i="1"/>
  <c r="C14244" i="1"/>
  <c r="C14243" i="1"/>
  <c r="C14242" i="1"/>
  <c r="C14241" i="1"/>
  <c r="C14240" i="1"/>
  <c r="C14239" i="1"/>
  <c r="C14238" i="1"/>
  <c r="C14237" i="1"/>
  <c r="C14236" i="1"/>
  <c r="C14235" i="1"/>
  <c r="C14234" i="1"/>
  <c r="C14233" i="1"/>
  <c r="C14232" i="1"/>
  <c r="C14231" i="1"/>
  <c r="C14230" i="1"/>
  <c r="C14229" i="1"/>
  <c r="C14228" i="1"/>
  <c r="C14227" i="1"/>
  <c r="C14226" i="1"/>
  <c r="C14225" i="1"/>
  <c r="C14224" i="1"/>
  <c r="C14223" i="1"/>
  <c r="C14222" i="1"/>
  <c r="C14221" i="1"/>
  <c r="C14220" i="1"/>
  <c r="C14219" i="1"/>
  <c r="C14218" i="1"/>
  <c r="C14217" i="1"/>
  <c r="C14216" i="1"/>
  <c r="C14215" i="1"/>
  <c r="C14214" i="1"/>
  <c r="C14213" i="1"/>
  <c r="C14212" i="1"/>
  <c r="C14211" i="1"/>
  <c r="C14210" i="1"/>
  <c r="C14209" i="1"/>
  <c r="C14208" i="1"/>
  <c r="C14207" i="1"/>
  <c r="C14206" i="1"/>
  <c r="C14205" i="1"/>
  <c r="C14204" i="1"/>
  <c r="C14203" i="1"/>
  <c r="C14202" i="1"/>
  <c r="C14201" i="1"/>
  <c r="C14200" i="1"/>
  <c r="C14199" i="1"/>
  <c r="C14198" i="1"/>
  <c r="C14197" i="1"/>
  <c r="C14196" i="1"/>
  <c r="C14195" i="1"/>
  <c r="C14194" i="1"/>
  <c r="C14193" i="1"/>
  <c r="C14192" i="1"/>
  <c r="C14191" i="1"/>
  <c r="C14190" i="1"/>
  <c r="C14189" i="1"/>
  <c r="C14188" i="1"/>
  <c r="C14187" i="1"/>
  <c r="C14186" i="1"/>
  <c r="C14185" i="1"/>
  <c r="C14184" i="1"/>
  <c r="C14183" i="1"/>
  <c r="C14182" i="1"/>
  <c r="C14181" i="1"/>
  <c r="C14180" i="1"/>
  <c r="C14179" i="1"/>
  <c r="C14178" i="1"/>
  <c r="C14177" i="1"/>
  <c r="C14176" i="1"/>
  <c r="C14175" i="1"/>
  <c r="C14174" i="1"/>
  <c r="C14173" i="1"/>
  <c r="C14172" i="1"/>
  <c r="C14171" i="1"/>
  <c r="C14170" i="1"/>
  <c r="C14169" i="1"/>
  <c r="C14168" i="1"/>
  <c r="C14167" i="1"/>
  <c r="C14166" i="1"/>
  <c r="C14165" i="1"/>
  <c r="C14164" i="1"/>
  <c r="C14163" i="1"/>
  <c r="C14162" i="1"/>
  <c r="C14161" i="1"/>
  <c r="C14160" i="1"/>
  <c r="C14159" i="1"/>
  <c r="C14158" i="1"/>
  <c r="C14157" i="1"/>
  <c r="C14156" i="1"/>
  <c r="C14155" i="1"/>
  <c r="C14154" i="1"/>
  <c r="C14153" i="1"/>
  <c r="C14152" i="1"/>
  <c r="C14151" i="1"/>
  <c r="C14150" i="1"/>
  <c r="C14149" i="1"/>
  <c r="C14148" i="1"/>
  <c r="C14147" i="1"/>
  <c r="C14146" i="1"/>
  <c r="C14145" i="1"/>
  <c r="C14144" i="1"/>
  <c r="C14143" i="1"/>
  <c r="C14142" i="1"/>
  <c r="C14141" i="1"/>
  <c r="C14140" i="1"/>
  <c r="C14139" i="1"/>
  <c r="C14138" i="1"/>
  <c r="C14137" i="1"/>
  <c r="C14136" i="1"/>
  <c r="C14135" i="1"/>
  <c r="C14134" i="1"/>
  <c r="C14133" i="1"/>
  <c r="C14132" i="1"/>
  <c r="C14131" i="1"/>
  <c r="C14130" i="1"/>
  <c r="C14129" i="1"/>
  <c r="C14128" i="1"/>
  <c r="C14127" i="1"/>
  <c r="C14126" i="1"/>
  <c r="C14125" i="1"/>
  <c r="C14124" i="1"/>
  <c r="C14123" i="1"/>
  <c r="C14122" i="1"/>
  <c r="C14121" i="1"/>
  <c r="C14120" i="1"/>
  <c r="C14119" i="1"/>
  <c r="C14118" i="1"/>
  <c r="C14117" i="1"/>
  <c r="C14116" i="1"/>
  <c r="C14115" i="1"/>
  <c r="C14114" i="1"/>
  <c r="C14113" i="1"/>
  <c r="C14112" i="1"/>
  <c r="C14111" i="1"/>
  <c r="C14110" i="1"/>
  <c r="C14109" i="1"/>
  <c r="C14108" i="1"/>
  <c r="C14107" i="1"/>
  <c r="C14106" i="1"/>
  <c r="C14105" i="1"/>
  <c r="C14104" i="1"/>
  <c r="C14103" i="1"/>
  <c r="C14102" i="1"/>
  <c r="C14101" i="1"/>
  <c r="C14100" i="1"/>
  <c r="C14099" i="1"/>
  <c r="C14098" i="1"/>
  <c r="C14097" i="1"/>
  <c r="C14096" i="1"/>
  <c r="C14095" i="1"/>
  <c r="C14094" i="1"/>
  <c r="C14093" i="1"/>
  <c r="C14092" i="1"/>
  <c r="C14091" i="1"/>
  <c r="C14090" i="1"/>
  <c r="C14089" i="1"/>
  <c r="C14088" i="1"/>
  <c r="C14087" i="1"/>
  <c r="C14086" i="1"/>
  <c r="C14085" i="1"/>
  <c r="C14084" i="1"/>
  <c r="C14083" i="1"/>
  <c r="C14082" i="1"/>
  <c r="C14081" i="1"/>
  <c r="C14080" i="1"/>
  <c r="C14079" i="1"/>
  <c r="C14078" i="1"/>
  <c r="C14077" i="1"/>
  <c r="C14076" i="1"/>
  <c r="C14075" i="1"/>
  <c r="C14074" i="1"/>
  <c r="C14073" i="1"/>
  <c r="C14072" i="1"/>
  <c r="C14071" i="1"/>
  <c r="C14070" i="1"/>
  <c r="C14069" i="1"/>
  <c r="C14068" i="1"/>
  <c r="C14067" i="1"/>
  <c r="C14066" i="1"/>
  <c r="C14065" i="1"/>
  <c r="C14064" i="1"/>
  <c r="C14063" i="1"/>
  <c r="C14062" i="1"/>
  <c r="C14061" i="1"/>
  <c r="C14060" i="1"/>
  <c r="C14059" i="1"/>
  <c r="C14058" i="1"/>
  <c r="C14057" i="1"/>
  <c r="C14056" i="1"/>
  <c r="C14055" i="1"/>
  <c r="C14054" i="1"/>
  <c r="C14053" i="1"/>
  <c r="C14052" i="1"/>
  <c r="C14051" i="1"/>
  <c r="C14050" i="1"/>
  <c r="C14049" i="1"/>
  <c r="C14048" i="1"/>
  <c r="C14047" i="1"/>
  <c r="C14046" i="1"/>
  <c r="C14045" i="1"/>
  <c r="C14044" i="1"/>
  <c r="C14043" i="1"/>
  <c r="C14042" i="1"/>
  <c r="C14041" i="1"/>
  <c r="C14040" i="1"/>
  <c r="C14039" i="1"/>
  <c r="C14038" i="1"/>
  <c r="C14037" i="1"/>
  <c r="C14036" i="1"/>
  <c r="C14035" i="1"/>
  <c r="C14034" i="1"/>
  <c r="C14033" i="1"/>
  <c r="C14032" i="1"/>
  <c r="C14031" i="1"/>
  <c r="C14030" i="1"/>
  <c r="C14029" i="1"/>
  <c r="C14028" i="1"/>
  <c r="C14027" i="1"/>
  <c r="C14026" i="1"/>
  <c r="C14025" i="1"/>
  <c r="C14024" i="1"/>
  <c r="C14023" i="1"/>
  <c r="C14022" i="1"/>
  <c r="C14021" i="1"/>
  <c r="C14020" i="1"/>
  <c r="C14019" i="1"/>
  <c r="C14018" i="1"/>
  <c r="C14017" i="1"/>
  <c r="C14016" i="1"/>
  <c r="C14015" i="1"/>
  <c r="C14014" i="1"/>
  <c r="C14013" i="1"/>
  <c r="C14012" i="1"/>
  <c r="C14011" i="1"/>
  <c r="C14010" i="1"/>
  <c r="C14009" i="1"/>
  <c r="C14008" i="1"/>
  <c r="C14007" i="1"/>
  <c r="C14006" i="1"/>
  <c r="C14005" i="1"/>
  <c r="C14004" i="1"/>
  <c r="C14003" i="1"/>
  <c r="C14002" i="1"/>
  <c r="C14001" i="1"/>
  <c r="C14000" i="1"/>
  <c r="C13999" i="1"/>
  <c r="C13998" i="1"/>
  <c r="C13997" i="1"/>
  <c r="C13996" i="1"/>
  <c r="C13995" i="1"/>
  <c r="C13994" i="1"/>
  <c r="C13993" i="1"/>
  <c r="C13992" i="1"/>
  <c r="C13991" i="1"/>
  <c r="C13990" i="1"/>
  <c r="C13989" i="1"/>
  <c r="C13988" i="1"/>
  <c r="C13987" i="1"/>
  <c r="C13986" i="1"/>
  <c r="C13985" i="1"/>
  <c r="C13984" i="1"/>
  <c r="C13983" i="1"/>
  <c r="C13982" i="1"/>
  <c r="C13981" i="1"/>
  <c r="C13980" i="1"/>
  <c r="C13979" i="1"/>
  <c r="C13978" i="1"/>
  <c r="C13977" i="1"/>
  <c r="C13976" i="1"/>
  <c r="C13975" i="1"/>
  <c r="C13974" i="1"/>
  <c r="C13973" i="1"/>
  <c r="C13972" i="1"/>
  <c r="C13971" i="1"/>
  <c r="C13970" i="1"/>
  <c r="C13969" i="1"/>
  <c r="C13968" i="1"/>
  <c r="C13967" i="1"/>
  <c r="C13966" i="1"/>
  <c r="C13965" i="1"/>
  <c r="C13964" i="1"/>
  <c r="C13963" i="1"/>
  <c r="C13962" i="1"/>
  <c r="C13961" i="1"/>
  <c r="C13960" i="1"/>
  <c r="C13959" i="1"/>
  <c r="C13958" i="1"/>
  <c r="C13957" i="1"/>
  <c r="C13956" i="1"/>
  <c r="C13955" i="1"/>
  <c r="C13954" i="1"/>
  <c r="C13953" i="1"/>
  <c r="C13952" i="1"/>
  <c r="C13951" i="1"/>
  <c r="C13950" i="1"/>
  <c r="C13949" i="1"/>
  <c r="C13948" i="1"/>
  <c r="C13947" i="1"/>
  <c r="C13946" i="1"/>
  <c r="C13945" i="1"/>
  <c r="C13944" i="1"/>
  <c r="C13943" i="1"/>
  <c r="C13942" i="1"/>
  <c r="C13941" i="1"/>
  <c r="C13940" i="1"/>
  <c r="C13939" i="1"/>
  <c r="C13938" i="1"/>
  <c r="C13937" i="1"/>
  <c r="C13936" i="1"/>
  <c r="C13935" i="1"/>
  <c r="C13934" i="1"/>
  <c r="C13933" i="1"/>
  <c r="C13932" i="1"/>
  <c r="C13931" i="1"/>
  <c r="C13930" i="1"/>
  <c r="C13929" i="1"/>
  <c r="C13928" i="1"/>
  <c r="C13927" i="1"/>
  <c r="C13926" i="1"/>
  <c r="C13925" i="1"/>
  <c r="C13924" i="1"/>
  <c r="C13923" i="1"/>
  <c r="C13922" i="1"/>
  <c r="C13921" i="1"/>
  <c r="C13920" i="1"/>
  <c r="C13919" i="1"/>
  <c r="C13918" i="1"/>
  <c r="C13917" i="1"/>
  <c r="C13916" i="1"/>
  <c r="C13915" i="1"/>
  <c r="C13914" i="1"/>
  <c r="C13913" i="1"/>
  <c r="C13912" i="1"/>
  <c r="C13911" i="1"/>
  <c r="C13910" i="1"/>
  <c r="C13909" i="1"/>
  <c r="C13908" i="1"/>
  <c r="C13907" i="1"/>
  <c r="C13906" i="1"/>
  <c r="C13905" i="1"/>
  <c r="C13904" i="1"/>
  <c r="C13903" i="1"/>
  <c r="C13902" i="1"/>
  <c r="C13901" i="1"/>
  <c r="C13900" i="1"/>
  <c r="C13899" i="1"/>
  <c r="C13898" i="1"/>
  <c r="C13897" i="1"/>
  <c r="C13896" i="1"/>
  <c r="C13895" i="1"/>
  <c r="C13894" i="1"/>
  <c r="C13893" i="1"/>
  <c r="C13892" i="1"/>
  <c r="C13891" i="1"/>
  <c r="C13890" i="1"/>
  <c r="C13889" i="1"/>
  <c r="C13888" i="1"/>
  <c r="C13887" i="1"/>
  <c r="C13886" i="1"/>
  <c r="C13885" i="1"/>
  <c r="C13884" i="1"/>
  <c r="C13883" i="1"/>
  <c r="C13882" i="1"/>
  <c r="C13881" i="1"/>
  <c r="C13880" i="1"/>
  <c r="C13879" i="1"/>
  <c r="C13878" i="1"/>
  <c r="C13877" i="1"/>
  <c r="C13876" i="1"/>
  <c r="C13875" i="1"/>
  <c r="C13874" i="1"/>
  <c r="C13873" i="1"/>
  <c r="C13872" i="1"/>
  <c r="C13871" i="1"/>
  <c r="C13870" i="1"/>
  <c r="C13869" i="1"/>
  <c r="C13868" i="1"/>
  <c r="C13867" i="1"/>
  <c r="C13866" i="1"/>
  <c r="C13865" i="1"/>
  <c r="C13864" i="1"/>
  <c r="C13863" i="1"/>
  <c r="C13862" i="1"/>
  <c r="C13861" i="1"/>
  <c r="C13860" i="1"/>
  <c r="C13859" i="1"/>
  <c r="C13858" i="1"/>
  <c r="C13857" i="1"/>
  <c r="C13856" i="1"/>
  <c r="C13855" i="1"/>
  <c r="C13854" i="1"/>
  <c r="C13853" i="1"/>
  <c r="C13852" i="1"/>
  <c r="C13851" i="1"/>
  <c r="C13850" i="1"/>
  <c r="C13849" i="1"/>
  <c r="C13848" i="1"/>
  <c r="C13847" i="1"/>
  <c r="C13846" i="1"/>
  <c r="C13845" i="1"/>
  <c r="C13844" i="1"/>
  <c r="C13843" i="1"/>
  <c r="C13842" i="1"/>
  <c r="C13841" i="1"/>
  <c r="C13840" i="1"/>
  <c r="C13839" i="1"/>
  <c r="C13838" i="1"/>
  <c r="C13837" i="1"/>
  <c r="C13836" i="1"/>
  <c r="C13835" i="1"/>
  <c r="C13834" i="1"/>
  <c r="C13833" i="1"/>
  <c r="C13832" i="1"/>
  <c r="C13831" i="1"/>
  <c r="C13830" i="1"/>
  <c r="C13829" i="1"/>
  <c r="C13828" i="1"/>
  <c r="C13827" i="1"/>
  <c r="C13826" i="1"/>
  <c r="C13825" i="1"/>
  <c r="C13824" i="1"/>
  <c r="C13823" i="1"/>
  <c r="C13822" i="1"/>
  <c r="C13821" i="1"/>
  <c r="C13820" i="1"/>
  <c r="C13819" i="1"/>
  <c r="C13818" i="1"/>
  <c r="C13817" i="1"/>
  <c r="C13816" i="1"/>
  <c r="C13815" i="1"/>
  <c r="C13814" i="1"/>
  <c r="C13813" i="1"/>
  <c r="C13812" i="1"/>
  <c r="C13811" i="1"/>
  <c r="C13810" i="1"/>
  <c r="C13809" i="1"/>
  <c r="C13808" i="1"/>
  <c r="C13807" i="1"/>
  <c r="C13806" i="1"/>
  <c r="C13805" i="1"/>
  <c r="C13804" i="1"/>
  <c r="C13803" i="1"/>
  <c r="C13802" i="1"/>
  <c r="C13801" i="1"/>
  <c r="C13800" i="1"/>
  <c r="C13799" i="1"/>
  <c r="C13798" i="1"/>
  <c r="C13797" i="1"/>
  <c r="C13796" i="1"/>
  <c r="C13795" i="1"/>
  <c r="C13794" i="1"/>
  <c r="C13793" i="1"/>
  <c r="C13792" i="1"/>
  <c r="C13791" i="1"/>
  <c r="C13790" i="1"/>
  <c r="C13789" i="1"/>
  <c r="C13788" i="1"/>
  <c r="C13787" i="1"/>
  <c r="C13786" i="1"/>
  <c r="C13785" i="1"/>
  <c r="C13784" i="1"/>
  <c r="C13783" i="1"/>
  <c r="C13782" i="1"/>
  <c r="C13781" i="1"/>
  <c r="C13780" i="1"/>
  <c r="C13779" i="1"/>
  <c r="C13778" i="1"/>
  <c r="C13777" i="1"/>
  <c r="C13776" i="1"/>
  <c r="C13775" i="1"/>
  <c r="C13774" i="1"/>
  <c r="C13773" i="1"/>
  <c r="C13772" i="1"/>
  <c r="C13771" i="1"/>
  <c r="C13770" i="1"/>
  <c r="C13769" i="1"/>
  <c r="C13768" i="1"/>
  <c r="C13767" i="1"/>
  <c r="C13766" i="1"/>
  <c r="C13765" i="1"/>
  <c r="C13764" i="1"/>
  <c r="C13763" i="1"/>
  <c r="C13762" i="1"/>
  <c r="C13761" i="1"/>
  <c r="C13760" i="1"/>
  <c r="C13759" i="1"/>
  <c r="C13758" i="1"/>
  <c r="C13757" i="1"/>
  <c r="C13756" i="1"/>
  <c r="C13755" i="1"/>
  <c r="C13754" i="1"/>
  <c r="C13753" i="1"/>
  <c r="C13752" i="1"/>
  <c r="C13751" i="1"/>
  <c r="C13750" i="1"/>
  <c r="C13749" i="1"/>
  <c r="C13748" i="1"/>
  <c r="C13747" i="1"/>
  <c r="C13746" i="1"/>
  <c r="C13745" i="1"/>
  <c r="C13744" i="1"/>
  <c r="C13743" i="1"/>
  <c r="C13742" i="1"/>
  <c r="C13741" i="1"/>
  <c r="C13740" i="1"/>
  <c r="C13739" i="1"/>
  <c r="C13738" i="1"/>
  <c r="C13737" i="1"/>
  <c r="C13736" i="1"/>
  <c r="C13735" i="1"/>
  <c r="C13734" i="1"/>
  <c r="C13733" i="1"/>
  <c r="C13732" i="1"/>
  <c r="C13731" i="1"/>
  <c r="C13730" i="1"/>
  <c r="C13729" i="1"/>
  <c r="C13728" i="1"/>
  <c r="C13727" i="1"/>
  <c r="C13726" i="1"/>
  <c r="C13725" i="1"/>
  <c r="C13724" i="1"/>
  <c r="C13723" i="1"/>
  <c r="C13722" i="1"/>
  <c r="C13721" i="1"/>
  <c r="C13720" i="1"/>
  <c r="C13719" i="1"/>
  <c r="C13718" i="1"/>
  <c r="C13717" i="1"/>
  <c r="C13716" i="1"/>
  <c r="C13715" i="1"/>
  <c r="C13714" i="1"/>
  <c r="C13713" i="1"/>
  <c r="C13712" i="1"/>
  <c r="C13711" i="1"/>
  <c r="C13710" i="1"/>
  <c r="C13709" i="1"/>
  <c r="C13708" i="1"/>
  <c r="C13707" i="1"/>
  <c r="C13706" i="1"/>
  <c r="C13705" i="1"/>
  <c r="C13704" i="1"/>
  <c r="C13703" i="1"/>
  <c r="C13702" i="1"/>
  <c r="C13701" i="1"/>
  <c r="C13700" i="1"/>
  <c r="C13699" i="1"/>
  <c r="C13698" i="1"/>
  <c r="C13697" i="1"/>
  <c r="C13696" i="1"/>
  <c r="C13695" i="1"/>
  <c r="C13694" i="1"/>
  <c r="C13693" i="1"/>
  <c r="C13692" i="1"/>
  <c r="C13691" i="1"/>
  <c r="C13690" i="1"/>
  <c r="C13689" i="1"/>
  <c r="C13688" i="1"/>
  <c r="C13687" i="1"/>
  <c r="C13686" i="1"/>
  <c r="C13685" i="1"/>
  <c r="C13684" i="1"/>
  <c r="C13683" i="1"/>
  <c r="C13682" i="1"/>
  <c r="C13681" i="1"/>
  <c r="C13680" i="1"/>
  <c r="C13679" i="1"/>
  <c r="C13678" i="1"/>
  <c r="C13677" i="1"/>
  <c r="C13676" i="1"/>
  <c r="C13675" i="1"/>
  <c r="C13674" i="1"/>
  <c r="C13673" i="1"/>
  <c r="C13672" i="1"/>
  <c r="C13671" i="1"/>
  <c r="C13670" i="1"/>
  <c r="C13669" i="1"/>
  <c r="C13668" i="1"/>
  <c r="C13667" i="1"/>
  <c r="C13666" i="1"/>
  <c r="C13665" i="1"/>
  <c r="C13664" i="1"/>
  <c r="C13663" i="1"/>
  <c r="C13662" i="1"/>
  <c r="C13661" i="1"/>
  <c r="C13660" i="1"/>
  <c r="C13659" i="1"/>
  <c r="C13658" i="1"/>
  <c r="C13657" i="1"/>
  <c r="C13656" i="1"/>
  <c r="C13655" i="1"/>
  <c r="C13654" i="1"/>
  <c r="C13653" i="1"/>
  <c r="C13652" i="1"/>
  <c r="C13651" i="1"/>
  <c r="C13650" i="1"/>
  <c r="C13649" i="1"/>
  <c r="C13648" i="1"/>
  <c r="C13647" i="1"/>
  <c r="C13646" i="1"/>
  <c r="C13645" i="1"/>
  <c r="C13644" i="1"/>
  <c r="C13643" i="1"/>
  <c r="C13642" i="1"/>
  <c r="C13641" i="1"/>
  <c r="C13640" i="1"/>
  <c r="C13639" i="1"/>
  <c r="C13638" i="1"/>
  <c r="C13637" i="1"/>
  <c r="C13636" i="1"/>
  <c r="C13635" i="1"/>
  <c r="C13634" i="1"/>
  <c r="C13633" i="1"/>
  <c r="C13632" i="1"/>
  <c r="C13631" i="1"/>
  <c r="C13630" i="1"/>
  <c r="C13629" i="1"/>
  <c r="C13628" i="1"/>
  <c r="C13627" i="1"/>
  <c r="C13626" i="1"/>
  <c r="C13625" i="1"/>
  <c r="C13624" i="1"/>
  <c r="C13623" i="1"/>
  <c r="C13622" i="1"/>
  <c r="C13621" i="1"/>
  <c r="C13620" i="1"/>
  <c r="C13619" i="1"/>
  <c r="C13618" i="1"/>
  <c r="C13617" i="1"/>
  <c r="C13616" i="1"/>
  <c r="C13615" i="1"/>
  <c r="C13614" i="1"/>
  <c r="C13613" i="1"/>
  <c r="C13612" i="1"/>
  <c r="C13611" i="1"/>
  <c r="C13610" i="1"/>
  <c r="C13609" i="1"/>
  <c r="C13608" i="1"/>
  <c r="C13607" i="1"/>
  <c r="C13606" i="1"/>
  <c r="C13605" i="1"/>
  <c r="C13604" i="1"/>
  <c r="C13603" i="1"/>
  <c r="C13602" i="1"/>
  <c r="C13601" i="1"/>
  <c r="C13600" i="1"/>
  <c r="C13599" i="1"/>
  <c r="C13598" i="1"/>
  <c r="C13597" i="1"/>
  <c r="C13596" i="1"/>
  <c r="C13595" i="1"/>
  <c r="C13594" i="1"/>
  <c r="C13593" i="1"/>
  <c r="C13592" i="1"/>
  <c r="C13591" i="1"/>
  <c r="C13590" i="1"/>
  <c r="C13589" i="1"/>
  <c r="C13588" i="1"/>
  <c r="C13587" i="1"/>
  <c r="C13586" i="1"/>
  <c r="C13585" i="1"/>
  <c r="C13584" i="1"/>
  <c r="C13583" i="1"/>
  <c r="C13582" i="1"/>
  <c r="C13581" i="1"/>
  <c r="C13580" i="1"/>
  <c r="C13579" i="1"/>
  <c r="C13578" i="1"/>
  <c r="C13577" i="1"/>
  <c r="C13576" i="1"/>
  <c r="C13575" i="1"/>
  <c r="C13574" i="1"/>
  <c r="C13573" i="1"/>
  <c r="C13572" i="1"/>
  <c r="C13571" i="1"/>
  <c r="C13570" i="1"/>
  <c r="C13569" i="1"/>
  <c r="C13568" i="1"/>
  <c r="C13567" i="1"/>
  <c r="C13566" i="1"/>
  <c r="C13565" i="1"/>
  <c r="C13564" i="1"/>
  <c r="C13563" i="1"/>
  <c r="C13562" i="1"/>
  <c r="C13561" i="1"/>
  <c r="C13560" i="1"/>
  <c r="C13559" i="1"/>
  <c r="C13558" i="1"/>
  <c r="C13557" i="1"/>
  <c r="C13556" i="1"/>
  <c r="C13555" i="1"/>
  <c r="C13554" i="1"/>
  <c r="C13553" i="1"/>
  <c r="C13552" i="1"/>
  <c r="C13551" i="1"/>
  <c r="C13550" i="1"/>
  <c r="C13549" i="1"/>
  <c r="C13548" i="1"/>
  <c r="C13547" i="1"/>
  <c r="C13546" i="1"/>
  <c r="C13545" i="1"/>
  <c r="C13544" i="1"/>
  <c r="C13543" i="1"/>
  <c r="C13542" i="1"/>
  <c r="C13541" i="1"/>
  <c r="C13540" i="1"/>
  <c r="C13539" i="1"/>
  <c r="C13538" i="1"/>
  <c r="C13537" i="1"/>
  <c r="C13536" i="1"/>
  <c r="C13535" i="1"/>
  <c r="C13534" i="1"/>
  <c r="C13533" i="1"/>
  <c r="C13532" i="1"/>
  <c r="C13531" i="1"/>
  <c r="C13530" i="1"/>
  <c r="C13529" i="1"/>
  <c r="C13528" i="1"/>
  <c r="C13527" i="1"/>
  <c r="C13526" i="1"/>
  <c r="C13525" i="1"/>
  <c r="C13524" i="1"/>
  <c r="C13523" i="1"/>
  <c r="C13522" i="1"/>
  <c r="C13521" i="1"/>
  <c r="C13520" i="1"/>
  <c r="C13519" i="1"/>
  <c r="C13518" i="1"/>
  <c r="C13517" i="1"/>
  <c r="C13516" i="1"/>
  <c r="C13515" i="1"/>
  <c r="C13514" i="1"/>
  <c r="C13513" i="1"/>
  <c r="C13512" i="1"/>
  <c r="C13511" i="1"/>
  <c r="C13510" i="1"/>
  <c r="C13509" i="1"/>
  <c r="C13508" i="1"/>
  <c r="C13507" i="1"/>
  <c r="C13506" i="1"/>
  <c r="C13505" i="1"/>
  <c r="C13504" i="1"/>
  <c r="C13503" i="1"/>
  <c r="C13502" i="1"/>
  <c r="C13501" i="1"/>
  <c r="C13500" i="1"/>
  <c r="C13499" i="1"/>
  <c r="C13498" i="1"/>
  <c r="C13497" i="1"/>
  <c r="C13496" i="1"/>
  <c r="C13495" i="1"/>
  <c r="C13494" i="1"/>
  <c r="C13493" i="1"/>
  <c r="C13492" i="1"/>
  <c r="C13491" i="1"/>
  <c r="C13490" i="1"/>
  <c r="C13489" i="1"/>
  <c r="C13488" i="1"/>
  <c r="C13487" i="1"/>
  <c r="C13486" i="1"/>
  <c r="C13485" i="1"/>
  <c r="C13484" i="1"/>
  <c r="C13483" i="1"/>
  <c r="C13482" i="1"/>
  <c r="C13481" i="1"/>
  <c r="C13480" i="1"/>
  <c r="C13479" i="1"/>
  <c r="C13478" i="1"/>
  <c r="C13477" i="1"/>
  <c r="C13476" i="1"/>
  <c r="C13475" i="1"/>
  <c r="C13474" i="1"/>
  <c r="C13473" i="1"/>
  <c r="C13472" i="1"/>
  <c r="C13471" i="1"/>
  <c r="C13470" i="1"/>
  <c r="C13469" i="1"/>
  <c r="C13468" i="1"/>
  <c r="C13467" i="1"/>
  <c r="C13466" i="1"/>
  <c r="C13465" i="1"/>
  <c r="C13464" i="1"/>
  <c r="C13463" i="1"/>
  <c r="C13462" i="1"/>
  <c r="C13461" i="1"/>
  <c r="C13460" i="1"/>
  <c r="C13459" i="1"/>
  <c r="C13458" i="1"/>
  <c r="C13457" i="1"/>
  <c r="C13456" i="1"/>
  <c r="C13455" i="1"/>
  <c r="C13454" i="1"/>
  <c r="C13453" i="1"/>
  <c r="C13452" i="1"/>
  <c r="C13451" i="1"/>
  <c r="C13450" i="1"/>
  <c r="C13449" i="1"/>
  <c r="C13448" i="1"/>
  <c r="C13447" i="1"/>
  <c r="C13446" i="1"/>
  <c r="C13445" i="1"/>
  <c r="C13444" i="1"/>
  <c r="C13443" i="1"/>
  <c r="C13442" i="1"/>
  <c r="C13441" i="1"/>
  <c r="C13440" i="1"/>
  <c r="C13439" i="1"/>
  <c r="C13438" i="1"/>
  <c r="C13437" i="1"/>
  <c r="C13436" i="1"/>
  <c r="C13435" i="1"/>
  <c r="C13434" i="1"/>
  <c r="C13433" i="1"/>
  <c r="C13432" i="1"/>
  <c r="C13431" i="1"/>
  <c r="C13430" i="1"/>
  <c r="C13429" i="1"/>
  <c r="C13428" i="1"/>
  <c r="C13427" i="1"/>
  <c r="C13426" i="1"/>
  <c r="C13425" i="1"/>
  <c r="C13424" i="1"/>
  <c r="C13423" i="1"/>
  <c r="C13422" i="1"/>
  <c r="C13421" i="1"/>
  <c r="C13420" i="1"/>
  <c r="C13419" i="1"/>
  <c r="C13418" i="1"/>
  <c r="C13417" i="1"/>
  <c r="C13416" i="1"/>
  <c r="C13415" i="1"/>
  <c r="C13414" i="1"/>
  <c r="C13413" i="1"/>
  <c r="C13412" i="1"/>
  <c r="C13411" i="1"/>
  <c r="C13410" i="1"/>
  <c r="C13409" i="1"/>
  <c r="C13408" i="1"/>
  <c r="C13407" i="1"/>
  <c r="C13406" i="1"/>
  <c r="C13405" i="1"/>
  <c r="C13404" i="1"/>
  <c r="C13403" i="1"/>
  <c r="C13402" i="1"/>
  <c r="C13401" i="1"/>
  <c r="C13400" i="1"/>
  <c r="C13399" i="1"/>
  <c r="C13398" i="1"/>
  <c r="C13397" i="1"/>
  <c r="C13396" i="1"/>
  <c r="C13395" i="1"/>
  <c r="C13394" i="1"/>
  <c r="C13393" i="1"/>
  <c r="C13392" i="1"/>
  <c r="C13391" i="1"/>
  <c r="C13390" i="1"/>
  <c r="C13389" i="1"/>
  <c r="C13388" i="1"/>
  <c r="C13387" i="1"/>
  <c r="C13386" i="1"/>
  <c r="C13385" i="1"/>
  <c r="C13384" i="1"/>
  <c r="C13383" i="1"/>
  <c r="C13382" i="1"/>
  <c r="C13381" i="1"/>
  <c r="C13380" i="1"/>
  <c r="C13379" i="1"/>
  <c r="C13378" i="1"/>
  <c r="C13377" i="1"/>
  <c r="C13376" i="1"/>
  <c r="C13375" i="1"/>
  <c r="C13374" i="1"/>
  <c r="C13373" i="1"/>
  <c r="C13372" i="1"/>
  <c r="C13371" i="1"/>
  <c r="C13370" i="1"/>
  <c r="C13369" i="1"/>
  <c r="C13368" i="1"/>
  <c r="C13367" i="1"/>
  <c r="C13366" i="1"/>
  <c r="C13365" i="1"/>
  <c r="C13364" i="1"/>
  <c r="C13363" i="1"/>
  <c r="C13362" i="1"/>
  <c r="C13361" i="1"/>
  <c r="C13360" i="1"/>
  <c r="C13359" i="1"/>
  <c r="C13358" i="1"/>
  <c r="C13357" i="1"/>
  <c r="C13356" i="1"/>
  <c r="C13355" i="1"/>
  <c r="C13354" i="1"/>
  <c r="C13353" i="1"/>
  <c r="C13352" i="1"/>
  <c r="C13351" i="1"/>
  <c r="C13350" i="1"/>
  <c r="C13349" i="1"/>
  <c r="C13348" i="1"/>
  <c r="C13347" i="1"/>
  <c r="C13346" i="1"/>
  <c r="C13345" i="1"/>
  <c r="C13344" i="1"/>
  <c r="C13343" i="1"/>
  <c r="C13342" i="1"/>
  <c r="C13341" i="1"/>
  <c r="C13340" i="1"/>
  <c r="C13339" i="1"/>
  <c r="C13338" i="1"/>
  <c r="C13337" i="1"/>
  <c r="C13336" i="1"/>
  <c r="C13335" i="1"/>
  <c r="C13334" i="1"/>
  <c r="C13333" i="1"/>
  <c r="C13332" i="1"/>
  <c r="C13331" i="1"/>
  <c r="C13330" i="1"/>
  <c r="C13329" i="1"/>
  <c r="C13328" i="1"/>
  <c r="C13327" i="1"/>
  <c r="C13326" i="1"/>
  <c r="C13325" i="1"/>
  <c r="C13324" i="1"/>
  <c r="C13323" i="1"/>
  <c r="C13322" i="1"/>
  <c r="C13321" i="1"/>
  <c r="C13320" i="1"/>
  <c r="C13319" i="1"/>
  <c r="C13318" i="1"/>
  <c r="C13317" i="1"/>
  <c r="C13316" i="1"/>
  <c r="C13315" i="1"/>
  <c r="C13314" i="1"/>
  <c r="C13313" i="1"/>
  <c r="C13312" i="1"/>
  <c r="C13311" i="1"/>
  <c r="C13310" i="1"/>
  <c r="C13309" i="1"/>
  <c r="C13308" i="1"/>
  <c r="C13307" i="1"/>
  <c r="C13306" i="1"/>
  <c r="C13305" i="1"/>
  <c r="C13304" i="1"/>
  <c r="C13303" i="1"/>
  <c r="C13302" i="1"/>
  <c r="C13301" i="1"/>
  <c r="C13300" i="1"/>
  <c r="C13299" i="1"/>
  <c r="C13298" i="1"/>
  <c r="C13297" i="1"/>
  <c r="C13296" i="1"/>
  <c r="C13295" i="1"/>
  <c r="C13294" i="1"/>
  <c r="C13293" i="1"/>
  <c r="C13292" i="1"/>
  <c r="C13291" i="1"/>
  <c r="C13290" i="1"/>
  <c r="C13289" i="1"/>
  <c r="C13288" i="1"/>
  <c r="C13287" i="1"/>
  <c r="C13286" i="1"/>
  <c r="C13285" i="1"/>
  <c r="C13284" i="1"/>
  <c r="C13283" i="1"/>
  <c r="C13282" i="1"/>
  <c r="C13281" i="1"/>
  <c r="C13280" i="1"/>
  <c r="C13279" i="1"/>
  <c r="C13278" i="1"/>
  <c r="C13277" i="1"/>
  <c r="C13276" i="1"/>
  <c r="C13275" i="1"/>
  <c r="C13274" i="1"/>
  <c r="C13273" i="1"/>
  <c r="C13272" i="1"/>
  <c r="C13271" i="1"/>
  <c r="C13270" i="1"/>
  <c r="C13269" i="1"/>
  <c r="C13268" i="1"/>
  <c r="C13267" i="1"/>
  <c r="C13266" i="1"/>
  <c r="C13265" i="1"/>
  <c r="C13264" i="1"/>
  <c r="C13263" i="1"/>
  <c r="C13262" i="1"/>
  <c r="C13261" i="1"/>
  <c r="C13260" i="1"/>
  <c r="C13259" i="1"/>
  <c r="C13258" i="1"/>
  <c r="C13257" i="1"/>
  <c r="C13256" i="1"/>
  <c r="C13255" i="1"/>
  <c r="C13254" i="1"/>
  <c r="C13253" i="1"/>
  <c r="C13252" i="1"/>
  <c r="C13251" i="1"/>
  <c r="C13250" i="1"/>
  <c r="C13249" i="1"/>
  <c r="C13248" i="1"/>
  <c r="C13247" i="1"/>
  <c r="C13246" i="1"/>
  <c r="C13245" i="1"/>
  <c r="C13244" i="1"/>
  <c r="C13243" i="1"/>
  <c r="C13242" i="1"/>
  <c r="C13241" i="1"/>
  <c r="C13240" i="1"/>
  <c r="C13239" i="1"/>
  <c r="C13238" i="1"/>
  <c r="C13237" i="1"/>
  <c r="C13236" i="1"/>
  <c r="C13235" i="1"/>
  <c r="C13234" i="1"/>
  <c r="C13233" i="1"/>
  <c r="C13232" i="1"/>
  <c r="C13231" i="1"/>
  <c r="C13230" i="1"/>
  <c r="C13229" i="1"/>
  <c r="C13228" i="1"/>
  <c r="C13227" i="1"/>
  <c r="C13226" i="1"/>
  <c r="C13225" i="1"/>
  <c r="C13224" i="1"/>
  <c r="C13223" i="1"/>
  <c r="C13222" i="1"/>
  <c r="C13221" i="1"/>
  <c r="C13220" i="1"/>
  <c r="C13219" i="1"/>
  <c r="C13218" i="1"/>
  <c r="C13217" i="1"/>
  <c r="C13216" i="1"/>
  <c r="C13215" i="1"/>
  <c r="C13214" i="1"/>
  <c r="C13213" i="1"/>
  <c r="C13212" i="1"/>
  <c r="C13211" i="1"/>
  <c r="C13210" i="1"/>
  <c r="C13209" i="1"/>
  <c r="C13208" i="1"/>
  <c r="C13207" i="1"/>
  <c r="C13206" i="1"/>
  <c r="C13205" i="1"/>
  <c r="C13204" i="1"/>
  <c r="C13203" i="1"/>
  <c r="C13202" i="1"/>
  <c r="C13201" i="1"/>
  <c r="C13200" i="1"/>
  <c r="C13199" i="1"/>
  <c r="C13198" i="1"/>
  <c r="C13197" i="1"/>
  <c r="C13196" i="1"/>
  <c r="C13195" i="1"/>
  <c r="C13194" i="1"/>
  <c r="C13193" i="1"/>
  <c r="C13192" i="1"/>
  <c r="C13191" i="1"/>
  <c r="C13190" i="1"/>
  <c r="C13189" i="1"/>
  <c r="C13188" i="1"/>
  <c r="C13187" i="1"/>
  <c r="C13186" i="1"/>
  <c r="C13185" i="1"/>
  <c r="C13184" i="1"/>
  <c r="C13183" i="1"/>
  <c r="C13182" i="1"/>
  <c r="C13181" i="1"/>
  <c r="C13180" i="1"/>
  <c r="C13179" i="1"/>
  <c r="C13178" i="1"/>
  <c r="C13177" i="1"/>
  <c r="C13176" i="1"/>
  <c r="C13175" i="1"/>
  <c r="C13174" i="1"/>
  <c r="C13173" i="1"/>
  <c r="C13172" i="1"/>
  <c r="C13171" i="1"/>
  <c r="C13170" i="1"/>
  <c r="C13169" i="1"/>
  <c r="C13168" i="1"/>
  <c r="C13167" i="1"/>
  <c r="C13166" i="1"/>
  <c r="C13165" i="1"/>
  <c r="C13164" i="1"/>
  <c r="C13163" i="1"/>
  <c r="C13162" i="1"/>
  <c r="C13161" i="1"/>
  <c r="C13160" i="1"/>
  <c r="C13159" i="1"/>
  <c r="C13158" i="1"/>
  <c r="C13157" i="1"/>
  <c r="C13156" i="1"/>
  <c r="C13155" i="1"/>
  <c r="C13154" i="1"/>
  <c r="C13153" i="1"/>
  <c r="C13152" i="1"/>
  <c r="C13151" i="1"/>
  <c r="C13150" i="1"/>
  <c r="C13149" i="1"/>
  <c r="C13148" i="1"/>
  <c r="C13147" i="1"/>
  <c r="C13146" i="1"/>
  <c r="C13145" i="1"/>
  <c r="C13144" i="1"/>
  <c r="C13143" i="1"/>
  <c r="C13142" i="1"/>
  <c r="C13141" i="1"/>
  <c r="C13140" i="1"/>
  <c r="C13139" i="1"/>
  <c r="C13138" i="1"/>
  <c r="C13137" i="1"/>
  <c r="C13136" i="1"/>
  <c r="C13135" i="1"/>
  <c r="C13134" i="1"/>
  <c r="C13133" i="1"/>
  <c r="C13132" i="1"/>
  <c r="C13131" i="1"/>
  <c r="C13130" i="1"/>
  <c r="C13129" i="1"/>
  <c r="C13128" i="1"/>
  <c r="C13127" i="1"/>
  <c r="C13126" i="1"/>
  <c r="C13125" i="1"/>
  <c r="C13124" i="1"/>
  <c r="C13123" i="1"/>
  <c r="C13122" i="1"/>
  <c r="C13121" i="1"/>
  <c r="C13120" i="1"/>
  <c r="C13119" i="1"/>
  <c r="C13118" i="1"/>
  <c r="C13117" i="1"/>
  <c r="C13116" i="1"/>
  <c r="C13115" i="1"/>
  <c r="C13114" i="1"/>
  <c r="C13113" i="1"/>
  <c r="C13112" i="1"/>
  <c r="C13111" i="1"/>
  <c r="C13110" i="1"/>
  <c r="C13109" i="1"/>
  <c r="C13108" i="1"/>
  <c r="C13107" i="1"/>
  <c r="C13106" i="1"/>
  <c r="C13105" i="1"/>
  <c r="C13104" i="1"/>
  <c r="C13103" i="1"/>
  <c r="C13102" i="1"/>
  <c r="C13101" i="1"/>
  <c r="C13100" i="1"/>
  <c r="C13099" i="1"/>
  <c r="C13098" i="1"/>
  <c r="C13097" i="1"/>
  <c r="C13096" i="1"/>
  <c r="C13095" i="1"/>
  <c r="C13094" i="1"/>
  <c r="C13093" i="1"/>
  <c r="C13092" i="1"/>
  <c r="C13091" i="1"/>
  <c r="C13090" i="1"/>
  <c r="C13089" i="1"/>
  <c r="C13088" i="1"/>
  <c r="C13087" i="1"/>
  <c r="C13086" i="1"/>
  <c r="C13085" i="1"/>
  <c r="C13084" i="1"/>
  <c r="C13083" i="1"/>
  <c r="C13082" i="1"/>
  <c r="C13081" i="1"/>
  <c r="C13080" i="1"/>
  <c r="C13079" i="1"/>
  <c r="C13078" i="1"/>
  <c r="C13077" i="1"/>
  <c r="C13076" i="1"/>
  <c r="C13075" i="1"/>
  <c r="C13074" i="1"/>
  <c r="C13073" i="1"/>
  <c r="C13072" i="1"/>
  <c r="C13071" i="1"/>
  <c r="C13070" i="1"/>
  <c r="C13069" i="1"/>
  <c r="C13068" i="1"/>
  <c r="C13067" i="1"/>
  <c r="C13066" i="1"/>
  <c r="C13065" i="1"/>
  <c r="C13064" i="1"/>
  <c r="C13063" i="1"/>
  <c r="C13062" i="1"/>
  <c r="C13061" i="1"/>
  <c r="C13060" i="1"/>
  <c r="C13059" i="1"/>
  <c r="C13058" i="1"/>
  <c r="C13057" i="1"/>
  <c r="C13056" i="1"/>
  <c r="C13055" i="1"/>
  <c r="C13054" i="1"/>
  <c r="C13053" i="1"/>
  <c r="C13052" i="1"/>
  <c r="C13051" i="1"/>
  <c r="C13050" i="1"/>
  <c r="C13049" i="1"/>
  <c r="C13048" i="1"/>
  <c r="C13047" i="1"/>
  <c r="C13046" i="1"/>
  <c r="C13045" i="1"/>
  <c r="C13044" i="1"/>
  <c r="C13043" i="1"/>
  <c r="C13042" i="1"/>
  <c r="C13041" i="1"/>
  <c r="C13040" i="1"/>
  <c r="C13039" i="1"/>
  <c r="C13038" i="1"/>
  <c r="C13037" i="1"/>
  <c r="C13036" i="1"/>
  <c r="C13035" i="1"/>
  <c r="C13034" i="1"/>
  <c r="C13033" i="1"/>
  <c r="C13032" i="1"/>
  <c r="C13031" i="1"/>
  <c r="C13030" i="1"/>
  <c r="C13029" i="1"/>
  <c r="C13028" i="1"/>
  <c r="C13027" i="1"/>
  <c r="C13026" i="1"/>
  <c r="C13025" i="1"/>
  <c r="C13024" i="1"/>
  <c r="C13023" i="1"/>
  <c r="C13022" i="1"/>
  <c r="C13021" i="1"/>
  <c r="C13020" i="1"/>
  <c r="C13019" i="1"/>
  <c r="C13018" i="1"/>
  <c r="C13017" i="1"/>
  <c r="C13016" i="1"/>
  <c r="C13015" i="1"/>
  <c r="C13014" i="1"/>
  <c r="C13013" i="1"/>
  <c r="C13012" i="1"/>
  <c r="C13011" i="1"/>
  <c r="C13010" i="1"/>
  <c r="C13009" i="1"/>
  <c r="C13008" i="1"/>
  <c r="C13007" i="1"/>
  <c r="C13006" i="1"/>
  <c r="C13005" i="1"/>
  <c r="C13004" i="1"/>
  <c r="C13003" i="1"/>
  <c r="C13002" i="1"/>
  <c r="C13001" i="1"/>
  <c r="C13000" i="1"/>
  <c r="C12999" i="1"/>
  <c r="C12998" i="1"/>
  <c r="C12997" i="1"/>
  <c r="C12996" i="1"/>
  <c r="C12995" i="1"/>
  <c r="C12994" i="1"/>
  <c r="C12993" i="1"/>
  <c r="C12992" i="1"/>
  <c r="C12991" i="1"/>
  <c r="C12990" i="1"/>
  <c r="C12989" i="1"/>
  <c r="C12988" i="1"/>
  <c r="C12987" i="1"/>
  <c r="C12986" i="1"/>
  <c r="C12985" i="1"/>
  <c r="C12984" i="1"/>
  <c r="C12983" i="1"/>
  <c r="C12982" i="1"/>
  <c r="C12981" i="1"/>
  <c r="C12980" i="1"/>
  <c r="C12979" i="1"/>
  <c r="C12978" i="1"/>
  <c r="C12977" i="1"/>
  <c r="C12976" i="1"/>
  <c r="C12975" i="1"/>
  <c r="C12974" i="1"/>
  <c r="C12973" i="1"/>
  <c r="C12972" i="1"/>
  <c r="C12971" i="1"/>
  <c r="C12970" i="1"/>
  <c r="C12969" i="1"/>
  <c r="C12968" i="1"/>
  <c r="C12967" i="1"/>
  <c r="C12966" i="1"/>
  <c r="C12965" i="1"/>
  <c r="C12964" i="1"/>
  <c r="C12963" i="1"/>
  <c r="C12962" i="1"/>
  <c r="C12961" i="1"/>
  <c r="C12960" i="1"/>
  <c r="C12959" i="1"/>
  <c r="C12958" i="1"/>
  <c r="C12957" i="1"/>
  <c r="C12956" i="1"/>
  <c r="C12955" i="1"/>
  <c r="C12954" i="1"/>
  <c r="C12953" i="1"/>
  <c r="C12952" i="1"/>
  <c r="C12951" i="1"/>
  <c r="C12950" i="1"/>
  <c r="C12949" i="1"/>
  <c r="C12948" i="1"/>
  <c r="C12947" i="1"/>
  <c r="C12946" i="1"/>
  <c r="C12945" i="1"/>
  <c r="C12944" i="1"/>
  <c r="C12943" i="1"/>
  <c r="C12942" i="1"/>
  <c r="C12941" i="1"/>
  <c r="C12940" i="1"/>
  <c r="C12939" i="1"/>
  <c r="C12938" i="1"/>
  <c r="C12937" i="1"/>
  <c r="C12936" i="1"/>
  <c r="C12935" i="1"/>
  <c r="C12934" i="1"/>
  <c r="C12933" i="1"/>
  <c r="C12932" i="1"/>
  <c r="C12931" i="1"/>
  <c r="C12930" i="1"/>
  <c r="C12929" i="1"/>
  <c r="C12928" i="1"/>
  <c r="C12927" i="1"/>
  <c r="C12926" i="1"/>
  <c r="C12925" i="1"/>
  <c r="C12924" i="1"/>
  <c r="C12923" i="1"/>
  <c r="C12922" i="1"/>
  <c r="C12921" i="1"/>
  <c r="C12920" i="1"/>
  <c r="C12919" i="1"/>
  <c r="C12918" i="1"/>
  <c r="C12917" i="1"/>
  <c r="C12916" i="1"/>
  <c r="C12915" i="1"/>
  <c r="C12914" i="1"/>
  <c r="C12913" i="1"/>
  <c r="C12912" i="1"/>
  <c r="C12911" i="1"/>
  <c r="C12910" i="1"/>
  <c r="C12909" i="1"/>
  <c r="C12908" i="1"/>
  <c r="C12907" i="1"/>
  <c r="C12906" i="1"/>
  <c r="C12905" i="1"/>
  <c r="C12904" i="1"/>
  <c r="C12903" i="1"/>
  <c r="C12902" i="1"/>
  <c r="C12901" i="1"/>
  <c r="C12900" i="1"/>
  <c r="C12899" i="1"/>
  <c r="C12898" i="1"/>
  <c r="C12897" i="1"/>
  <c r="C12896" i="1"/>
  <c r="C12895" i="1"/>
  <c r="C12894" i="1"/>
  <c r="C12893" i="1"/>
  <c r="C12892" i="1"/>
  <c r="C12891" i="1"/>
  <c r="C12890" i="1"/>
  <c r="C12889" i="1"/>
  <c r="C12888" i="1"/>
  <c r="C12887" i="1"/>
  <c r="C12886" i="1"/>
  <c r="C12885" i="1"/>
  <c r="C12884" i="1"/>
  <c r="C12883" i="1"/>
  <c r="C12882" i="1"/>
  <c r="C12881" i="1"/>
  <c r="C12880" i="1"/>
  <c r="C12879" i="1"/>
  <c r="C12878" i="1"/>
  <c r="C12877" i="1"/>
  <c r="C12876" i="1"/>
  <c r="C12875" i="1"/>
  <c r="C12874" i="1"/>
  <c r="C12873" i="1"/>
  <c r="C12872" i="1"/>
  <c r="C12871" i="1"/>
  <c r="C12870" i="1"/>
  <c r="C12869" i="1"/>
  <c r="C12868" i="1"/>
  <c r="C12867" i="1"/>
  <c r="C12866" i="1"/>
  <c r="C12865" i="1"/>
  <c r="C12864" i="1"/>
  <c r="C12863" i="1"/>
  <c r="C12862" i="1"/>
  <c r="C12861" i="1"/>
  <c r="C12860" i="1"/>
  <c r="C12859" i="1"/>
  <c r="C12858" i="1"/>
  <c r="C12857" i="1"/>
  <c r="C12856" i="1"/>
  <c r="C12855" i="1"/>
  <c r="C12854" i="1"/>
  <c r="C12853" i="1"/>
  <c r="C12852" i="1"/>
  <c r="C12851" i="1"/>
  <c r="C12850" i="1"/>
  <c r="C12849" i="1"/>
  <c r="C12848" i="1"/>
  <c r="C12847" i="1"/>
  <c r="C12846" i="1"/>
  <c r="C12845" i="1"/>
  <c r="C12844" i="1"/>
  <c r="C12843" i="1"/>
  <c r="C12842" i="1"/>
  <c r="C12841" i="1"/>
  <c r="C12840" i="1"/>
  <c r="C12839" i="1"/>
  <c r="C12838" i="1"/>
  <c r="C12837" i="1"/>
  <c r="C12836" i="1"/>
  <c r="C12835" i="1"/>
  <c r="C12834" i="1"/>
  <c r="C12833" i="1"/>
  <c r="C12832" i="1"/>
  <c r="C12831" i="1"/>
  <c r="C12830" i="1"/>
  <c r="C12829" i="1"/>
  <c r="C12828" i="1"/>
  <c r="C12827" i="1"/>
  <c r="C12826" i="1"/>
  <c r="C12825" i="1"/>
  <c r="C12824" i="1"/>
  <c r="C12823" i="1"/>
  <c r="C12822" i="1"/>
  <c r="C12821" i="1"/>
  <c r="C12820" i="1"/>
  <c r="C12819" i="1"/>
  <c r="C12818" i="1"/>
  <c r="C12817" i="1"/>
  <c r="C12816" i="1"/>
  <c r="C12815" i="1"/>
  <c r="C12814" i="1"/>
  <c r="C12813" i="1"/>
  <c r="C12812" i="1"/>
  <c r="C12811" i="1"/>
  <c r="C12810" i="1"/>
  <c r="C12809" i="1"/>
  <c r="C12808" i="1"/>
  <c r="C12807" i="1"/>
  <c r="C12806" i="1"/>
  <c r="C12805" i="1"/>
  <c r="C12804" i="1"/>
  <c r="C12803" i="1"/>
  <c r="C12802" i="1"/>
  <c r="C12801" i="1"/>
  <c r="C12800" i="1"/>
  <c r="C12799" i="1"/>
  <c r="C12798" i="1"/>
  <c r="C12797" i="1"/>
  <c r="C12796" i="1"/>
  <c r="C12795" i="1"/>
  <c r="C12794" i="1"/>
  <c r="C12793" i="1"/>
  <c r="C12792" i="1"/>
  <c r="C12791" i="1"/>
  <c r="C12790" i="1"/>
  <c r="C12789" i="1"/>
  <c r="C12788" i="1"/>
  <c r="C12787" i="1"/>
  <c r="C12786" i="1"/>
  <c r="C12785" i="1"/>
  <c r="C12784" i="1"/>
  <c r="C12783" i="1"/>
  <c r="C12782" i="1"/>
  <c r="C12781" i="1"/>
  <c r="C12780" i="1"/>
  <c r="C12779" i="1"/>
  <c r="C12778" i="1"/>
  <c r="C12777" i="1"/>
  <c r="C12776" i="1"/>
  <c r="C12775" i="1"/>
  <c r="C12774" i="1"/>
  <c r="C12773" i="1"/>
  <c r="C12772" i="1"/>
  <c r="C12771" i="1"/>
  <c r="C12770" i="1"/>
  <c r="C12769" i="1"/>
  <c r="C12768" i="1"/>
  <c r="C12767" i="1"/>
  <c r="C12766" i="1"/>
  <c r="C12765" i="1"/>
  <c r="C12764" i="1"/>
  <c r="C12763" i="1"/>
  <c r="C12762" i="1"/>
  <c r="C12761" i="1"/>
  <c r="C12760" i="1"/>
  <c r="C12759" i="1"/>
  <c r="C12758" i="1"/>
  <c r="C12757" i="1"/>
  <c r="C12756" i="1"/>
  <c r="C12755" i="1"/>
  <c r="C12754" i="1"/>
  <c r="C12753" i="1"/>
  <c r="C12752" i="1"/>
  <c r="C12751" i="1"/>
  <c r="C12750" i="1"/>
  <c r="C12749" i="1"/>
  <c r="C12748" i="1"/>
  <c r="C12747" i="1"/>
  <c r="C12746" i="1"/>
  <c r="C12745" i="1"/>
  <c r="C12744" i="1"/>
  <c r="C12743" i="1"/>
  <c r="C12742" i="1"/>
  <c r="C12741" i="1"/>
  <c r="C12740" i="1"/>
  <c r="C12739" i="1"/>
  <c r="C12738" i="1"/>
  <c r="C12737" i="1"/>
  <c r="C12736" i="1"/>
  <c r="C12735" i="1"/>
  <c r="C12734" i="1"/>
  <c r="C12733" i="1"/>
  <c r="C12732" i="1"/>
  <c r="C12731" i="1"/>
  <c r="C12730" i="1"/>
  <c r="C12729" i="1"/>
  <c r="C12728" i="1"/>
  <c r="C12727" i="1"/>
  <c r="C12726" i="1"/>
  <c r="C12725" i="1"/>
  <c r="C12724" i="1"/>
  <c r="C12723" i="1"/>
  <c r="C12722" i="1"/>
  <c r="C12721" i="1"/>
  <c r="C12720" i="1"/>
  <c r="C12719" i="1"/>
  <c r="C12718" i="1"/>
  <c r="C12717" i="1"/>
  <c r="C12716" i="1"/>
  <c r="C12715" i="1"/>
  <c r="C12714" i="1"/>
  <c r="C12713" i="1"/>
  <c r="C12712" i="1"/>
  <c r="C12711" i="1"/>
  <c r="C12710" i="1"/>
  <c r="C12709" i="1"/>
  <c r="C12708" i="1"/>
  <c r="C12707" i="1"/>
  <c r="C12706" i="1"/>
  <c r="C12705" i="1"/>
  <c r="C12704" i="1"/>
  <c r="C12703" i="1"/>
  <c r="C12702" i="1"/>
  <c r="C12701" i="1"/>
  <c r="C12700" i="1"/>
  <c r="C12699" i="1"/>
  <c r="C12698" i="1"/>
  <c r="C12697" i="1"/>
  <c r="C12696" i="1"/>
  <c r="C12695" i="1"/>
  <c r="C12694" i="1"/>
  <c r="C12693" i="1"/>
  <c r="C12692" i="1"/>
  <c r="C12691" i="1"/>
  <c r="C12690" i="1"/>
  <c r="C12689" i="1"/>
  <c r="C12688" i="1"/>
  <c r="C12687" i="1"/>
  <c r="C12686" i="1"/>
  <c r="C12685" i="1"/>
  <c r="C12684" i="1"/>
  <c r="C12683" i="1"/>
  <c r="C12682" i="1"/>
  <c r="C12681" i="1"/>
  <c r="C12680" i="1"/>
  <c r="C12679" i="1"/>
  <c r="C12678" i="1"/>
  <c r="C12677" i="1"/>
  <c r="C12676" i="1"/>
  <c r="C12675" i="1"/>
  <c r="C12674" i="1"/>
  <c r="C12673" i="1"/>
  <c r="C12672" i="1"/>
  <c r="C12671" i="1"/>
  <c r="C12670" i="1"/>
  <c r="C12669" i="1"/>
  <c r="C12668" i="1"/>
  <c r="C12667" i="1"/>
  <c r="C12666" i="1"/>
  <c r="C12665" i="1"/>
  <c r="C12664" i="1"/>
  <c r="C12663" i="1"/>
  <c r="C12662" i="1"/>
  <c r="C12661" i="1"/>
  <c r="C12660" i="1"/>
  <c r="C12659" i="1"/>
  <c r="C12658" i="1"/>
  <c r="C12657" i="1"/>
  <c r="C12656" i="1"/>
  <c r="C12655" i="1"/>
  <c r="C12654" i="1"/>
  <c r="C12653" i="1"/>
  <c r="C12652" i="1"/>
  <c r="C12651" i="1"/>
  <c r="C12650" i="1"/>
  <c r="C12649" i="1"/>
  <c r="C12648" i="1"/>
  <c r="C12647" i="1"/>
  <c r="C12646" i="1"/>
  <c r="C12645" i="1"/>
  <c r="C12644" i="1"/>
  <c r="C12643" i="1"/>
  <c r="C12642" i="1"/>
  <c r="C12641" i="1"/>
  <c r="C12640" i="1"/>
  <c r="C12639" i="1"/>
  <c r="C12638" i="1"/>
  <c r="C12637" i="1"/>
  <c r="C12636" i="1"/>
  <c r="C12635" i="1"/>
  <c r="C12634" i="1"/>
  <c r="C12633" i="1"/>
  <c r="C12632" i="1"/>
  <c r="C12631" i="1"/>
  <c r="C12630" i="1"/>
  <c r="C12629" i="1"/>
  <c r="C12628" i="1"/>
  <c r="C12627" i="1"/>
  <c r="C12626" i="1"/>
  <c r="C12625" i="1"/>
  <c r="C12624" i="1"/>
  <c r="C12623" i="1"/>
  <c r="C12622" i="1"/>
  <c r="C12621" i="1"/>
  <c r="C12620" i="1"/>
  <c r="C12619" i="1"/>
  <c r="C12618" i="1"/>
  <c r="C12617" i="1"/>
  <c r="C12616" i="1"/>
  <c r="C12615" i="1"/>
  <c r="C12614" i="1"/>
  <c r="C12613" i="1"/>
  <c r="C12612" i="1"/>
  <c r="C12611" i="1"/>
  <c r="C12610" i="1"/>
  <c r="C12609" i="1"/>
  <c r="C12608" i="1"/>
  <c r="C12607" i="1"/>
  <c r="C12606" i="1"/>
  <c r="C12605" i="1"/>
  <c r="C12604" i="1"/>
  <c r="C12603" i="1"/>
  <c r="C12602" i="1"/>
  <c r="C12601" i="1"/>
  <c r="C12600" i="1"/>
  <c r="C12599" i="1"/>
  <c r="C12598" i="1"/>
  <c r="C12597" i="1"/>
  <c r="C12596" i="1"/>
  <c r="C12595" i="1"/>
  <c r="C12594" i="1"/>
  <c r="C12593" i="1"/>
  <c r="C12592" i="1"/>
  <c r="C12591" i="1"/>
  <c r="C12590" i="1"/>
  <c r="C12589" i="1"/>
  <c r="C12588" i="1"/>
  <c r="C12587" i="1"/>
  <c r="C12586" i="1"/>
  <c r="C12585" i="1"/>
  <c r="C12584" i="1"/>
  <c r="C12583" i="1"/>
  <c r="C12582" i="1"/>
  <c r="C12581" i="1"/>
  <c r="C12580" i="1"/>
  <c r="C12579" i="1"/>
  <c r="C12578" i="1"/>
  <c r="C12577" i="1"/>
  <c r="C12576" i="1"/>
  <c r="C12575" i="1"/>
  <c r="C12574" i="1"/>
  <c r="C12573" i="1"/>
  <c r="C12572" i="1"/>
  <c r="C12571" i="1"/>
  <c r="C12570" i="1"/>
  <c r="C12569" i="1"/>
  <c r="C12568" i="1"/>
  <c r="C12567" i="1"/>
  <c r="C12566" i="1"/>
  <c r="C12565" i="1"/>
  <c r="C12564" i="1"/>
  <c r="C12563" i="1"/>
  <c r="C12562" i="1"/>
  <c r="C12561" i="1"/>
  <c r="C12560" i="1"/>
  <c r="C12559" i="1"/>
  <c r="C12558" i="1"/>
  <c r="C12557" i="1"/>
  <c r="C12556" i="1"/>
  <c r="C12555" i="1"/>
  <c r="C12554" i="1"/>
  <c r="C12553" i="1"/>
  <c r="C12552" i="1"/>
  <c r="C12551" i="1"/>
  <c r="C12550" i="1"/>
  <c r="C12549" i="1"/>
  <c r="C12548" i="1"/>
  <c r="C12547" i="1"/>
  <c r="C12546" i="1"/>
  <c r="C12545" i="1"/>
  <c r="C12544" i="1"/>
  <c r="C12543" i="1"/>
  <c r="C12542" i="1"/>
  <c r="C12541" i="1"/>
  <c r="C12540" i="1"/>
  <c r="C12539" i="1"/>
  <c r="C12538" i="1"/>
  <c r="C12537" i="1"/>
  <c r="C12536" i="1"/>
  <c r="C12535" i="1"/>
  <c r="C12534" i="1"/>
  <c r="C12533" i="1"/>
  <c r="C12532" i="1"/>
  <c r="C12531" i="1"/>
  <c r="C12530" i="1"/>
  <c r="C12529" i="1"/>
  <c r="C12528" i="1"/>
  <c r="C12527" i="1"/>
  <c r="C12526" i="1"/>
  <c r="C12525" i="1"/>
  <c r="C12524" i="1"/>
  <c r="C12523" i="1"/>
  <c r="C12522" i="1"/>
  <c r="C12521" i="1"/>
  <c r="C12520" i="1"/>
  <c r="C12519" i="1"/>
  <c r="C12518" i="1"/>
  <c r="C12517" i="1"/>
  <c r="C12516" i="1"/>
  <c r="C12515" i="1"/>
  <c r="C12514" i="1"/>
  <c r="C12513" i="1"/>
  <c r="C12512" i="1"/>
  <c r="C12511" i="1"/>
  <c r="C12510" i="1"/>
  <c r="C12509" i="1"/>
  <c r="C12508" i="1"/>
  <c r="C12507" i="1"/>
  <c r="C12506" i="1"/>
  <c r="C12505" i="1"/>
  <c r="C12504" i="1"/>
  <c r="C12503" i="1"/>
  <c r="C12502" i="1"/>
  <c r="C12501" i="1"/>
  <c r="C12500" i="1"/>
  <c r="C12499" i="1"/>
  <c r="C12498" i="1"/>
  <c r="C12497" i="1"/>
  <c r="C12496" i="1"/>
  <c r="C12495" i="1"/>
  <c r="C12494" i="1"/>
  <c r="C12493" i="1"/>
  <c r="C12492" i="1"/>
  <c r="C12491" i="1"/>
  <c r="C12490" i="1"/>
  <c r="C12489" i="1"/>
  <c r="C12488" i="1"/>
  <c r="C12487" i="1"/>
  <c r="C12486" i="1"/>
  <c r="C12485" i="1"/>
  <c r="C12484" i="1"/>
  <c r="C12483" i="1"/>
  <c r="C12482" i="1"/>
  <c r="C12481" i="1"/>
  <c r="C12480" i="1"/>
  <c r="C12479" i="1"/>
  <c r="C12478" i="1"/>
  <c r="C12477" i="1"/>
  <c r="C12476" i="1"/>
  <c r="C12475" i="1"/>
  <c r="C12474" i="1"/>
  <c r="C12473" i="1"/>
  <c r="C12472" i="1"/>
  <c r="C12471" i="1"/>
  <c r="C12470" i="1"/>
  <c r="C12469" i="1"/>
  <c r="C12468" i="1"/>
  <c r="C12467" i="1"/>
  <c r="C12466" i="1"/>
  <c r="C12465" i="1"/>
  <c r="C12464" i="1"/>
  <c r="C12463" i="1"/>
  <c r="C12462" i="1"/>
  <c r="C12461" i="1"/>
  <c r="C12460" i="1"/>
  <c r="C12459" i="1"/>
  <c r="C12458" i="1"/>
  <c r="C12457" i="1"/>
  <c r="C12456" i="1"/>
  <c r="C12455" i="1"/>
  <c r="C12454" i="1"/>
  <c r="C12453" i="1"/>
  <c r="C12452" i="1"/>
  <c r="C12451" i="1"/>
  <c r="C12450" i="1"/>
  <c r="C12449" i="1"/>
  <c r="C12448" i="1"/>
  <c r="C12447" i="1"/>
  <c r="C12446" i="1"/>
  <c r="C12445" i="1"/>
  <c r="C12444" i="1"/>
  <c r="C12443" i="1"/>
  <c r="C12442" i="1"/>
  <c r="C12441" i="1"/>
  <c r="C12440" i="1"/>
  <c r="C12439" i="1"/>
  <c r="C12438" i="1"/>
  <c r="C12437" i="1"/>
  <c r="C12436" i="1"/>
  <c r="C12435" i="1"/>
  <c r="C12434" i="1"/>
  <c r="C12433" i="1"/>
  <c r="C12432" i="1"/>
  <c r="C12431" i="1"/>
  <c r="C12430" i="1"/>
  <c r="C12429" i="1"/>
  <c r="C12428" i="1"/>
  <c r="C12427" i="1"/>
  <c r="C12426" i="1"/>
  <c r="C12425" i="1"/>
  <c r="C12424" i="1"/>
  <c r="C12423" i="1"/>
  <c r="C12422" i="1"/>
  <c r="C12421" i="1"/>
  <c r="C12420" i="1"/>
  <c r="C12419" i="1"/>
  <c r="C12418" i="1"/>
  <c r="C12417" i="1"/>
  <c r="C12416" i="1"/>
  <c r="C12415" i="1"/>
  <c r="C12414" i="1"/>
  <c r="C12413" i="1"/>
  <c r="C12412" i="1"/>
  <c r="C12411" i="1"/>
  <c r="C12410" i="1"/>
  <c r="C12409" i="1"/>
  <c r="C12408" i="1"/>
  <c r="C12407" i="1"/>
  <c r="C12406" i="1"/>
  <c r="C12405" i="1"/>
  <c r="C12404" i="1"/>
  <c r="C12403" i="1"/>
  <c r="C12402" i="1"/>
  <c r="C12401" i="1"/>
  <c r="C12400" i="1"/>
  <c r="C12399" i="1"/>
  <c r="C12398" i="1"/>
  <c r="C12397" i="1"/>
  <c r="C12396" i="1"/>
  <c r="C12395" i="1"/>
  <c r="C12394" i="1"/>
  <c r="C12393" i="1"/>
  <c r="C12392" i="1"/>
  <c r="C12391" i="1"/>
  <c r="C12390" i="1"/>
  <c r="C12389" i="1"/>
  <c r="C12388" i="1"/>
  <c r="C12387" i="1"/>
  <c r="C12386" i="1"/>
  <c r="C12385" i="1"/>
  <c r="C12384" i="1"/>
  <c r="C12383" i="1"/>
  <c r="C12382" i="1"/>
  <c r="C12381" i="1"/>
  <c r="C12380" i="1"/>
  <c r="C12379" i="1"/>
  <c r="C12378" i="1"/>
  <c r="C12377" i="1"/>
  <c r="C12376" i="1"/>
  <c r="C12375" i="1"/>
  <c r="C12374" i="1"/>
  <c r="C12373" i="1"/>
  <c r="C12372" i="1"/>
  <c r="C12371" i="1"/>
  <c r="C12370" i="1"/>
  <c r="C12369" i="1"/>
  <c r="C12368" i="1"/>
  <c r="C12367" i="1"/>
  <c r="C12366" i="1"/>
  <c r="C12365" i="1"/>
  <c r="C12364" i="1"/>
  <c r="C12363" i="1"/>
  <c r="C12362" i="1"/>
  <c r="C12361" i="1"/>
  <c r="C12360" i="1"/>
  <c r="C12359" i="1"/>
  <c r="C12358" i="1"/>
  <c r="C12357" i="1"/>
  <c r="C12356" i="1"/>
  <c r="C12355" i="1"/>
  <c r="C12354" i="1"/>
  <c r="C12353" i="1"/>
  <c r="C12352" i="1"/>
  <c r="C12351" i="1"/>
  <c r="C12350" i="1"/>
  <c r="C12349" i="1"/>
  <c r="C12348" i="1"/>
  <c r="C12347" i="1"/>
  <c r="C12346" i="1"/>
  <c r="C12345" i="1"/>
  <c r="C12344" i="1"/>
  <c r="C12343" i="1"/>
  <c r="C12342" i="1"/>
  <c r="C12341" i="1"/>
  <c r="C12340" i="1"/>
  <c r="C12339" i="1"/>
  <c r="C12338" i="1"/>
  <c r="C12337" i="1"/>
  <c r="C12336" i="1"/>
  <c r="C12335" i="1"/>
  <c r="C12334" i="1"/>
  <c r="C12333" i="1"/>
  <c r="C12332" i="1"/>
  <c r="C12331" i="1"/>
  <c r="C12330" i="1"/>
  <c r="C12329" i="1"/>
  <c r="C12328" i="1"/>
  <c r="C12327" i="1"/>
  <c r="C12326" i="1"/>
  <c r="C12325" i="1"/>
  <c r="C12324" i="1"/>
  <c r="C12323" i="1"/>
  <c r="C12322" i="1"/>
  <c r="C12321" i="1"/>
  <c r="C12320" i="1"/>
  <c r="C12319" i="1"/>
  <c r="C12318" i="1"/>
  <c r="C12317" i="1"/>
  <c r="C12316" i="1"/>
  <c r="C12315" i="1"/>
  <c r="C12314" i="1"/>
  <c r="C12313" i="1"/>
  <c r="C12312" i="1"/>
  <c r="C12311" i="1"/>
  <c r="C12310" i="1"/>
  <c r="C12309" i="1"/>
  <c r="C12308" i="1"/>
  <c r="C12307" i="1"/>
  <c r="C12306" i="1"/>
  <c r="C12305" i="1"/>
  <c r="C12304" i="1"/>
  <c r="C12303" i="1"/>
  <c r="C12302" i="1"/>
  <c r="C12301" i="1"/>
  <c r="C12300" i="1"/>
  <c r="C12299" i="1"/>
  <c r="C12298" i="1"/>
  <c r="C12297" i="1"/>
  <c r="C12296" i="1"/>
  <c r="C12295" i="1"/>
  <c r="C12294" i="1"/>
  <c r="C12293" i="1"/>
  <c r="C12292" i="1"/>
  <c r="C12291" i="1"/>
  <c r="C12290" i="1"/>
  <c r="C12289" i="1"/>
  <c r="C12288" i="1"/>
  <c r="C12287" i="1"/>
  <c r="C12286" i="1"/>
  <c r="C12285" i="1"/>
  <c r="C12284" i="1"/>
  <c r="C12283" i="1"/>
  <c r="C12282" i="1"/>
  <c r="C12281" i="1"/>
  <c r="C12280" i="1"/>
  <c r="C12279" i="1"/>
  <c r="C12278" i="1"/>
  <c r="C12277" i="1"/>
  <c r="C12276" i="1"/>
  <c r="C12275" i="1"/>
  <c r="C12274" i="1"/>
  <c r="C12273" i="1"/>
  <c r="C12272" i="1"/>
  <c r="C12271" i="1"/>
  <c r="C12270" i="1"/>
  <c r="C12269" i="1"/>
  <c r="C12268" i="1"/>
  <c r="C12267" i="1"/>
  <c r="C12266" i="1"/>
  <c r="C12265" i="1"/>
  <c r="C12264" i="1"/>
  <c r="C12263" i="1"/>
  <c r="C12262" i="1"/>
  <c r="C12261" i="1"/>
  <c r="C12260" i="1"/>
  <c r="C12259" i="1"/>
  <c r="C12258" i="1"/>
  <c r="C12257" i="1"/>
  <c r="C12256" i="1"/>
  <c r="C12255" i="1"/>
  <c r="C12254" i="1"/>
  <c r="C12253" i="1"/>
  <c r="C12252" i="1"/>
  <c r="C12251" i="1"/>
  <c r="C12250" i="1"/>
  <c r="C12249" i="1"/>
  <c r="C12248" i="1"/>
  <c r="C12247" i="1"/>
  <c r="C12246" i="1"/>
  <c r="C12245" i="1"/>
  <c r="C12244" i="1"/>
  <c r="C12243" i="1"/>
  <c r="C12242" i="1"/>
  <c r="C12241" i="1"/>
  <c r="C12240" i="1"/>
  <c r="C12239" i="1"/>
  <c r="C12238" i="1"/>
  <c r="C12237" i="1"/>
  <c r="C12236" i="1"/>
  <c r="C12235" i="1"/>
  <c r="C12234" i="1"/>
  <c r="C12233" i="1"/>
  <c r="C12232" i="1"/>
  <c r="C12231" i="1"/>
  <c r="C12230" i="1"/>
  <c r="C12229" i="1"/>
  <c r="C12228" i="1"/>
  <c r="C12227" i="1"/>
  <c r="C12226" i="1"/>
  <c r="C12225" i="1"/>
  <c r="C12224" i="1"/>
  <c r="C12223" i="1"/>
  <c r="C12222" i="1"/>
  <c r="C12221" i="1"/>
  <c r="C12220" i="1"/>
  <c r="C12219" i="1"/>
  <c r="C12218" i="1"/>
  <c r="C12217" i="1"/>
  <c r="C12216" i="1"/>
  <c r="C12215" i="1"/>
  <c r="C12214" i="1"/>
  <c r="C12213" i="1"/>
  <c r="C12212" i="1"/>
  <c r="C12211" i="1"/>
  <c r="C12210" i="1"/>
  <c r="C12209" i="1"/>
  <c r="C12208" i="1"/>
  <c r="C12207" i="1"/>
  <c r="C12206" i="1"/>
  <c r="C12205" i="1"/>
  <c r="C12204" i="1"/>
  <c r="C12203" i="1"/>
  <c r="C12202" i="1"/>
  <c r="C12201" i="1"/>
  <c r="C12200" i="1"/>
  <c r="C12199" i="1"/>
  <c r="C12198" i="1"/>
  <c r="C12197" i="1"/>
  <c r="C12196" i="1"/>
  <c r="C12195" i="1"/>
  <c r="C12194" i="1"/>
  <c r="C12193" i="1"/>
  <c r="C12192" i="1"/>
  <c r="C12191" i="1"/>
  <c r="C12190" i="1"/>
  <c r="C12189" i="1"/>
  <c r="C12188" i="1"/>
  <c r="C12187" i="1"/>
  <c r="C12186" i="1"/>
  <c r="C12185" i="1"/>
  <c r="C12184" i="1"/>
  <c r="C12183" i="1"/>
  <c r="C12182" i="1"/>
  <c r="C12181" i="1"/>
  <c r="C12180" i="1"/>
  <c r="C12179" i="1"/>
  <c r="C12178" i="1"/>
  <c r="C12177" i="1"/>
  <c r="C12176" i="1"/>
  <c r="C12175" i="1"/>
  <c r="C12174" i="1"/>
  <c r="C12173" i="1"/>
  <c r="C12172" i="1"/>
  <c r="C12171" i="1"/>
  <c r="C12170" i="1"/>
  <c r="C12169" i="1"/>
  <c r="C12168" i="1"/>
  <c r="C12167" i="1"/>
  <c r="C12166" i="1"/>
  <c r="C12165" i="1"/>
  <c r="C12164" i="1"/>
  <c r="C12163" i="1"/>
  <c r="C12162" i="1"/>
  <c r="C12161" i="1"/>
  <c r="C12160" i="1"/>
  <c r="C12159" i="1"/>
  <c r="C12158" i="1"/>
  <c r="C12157" i="1"/>
  <c r="C12156" i="1"/>
  <c r="C12155" i="1"/>
  <c r="C12154" i="1"/>
  <c r="C12153" i="1"/>
  <c r="C12152" i="1"/>
  <c r="C12151" i="1"/>
  <c r="C12150" i="1"/>
  <c r="C12149" i="1"/>
  <c r="C12148" i="1"/>
  <c r="C12147" i="1"/>
  <c r="C12146" i="1"/>
  <c r="C12145" i="1"/>
  <c r="C12144" i="1"/>
  <c r="C12143" i="1"/>
  <c r="C12142" i="1"/>
  <c r="C12141" i="1"/>
  <c r="C12140" i="1"/>
  <c r="C12139" i="1"/>
  <c r="C12138" i="1"/>
  <c r="C12137" i="1"/>
  <c r="C12136" i="1"/>
  <c r="C12135" i="1"/>
  <c r="C12134" i="1"/>
  <c r="C12133" i="1"/>
  <c r="C12132" i="1"/>
  <c r="C12131" i="1"/>
  <c r="C12130" i="1"/>
  <c r="C12129" i="1"/>
  <c r="C12128" i="1"/>
  <c r="C12127" i="1"/>
  <c r="C12126" i="1"/>
  <c r="C12125" i="1"/>
  <c r="C12124" i="1"/>
  <c r="C12123" i="1"/>
  <c r="C12122" i="1"/>
  <c r="C12121" i="1"/>
  <c r="C12120" i="1"/>
  <c r="C12119" i="1"/>
  <c r="C12118" i="1"/>
  <c r="C12117" i="1"/>
  <c r="C12116" i="1"/>
  <c r="C12115" i="1"/>
  <c r="C12114" i="1"/>
  <c r="C12113" i="1"/>
  <c r="C12112" i="1"/>
  <c r="C12111" i="1"/>
  <c r="C12110" i="1"/>
  <c r="C12109" i="1"/>
  <c r="C12108" i="1"/>
  <c r="C12107" i="1"/>
  <c r="C12106" i="1"/>
  <c r="C12105" i="1"/>
  <c r="C12104" i="1"/>
  <c r="C12103" i="1"/>
  <c r="C12102" i="1"/>
  <c r="C12101" i="1"/>
  <c r="C12100" i="1"/>
  <c r="C12099" i="1"/>
  <c r="C12098" i="1"/>
  <c r="C12097" i="1"/>
  <c r="C12096" i="1"/>
  <c r="C12095" i="1"/>
  <c r="C12094" i="1"/>
  <c r="C12093" i="1"/>
  <c r="C12092" i="1"/>
  <c r="C12091" i="1"/>
  <c r="C12090" i="1"/>
  <c r="C12089" i="1"/>
  <c r="C12088" i="1"/>
  <c r="C12087" i="1"/>
  <c r="C12086" i="1"/>
  <c r="C12085" i="1"/>
  <c r="C12084" i="1"/>
  <c r="C12083" i="1"/>
  <c r="C12082" i="1"/>
  <c r="C12081" i="1"/>
  <c r="C12080" i="1"/>
  <c r="C12079" i="1"/>
  <c r="C12078" i="1"/>
  <c r="C12077" i="1"/>
  <c r="C12076" i="1"/>
  <c r="C12075" i="1"/>
  <c r="C12074" i="1"/>
  <c r="C12073" i="1"/>
  <c r="C12072" i="1"/>
  <c r="C12071" i="1"/>
  <c r="C12070" i="1"/>
  <c r="C12069" i="1"/>
  <c r="C12068" i="1"/>
  <c r="C12067" i="1"/>
  <c r="C12066" i="1"/>
  <c r="C12065" i="1"/>
  <c r="C12064" i="1"/>
  <c r="C12063" i="1"/>
  <c r="C12062" i="1"/>
  <c r="C12061" i="1"/>
  <c r="C12060" i="1"/>
  <c r="C12059" i="1"/>
  <c r="C12058" i="1"/>
  <c r="C12057" i="1"/>
  <c r="C12056" i="1"/>
  <c r="C12055" i="1"/>
  <c r="C12054" i="1"/>
  <c r="C12053" i="1"/>
  <c r="C12052" i="1"/>
  <c r="C12051" i="1"/>
  <c r="C12050" i="1"/>
  <c r="C12049" i="1"/>
  <c r="C12048" i="1"/>
  <c r="C12047" i="1"/>
  <c r="C12046" i="1"/>
  <c r="C12045" i="1"/>
  <c r="C12044" i="1"/>
  <c r="C12043" i="1"/>
  <c r="C12042" i="1"/>
  <c r="C12041" i="1"/>
  <c r="C12040" i="1"/>
  <c r="C12039" i="1"/>
  <c r="C12038" i="1"/>
  <c r="C12037" i="1"/>
  <c r="C12036" i="1"/>
  <c r="C12035" i="1"/>
  <c r="C12034" i="1"/>
  <c r="C12033" i="1"/>
  <c r="C12032" i="1"/>
  <c r="C12031" i="1"/>
  <c r="C12030" i="1"/>
  <c r="C12029" i="1"/>
  <c r="C12028" i="1"/>
  <c r="C12027" i="1"/>
  <c r="C12026" i="1"/>
  <c r="C12025" i="1"/>
  <c r="C12024" i="1"/>
  <c r="C12023" i="1"/>
  <c r="C12022" i="1"/>
  <c r="C12021" i="1"/>
  <c r="C12020" i="1"/>
  <c r="C12019" i="1"/>
  <c r="C12018" i="1"/>
  <c r="C12017" i="1"/>
  <c r="C12016" i="1"/>
  <c r="C12015" i="1"/>
  <c r="C12014" i="1"/>
  <c r="C12013" i="1"/>
  <c r="C12012" i="1"/>
  <c r="C12011" i="1"/>
  <c r="C12010" i="1"/>
  <c r="C12009" i="1"/>
  <c r="C12008" i="1"/>
  <c r="C12007" i="1"/>
  <c r="C12006" i="1"/>
  <c r="C12005" i="1"/>
  <c r="C12004" i="1"/>
  <c r="C12003" i="1"/>
  <c r="C12002" i="1"/>
  <c r="C12001" i="1"/>
  <c r="C12000" i="1"/>
  <c r="C11999" i="1"/>
  <c r="C11998" i="1"/>
  <c r="C11997" i="1"/>
  <c r="C11996" i="1"/>
  <c r="C11995" i="1"/>
  <c r="C11994" i="1"/>
  <c r="C11993" i="1"/>
  <c r="C11992" i="1"/>
  <c r="C11991" i="1"/>
  <c r="C11990" i="1"/>
  <c r="C11989" i="1"/>
  <c r="C11988" i="1"/>
  <c r="C11987" i="1"/>
  <c r="C11986" i="1"/>
  <c r="C11985" i="1"/>
  <c r="C11984" i="1"/>
  <c r="C11983" i="1"/>
  <c r="C11982" i="1"/>
  <c r="C11981" i="1"/>
  <c r="C11980" i="1"/>
  <c r="C11979" i="1"/>
  <c r="C11978" i="1"/>
  <c r="C11977" i="1"/>
  <c r="C11976" i="1"/>
  <c r="C11975" i="1"/>
  <c r="C11974" i="1"/>
  <c r="C11973" i="1"/>
  <c r="C11972" i="1"/>
  <c r="C11971" i="1"/>
  <c r="C11970" i="1"/>
  <c r="C11969" i="1"/>
  <c r="C11968" i="1"/>
  <c r="C11967" i="1"/>
  <c r="C11966" i="1"/>
  <c r="C11965" i="1"/>
  <c r="C11964" i="1"/>
  <c r="C11963" i="1"/>
  <c r="C11962" i="1"/>
  <c r="C11961" i="1"/>
  <c r="C11960" i="1"/>
  <c r="C11959" i="1"/>
  <c r="C11958" i="1"/>
  <c r="C11957" i="1"/>
  <c r="C11956" i="1"/>
  <c r="C11955" i="1"/>
  <c r="C11954" i="1"/>
  <c r="C11953" i="1"/>
  <c r="C11952" i="1"/>
  <c r="C11951" i="1"/>
  <c r="C11950" i="1"/>
  <c r="C11949" i="1"/>
  <c r="C11948" i="1"/>
  <c r="C11947" i="1"/>
  <c r="C11946" i="1"/>
  <c r="C11945" i="1"/>
  <c r="C11944" i="1"/>
  <c r="C11943" i="1"/>
  <c r="C11942" i="1"/>
  <c r="C11941" i="1"/>
  <c r="C11940" i="1"/>
  <c r="C11939" i="1"/>
  <c r="C11938" i="1"/>
  <c r="C11937" i="1"/>
  <c r="C11936" i="1"/>
  <c r="C11935" i="1"/>
  <c r="C11934" i="1"/>
  <c r="C11933" i="1"/>
  <c r="C11932" i="1"/>
  <c r="C11931" i="1"/>
  <c r="C11930" i="1"/>
  <c r="C11929" i="1"/>
  <c r="C11928" i="1"/>
  <c r="C11927" i="1"/>
  <c r="C11926" i="1"/>
  <c r="C11925" i="1"/>
  <c r="C11924" i="1"/>
  <c r="C11923" i="1"/>
  <c r="C11922" i="1"/>
  <c r="C11921" i="1"/>
  <c r="C11920" i="1"/>
  <c r="C11919" i="1"/>
  <c r="C11918" i="1"/>
  <c r="C11917" i="1"/>
  <c r="C11916" i="1"/>
  <c r="C11915" i="1"/>
  <c r="C11914" i="1"/>
  <c r="C11913" i="1"/>
  <c r="C11912" i="1"/>
  <c r="C11911" i="1"/>
  <c r="C11910" i="1"/>
  <c r="C11909" i="1"/>
  <c r="C11908" i="1"/>
  <c r="C11907" i="1"/>
  <c r="C11906" i="1"/>
  <c r="C11905" i="1"/>
  <c r="C11904" i="1"/>
  <c r="C11903" i="1"/>
  <c r="C11902" i="1"/>
  <c r="C11901" i="1"/>
  <c r="C11900" i="1"/>
  <c r="C11899" i="1"/>
  <c r="C11898" i="1"/>
  <c r="C11897" i="1"/>
  <c r="C11896" i="1"/>
  <c r="C11895" i="1"/>
  <c r="C11894" i="1"/>
  <c r="C11893" i="1"/>
  <c r="C11892" i="1"/>
  <c r="C11891" i="1"/>
  <c r="C11890" i="1"/>
  <c r="C11889" i="1"/>
  <c r="C11888" i="1"/>
  <c r="C11887" i="1"/>
  <c r="C11886" i="1"/>
  <c r="C11885" i="1"/>
  <c r="C11884" i="1"/>
  <c r="C11883" i="1"/>
  <c r="C11882" i="1"/>
  <c r="C11881" i="1"/>
  <c r="C11880" i="1"/>
  <c r="C11879" i="1"/>
  <c r="C11878" i="1"/>
  <c r="C11877" i="1"/>
  <c r="C11876" i="1"/>
  <c r="C11875" i="1"/>
  <c r="C11874" i="1"/>
  <c r="C11873" i="1"/>
  <c r="C11872" i="1"/>
  <c r="C11871" i="1"/>
  <c r="C11870" i="1"/>
  <c r="C11869" i="1"/>
  <c r="C11868" i="1"/>
  <c r="C11867" i="1"/>
  <c r="C11866" i="1"/>
  <c r="C11865" i="1"/>
  <c r="C11864" i="1"/>
  <c r="C11863" i="1"/>
  <c r="C11862" i="1"/>
  <c r="C11861" i="1"/>
  <c r="C11860" i="1"/>
  <c r="C11859" i="1"/>
  <c r="C11858" i="1"/>
  <c r="C11857" i="1"/>
  <c r="C11856" i="1"/>
  <c r="C11855" i="1"/>
  <c r="C11854" i="1"/>
  <c r="C11853" i="1"/>
  <c r="C11852" i="1"/>
  <c r="C11851" i="1"/>
  <c r="C11850" i="1"/>
  <c r="C11849" i="1"/>
  <c r="C11848" i="1"/>
  <c r="C11847" i="1"/>
  <c r="C11846" i="1"/>
  <c r="C11845" i="1"/>
  <c r="C11844" i="1"/>
  <c r="C11843" i="1"/>
  <c r="C11842" i="1"/>
  <c r="C11841" i="1"/>
  <c r="C11840" i="1"/>
  <c r="C11839" i="1"/>
  <c r="C11838" i="1"/>
  <c r="C11837" i="1"/>
  <c r="C11836" i="1"/>
  <c r="C11835" i="1"/>
  <c r="C11834" i="1"/>
  <c r="C11833" i="1"/>
  <c r="C11832" i="1"/>
  <c r="C11831" i="1"/>
  <c r="C11830" i="1"/>
  <c r="C11829" i="1"/>
  <c r="C11828" i="1"/>
  <c r="C11827" i="1"/>
  <c r="C11826" i="1"/>
  <c r="C11825" i="1"/>
  <c r="C11824" i="1"/>
  <c r="C11823" i="1"/>
  <c r="C11822" i="1"/>
  <c r="C11821" i="1"/>
  <c r="C11820" i="1"/>
  <c r="C11819" i="1"/>
  <c r="C11818" i="1"/>
  <c r="C11817" i="1"/>
  <c r="C11816" i="1"/>
  <c r="C11815" i="1"/>
  <c r="C11814" i="1"/>
  <c r="C11813" i="1"/>
  <c r="C11812" i="1"/>
  <c r="C11811" i="1"/>
  <c r="C11810" i="1"/>
  <c r="C11809" i="1"/>
  <c r="C11808" i="1"/>
  <c r="C11807" i="1"/>
  <c r="C11806" i="1"/>
  <c r="C11805" i="1"/>
  <c r="C11804" i="1"/>
  <c r="C11803" i="1"/>
  <c r="C11802" i="1"/>
  <c r="C11801" i="1"/>
  <c r="C11800" i="1"/>
  <c r="C11799" i="1"/>
  <c r="C11798" i="1"/>
  <c r="C11797" i="1"/>
  <c r="C11796" i="1"/>
  <c r="C11795" i="1"/>
  <c r="C11794" i="1"/>
  <c r="C11793" i="1"/>
  <c r="C11792" i="1"/>
  <c r="C11791" i="1"/>
  <c r="C11790" i="1"/>
  <c r="C11789" i="1"/>
  <c r="C11788" i="1"/>
  <c r="C11787" i="1"/>
  <c r="C11786" i="1"/>
  <c r="C11785" i="1"/>
  <c r="C11784" i="1"/>
  <c r="C11783" i="1"/>
  <c r="C11782" i="1"/>
  <c r="C11781" i="1"/>
  <c r="C11780" i="1"/>
  <c r="C11779" i="1"/>
  <c r="C11778" i="1"/>
  <c r="C11777" i="1"/>
  <c r="C11776" i="1"/>
  <c r="C11775" i="1"/>
  <c r="C11774" i="1"/>
  <c r="C11773" i="1"/>
  <c r="C11772" i="1"/>
  <c r="C11771" i="1"/>
  <c r="C11770" i="1"/>
  <c r="C11769" i="1"/>
  <c r="C11768" i="1"/>
  <c r="C11767" i="1"/>
  <c r="C11766" i="1"/>
  <c r="C11765" i="1"/>
  <c r="C11764" i="1"/>
  <c r="C11763" i="1"/>
  <c r="C11762" i="1"/>
  <c r="C11761" i="1"/>
  <c r="C11760" i="1"/>
  <c r="C11759" i="1"/>
  <c r="C11758" i="1"/>
  <c r="C11757" i="1"/>
  <c r="C11756" i="1"/>
  <c r="C11755" i="1"/>
  <c r="C11754" i="1"/>
  <c r="C11753" i="1"/>
  <c r="C11752" i="1"/>
  <c r="C11751" i="1"/>
  <c r="C11750" i="1"/>
  <c r="C11749" i="1"/>
  <c r="C11748" i="1"/>
  <c r="C11747" i="1"/>
  <c r="C11746" i="1"/>
  <c r="C11745" i="1"/>
  <c r="C11744" i="1"/>
  <c r="C11743" i="1"/>
  <c r="C11742" i="1"/>
  <c r="C11741" i="1"/>
  <c r="C11740" i="1"/>
  <c r="C11739" i="1"/>
  <c r="C11738" i="1"/>
  <c r="C11737" i="1"/>
  <c r="C11736" i="1"/>
  <c r="C11735" i="1"/>
  <c r="C11734" i="1"/>
  <c r="C11733" i="1"/>
  <c r="C11732" i="1"/>
  <c r="C11731" i="1"/>
  <c r="C11730" i="1"/>
  <c r="C11729" i="1"/>
  <c r="C11728" i="1"/>
  <c r="C11727" i="1"/>
  <c r="C11726" i="1"/>
  <c r="C11725" i="1"/>
  <c r="C11724" i="1"/>
  <c r="C11723" i="1"/>
  <c r="C11722" i="1"/>
  <c r="C11721" i="1"/>
  <c r="C11720" i="1"/>
  <c r="C11719" i="1"/>
  <c r="C11718" i="1"/>
  <c r="C11717" i="1"/>
  <c r="C11716" i="1"/>
  <c r="C11715" i="1"/>
  <c r="C11714" i="1"/>
  <c r="C11713" i="1"/>
  <c r="C11712" i="1"/>
  <c r="C11711" i="1"/>
  <c r="C11710" i="1"/>
  <c r="C11709" i="1"/>
  <c r="C11708" i="1"/>
  <c r="C11707" i="1"/>
  <c r="C11706" i="1"/>
  <c r="C11705" i="1"/>
  <c r="C11704" i="1"/>
  <c r="C11703" i="1"/>
  <c r="C11702" i="1"/>
  <c r="C11701" i="1"/>
  <c r="C11700" i="1"/>
  <c r="C11699" i="1"/>
  <c r="C11698" i="1"/>
  <c r="C11697" i="1"/>
  <c r="C11696" i="1"/>
  <c r="C11695" i="1"/>
  <c r="C11694" i="1"/>
  <c r="C11693" i="1"/>
  <c r="C11692" i="1"/>
  <c r="C11691" i="1"/>
  <c r="C11690" i="1"/>
  <c r="C11689" i="1"/>
  <c r="C11688" i="1"/>
  <c r="C11687" i="1"/>
  <c r="C11686" i="1"/>
  <c r="C11685" i="1"/>
  <c r="C11684" i="1"/>
  <c r="C11683" i="1"/>
  <c r="C11682" i="1"/>
  <c r="C11681" i="1"/>
  <c r="C11680" i="1"/>
  <c r="C11679" i="1"/>
  <c r="C11678" i="1"/>
  <c r="C11677" i="1"/>
  <c r="C11676" i="1"/>
  <c r="C11675" i="1"/>
  <c r="C11674" i="1"/>
  <c r="C11673" i="1"/>
  <c r="C11672" i="1"/>
  <c r="C11671" i="1"/>
  <c r="C11670" i="1"/>
  <c r="C11669" i="1"/>
  <c r="C11668" i="1"/>
  <c r="C11667" i="1"/>
  <c r="C11666" i="1"/>
  <c r="C11665" i="1"/>
  <c r="C11664" i="1"/>
  <c r="C11663" i="1"/>
  <c r="C11662" i="1"/>
  <c r="C11661" i="1"/>
  <c r="C11660" i="1"/>
  <c r="C11659" i="1"/>
  <c r="C11658" i="1"/>
  <c r="C11657" i="1"/>
  <c r="C11656" i="1"/>
  <c r="C11655" i="1"/>
  <c r="C11654" i="1"/>
  <c r="C11653" i="1"/>
  <c r="C11652" i="1"/>
  <c r="C11651" i="1"/>
  <c r="C11650" i="1"/>
  <c r="C11649" i="1"/>
  <c r="C11648" i="1"/>
  <c r="C11647" i="1"/>
  <c r="C11646" i="1"/>
  <c r="C11645" i="1"/>
  <c r="C11644" i="1"/>
  <c r="C11643" i="1"/>
  <c r="C11642" i="1"/>
  <c r="C11641" i="1"/>
  <c r="C11640" i="1"/>
  <c r="C11639" i="1"/>
  <c r="C11638" i="1"/>
  <c r="C11637" i="1"/>
  <c r="C11636" i="1"/>
  <c r="C11635" i="1"/>
  <c r="C11634" i="1"/>
  <c r="C11633" i="1"/>
  <c r="C11632" i="1"/>
  <c r="C11631" i="1"/>
  <c r="C11630" i="1"/>
  <c r="C11629" i="1"/>
  <c r="C11628" i="1"/>
  <c r="C11627" i="1"/>
  <c r="C11626" i="1"/>
  <c r="C11625" i="1"/>
  <c r="C11624" i="1"/>
  <c r="C11623" i="1"/>
  <c r="C11622" i="1"/>
  <c r="C11621" i="1"/>
  <c r="C11620" i="1"/>
  <c r="C11619" i="1"/>
  <c r="C11618" i="1"/>
  <c r="C11617" i="1"/>
  <c r="C11616" i="1"/>
  <c r="C11615" i="1"/>
  <c r="C11614" i="1"/>
  <c r="C11613" i="1"/>
  <c r="C11612" i="1"/>
  <c r="C11611" i="1"/>
  <c r="C11610" i="1"/>
  <c r="C11609" i="1"/>
  <c r="C11608" i="1"/>
  <c r="C11607" i="1"/>
  <c r="C11606" i="1"/>
  <c r="C11605" i="1"/>
  <c r="C11604" i="1"/>
  <c r="C11603" i="1"/>
  <c r="C11602" i="1"/>
  <c r="C11601" i="1"/>
  <c r="C11600" i="1"/>
  <c r="C11599" i="1"/>
  <c r="C11598" i="1"/>
  <c r="C11597" i="1"/>
  <c r="C11596" i="1"/>
  <c r="C11595" i="1"/>
  <c r="C11594" i="1"/>
  <c r="C11593" i="1"/>
  <c r="C11592" i="1"/>
  <c r="C11591" i="1"/>
  <c r="C11590" i="1"/>
  <c r="C11589" i="1"/>
  <c r="C11588" i="1"/>
  <c r="C11587" i="1"/>
  <c r="C11586" i="1"/>
  <c r="C11585" i="1"/>
  <c r="C11584" i="1"/>
  <c r="C11583" i="1"/>
  <c r="C11582" i="1"/>
  <c r="C11581" i="1"/>
  <c r="C11580" i="1"/>
  <c r="C11579" i="1"/>
  <c r="C11578" i="1"/>
  <c r="C11577" i="1"/>
  <c r="C11576" i="1"/>
  <c r="C11575" i="1"/>
  <c r="C11574" i="1"/>
  <c r="C11573" i="1"/>
  <c r="C11572" i="1"/>
  <c r="C11571" i="1"/>
  <c r="C11570" i="1"/>
  <c r="C11569" i="1"/>
  <c r="C11568" i="1"/>
  <c r="C11567" i="1"/>
  <c r="C11566" i="1"/>
  <c r="C11565" i="1"/>
  <c r="C11564" i="1"/>
  <c r="C11563" i="1"/>
  <c r="C11562" i="1"/>
  <c r="C11561" i="1"/>
  <c r="C11560" i="1"/>
  <c r="C11559" i="1"/>
  <c r="C11558" i="1"/>
  <c r="C11557" i="1"/>
  <c r="C11556" i="1"/>
  <c r="C11555" i="1"/>
  <c r="C11554" i="1"/>
  <c r="C11553" i="1"/>
  <c r="C11552" i="1"/>
  <c r="C11551" i="1"/>
  <c r="C11550" i="1"/>
  <c r="C11549" i="1"/>
  <c r="C11548" i="1"/>
  <c r="C11547" i="1"/>
  <c r="C11546" i="1"/>
  <c r="C11545" i="1"/>
  <c r="C11544" i="1"/>
  <c r="C11543" i="1"/>
  <c r="C11542" i="1"/>
  <c r="C11541" i="1"/>
  <c r="C11540" i="1"/>
  <c r="C11539" i="1"/>
  <c r="C11538" i="1"/>
  <c r="C11537" i="1"/>
  <c r="C11536" i="1"/>
  <c r="C11535" i="1"/>
  <c r="C11534" i="1"/>
  <c r="C11533" i="1"/>
  <c r="C11532" i="1"/>
  <c r="C11531" i="1"/>
  <c r="C11530" i="1"/>
  <c r="C11529" i="1"/>
  <c r="C11528" i="1"/>
  <c r="C11527" i="1"/>
  <c r="C11526" i="1"/>
  <c r="C11525" i="1"/>
  <c r="C11524" i="1"/>
  <c r="C11523" i="1"/>
  <c r="C11522" i="1"/>
  <c r="C11521" i="1"/>
  <c r="C11520" i="1"/>
  <c r="C11519" i="1"/>
  <c r="C11518" i="1"/>
  <c r="C11517" i="1"/>
  <c r="C11516" i="1"/>
  <c r="C11515" i="1"/>
  <c r="C11514" i="1"/>
  <c r="C11513" i="1"/>
  <c r="C11512" i="1"/>
  <c r="C11511" i="1"/>
  <c r="C11510" i="1"/>
  <c r="C11509" i="1"/>
  <c r="C11508" i="1"/>
  <c r="C11507" i="1"/>
  <c r="C11506" i="1"/>
  <c r="C11505" i="1"/>
  <c r="C11504" i="1"/>
  <c r="C11503" i="1"/>
  <c r="C11502" i="1"/>
  <c r="C11501" i="1"/>
  <c r="C11500" i="1"/>
  <c r="C11499" i="1"/>
  <c r="C11498" i="1"/>
  <c r="C11497" i="1"/>
  <c r="C11496" i="1"/>
  <c r="C11495" i="1"/>
  <c r="C11494" i="1"/>
  <c r="C11493" i="1"/>
  <c r="C11492" i="1"/>
  <c r="C11491" i="1"/>
  <c r="C11490" i="1"/>
  <c r="C11489" i="1"/>
  <c r="C11488" i="1"/>
  <c r="C11487" i="1"/>
  <c r="C11486" i="1"/>
  <c r="C11485" i="1"/>
  <c r="C11484" i="1"/>
  <c r="C11483" i="1"/>
  <c r="C11482" i="1"/>
  <c r="C11481" i="1"/>
  <c r="C11480" i="1"/>
  <c r="C11479" i="1"/>
  <c r="C11478" i="1"/>
  <c r="C11477" i="1"/>
  <c r="C11476" i="1"/>
  <c r="C11475" i="1"/>
  <c r="C11474" i="1"/>
  <c r="C11473" i="1"/>
  <c r="C11472" i="1"/>
  <c r="C11471" i="1"/>
  <c r="C11470" i="1"/>
  <c r="C11469" i="1"/>
  <c r="C11468" i="1"/>
  <c r="C11467" i="1"/>
  <c r="C11466" i="1"/>
  <c r="C11465" i="1"/>
  <c r="C11464" i="1"/>
  <c r="C11463" i="1"/>
  <c r="C11462" i="1"/>
  <c r="C11461" i="1"/>
  <c r="C11460" i="1"/>
  <c r="C11459" i="1"/>
  <c r="C11458" i="1"/>
  <c r="C11457" i="1"/>
  <c r="C11456" i="1"/>
  <c r="C11455" i="1"/>
  <c r="C11454" i="1"/>
  <c r="C11453" i="1"/>
  <c r="C11452" i="1"/>
  <c r="C11451" i="1"/>
  <c r="C11450" i="1"/>
  <c r="C11449" i="1"/>
  <c r="C11448" i="1"/>
  <c r="C11447" i="1"/>
  <c r="C11446" i="1"/>
  <c r="C11445" i="1"/>
  <c r="C11444" i="1"/>
  <c r="C11443" i="1"/>
  <c r="C11442" i="1"/>
  <c r="C11441" i="1"/>
  <c r="C11440" i="1"/>
  <c r="C11439" i="1"/>
  <c r="C11438" i="1"/>
  <c r="C11437" i="1"/>
  <c r="C11436" i="1"/>
  <c r="C11435" i="1"/>
  <c r="C11434" i="1"/>
  <c r="C11433" i="1"/>
  <c r="C11432" i="1"/>
  <c r="C11431" i="1"/>
  <c r="C11430" i="1"/>
  <c r="C11429" i="1"/>
  <c r="C11428" i="1"/>
  <c r="C11427" i="1"/>
  <c r="C11426" i="1"/>
  <c r="C11425" i="1"/>
  <c r="C11424" i="1"/>
  <c r="C11423" i="1"/>
  <c r="C11422" i="1"/>
  <c r="C11421" i="1"/>
  <c r="C11420" i="1"/>
  <c r="C11419" i="1"/>
  <c r="C11418" i="1"/>
  <c r="C11417" i="1"/>
  <c r="C11416" i="1"/>
  <c r="C11415" i="1"/>
  <c r="C11414" i="1"/>
  <c r="C11413" i="1"/>
  <c r="C11412" i="1"/>
  <c r="C11411" i="1"/>
  <c r="C11410" i="1"/>
  <c r="C11409" i="1"/>
  <c r="C11408" i="1"/>
  <c r="C11407" i="1"/>
  <c r="C11406" i="1"/>
  <c r="C11405" i="1"/>
  <c r="C11404" i="1"/>
  <c r="C11403" i="1"/>
  <c r="C11402" i="1"/>
  <c r="C11401" i="1"/>
  <c r="C11400" i="1"/>
  <c r="C11399" i="1"/>
  <c r="C11398" i="1"/>
  <c r="C11397" i="1"/>
  <c r="C11396" i="1"/>
  <c r="C11395" i="1"/>
  <c r="C11394" i="1"/>
  <c r="C11393" i="1"/>
  <c r="C11392" i="1"/>
  <c r="C11391" i="1"/>
  <c r="C11390" i="1"/>
  <c r="C11389" i="1"/>
  <c r="C11388" i="1"/>
  <c r="C11387" i="1"/>
  <c r="C11386" i="1"/>
  <c r="C11385" i="1"/>
  <c r="C11384" i="1"/>
  <c r="C11383" i="1"/>
  <c r="C11382" i="1"/>
  <c r="C11381" i="1"/>
  <c r="C11380" i="1"/>
  <c r="C11379" i="1"/>
  <c r="C11378" i="1"/>
  <c r="C11377" i="1"/>
  <c r="C11376" i="1"/>
  <c r="C11375" i="1"/>
  <c r="C11374" i="1"/>
  <c r="C11373" i="1"/>
  <c r="C11372" i="1"/>
  <c r="C11371" i="1"/>
  <c r="C11370" i="1"/>
  <c r="C11369" i="1"/>
  <c r="C11368" i="1"/>
  <c r="C11367" i="1"/>
  <c r="C11366" i="1"/>
  <c r="C11365" i="1"/>
  <c r="C11364" i="1"/>
  <c r="C11363" i="1"/>
  <c r="C11362" i="1"/>
  <c r="C11361" i="1"/>
  <c r="C11360" i="1"/>
  <c r="C11359" i="1"/>
  <c r="C11358" i="1"/>
  <c r="C11357" i="1"/>
  <c r="C11356" i="1"/>
  <c r="C11355" i="1"/>
  <c r="C11354" i="1"/>
  <c r="C11353" i="1"/>
  <c r="C11352" i="1"/>
  <c r="C11351" i="1"/>
  <c r="C11350" i="1"/>
  <c r="C11349" i="1"/>
  <c r="C11348" i="1"/>
  <c r="C11347" i="1"/>
  <c r="C11346" i="1"/>
  <c r="C11345" i="1"/>
  <c r="C11344" i="1"/>
  <c r="C11343" i="1"/>
  <c r="C11342" i="1"/>
  <c r="C11341" i="1"/>
  <c r="C11340" i="1"/>
  <c r="C11339" i="1"/>
  <c r="C11338" i="1"/>
  <c r="C11337" i="1"/>
  <c r="C11336" i="1"/>
  <c r="C11335" i="1"/>
  <c r="C11334" i="1"/>
  <c r="C11333" i="1"/>
  <c r="C11332" i="1"/>
  <c r="C11331" i="1"/>
  <c r="C11330" i="1"/>
  <c r="C11329" i="1"/>
  <c r="C11328" i="1"/>
  <c r="C11327" i="1"/>
  <c r="C11326" i="1"/>
  <c r="C11325" i="1"/>
  <c r="C11324" i="1"/>
  <c r="C11323" i="1"/>
  <c r="C11322" i="1"/>
  <c r="C11321" i="1"/>
  <c r="C11320" i="1"/>
  <c r="C11319" i="1"/>
  <c r="C11318" i="1"/>
  <c r="C11317" i="1"/>
  <c r="C11316" i="1"/>
  <c r="C11315" i="1"/>
  <c r="C11314" i="1"/>
  <c r="C11313" i="1"/>
  <c r="C11312" i="1"/>
  <c r="C11311" i="1"/>
  <c r="C11310" i="1"/>
  <c r="C11309" i="1"/>
  <c r="C11308" i="1"/>
  <c r="C11307" i="1"/>
  <c r="C11306" i="1"/>
  <c r="C11305" i="1"/>
  <c r="C11304" i="1"/>
  <c r="C11303" i="1"/>
  <c r="C11302" i="1"/>
  <c r="C11301" i="1"/>
  <c r="C11300" i="1"/>
  <c r="C11299" i="1"/>
  <c r="C11298" i="1"/>
  <c r="C11297" i="1"/>
  <c r="C11296" i="1"/>
  <c r="C11295" i="1"/>
  <c r="C11294" i="1"/>
  <c r="C11293" i="1"/>
  <c r="C11292" i="1"/>
  <c r="C11291" i="1"/>
  <c r="C11290" i="1"/>
  <c r="C11289" i="1"/>
  <c r="C11288" i="1"/>
  <c r="C11287" i="1"/>
  <c r="C11286" i="1"/>
  <c r="C11285" i="1"/>
  <c r="C11284" i="1"/>
  <c r="C11283" i="1"/>
  <c r="C11282" i="1"/>
  <c r="C11281" i="1"/>
  <c r="C11280" i="1"/>
  <c r="C11279" i="1"/>
  <c r="C11278" i="1"/>
  <c r="C11277" i="1"/>
  <c r="C11276" i="1"/>
  <c r="C11275" i="1"/>
  <c r="C11274" i="1"/>
  <c r="C11273" i="1"/>
  <c r="C11272" i="1"/>
  <c r="C11271" i="1"/>
  <c r="C11270" i="1"/>
  <c r="C11269" i="1"/>
  <c r="C11268" i="1"/>
  <c r="C11267" i="1"/>
  <c r="C11266" i="1"/>
  <c r="C11265" i="1"/>
  <c r="C11264" i="1"/>
  <c r="C11263" i="1"/>
  <c r="C11262" i="1"/>
  <c r="C11261" i="1"/>
  <c r="C11260" i="1"/>
  <c r="C11259" i="1"/>
  <c r="C11258" i="1"/>
  <c r="C11257" i="1"/>
  <c r="C11256" i="1"/>
  <c r="C11255" i="1"/>
  <c r="C11254" i="1"/>
  <c r="C11253" i="1"/>
  <c r="C11252" i="1"/>
  <c r="C11251" i="1"/>
  <c r="C11250" i="1"/>
  <c r="C11249" i="1"/>
  <c r="C11248" i="1"/>
  <c r="C11247" i="1"/>
  <c r="C11246" i="1"/>
  <c r="C11245" i="1"/>
  <c r="C11244" i="1"/>
  <c r="C11243" i="1"/>
  <c r="C11242" i="1"/>
  <c r="C11241" i="1"/>
  <c r="C11240" i="1"/>
  <c r="C11239" i="1"/>
  <c r="C11238" i="1"/>
  <c r="C11237" i="1"/>
  <c r="C11236" i="1"/>
  <c r="C11235" i="1"/>
  <c r="C11234" i="1"/>
  <c r="C11233" i="1"/>
  <c r="C11232" i="1"/>
  <c r="C11231" i="1"/>
  <c r="C11230" i="1"/>
  <c r="C11229" i="1"/>
  <c r="C11228" i="1"/>
  <c r="C11227" i="1"/>
  <c r="C11226" i="1"/>
  <c r="C11225" i="1"/>
  <c r="C11224" i="1"/>
  <c r="C11223" i="1"/>
  <c r="C11222" i="1"/>
  <c r="C11221" i="1"/>
  <c r="C11220" i="1"/>
  <c r="C11219" i="1"/>
  <c r="C11218" i="1"/>
  <c r="C11217" i="1"/>
  <c r="C11216" i="1"/>
  <c r="C11215" i="1"/>
  <c r="C11214" i="1"/>
  <c r="C11213" i="1"/>
  <c r="C11212" i="1"/>
  <c r="C11211" i="1"/>
  <c r="C11210" i="1"/>
  <c r="C11209" i="1"/>
  <c r="C11208" i="1"/>
  <c r="C11207" i="1"/>
  <c r="C11206" i="1"/>
  <c r="C11205" i="1"/>
  <c r="C11204" i="1"/>
  <c r="C11203" i="1"/>
  <c r="C11202" i="1"/>
  <c r="C11201" i="1"/>
  <c r="C11200" i="1"/>
  <c r="C11199" i="1"/>
  <c r="C11198" i="1"/>
  <c r="C11197" i="1"/>
  <c r="C11196" i="1"/>
  <c r="C11195" i="1"/>
  <c r="C11194" i="1"/>
  <c r="C11193" i="1"/>
  <c r="C11192" i="1"/>
  <c r="C11191" i="1"/>
  <c r="C11190" i="1"/>
  <c r="C11189" i="1"/>
  <c r="C11188" i="1"/>
  <c r="C11187" i="1"/>
  <c r="C11186" i="1"/>
  <c r="C11185" i="1"/>
  <c r="C11184" i="1"/>
  <c r="C11183" i="1"/>
  <c r="C11182" i="1"/>
  <c r="C11181" i="1"/>
  <c r="C11180" i="1"/>
  <c r="C11179" i="1"/>
  <c r="C11178" i="1"/>
  <c r="C11177" i="1"/>
  <c r="C11176" i="1"/>
  <c r="C11175" i="1"/>
  <c r="C11174" i="1"/>
  <c r="C11173" i="1"/>
  <c r="C11172" i="1"/>
  <c r="C11171" i="1"/>
  <c r="C11170" i="1"/>
  <c r="C11169" i="1"/>
  <c r="C11168" i="1"/>
  <c r="C11167" i="1"/>
  <c r="C11166" i="1"/>
  <c r="C11165" i="1"/>
  <c r="C11164" i="1"/>
  <c r="C11163" i="1"/>
  <c r="C11162" i="1"/>
  <c r="C11161" i="1"/>
  <c r="C11160" i="1"/>
  <c r="C11159" i="1"/>
  <c r="C11158" i="1"/>
  <c r="C11157" i="1"/>
  <c r="C11156" i="1"/>
  <c r="C11155" i="1"/>
  <c r="C11154" i="1"/>
  <c r="C11153" i="1"/>
  <c r="C11152" i="1"/>
  <c r="C11151" i="1"/>
  <c r="C11150" i="1"/>
  <c r="C11149" i="1"/>
  <c r="C11148" i="1"/>
  <c r="C11147" i="1"/>
  <c r="C11146" i="1"/>
  <c r="C11145" i="1"/>
  <c r="C11144" i="1"/>
  <c r="C11143" i="1"/>
  <c r="C11142" i="1"/>
  <c r="C11141" i="1"/>
  <c r="C11140" i="1"/>
  <c r="C11139" i="1"/>
  <c r="C11138" i="1"/>
  <c r="C11137" i="1"/>
  <c r="C11136" i="1"/>
  <c r="C11135" i="1"/>
  <c r="C11134" i="1"/>
  <c r="C11133" i="1"/>
  <c r="C11132" i="1"/>
  <c r="C11131" i="1"/>
  <c r="C11130" i="1"/>
  <c r="C11129" i="1"/>
  <c r="C11128" i="1"/>
  <c r="C11127" i="1"/>
  <c r="C11126" i="1"/>
  <c r="C11125" i="1"/>
  <c r="C11124" i="1"/>
  <c r="C11123" i="1"/>
  <c r="C11122" i="1"/>
  <c r="C11121" i="1"/>
  <c r="C11120" i="1"/>
  <c r="C11119" i="1"/>
  <c r="C11118" i="1"/>
  <c r="C11117" i="1"/>
  <c r="C11116" i="1"/>
  <c r="C11115" i="1"/>
  <c r="C11114" i="1"/>
  <c r="C11113" i="1"/>
  <c r="C11112" i="1"/>
  <c r="C11111" i="1"/>
  <c r="C11110" i="1"/>
  <c r="C11109" i="1"/>
  <c r="C11108" i="1"/>
  <c r="C11107" i="1"/>
  <c r="C11106" i="1"/>
  <c r="C11105" i="1"/>
  <c r="C11104" i="1"/>
  <c r="C11103" i="1"/>
  <c r="C11102" i="1"/>
  <c r="C11101" i="1"/>
  <c r="C11100" i="1"/>
  <c r="C11099" i="1"/>
  <c r="C11098" i="1"/>
  <c r="C11097" i="1"/>
  <c r="C11096" i="1"/>
  <c r="C11095" i="1"/>
  <c r="C11094" i="1"/>
  <c r="C11093" i="1"/>
  <c r="C11092" i="1"/>
  <c r="C11091" i="1"/>
  <c r="C11090" i="1"/>
  <c r="C11089" i="1"/>
  <c r="C11088" i="1"/>
  <c r="C11087" i="1"/>
  <c r="C11086" i="1"/>
  <c r="C11085" i="1"/>
  <c r="C11084" i="1"/>
  <c r="C11083" i="1"/>
  <c r="C11082" i="1"/>
  <c r="C11081" i="1"/>
  <c r="C11080" i="1"/>
  <c r="C11079" i="1"/>
  <c r="C11078" i="1"/>
  <c r="C11077" i="1"/>
  <c r="C11076" i="1"/>
  <c r="C11075" i="1"/>
  <c r="C11074" i="1"/>
  <c r="C11073" i="1"/>
  <c r="C11072" i="1"/>
  <c r="C11071" i="1"/>
  <c r="C11070" i="1"/>
  <c r="C11069" i="1"/>
  <c r="C11068" i="1"/>
  <c r="C11067" i="1"/>
  <c r="C11066" i="1"/>
  <c r="C11065" i="1"/>
  <c r="C11064" i="1"/>
  <c r="C11063" i="1"/>
  <c r="C11062" i="1"/>
  <c r="C11061" i="1"/>
  <c r="C11060" i="1"/>
  <c r="C11059" i="1"/>
  <c r="C11058" i="1"/>
  <c r="C11057" i="1"/>
  <c r="C11056" i="1"/>
  <c r="C11055" i="1"/>
  <c r="C11054" i="1"/>
  <c r="C11053" i="1"/>
  <c r="C11052" i="1"/>
  <c r="C11051" i="1"/>
  <c r="C11050" i="1"/>
  <c r="C11049" i="1"/>
  <c r="C11048" i="1"/>
  <c r="C11047" i="1"/>
  <c r="C11046" i="1"/>
  <c r="C11045" i="1"/>
  <c r="C11044" i="1"/>
  <c r="C11043" i="1"/>
  <c r="C11042" i="1"/>
  <c r="C11041" i="1"/>
  <c r="C11040" i="1"/>
  <c r="C11039" i="1"/>
  <c r="C11038" i="1"/>
  <c r="C11037" i="1"/>
  <c r="C11036" i="1"/>
  <c r="C11035" i="1"/>
  <c r="C11034" i="1"/>
  <c r="C11033" i="1"/>
  <c r="C11032" i="1"/>
  <c r="C11031" i="1"/>
  <c r="C11030" i="1"/>
  <c r="C11029" i="1"/>
  <c r="C11028" i="1"/>
  <c r="C11027" i="1"/>
  <c r="C11026" i="1"/>
  <c r="C11025" i="1"/>
  <c r="C11024" i="1"/>
  <c r="C11023" i="1"/>
  <c r="C11022" i="1"/>
  <c r="C11021" i="1"/>
  <c r="C11020" i="1"/>
  <c r="C11019" i="1"/>
  <c r="C11018" i="1"/>
  <c r="C11017" i="1"/>
  <c r="C11016" i="1"/>
  <c r="C11015" i="1"/>
  <c r="C11014" i="1"/>
  <c r="C11013" i="1"/>
  <c r="C11012" i="1"/>
  <c r="C11011" i="1"/>
  <c r="C11010" i="1"/>
  <c r="C11009" i="1"/>
  <c r="C11008" i="1"/>
  <c r="C11007" i="1"/>
  <c r="C11006" i="1"/>
  <c r="C11005" i="1"/>
  <c r="C11004" i="1"/>
  <c r="C11003" i="1"/>
  <c r="C11002" i="1"/>
  <c r="C11001" i="1"/>
  <c r="C11000" i="1"/>
  <c r="C10999" i="1"/>
  <c r="C10998" i="1"/>
  <c r="C10997" i="1"/>
  <c r="C10996" i="1"/>
  <c r="C10995" i="1"/>
  <c r="C10994" i="1"/>
  <c r="C10993" i="1"/>
  <c r="C10992" i="1"/>
  <c r="C10991" i="1"/>
  <c r="C10990" i="1"/>
  <c r="C10989" i="1"/>
  <c r="C10988" i="1"/>
  <c r="C10987" i="1"/>
  <c r="C10986" i="1"/>
  <c r="C10985" i="1"/>
  <c r="C10984" i="1"/>
  <c r="C10983" i="1"/>
  <c r="C10982" i="1"/>
  <c r="C10981" i="1"/>
  <c r="C10980" i="1"/>
  <c r="C10979" i="1"/>
  <c r="C10978" i="1"/>
  <c r="C10977" i="1"/>
  <c r="C10976" i="1"/>
  <c r="C10975" i="1"/>
  <c r="C10974" i="1"/>
  <c r="C10973" i="1"/>
  <c r="C10972" i="1"/>
  <c r="C10971" i="1"/>
  <c r="C10970" i="1"/>
  <c r="C10969" i="1"/>
  <c r="C10968" i="1"/>
  <c r="C10967" i="1"/>
  <c r="C10966" i="1"/>
  <c r="C10965" i="1"/>
  <c r="C10964" i="1"/>
  <c r="C10963" i="1"/>
  <c r="C10962" i="1"/>
  <c r="C10961" i="1"/>
  <c r="C10960" i="1"/>
  <c r="C10959" i="1"/>
  <c r="C10958" i="1"/>
  <c r="C10957" i="1"/>
  <c r="C10956" i="1"/>
  <c r="C10955" i="1"/>
  <c r="C10954" i="1"/>
  <c r="C10953" i="1"/>
  <c r="C10952" i="1"/>
  <c r="C10951" i="1"/>
  <c r="C10950" i="1"/>
  <c r="C10949" i="1"/>
  <c r="C10948" i="1"/>
  <c r="C10947" i="1"/>
  <c r="C10946" i="1"/>
  <c r="C10945" i="1"/>
  <c r="C10944" i="1"/>
  <c r="C10943" i="1"/>
  <c r="C10942" i="1"/>
  <c r="C10941" i="1"/>
  <c r="C10940" i="1"/>
  <c r="C10939" i="1"/>
  <c r="C10938" i="1"/>
  <c r="C10937" i="1"/>
  <c r="C10936" i="1"/>
  <c r="C10935" i="1"/>
  <c r="C10934" i="1"/>
  <c r="C10933" i="1"/>
  <c r="C10932" i="1"/>
  <c r="C10931" i="1"/>
  <c r="C10930" i="1"/>
  <c r="C10929" i="1"/>
  <c r="C10928" i="1"/>
  <c r="C10927" i="1"/>
  <c r="C10926" i="1"/>
  <c r="C10925" i="1"/>
  <c r="C10924" i="1"/>
  <c r="C10923" i="1"/>
  <c r="C10922" i="1"/>
  <c r="C10921" i="1"/>
  <c r="C10920" i="1"/>
  <c r="C10919" i="1"/>
  <c r="C10918" i="1"/>
  <c r="C10917" i="1"/>
  <c r="C10916" i="1"/>
  <c r="C10915" i="1"/>
  <c r="C10914" i="1"/>
  <c r="C10913" i="1"/>
  <c r="C10912" i="1"/>
  <c r="C10911" i="1"/>
  <c r="C10910" i="1"/>
  <c r="C10909" i="1"/>
  <c r="C10908" i="1"/>
  <c r="C10907" i="1"/>
  <c r="C10906" i="1"/>
  <c r="C10905" i="1"/>
  <c r="C10904" i="1"/>
  <c r="C10903" i="1"/>
  <c r="C10902" i="1"/>
  <c r="C10901" i="1"/>
  <c r="C10900" i="1"/>
  <c r="C10899" i="1"/>
  <c r="C10898" i="1"/>
  <c r="C10897" i="1"/>
  <c r="C10896" i="1"/>
  <c r="C10895" i="1"/>
  <c r="C10894" i="1"/>
  <c r="C10893" i="1"/>
  <c r="C10892" i="1"/>
  <c r="C10891" i="1"/>
  <c r="C10890" i="1"/>
  <c r="C10889" i="1"/>
  <c r="C10888" i="1"/>
  <c r="C10887" i="1"/>
  <c r="C10886" i="1"/>
  <c r="C10885" i="1"/>
  <c r="C10884" i="1"/>
  <c r="C10883" i="1"/>
  <c r="C10882" i="1"/>
  <c r="C10881" i="1"/>
  <c r="C10880" i="1"/>
  <c r="C10879" i="1"/>
  <c r="C10878" i="1"/>
  <c r="C10877" i="1"/>
  <c r="C10876" i="1"/>
  <c r="C10875" i="1"/>
  <c r="C10874" i="1"/>
  <c r="C10873" i="1"/>
  <c r="C10872" i="1"/>
  <c r="C10871" i="1"/>
  <c r="C10870" i="1"/>
  <c r="C10869" i="1"/>
  <c r="C10868" i="1"/>
  <c r="C10867" i="1"/>
  <c r="C10866" i="1"/>
  <c r="C10865" i="1"/>
  <c r="C10864" i="1"/>
  <c r="C10863" i="1"/>
  <c r="C10862" i="1"/>
  <c r="C10861" i="1"/>
  <c r="C10860" i="1"/>
  <c r="C10859" i="1"/>
  <c r="C10858" i="1"/>
  <c r="C10857" i="1"/>
  <c r="C10856" i="1"/>
  <c r="C10855" i="1"/>
  <c r="C10854" i="1"/>
  <c r="C10853" i="1"/>
  <c r="C10852" i="1"/>
  <c r="C10851" i="1"/>
  <c r="C10850" i="1"/>
  <c r="C10849" i="1"/>
  <c r="C10848" i="1"/>
  <c r="C10847" i="1"/>
  <c r="C10846" i="1"/>
  <c r="C10845" i="1"/>
  <c r="C10844" i="1"/>
  <c r="C10843" i="1"/>
  <c r="C10842" i="1"/>
  <c r="C10841" i="1"/>
  <c r="C10840" i="1"/>
  <c r="C10839" i="1"/>
  <c r="C10838" i="1"/>
  <c r="C10837" i="1"/>
  <c r="C10836" i="1"/>
  <c r="C10835" i="1"/>
  <c r="C10834" i="1"/>
  <c r="C10833" i="1"/>
  <c r="C10832" i="1"/>
  <c r="C10831" i="1"/>
  <c r="C10830" i="1"/>
  <c r="C10829" i="1"/>
  <c r="C10828" i="1"/>
  <c r="C10827" i="1"/>
  <c r="C10826" i="1"/>
  <c r="C10825" i="1"/>
  <c r="C10824" i="1"/>
  <c r="C10823" i="1"/>
  <c r="C10822" i="1"/>
  <c r="C10821" i="1"/>
  <c r="C10820" i="1"/>
  <c r="C10819" i="1"/>
  <c r="C10818" i="1"/>
  <c r="C10817" i="1"/>
  <c r="C10816" i="1"/>
  <c r="C10815" i="1"/>
  <c r="C10814" i="1"/>
  <c r="C10813" i="1"/>
  <c r="C10812" i="1"/>
  <c r="C10811" i="1"/>
  <c r="C10810" i="1"/>
  <c r="C10809" i="1"/>
  <c r="C10808" i="1"/>
  <c r="C10807" i="1"/>
  <c r="C10806" i="1"/>
  <c r="C10805" i="1"/>
  <c r="C10804" i="1"/>
  <c r="C10803" i="1"/>
  <c r="C10802" i="1"/>
  <c r="C10801" i="1"/>
  <c r="C10800" i="1"/>
  <c r="C10799" i="1"/>
  <c r="C10798" i="1"/>
  <c r="C10797" i="1"/>
  <c r="C10796" i="1"/>
  <c r="C10795" i="1"/>
  <c r="C10794" i="1"/>
  <c r="C10793" i="1"/>
  <c r="C10792" i="1"/>
  <c r="C10791" i="1"/>
  <c r="C10790" i="1"/>
  <c r="C10789" i="1"/>
  <c r="C10788" i="1"/>
  <c r="C10787" i="1"/>
  <c r="C10786" i="1"/>
  <c r="C10785" i="1"/>
  <c r="C10784" i="1"/>
  <c r="C10783" i="1"/>
  <c r="C10782" i="1"/>
  <c r="C10781" i="1"/>
  <c r="C10780" i="1"/>
  <c r="C10779" i="1"/>
  <c r="C10778" i="1"/>
  <c r="C10777" i="1"/>
  <c r="C10776" i="1"/>
  <c r="C10775" i="1"/>
  <c r="C10774" i="1"/>
  <c r="C10773" i="1"/>
  <c r="C10772" i="1"/>
  <c r="C10771" i="1"/>
  <c r="C10770" i="1"/>
  <c r="C10769" i="1"/>
  <c r="C10768" i="1"/>
  <c r="C10767" i="1"/>
  <c r="C10766" i="1"/>
  <c r="C10765" i="1"/>
  <c r="C10764" i="1"/>
  <c r="C10763" i="1"/>
  <c r="C10762" i="1"/>
  <c r="C10761" i="1"/>
  <c r="C10760" i="1"/>
  <c r="C10759" i="1"/>
  <c r="C10758" i="1"/>
  <c r="C10757" i="1"/>
  <c r="C10756" i="1"/>
  <c r="C10755" i="1"/>
  <c r="C10754" i="1"/>
  <c r="C10753" i="1"/>
  <c r="C10752" i="1"/>
  <c r="C10751" i="1"/>
  <c r="C10750" i="1"/>
  <c r="C10749" i="1"/>
  <c r="C10748" i="1"/>
  <c r="C10747" i="1"/>
  <c r="C10746" i="1"/>
  <c r="C10745" i="1"/>
  <c r="C10744" i="1"/>
  <c r="C10743" i="1"/>
  <c r="C10742" i="1"/>
  <c r="C10741" i="1"/>
  <c r="C10740" i="1"/>
  <c r="C10739" i="1"/>
  <c r="C10738" i="1"/>
  <c r="C10737" i="1"/>
  <c r="C10736" i="1"/>
  <c r="C10735" i="1"/>
  <c r="C10734" i="1"/>
  <c r="C10733" i="1"/>
  <c r="C10732" i="1"/>
  <c r="C10731" i="1"/>
  <c r="C10730" i="1"/>
  <c r="C10729" i="1"/>
  <c r="C10728" i="1"/>
  <c r="C10727" i="1"/>
  <c r="C10726" i="1"/>
  <c r="C10725" i="1"/>
  <c r="C10724" i="1"/>
  <c r="C10723" i="1"/>
  <c r="C10722" i="1"/>
  <c r="C10721" i="1"/>
  <c r="C10720" i="1"/>
  <c r="C10719" i="1"/>
  <c r="C10718" i="1"/>
  <c r="C10717" i="1"/>
  <c r="C10716" i="1"/>
  <c r="C10715" i="1"/>
  <c r="C10714" i="1"/>
  <c r="C10713" i="1"/>
  <c r="C10712" i="1"/>
  <c r="C10711" i="1"/>
  <c r="C10710" i="1"/>
  <c r="C10709" i="1"/>
  <c r="C10708" i="1"/>
  <c r="C10707" i="1"/>
  <c r="C10706" i="1"/>
  <c r="C10705" i="1"/>
  <c r="C10704" i="1"/>
  <c r="C10703" i="1"/>
  <c r="C10702" i="1"/>
  <c r="C10701" i="1"/>
  <c r="C10700" i="1"/>
  <c r="C10699" i="1"/>
  <c r="C10698" i="1"/>
  <c r="C10697" i="1"/>
  <c r="C10696" i="1"/>
  <c r="C10695" i="1"/>
  <c r="C10694" i="1"/>
  <c r="C10693" i="1"/>
  <c r="C10692" i="1"/>
  <c r="C10691" i="1"/>
  <c r="C10690" i="1"/>
  <c r="C10689" i="1"/>
  <c r="C10688" i="1"/>
  <c r="C10687" i="1"/>
  <c r="C10686" i="1"/>
  <c r="C10685" i="1"/>
  <c r="C10684" i="1"/>
  <c r="C10683" i="1"/>
  <c r="C10682" i="1"/>
  <c r="C10681" i="1"/>
  <c r="C10680" i="1"/>
  <c r="C10679" i="1"/>
  <c r="C10678" i="1"/>
  <c r="C10677" i="1"/>
  <c r="C10676" i="1"/>
  <c r="C10675" i="1"/>
  <c r="C10674" i="1"/>
  <c r="C10673" i="1"/>
  <c r="C10672" i="1"/>
  <c r="C10671" i="1"/>
  <c r="C10670" i="1"/>
  <c r="C10669" i="1"/>
  <c r="C10668" i="1"/>
  <c r="C10667" i="1"/>
  <c r="C10666" i="1"/>
  <c r="C10665" i="1"/>
  <c r="C10664" i="1"/>
  <c r="C10663" i="1"/>
  <c r="C10662" i="1"/>
  <c r="C10661" i="1"/>
  <c r="C10660" i="1"/>
  <c r="C10659" i="1"/>
  <c r="C10658" i="1"/>
  <c r="C10657" i="1"/>
  <c r="C10656" i="1"/>
  <c r="C10655" i="1"/>
  <c r="C10654" i="1"/>
  <c r="C10653" i="1"/>
  <c r="C10652" i="1"/>
  <c r="C10651" i="1"/>
  <c r="C10650" i="1"/>
  <c r="C10649" i="1"/>
  <c r="C10648" i="1"/>
  <c r="C10647" i="1"/>
  <c r="C10646" i="1"/>
  <c r="C10645" i="1"/>
  <c r="C10644" i="1"/>
  <c r="C10643" i="1"/>
  <c r="C10642" i="1"/>
  <c r="C10641" i="1"/>
  <c r="C10640" i="1"/>
  <c r="C10639" i="1"/>
  <c r="C10638" i="1"/>
  <c r="C10637" i="1"/>
  <c r="C10636" i="1"/>
  <c r="C10635" i="1"/>
  <c r="C10634" i="1"/>
  <c r="C10633" i="1"/>
  <c r="C10632" i="1"/>
  <c r="C10631" i="1"/>
  <c r="C10630" i="1"/>
  <c r="C10629" i="1"/>
  <c r="C10628" i="1"/>
  <c r="C10627" i="1"/>
  <c r="C10626" i="1"/>
  <c r="C10625" i="1"/>
  <c r="C10624" i="1"/>
  <c r="C10623" i="1"/>
  <c r="C10622" i="1"/>
  <c r="C10621" i="1"/>
  <c r="C10620" i="1"/>
  <c r="C10619" i="1"/>
  <c r="C10618" i="1"/>
  <c r="C10617" i="1"/>
  <c r="C10616" i="1"/>
  <c r="C10615" i="1"/>
  <c r="C10614" i="1"/>
  <c r="C10613" i="1"/>
  <c r="C10612" i="1"/>
  <c r="C10611" i="1"/>
  <c r="C10610" i="1"/>
  <c r="C10609" i="1"/>
  <c r="C10608" i="1"/>
  <c r="C10607" i="1"/>
  <c r="C10606" i="1"/>
  <c r="C10605" i="1"/>
  <c r="C10604" i="1"/>
  <c r="C10603" i="1"/>
  <c r="C10602" i="1"/>
  <c r="C10601" i="1"/>
  <c r="C10600" i="1"/>
  <c r="C10599" i="1"/>
  <c r="C10598" i="1"/>
  <c r="C10597" i="1"/>
  <c r="C10596" i="1"/>
  <c r="C10595" i="1"/>
  <c r="C10594" i="1"/>
  <c r="C10593" i="1"/>
  <c r="C10592" i="1"/>
  <c r="C10591" i="1"/>
  <c r="C10590" i="1"/>
  <c r="C10589" i="1"/>
  <c r="C10588" i="1"/>
  <c r="C10587" i="1"/>
  <c r="C10586" i="1"/>
  <c r="C10585" i="1"/>
  <c r="C10584" i="1"/>
  <c r="C10583" i="1"/>
  <c r="C10582" i="1"/>
  <c r="C10581" i="1"/>
  <c r="C10580" i="1"/>
  <c r="C10579" i="1"/>
  <c r="C10578" i="1"/>
  <c r="C10577" i="1"/>
  <c r="C10576" i="1"/>
  <c r="C10575" i="1"/>
  <c r="C10574" i="1"/>
  <c r="C10573" i="1"/>
  <c r="C10572" i="1"/>
  <c r="C10571" i="1"/>
  <c r="C10570" i="1"/>
  <c r="C10569" i="1"/>
  <c r="C10568" i="1"/>
  <c r="C10567" i="1"/>
  <c r="C10566" i="1"/>
  <c r="C10565" i="1"/>
  <c r="C10564" i="1"/>
  <c r="C10563" i="1"/>
  <c r="C10562" i="1"/>
  <c r="C10561" i="1"/>
  <c r="C10560" i="1"/>
  <c r="C10559" i="1"/>
  <c r="C10558" i="1"/>
  <c r="C10557" i="1"/>
  <c r="C10556" i="1"/>
  <c r="C10555" i="1"/>
  <c r="C10554" i="1"/>
  <c r="C10553" i="1"/>
  <c r="C10552" i="1"/>
  <c r="C10551" i="1"/>
  <c r="C10550" i="1"/>
  <c r="C10549" i="1"/>
  <c r="C10548" i="1"/>
  <c r="C10547" i="1"/>
  <c r="C10546" i="1"/>
  <c r="C10545" i="1"/>
  <c r="C10544" i="1"/>
  <c r="C10543" i="1"/>
  <c r="C10542" i="1"/>
  <c r="C10541" i="1"/>
  <c r="C10540" i="1"/>
  <c r="C10539" i="1"/>
  <c r="C10538" i="1"/>
  <c r="C10537" i="1"/>
  <c r="C10536" i="1"/>
  <c r="C10535" i="1"/>
  <c r="C10534" i="1"/>
  <c r="C10533" i="1"/>
  <c r="C10532" i="1"/>
  <c r="C10531" i="1"/>
  <c r="C10530" i="1"/>
  <c r="C10529" i="1"/>
  <c r="C10528" i="1"/>
  <c r="C10527" i="1"/>
  <c r="C10526" i="1"/>
  <c r="C10525" i="1"/>
  <c r="C10524" i="1"/>
  <c r="C10523" i="1"/>
  <c r="C10522" i="1"/>
  <c r="C10521" i="1"/>
  <c r="C10520" i="1"/>
  <c r="C10519" i="1"/>
  <c r="C10518" i="1"/>
  <c r="C10517" i="1"/>
  <c r="C10516" i="1"/>
  <c r="C10515" i="1"/>
  <c r="C10514" i="1"/>
  <c r="C10513" i="1"/>
  <c r="C10512" i="1"/>
  <c r="C10511" i="1"/>
  <c r="C10510" i="1"/>
  <c r="C10509" i="1"/>
  <c r="C10508" i="1"/>
  <c r="C10507" i="1"/>
  <c r="C10506" i="1"/>
  <c r="C10505" i="1"/>
  <c r="C10504" i="1"/>
  <c r="C10503" i="1"/>
  <c r="C10502" i="1"/>
  <c r="C10501" i="1"/>
  <c r="C10500" i="1"/>
  <c r="C10499" i="1"/>
  <c r="C10498" i="1"/>
  <c r="C10497" i="1"/>
  <c r="C10496" i="1"/>
  <c r="C10495" i="1"/>
  <c r="C10494" i="1"/>
  <c r="C10493" i="1"/>
  <c r="C10492" i="1"/>
  <c r="C10491" i="1"/>
  <c r="C10490" i="1"/>
  <c r="C10489" i="1"/>
  <c r="C10488" i="1"/>
  <c r="C10487" i="1"/>
  <c r="C10486" i="1"/>
  <c r="C10485" i="1"/>
  <c r="C10484" i="1"/>
  <c r="C10483" i="1"/>
  <c r="C10482" i="1"/>
  <c r="C10481" i="1"/>
  <c r="C10480" i="1"/>
  <c r="C10479" i="1"/>
  <c r="C10478" i="1"/>
  <c r="C10477" i="1"/>
  <c r="C10476" i="1"/>
  <c r="C10475" i="1"/>
  <c r="C10474" i="1"/>
  <c r="C10473" i="1"/>
  <c r="C10472" i="1"/>
  <c r="C10471" i="1"/>
  <c r="C10470" i="1"/>
  <c r="C10469" i="1"/>
  <c r="C10468" i="1"/>
  <c r="C10467" i="1"/>
  <c r="C10466" i="1"/>
  <c r="C10465" i="1"/>
  <c r="C10464" i="1"/>
  <c r="C10463" i="1"/>
  <c r="C10462" i="1"/>
  <c r="C10461" i="1"/>
  <c r="C10460" i="1"/>
  <c r="C10459" i="1"/>
  <c r="C10458" i="1"/>
  <c r="C10457" i="1"/>
  <c r="C10456" i="1"/>
  <c r="C10455" i="1"/>
  <c r="C10454" i="1"/>
  <c r="C10453" i="1"/>
  <c r="C10452" i="1"/>
  <c r="C10451" i="1"/>
  <c r="C10450" i="1"/>
  <c r="C10449" i="1"/>
  <c r="C10448" i="1"/>
  <c r="C10447" i="1"/>
  <c r="C10446" i="1"/>
  <c r="C10445" i="1"/>
  <c r="C10444" i="1"/>
  <c r="C10443" i="1"/>
  <c r="C10442" i="1"/>
  <c r="C10441" i="1"/>
  <c r="C10440" i="1"/>
  <c r="C10439" i="1"/>
  <c r="C10438" i="1"/>
  <c r="C10437" i="1"/>
  <c r="C10436" i="1"/>
  <c r="C10435" i="1"/>
  <c r="C10434" i="1"/>
  <c r="C10433" i="1"/>
  <c r="C10432" i="1"/>
  <c r="C10431" i="1"/>
  <c r="C10430" i="1"/>
  <c r="C10429" i="1"/>
  <c r="C10428" i="1"/>
  <c r="C10427" i="1"/>
  <c r="C10426" i="1"/>
  <c r="C10425" i="1"/>
  <c r="C10424" i="1"/>
  <c r="C10423" i="1"/>
  <c r="C10422" i="1"/>
  <c r="C10421" i="1"/>
  <c r="C10420" i="1"/>
  <c r="C10419" i="1"/>
  <c r="C10418" i="1"/>
  <c r="C10417" i="1"/>
  <c r="C10416" i="1"/>
  <c r="C10415" i="1"/>
  <c r="C10414" i="1"/>
  <c r="C10413" i="1"/>
  <c r="C10412" i="1"/>
  <c r="C10411" i="1"/>
  <c r="C10410" i="1"/>
  <c r="C10409" i="1"/>
  <c r="C10408" i="1"/>
  <c r="C10407" i="1"/>
  <c r="C10406" i="1"/>
  <c r="C10405" i="1"/>
  <c r="C10404" i="1"/>
  <c r="C10403" i="1"/>
  <c r="C10402" i="1"/>
  <c r="C10401" i="1"/>
  <c r="C10400" i="1"/>
  <c r="C10399" i="1"/>
  <c r="C10398" i="1"/>
  <c r="C10397" i="1"/>
  <c r="C10396" i="1"/>
  <c r="C10395" i="1"/>
  <c r="C10394" i="1"/>
  <c r="C10393" i="1"/>
  <c r="C10392" i="1"/>
  <c r="C10391" i="1"/>
  <c r="C10390" i="1"/>
  <c r="C10389" i="1"/>
  <c r="C10388" i="1"/>
  <c r="C10387" i="1"/>
  <c r="C10386" i="1"/>
  <c r="C10385" i="1"/>
  <c r="C10384" i="1"/>
  <c r="C10383" i="1"/>
  <c r="C10382" i="1"/>
  <c r="C10381" i="1"/>
  <c r="C10380" i="1"/>
  <c r="C10379" i="1"/>
  <c r="C10378" i="1"/>
  <c r="C10377" i="1"/>
  <c r="C10376" i="1"/>
  <c r="C10375" i="1"/>
  <c r="C10374" i="1"/>
  <c r="C10373" i="1"/>
  <c r="C10372" i="1"/>
  <c r="C10371" i="1"/>
  <c r="C10370" i="1"/>
  <c r="C10369" i="1"/>
  <c r="C10368" i="1"/>
  <c r="C10367" i="1"/>
  <c r="C10366" i="1"/>
  <c r="C10365" i="1"/>
  <c r="C10364" i="1"/>
  <c r="C10363" i="1"/>
  <c r="C10362" i="1"/>
  <c r="C10361" i="1"/>
  <c r="C10360" i="1"/>
  <c r="C10359" i="1"/>
  <c r="C10358" i="1"/>
  <c r="C10357" i="1"/>
  <c r="C10356" i="1"/>
  <c r="C10355" i="1"/>
  <c r="C10354" i="1"/>
  <c r="C10353" i="1"/>
  <c r="C10352" i="1"/>
  <c r="C10351" i="1"/>
  <c r="C10350" i="1"/>
  <c r="C10349" i="1"/>
  <c r="C10348" i="1"/>
  <c r="C10347" i="1"/>
  <c r="C10346" i="1"/>
  <c r="C10345" i="1"/>
  <c r="C10344" i="1"/>
  <c r="C10343" i="1"/>
  <c r="C10342" i="1"/>
  <c r="C10341" i="1"/>
  <c r="C10340" i="1"/>
  <c r="C10339" i="1"/>
  <c r="C10338" i="1"/>
  <c r="C10337" i="1"/>
  <c r="C10336" i="1"/>
  <c r="C10335" i="1"/>
  <c r="C10334" i="1"/>
  <c r="C10333" i="1"/>
  <c r="C10332" i="1"/>
  <c r="C10331" i="1"/>
  <c r="C10330" i="1"/>
  <c r="C10329" i="1"/>
  <c r="C10328" i="1"/>
  <c r="C10327" i="1"/>
  <c r="C10326" i="1"/>
  <c r="C10325" i="1"/>
  <c r="C10324" i="1"/>
  <c r="C10323" i="1"/>
  <c r="C10322" i="1"/>
  <c r="C10321" i="1"/>
  <c r="C10320" i="1"/>
  <c r="C10319" i="1"/>
  <c r="C10318" i="1"/>
  <c r="C10317" i="1"/>
  <c r="C10316" i="1"/>
  <c r="C10315" i="1"/>
  <c r="C10314" i="1"/>
  <c r="C10313" i="1"/>
  <c r="C10312" i="1"/>
  <c r="C10311" i="1"/>
  <c r="C10310" i="1"/>
  <c r="C10309" i="1"/>
  <c r="C10308" i="1"/>
  <c r="C10307" i="1"/>
  <c r="C10306" i="1"/>
  <c r="C10305" i="1"/>
  <c r="C10304" i="1"/>
  <c r="C10303" i="1"/>
  <c r="C10302" i="1"/>
  <c r="C10301" i="1"/>
  <c r="C10300" i="1"/>
  <c r="C10299" i="1"/>
  <c r="C10298" i="1"/>
  <c r="C10297" i="1"/>
  <c r="C10296" i="1"/>
  <c r="C10295" i="1"/>
  <c r="C10294" i="1"/>
  <c r="C10293" i="1"/>
  <c r="C10292" i="1"/>
  <c r="C10291" i="1"/>
  <c r="C10290" i="1"/>
  <c r="C10289" i="1"/>
  <c r="C10288" i="1"/>
  <c r="C10287" i="1"/>
  <c r="C10286" i="1"/>
  <c r="C10285" i="1"/>
  <c r="C10284" i="1"/>
  <c r="C10283" i="1"/>
  <c r="C10282" i="1"/>
  <c r="C10281" i="1"/>
  <c r="C10280" i="1"/>
  <c r="C10279" i="1"/>
  <c r="C10278" i="1"/>
  <c r="C10277" i="1"/>
  <c r="C10276" i="1"/>
  <c r="C10275" i="1"/>
  <c r="C10274" i="1"/>
  <c r="C10273" i="1"/>
  <c r="C10272" i="1"/>
  <c r="C10271" i="1"/>
  <c r="C10270" i="1"/>
  <c r="C10269" i="1"/>
  <c r="C10268" i="1"/>
  <c r="C10267" i="1"/>
  <c r="C10266" i="1"/>
  <c r="C10265" i="1"/>
  <c r="C10264" i="1"/>
  <c r="C10263" i="1"/>
  <c r="C10262" i="1"/>
  <c r="C10261" i="1"/>
  <c r="C10260" i="1"/>
  <c r="C10259" i="1"/>
  <c r="C10258" i="1"/>
  <c r="C10257" i="1"/>
  <c r="C10256" i="1"/>
  <c r="C10255" i="1"/>
  <c r="C10254" i="1"/>
  <c r="C10253" i="1"/>
  <c r="C10252" i="1"/>
  <c r="C10251" i="1"/>
  <c r="C10250" i="1"/>
  <c r="C10249" i="1"/>
  <c r="C10248" i="1"/>
  <c r="C10247" i="1"/>
  <c r="C10246" i="1"/>
  <c r="C10245" i="1"/>
  <c r="C10244" i="1"/>
  <c r="C10243" i="1"/>
  <c r="C10242" i="1"/>
  <c r="C10241" i="1"/>
  <c r="C10240" i="1"/>
  <c r="C10239" i="1"/>
  <c r="C10238" i="1"/>
  <c r="C10237" i="1"/>
  <c r="C10236" i="1"/>
  <c r="C10235" i="1"/>
  <c r="C10234" i="1"/>
  <c r="C10233" i="1"/>
  <c r="C10232" i="1"/>
  <c r="C10231" i="1"/>
  <c r="C10230" i="1"/>
  <c r="C10229" i="1"/>
  <c r="C10228" i="1"/>
  <c r="C10227" i="1"/>
  <c r="C10226" i="1"/>
  <c r="C10225" i="1"/>
  <c r="C10224" i="1"/>
  <c r="C10223" i="1"/>
  <c r="C10222" i="1"/>
  <c r="C10221" i="1"/>
  <c r="C10220" i="1"/>
  <c r="C10219" i="1"/>
  <c r="C10218" i="1"/>
  <c r="C10217" i="1"/>
  <c r="C10216" i="1"/>
  <c r="C10215" i="1"/>
  <c r="C10214" i="1"/>
  <c r="C10213" i="1"/>
  <c r="C10212" i="1"/>
  <c r="C10211" i="1"/>
  <c r="C10210" i="1"/>
  <c r="C10209" i="1"/>
  <c r="C10208" i="1"/>
  <c r="C10207" i="1"/>
  <c r="C10206" i="1"/>
  <c r="C10205" i="1"/>
  <c r="C10204" i="1"/>
  <c r="C10203" i="1"/>
  <c r="C10202" i="1"/>
  <c r="C10201" i="1"/>
  <c r="C10200" i="1"/>
  <c r="C10199" i="1"/>
  <c r="C10198" i="1"/>
  <c r="C10197" i="1"/>
  <c r="C10196" i="1"/>
  <c r="C10195" i="1"/>
  <c r="C10194" i="1"/>
  <c r="C10193" i="1"/>
  <c r="C10192" i="1"/>
  <c r="C10191" i="1"/>
  <c r="C10190" i="1"/>
  <c r="C10189" i="1"/>
  <c r="C10188" i="1"/>
  <c r="C10187" i="1"/>
  <c r="C10186" i="1"/>
  <c r="C10185" i="1"/>
  <c r="C10184" i="1"/>
  <c r="C10183" i="1"/>
  <c r="C10182" i="1"/>
  <c r="C10181" i="1"/>
  <c r="C10180" i="1"/>
  <c r="C10179" i="1"/>
  <c r="C10178" i="1"/>
  <c r="C10177" i="1"/>
  <c r="C10176" i="1"/>
  <c r="C10175" i="1"/>
  <c r="C10174" i="1"/>
  <c r="C10173" i="1"/>
  <c r="C10172" i="1"/>
  <c r="C10171" i="1"/>
  <c r="C10170" i="1"/>
  <c r="C10169" i="1"/>
  <c r="C10168" i="1"/>
  <c r="C10167" i="1"/>
  <c r="C10166" i="1"/>
  <c r="C10165" i="1"/>
  <c r="C10164" i="1"/>
  <c r="C10163" i="1"/>
  <c r="C10162" i="1"/>
  <c r="C10161" i="1"/>
  <c r="C10160" i="1"/>
  <c r="C10159" i="1"/>
  <c r="C10158" i="1"/>
  <c r="C10157" i="1"/>
  <c r="C10156" i="1"/>
  <c r="C10155" i="1"/>
  <c r="C10154" i="1"/>
  <c r="C10153" i="1"/>
  <c r="C10152" i="1"/>
  <c r="C10151" i="1"/>
  <c r="C10150" i="1"/>
  <c r="C10149" i="1"/>
  <c r="C10148" i="1"/>
  <c r="C10147" i="1"/>
  <c r="C10146" i="1"/>
  <c r="C10145" i="1"/>
  <c r="C10144" i="1"/>
  <c r="C10143" i="1"/>
  <c r="C10142" i="1"/>
  <c r="C10141" i="1"/>
  <c r="C10140" i="1"/>
  <c r="C10139" i="1"/>
  <c r="C10138" i="1"/>
  <c r="C10137" i="1"/>
  <c r="C10136" i="1"/>
  <c r="C10135" i="1"/>
  <c r="C10134" i="1"/>
  <c r="C10133" i="1"/>
  <c r="C10132" i="1"/>
  <c r="C10131" i="1"/>
  <c r="C10130" i="1"/>
  <c r="C10129" i="1"/>
  <c r="C10128" i="1"/>
  <c r="C10127" i="1"/>
  <c r="C10126" i="1"/>
  <c r="C10125" i="1"/>
  <c r="C10124" i="1"/>
  <c r="C10123" i="1"/>
  <c r="C10122" i="1"/>
  <c r="C10121" i="1"/>
  <c r="C10120" i="1"/>
  <c r="C10119" i="1"/>
  <c r="C10118" i="1"/>
  <c r="C10117" i="1"/>
  <c r="C10116" i="1"/>
  <c r="C10115" i="1"/>
  <c r="C10114" i="1"/>
  <c r="C10113" i="1"/>
  <c r="C10112" i="1"/>
  <c r="C10111" i="1"/>
  <c r="C10110" i="1"/>
  <c r="C10109" i="1"/>
  <c r="C10108" i="1"/>
  <c r="C10107" i="1"/>
  <c r="C10106" i="1"/>
  <c r="C10105" i="1"/>
  <c r="C10104" i="1"/>
  <c r="C10103" i="1"/>
  <c r="C10102" i="1"/>
  <c r="C10101" i="1"/>
  <c r="C10100" i="1"/>
  <c r="C10099" i="1"/>
  <c r="C10098" i="1"/>
  <c r="C10097" i="1"/>
  <c r="C10096" i="1"/>
  <c r="C10095" i="1"/>
  <c r="C10094" i="1"/>
  <c r="C10093" i="1"/>
  <c r="C10092" i="1"/>
  <c r="C10091" i="1"/>
  <c r="C10090" i="1"/>
  <c r="C10089" i="1"/>
  <c r="C10088" i="1"/>
  <c r="C10087" i="1"/>
  <c r="C10086" i="1"/>
  <c r="C10085" i="1"/>
  <c r="C10084" i="1"/>
  <c r="C10083" i="1"/>
  <c r="C10082" i="1"/>
  <c r="C10081" i="1"/>
  <c r="C10080" i="1"/>
  <c r="C10079" i="1"/>
  <c r="C10078" i="1"/>
  <c r="C10077" i="1"/>
  <c r="C10076" i="1"/>
  <c r="C10075" i="1"/>
  <c r="C10074" i="1"/>
  <c r="C10073" i="1"/>
  <c r="C10072" i="1"/>
  <c r="C10071" i="1"/>
  <c r="C10070" i="1"/>
  <c r="C10069" i="1"/>
  <c r="C10068" i="1"/>
  <c r="C10067" i="1"/>
  <c r="C10066" i="1"/>
  <c r="C10065" i="1"/>
  <c r="C10064" i="1"/>
  <c r="C10063" i="1"/>
  <c r="C10062" i="1"/>
  <c r="C10061" i="1"/>
  <c r="C10060" i="1"/>
  <c r="C10059" i="1"/>
  <c r="C10058" i="1"/>
  <c r="C10057" i="1"/>
  <c r="C10056" i="1"/>
  <c r="C10055" i="1"/>
  <c r="C10054" i="1"/>
  <c r="C10053" i="1"/>
  <c r="C10052" i="1"/>
  <c r="C10051" i="1"/>
  <c r="C10050" i="1"/>
  <c r="C10049" i="1"/>
  <c r="C10048" i="1"/>
  <c r="C10047" i="1"/>
  <c r="C10046" i="1"/>
  <c r="C10045" i="1"/>
  <c r="C10044" i="1"/>
  <c r="C10043" i="1"/>
  <c r="C10042" i="1"/>
  <c r="C10041" i="1"/>
  <c r="C10040" i="1"/>
  <c r="C10039" i="1"/>
  <c r="C10038" i="1"/>
  <c r="C10037" i="1"/>
  <c r="C10036" i="1"/>
  <c r="C10035" i="1"/>
  <c r="C10034" i="1"/>
  <c r="C10033" i="1"/>
  <c r="C10032" i="1"/>
  <c r="C10031" i="1"/>
  <c r="C10030" i="1"/>
  <c r="C10029" i="1"/>
  <c r="C10028" i="1"/>
  <c r="C10027" i="1"/>
  <c r="C10026" i="1"/>
  <c r="C10025" i="1"/>
  <c r="C10024" i="1"/>
  <c r="C10023" i="1"/>
  <c r="C10022" i="1"/>
  <c r="C10021" i="1"/>
  <c r="C10020" i="1"/>
  <c r="C10019" i="1"/>
  <c r="C10018" i="1"/>
  <c r="C10017" i="1"/>
  <c r="C10016" i="1"/>
  <c r="C10015" i="1"/>
  <c r="C10014" i="1"/>
  <c r="C10013" i="1"/>
  <c r="C10012" i="1"/>
  <c r="C10011" i="1"/>
  <c r="C10010" i="1"/>
  <c r="C10009" i="1"/>
  <c r="C10008" i="1"/>
  <c r="C10007" i="1"/>
  <c r="C10006" i="1"/>
  <c r="C10005" i="1"/>
  <c r="C10004" i="1"/>
  <c r="C10003" i="1"/>
  <c r="C10002" i="1"/>
  <c r="C10001" i="1"/>
  <c r="C10000" i="1"/>
  <c r="C9999" i="1"/>
  <c r="C9998" i="1"/>
  <c r="C9997" i="1"/>
  <c r="C9996" i="1"/>
  <c r="C9995" i="1"/>
  <c r="C9994" i="1"/>
  <c r="C9993" i="1"/>
  <c r="C9992" i="1"/>
  <c r="C9991" i="1"/>
  <c r="C9990" i="1"/>
  <c r="C9989" i="1"/>
  <c r="C9988" i="1"/>
  <c r="C9987" i="1"/>
  <c r="C9986" i="1"/>
  <c r="C9985" i="1"/>
  <c r="C9984" i="1"/>
  <c r="C9983" i="1"/>
  <c r="C9982" i="1"/>
  <c r="C9981" i="1"/>
  <c r="C9980" i="1"/>
  <c r="C9979" i="1"/>
  <c r="C9978" i="1"/>
  <c r="C9977" i="1"/>
  <c r="C9976" i="1"/>
  <c r="C9975" i="1"/>
  <c r="C9974" i="1"/>
  <c r="C9973" i="1"/>
  <c r="C9972" i="1"/>
  <c r="C9971" i="1"/>
  <c r="C9970" i="1"/>
  <c r="C9969" i="1"/>
  <c r="C9968" i="1"/>
  <c r="C9967" i="1"/>
  <c r="C9966" i="1"/>
  <c r="C9965" i="1"/>
  <c r="C9964" i="1"/>
  <c r="C9963" i="1"/>
  <c r="C9962" i="1"/>
  <c r="C9961" i="1"/>
  <c r="C9960" i="1"/>
  <c r="C9959" i="1"/>
  <c r="C9958" i="1"/>
  <c r="C9957" i="1"/>
  <c r="C9956" i="1"/>
  <c r="C9955" i="1"/>
  <c r="C9954" i="1"/>
  <c r="C9953" i="1"/>
  <c r="C9952" i="1"/>
  <c r="C9951" i="1"/>
  <c r="C9950" i="1"/>
  <c r="C9949" i="1"/>
  <c r="C9948" i="1"/>
  <c r="C9947" i="1"/>
  <c r="C9946" i="1"/>
  <c r="C9945" i="1"/>
  <c r="C9944" i="1"/>
  <c r="C9943" i="1"/>
  <c r="C9942" i="1"/>
  <c r="C9941" i="1"/>
  <c r="C9940" i="1"/>
  <c r="C9939" i="1"/>
  <c r="C9938" i="1"/>
  <c r="C9937" i="1"/>
  <c r="C9936" i="1"/>
  <c r="C9935" i="1"/>
  <c r="C9934" i="1"/>
  <c r="C9933" i="1"/>
  <c r="C9932" i="1"/>
  <c r="C9931" i="1"/>
  <c r="C9930" i="1"/>
  <c r="C9929" i="1"/>
  <c r="C9928" i="1"/>
  <c r="C9927" i="1"/>
  <c r="C9926" i="1"/>
  <c r="C9925" i="1"/>
  <c r="C9924" i="1"/>
  <c r="C9923" i="1"/>
  <c r="C9922" i="1"/>
  <c r="C9921" i="1"/>
  <c r="C9920" i="1"/>
  <c r="C9919" i="1"/>
  <c r="C9918" i="1"/>
  <c r="C9917" i="1"/>
  <c r="C9916" i="1"/>
  <c r="C9915" i="1"/>
  <c r="C9914" i="1"/>
  <c r="C9913" i="1"/>
  <c r="C9912" i="1"/>
  <c r="C9911" i="1"/>
  <c r="C9910" i="1"/>
  <c r="C9909" i="1"/>
  <c r="C9908" i="1"/>
  <c r="C9907" i="1"/>
  <c r="C9906" i="1"/>
  <c r="C9905" i="1"/>
  <c r="C9904" i="1"/>
  <c r="C9903" i="1"/>
  <c r="C9902" i="1"/>
  <c r="C9901" i="1"/>
  <c r="C9900" i="1"/>
  <c r="C9899" i="1"/>
  <c r="C9898" i="1"/>
  <c r="C9897" i="1"/>
  <c r="C9896" i="1"/>
  <c r="C9895" i="1"/>
  <c r="C9894" i="1"/>
  <c r="C9893" i="1"/>
  <c r="C9892" i="1"/>
  <c r="C9891" i="1"/>
  <c r="C9890" i="1"/>
  <c r="C9889" i="1"/>
  <c r="C9888" i="1"/>
  <c r="C9887" i="1"/>
  <c r="C9886" i="1"/>
  <c r="C9885" i="1"/>
  <c r="C9884" i="1"/>
  <c r="C9883" i="1"/>
  <c r="C9882" i="1"/>
  <c r="C9881" i="1"/>
  <c r="C9880" i="1"/>
  <c r="C9879" i="1"/>
  <c r="C9878" i="1"/>
  <c r="C9877" i="1"/>
  <c r="C9876" i="1"/>
  <c r="C9875" i="1"/>
  <c r="C9874" i="1"/>
  <c r="C9873" i="1"/>
  <c r="C9872" i="1"/>
  <c r="C9871" i="1"/>
  <c r="C9870" i="1"/>
  <c r="C9869" i="1"/>
  <c r="C9868" i="1"/>
  <c r="C9867" i="1"/>
  <c r="C9866" i="1"/>
  <c r="C9865" i="1"/>
  <c r="C9864" i="1"/>
  <c r="C9863" i="1"/>
  <c r="C9862" i="1"/>
  <c r="C9861" i="1"/>
  <c r="C9860" i="1"/>
  <c r="C9859" i="1"/>
  <c r="C9858" i="1"/>
  <c r="C9857" i="1"/>
  <c r="C9856" i="1"/>
  <c r="C9855" i="1"/>
  <c r="C9854" i="1"/>
  <c r="C9853" i="1"/>
  <c r="C9852" i="1"/>
  <c r="C9851" i="1"/>
  <c r="C9850" i="1"/>
  <c r="C9849" i="1"/>
  <c r="C9848" i="1"/>
  <c r="C9847" i="1"/>
  <c r="C9846" i="1"/>
  <c r="C9845" i="1"/>
  <c r="C9844" i="1"/>
  <c r="C9843" i="1"/>
  <c r="C9842" i="1"/>
  <c r="C9841" i="1"/>
  <c r="C9840" i="1"/>
  <c r="C9839" i="1"/>
  <c r="C9838" i="1"/>
  <c r="C9837" i="1"/>
  <c r="C9836" i="1"/>
  <c r="C9835" i="1"/>
  <c r="C9834" i="1"/>
  <c r="C9833" i="1"/>
  <c r="C9832" i="1"/>
  <c r="C9831" i="1"/>
  <c r="C9830" i="1"/>
  <c r="C9829" i="1"/>
  <c r="C9828" i="1"/>
  <c r="C9827" i="1"/>
  <c r="C9826" i="1"/>
  <c r="C9825" i="1"/>
  <c r="C9824" i="1"/>
  <c r="C9823" i="1"/>
  <c r="C9822" i="1"/>
  <c r="C9821" i="1"/>
  <c r="C9820" i="1"/>
  <c r="C9819" i="1"/>
  <c r="C9818" i="1"/>
  <c r="C9817" i="1"/>
  <c r="C9816" i="1"/>
  <c r="C9815" i="1"/>
  <c r="C9814" i="1"/>
  <c r="C9813" i="1"/>
  <c r="C9812" i="1"/>
  <c r="C9811" i="1"/>
  <c r="C9810" i="1"/>
  <c r="C9809" i="1"/>
  <c r="C9808" i="1"/>
  <c r="C9807" i="1"/>
  <c r="C9806" i="1"/>
  <c r="C9805" i="1"/>
  <c r="C9804" i="1"/>
  <c r="C9803" i="1"/>
  <c r="C9802" i="1"/>
  <c r="C9801" i="1"/>
  <c r="C9800" i="1"/>
  <c r="C9799" i="1"/>
  <c r="C9798" i="1"/>
  <c r="C9797" i="1"/>
  <c r="C9796" i="1"/>
  <c r="C9795" i="1"/>
  <c r="C9794" i="1"/>
  <c r="C9793" i="1"/>
  <c r="C9792" i="1"/>
  <c r="C9791" i="1"/>
  <c r="C9790" i="1"/>
  <c r="C9789" i="1"/>
  <c r="C9788" i="1"/>
  <c r="C9787" i="1"/>
  <c r="C9786" i="1"/>
  <c r="C9785" i="1"/>
  <c r="C9784" i="1"/>
  <c r="C9783" i="1"/>
  <c r="C9782" i="1"/>
  <c r="C9781" i="1"/>
  <c r="C9780" i="1"/>
  <c r="C9779" i="1"/>
  <c r="C9778" i="1"/>
  <c r="C9777" i="1"/>
  <c r="C9776" i="1"/>
  <c r="C9775" i="1"/>
  <c r="C9774" i="1"/>
  <c r="C9773" i="1"/>
  <c r="C9772" i="1"/>
  <c r="C9771" i="1"/>
  <c r="C9770" i="1"/>
  <c r="C9769" i="1"/>
  <c r="C9768" i="1"/>
  <c r="C9767" i="1"/>
  <c r="C9766" i="1"/>
  <c r="C9765" i="1"/>
  <c r="C9764" i="1"/>
  <c r="C9763" i="1"/>
  <c r="C9762" i="1"/>
  <c r="C9761" i="1"/>
  <c r="C9760" i="1"/>
  <c r="C9759" i="1"/>
  <c r="C9758" i="1"/>
  <c r="C9757" i="1"/>
  <c r="C9756" i="1"/>
  <c r="C9755" i="1"/>
  <c r="C9754" i="1"/>
  <c r="C9753" i="1"/>
  <c r="C9752" i="1"/>
  <c r="C9751" i="1"/>
  <c r="C9750" i="1"/>
  <c r="C9749" i="1"/>
  <c r="C9748" i="1"/>
  <c r="C9747" i="1"/>
  <c r="C9746" i="1"/>
  <c r="C9745" i="1"/>
  <c r="C9744" i="1"/>
  <c r="C9743" i="1"/>
  <c r="C9742" i="1"/>
  <c r="C9741" i="1"/>
  <c r="C9740" i="1"/>
  <c r="C9739" i="1"/>
  <c r="C9738" i="1"/>
  <c r="C9737" i="1"/>
  <c r="C9736" i="1"/>
  <c r="C9735" i="1"/>
  <c r="C9734" i="1"/>
  <c r="C9733" i="1"/>
  <c r="C9732" i="1"/>
  <c r="C9731" i="1"/>
  <c r="C9730" i="1"/>
  <c r="C9729" i="1"/>
  <c r="C9728" i="1"/>
  <c r="C9727" i="1"/>
  <c r="C9726" i="1"/>
  <c r="C9725" i="1"/>
  <c r="C9724" i="1"/>
  <c r="C9723" i="1"/>
  <c r="C9722" i="1"/>
  <c r="C9721" i="1"/>
  <c r="C9720" i="1"/>
  <c r="C9719" i="1"/>
  <c r="C9718" i="1"/>
  <c r="C9717" i="1"/>
  <c r="C9716" i="1"/>
  <c r="C9715" i="1"/>
  <c r="C9714" i="1"/>
  <c r="C9713" i="1"/>
  <c r="C9712" i="1"/>
  <c r="C9711" i="1"/>
  <c r="C9710" i="1"/>
  <c r="C9709" i="1"/>
  <c r="C9708" i="1"/>
  <c r="C9707" i="1"/>
  <c r="C9706" i="1"/>
  <c r="C9705" i="1"/>
  <c r="C9704" i="1"/>
  <c r="C9703" i="1"/>
  <c r="C9702" i="1"/>
  <c r="C9701" i="1"/>
  <c r="C9700" i="1"/>
  <c r="C9699" i="1"/>
  <c r="C9698" i="1"/>
  <c r="C9697" i="1"/>
  <c r="C9696" i="1"/>
  <c r="C9695" i="1"/>
  <c r="C9694" i="1"/>
  <c r="C9693" i="1"/>
  <c r="C9692" i="1"/>
  <c r="C9691" i="1"/>
  <c r="C9690" i="1"/>
  <c r="C9689" i="1"/>
  <c r="C9688" i="1"/>
  <c r="C9687" i="1"/>
  <c r="C9686" i="1"/>
  <c r="C9685" i="1"/>
  <c r="C9684" i="1"/>
  <c r="C9683" i="1"/>
  <c r="C9682" i="1"/>
  <c r="C9681" i="1"/>
  <c r="C9680" i="1"/>
  <c r="C9679" i="1"/>
  <c r="C9678" i="1"/>
  <c r="C9677" i="1"/>
  <c r="C9676" i="1"/>
  <c r="C9675" i="1"/>
  <c r="C9674" i="1"/>
  <c r="C9673" i="1"/>
  <c r="C9672" i="1"/>
  <c r="C9671" i="1"/>
  <c r="C9670" i="1"/>
  <c r="C9669" i="1"/>
  <c r="C9668" i="1"/>
  <c r="C9667" i="1"/>
  <c r="C9666" i="1"/>
  <c r="C9665" i="1"/>
  <c r="C9664" i="1"/>
  <c r="C9663" i="1"/>
  <c r="C9662" i="1"/>
  <c r="C9661" i="1"/>
  <c r="C9660" i="1"/>
  <c r="C9659" i="1"/>
  <c r="C9658" i="1"/>
  <c r="C9657" i="1"/>
  <c r="C9656" i="1"/>
  <c r="C9655" i="1"/>
  <c r="C9654" i="1"/>
  <c r="C9653" i="1"/>
  <c r="C9652" i="1"/>
  <c r="C9651" i="1"/>
  <c r="C9650" i="1"/>
  <c r="C9649" i="1"/>
  <c r="C9648" i="1"/>
  <c r="C9647" i="1"/>
  <c r="C9646" i="1"/>
  <c r="C9645" i="1"/>
  <c r="C9644" i="1"/>
  <c r="C9643" i="1"/>
  <c r="C9642" i="1"/>
  <c r="C9641" i="1"/>
  <c r="C9640" i="1"/>
  <c r="C9639" i="1"/>
  <c r="C9638" i="1"/>
  <c r="C9637" i="1"/>
  <c r="C9636" i="1"/>
  <c r="C9635" i="1"/>
  <c r="C9634" i="1"/>
  <c r="C9633" i="1"/>
  <c r="C9632" i="1"/>
  <c r="C9631" i="1"/>
  <c r="C9630" i="1"/>
  <c r="C9629" i="1"/>
  <c r="C9628" i="1"/>
  <c r="C9627" i="1"/>
  <c r="C9626" i="1"/>
  <c r="C9625" i="1"/>
  <c r="C9624" i="1"/>
  <c r="C9623" i="1"/>
  <c r="C9622" i="1"/>
  <c r="C9621" i="1"/>
  <c r="C9620" i="1"/>
  <c r="C9619" i="1"/>
  <c r="C9618" i="1"/>
  <c r="C9617" i="1"/>
  <c r="C9616" i="1"/>
  <c r="C9615" i="1"/>
  <c r="C9614" i="1"/>
  <c r="C9613" i="1"/>
  <c r="C9612" i="1"/>
  <c r="C9611" i="1"/>
  <c r="C9610" i="1"/>
  <c r="C9609" i="1"/>
  <c r="C9608" i="1"/>
  <c r="C9607" i="1"/>
  <c r="C9606" i="1"/>
  <c r="C9605" i="1"/>
  <c r="C9604" i="1"/>
  <c r="C9603" i="1"/>
  <c r="C9602" i="1"/>
  <c r="C9601" i="1"/>
  <c r="C9600" i="1"/>
  <c r="C9599" i="1"/>
  <c r="C9598" i="1"/>
  <c r="C9597" i="1"/>
  <c r="C9596" i="1"/>
  <c r="C9595" i="1"/>
  <c r="C9594" i="1"/>
  <c r="C9593" i="1"/>
  <c r="C9592" i="1"/>
  <c r="C9591" i="1"/>
  <c r="C9590" i="1"/>
  <c r="C9589" i="1"/>
  <c r="C9588" i="1"/>
  <c r="C9587" i="1"/>
  <c r="C9586" i="1"/>
  <c r="C9585" i="1"/>
  <c r="C9584" i="1"/>
  <c r="C9583" i="1"/>
  <c r="C9582" i="1"/>
  <c r="C9581" i="1"/>
  <c r="C9580" i="1"/>
  <c r="C9579" i="1"/>
  <c r="C9578" i="1"/>
  <c r="C9577" i="1"/>
  <c r="C9576" i="1"/>
  <c r="C9575" i="1"/>
  <c r="C9574" i="1"/>
  <c r="C9573" i="1"/>
  <c r="C9572" i="1"/>
  <c r="C9571" i="1"/>
  <c r="C9570" i="1"/>
  <c r="C9569" i="1"/>
  <c r="C9568" i="1"/>
  <c r="C9567" i="1"/>
  <c r="C9566" i="1"/>
  <c r="C9565" i="1"/>
  <c r="C9564" i="1"/>
  <c r="C9563" i="1"/>
  <c r="C9562" i="1"/>
  <c r="C9561" i="1"/>
  <c r="C9560" i="1"/>
  <c r="C9559" i="1"/>
  <c r="C9558" i="1"/>
  <c r="C9557" i="1"/>
  <c r="C9556" i="1"/>
  <c r="C9555" i="1"/>
  <c r="C9554" i="1"/>
  <c r="C9553" i="1"/>
  <c r="C9552" i="1"/>
  <c r="C9551" i="1"/>
  <c r="C9550" i="1"/>
  <c r="C9549" i="1"/>
  <c r="C9548" i="1"/>
  <c r="C9547" i="1"/>
  <c r="C9546" i="1"/>
  <c r="C9545" i="1"/>
  <c r="C9544" i="1"/>
  <c r="C9543" i="1"/>
  <c r="C9542" i="1"/>
  <c r="C9541" i="1"/>
  <c r="C9540" i="1"/>
  <c r="C9539" i="1"/>
  <c r="C9538" i="1"/>
  <c r="C9537" i="1"/>
  <c r="C9536" i="1"/>
  <c r="C9535" i="1"/>
  <c r="C9534" i="1"/>
  <c r="C9533" i="1"/>
  <c r="C9532" i="1"/>
  <c r="C9531" i="1"/>
  <c r="C9530" i="1"/>
  <c r="C9529" i="1"/>
  <c r="C9528" i="1"/>
  <c r="C9527" i="1"/>
  <c r="C9526" i="1"/>
  <c r="C9525" i="1"/>
  <c r="C9524" i="1"/>
  <c r="C9523" i="1"/>
  <c r="C9522" i="1"/>
  <c r="C9521" i="1"/>
  <c r="C9520" i="1"/>
  <c r="C9519" i="1"/>
  <c r="C9518" i="1"/>
  <c r="C9517" i="1"/>
  <c r="C9516" i="1"/>
  <c r="C9515" i="1"/>
  <c r="C9514" i="1"/>
  <c r="C9513" i="1"/>
  <c r="C9512" i="1"/>
  <c r="C9511" i="1"/>
  <c r="C9510" i="1"/>
  <c r="C9509" i="1"/>
  <c r="C9508" i="1"/>
  <c r="C9507" i="1"/>
  <c r="C9506" i="1"/>
  <c r="C9505" i="1"/>
  <c r="C9504" i="1"/>
  <c r="C9503" i="1"/>
  <c r="C9502" i="1"/>
  <c r="C9501" i="1"/>
  <c r="C9500" i="1"/>
  <c r="C9499" i="1"/>
  <c r="C9498" i="1"/>
  <c r="C9497" i="1"/>
  <c r="C9496" i="1"/>
  <c r="C9495" i="1"/>
  <c r="C9494" i="1"/>
  <c r="C9493" i="1"/>
  <c r="C9492" i="1"/>
  <c r="C9491" i="1"/>
  <c r="C9490" i="1"/>
  <c r="C9489" i="1"/>
  <c r="C9488" i="1"/>
  <c r="C9487" i="1"/>
  <c r="C9486" i="1"/>
  <c r="C9485" i="1"/>
  <c r="C9484" i="1"/>
  <c r="C9483" i="1"/>
  <c r="C9482" i="1"/>
  <c r="C9481" i="1"/>
  <c r="C9480" i="1"/>
  <c r="C9479" i="1"/>
  <c r="C9478" i="1"/>
  <c r="C9477" i="1"/>
  <c r="C9476" i="1"/>
  <c r="C9475" i="1"/>
  <c r="C9474" i="1"/>
  <c r="C9473" i="1"/>
  <c r="C9472" i="1"/>
  <c r="C9471" i="1"/>
  <c r="C9470" i="1"/>
  <c r="C9469" i="1"/>
  <c r="C9468" i="1"/>
  <c r="C9467" i="1"/>
  <c r="C9466" i="1"/>
  <c r="C9465" i="1"/>
  <c r="C9464" i="1"/>
  <c r="C9463" i="1"/>
  <c r="C9462" i="1"/>
  <c r="C9461" i="1"/>
  <c r="C9460" i="1"/>
  <c r="C9459" i="1"/>
  <c r="C9458" i="1"/>
  <c r="C9457" i="1"/>
  <c r="C9456" i="1"/>
  <c r="C9455" i="1"/>
  <c r="C9454" i="1"/>
  <c r="C9453" i="1"/>
  <c r="C9452" i="1"/>
  <c r="C9451" i="1"/>
  <c r="C9450" i="1"/>
  <c r="C9449" i="1"/>
  <c r="C9448" i="1"/>
  <c r="C9447" i="1"/>
  <c r="C9446" i="1"/>
  <c r="C9445" i="1"/>
  <c r="C9444" i="1"/>
  <c r="C9443" i="1"/>
  <c r="C9442" i="1"/>
  <c r="C9441" i="1"/>
  <c r="C9440" i="1"/>
  <c r="C9439" i="1"/>
  <c r="C9438" i="1"/>
  <c r="C9437" i="1"/>
  <c r="C9436" i="1"/>
  <c r="C9435" i="1"/>
  <c r="C9434" i="1"/>
  <c r="C9433" i="1"/>
  <c r="C9432" i="1"/>
  <c r="C9431" i="1"/>
  <c r="C9430" i="1"/>
  <c r="C9429" i="1"/>
  <c r="C9428" i="1"/>
  <c r="C9427" i="1"/>
  <c r="C9426" i="1"/>
  <c r="C9425" i="1"/>
  <c r="C9424" i="1"/>
  <c r="C9423" i="1"/>
  <c r="C9422" i="1"/>
  <c r="C9421" i="1"/>
  <c r="C9420" i="1"/>
  <c r="C9419" i="1"/>
  <c r="C9418" i="1"/>
  <c r="C9417" i="1"/>
  <c r="C9416" i="1"/>
  <c r="C9415" i="1"/>
  <c r="C9414" i="1"/>
  <c r="C9413" i="1"/>
  <c r="C9412" i="1"/>
  <c r="C9411" i="1"/>
  <c r="C9410" i="1"/>
  <c r="C9409" i="1"/>
  <c r="C9408" i="1"/>
  <c r="C9407" i="1"/>
  <c r="C9406" i="1"/>
  <c r="C9405" i="1"/>
  <c r="C9404" i="1"/>
  <c r="C9403" i="1"/>
  <c r="C9402" i="1"/>
  <c r="C9401" i="1"/>
  <c r="C9400" i="1"/>
  <c r="C9399" i="1"/>
  <c r="C9398" i="1"/>
  <c r="C9397" i="1"/>
  <c r="C9396" i="1"/>
  <c r="C9395" i="1"/>
  <c r="C9394" i="1"/>
  <c r="C9393" i="1"/>
  <c r="C9392" i="1"/>
  <c r="C9391" i="1"/>
  <c r="C9390" i="1"/>
  <c r="C9389" i="1"/>
  <c r="C9388" i="1"/>
  <c r="C9387" i="1"/>
  <c r="C9386" i="1"/>
  <c r="C9385" i="1"/>
  <c r="C9384" i="1"/>
  <c r="C9383" i="1"/>
  <c r="C9382" i="1"/>
  <c r="C9381" i="1"/>
  <c r="C9380" i="1"/>
  <c r="C9379" i="1"/>
  <c r="C9378" i="1"/>
  <c r="C9377" i="1"/>
  <c r="C9376" i="1"/>
  <c r="C9375" i="1"/>
  <c r="C9374" i="1"/>
  <c r="C9373" i="1"/>
  <c r="C9372" i="1"/>
  <c r="C9371" i="1"/>
  <c r="C9370" i="1"/>
  <c r="C9369" i="1"/>
  <c r="C9368" i="1"/>
  <c r="C9367" i="1"/>
  <c r="C9366" i="1"/>
  <c r="C9365" i="1"/>
  <c r="C9364" i="1"/>
  <c r="C9363" i="1"/>
  <c r="C9362" i="1"/>
  <c r="C9361" i="1"/>
  <c r="C9360" i="1"/>
  <c r="C9359" i="1"/>
  <c r="C9358" i="1"/>
  <c r="C9357" i="1"/>
  <c r="C9356" i="1"/>
  <c r="C9355" i="1"/>
  <c r="C9354" i="1"/>
  <c r="C9353" i="1"/>
  <c r="C9352" i="1"/>
  <c r="C9351" i="1"/>
  <c r="C9350" i="1"/>
  <c r="C9349" i="1"/>
  <c r="C9348" i="1"/>
  <c r="C9347" i="1"/>
  <c r="C9346" i="1"/>
  <c r="C9345" i="1"/>
  <c r="C9344" i="1"/>
  <c r="C9343" i="1"/>
  <c r="C9342" i="1"/>
  <c r="C9341" i="1"/>
  <c r="C9340" i="1"/>
  <c r="C9339" i="1"/>
  <c r="C9338" i="1"/>
  <c r="C9337" i="1"/>
  <c r="C9336" i="1"/>
  <c r="C9335" i="1"/>
  <c r="C9334" i="1"/>
  <c r="C9333" i="1"/>
  <c r="C9332" i="1"/>
  <c r="C9331" i="1"/>
  <c r="C9330" i="1"/>
  <c r="C9329" i="1"/>
  <c r="C9328" i="1"/>
  <c r="C9327" i="1"/>
  <c r="C9326" i="1"/>
  <c r="C9325" i="1"/>
  <c r="C9324" i="1"/>
  <c r="C9323" i="1"/>
  <c r="C9322" i="1"/>
  <c r="C9321" i="1"/>
  <c r="C9320" i="1"/>
  <c r="C9319" i="1"/>
  <c r="C9318" i="1"/>
  <c r="C9317" i="1"/>
  <c r="C9316" i="1"/>
  <c r="C9315" i="1"/>
  <c r="C9314" i="1"/>
  <c r="C9313" i="1"/>
  <c r="C9312" i="1"/>
  <c r="C9311" i="1"/>
  <c r="C9310" i="1"/>
  <c r="C9309" i="1"/>
  <c r="C9308" i="1"/>
  <c r="C9307" i="1"/>
  <c r="C9306" i="1"/>
  <c r="C9305" i="1"/>
  <c r="C9304" i="1"/>
  <c r="C9303" i="1"/>
  <c r="C9302" i="1"/>
  <c r="C9301" i="1"/>
  <c r="C9300" i="1"/>
  <c r="C9299" i="1"/>
  <c r="C9298" i="1"/>
  <c r="C9297" i="1"/>
  <c r="C9296" i="1"/>
  <c r="C9295" i="1"/>
  <c r="C9294" i="1"/>
  <c r="C9293" i="1"/>
  <c r="C9292" i="1"/>
  <c r="C9291" i="1"/>
  <c r="C9290" i="1"/>
  <c r="C9289" i="1"/>
  <c r="C9288" i="1"/>
  <c r="C9287" i="1"/>
  <c r="C9286" i="1"/>
  <c r="C9285" i="1"/>
  <c r="C9284" i="1"/>
  <c r="C9283" i="1"/>
  <c r="C9282" i="1"/>
  <c r="C9281" i="1"/>
  <c r="C9280" i="1"/>
  <c r="C9279" i="1"/>
  <c r="C9278" i="1"/>
  <c r="C9277" i="1"/>
  <c r="C9276" i="1"/>
  <c r="C9275" i="1"/>
  <c r="C9274" i="1"/>
  <c r="C9273" i="1"/>
  <c r="C9272" i="1"/>
  <c r="C9271" i="1"/>
  <c r="C9270" i="1"/>
  <c r="C9269" i="1"/>
  <c r="C9268" i="1"/>
  <c r="C9267" i="1"/>
  <c r="C9266" i="1"/>
  <c r="C9265" i="1"/>
  <c r="C9264" i="1"/>
  <c r="C9263" i="1"/>
  <c r="C9262" i="1"/>
  <c r="C9261" i="1"/>
  <c r="C9260" i="1"/>
  <c r="C9259" i="1"/>
  <c r="C9258" i="1"/>
  <c r="C9257" i="1"/>
  <c r="C9256" i="1"/>
  <c r="C9255" i="1"/>
  <c r="C9254" i="1"/>
  <c r="C9253" i="1"/>
  <c r="C9252" i="1"/>
  <c r="C9251" i="1"/>
  <c r="C9250" i="1"/>
  <c r="C9249" i="1"/>
  <c r="C9248" i="1"/>
  <c r="C9247" i="1"/>
  <c r="C9246" i="1"/>
  <c r="C9245" i="1"/>
  <c r="C9244" i="1"/>
  <c r="C9243" i="1"/>
  <c r="C9242" i="1"/>
  <c r="C9241" i="1"/>
  <c r="C9240" i="1"/>
  <c r="C9239" i="1"/>
  <c r="C9238" i="1"/>
  <c r="C9237" i="1"/>
  <c r="C9236" i="1"/>
  <c r="C9235" i="1"/>
  <c r="C9234" i="1"/>
  <c r="C9233" i="1"/>
  <c r="C9232" i="1"/>
  <c r="C9231" i="1"/>
  <c r="C9230" i="1"/>
  <c r="C9229" i="1"/>
  <c r="C9228" i="1"/>
  <c r="C9227" i="1"/>
  <c r="C9226" i="1"/>
  <c r="C9225" i="1"/>
  <c r="C9224" i="1"/>
  <c r="C9223" i="1"/>
  <c r="C9222" i="1"/>
  <c r="C9221" i="1"/>
  <c r="C9220" i="1"/>
  <c r="C9219" i="1"/>
  <c r="C9218" i="1"/>
  <c r="C9217" i="1"/>
  <c r="C9216" i="1"/>
  <c r="C9215" i="1"/>
  <c r="C9214" i="1"/>
  <c r="C9213" i="1"/>
  <c r="C9212" i="1"/>
  <c r="C9211" i="1"/>
  <c r="C9210" i="1"/>
  <c r="C9209" i="1"/>
  <c r="C9208" i="1"/>
  <c r="C9207" i="1"/>
  <c r="C9206" i="1"/>
  <c r="C9205" i="1"/>
  <c r="C9204" i="1"/>
  <c r="C9203" i="1"/>
  <c r="C9202" i="1"/>
  <c r="C9201" i="1"/>
  <c r="C9200" i="1"/>
  <c r="C9199" i="1"/>
  <c r="C9198" i="1"/>
  <c r="C9197" i="1"/>
  <c r="C9196" i="1"/>
  <c r="C9195" i="1"/>
  <c r="C9194" i="1"/>
  <c r="C9193" i="1"/>
  <c r="C9192" i="1"/>
  <c r="C9191" i="1"/>
  <c r="C9190" i="1"/>
  <c r="C9189" i="1"/>
  <c r="C9188" i="1"/>
  <c r="C9187" i="1"/>
  <c r="C9186" i="1"/>
  <c r="C9185" i="1"/>
  <c r="C9184" i="1"/>
  <c r="C9183" i="1"/>
  <c r="C9182" i="1"/>
  <c r="C9181" i="1"/>
  <c r="C9180" i="1"/>
  <c r="C9179" i="1"/>
  <c r="C9178" i="1"/>
  <c r="C9177" i="1"/>
  <c r="C9176" i="1"/>
  <c r="C9175" i="1"/>
  <c r="C9174" i="1"/>
  <c r="C9173" i="1"/>
  <c r="C9172" i="1"/>
  <c r="C9171" i="1"/>
  <c r="C9170" i="1"/>
  <c r="C9169" i="1"/>
  <c r="C9168" i="1"/>
  <c r="C9167" i="1"/>
  <c r="C9166" i="1"/>
  <c r="C9165" i="1"/>
  <c r="C9164" i="1"/>
  <c r="C9163" i="1"/>
  <c r="C9162" i="1"/>
  <c r="C9161" i="1"/>
  <c r="C9160" i="1"/>
  <c r="C9159" i="1"/>
  <c r="C9158" i="1"/>
  <c r="C9157" i="1"/>
  <c r="C9156" i="1"/>
  <c r="C9155" i="1"/>
  <c r="C9154" i="1"/>
  <c r="C9153" i="1"/>
  <c r="C9152" i="1"/>
  <c r="C9151" i="1"/>
  <c r="C9150" i="1"/>
  <c r="C9149" i="1"/>
  <c r="C9148" i="1"/>
  <c r="C9147" i="1"/>
  <c r="C9146" i="1"/>
  <c r="C9145" i="1"/>
  <c r="C9144" i="1"/>
  <c r="C9143" i="1"/>
  <c r="C9142" i="1"/>
  <c r="C9141" i="1"/>
  <c r="C9140" i="1"/>
  <c r="C9139" i="1"/>
  <c r="C9138" i="1"/>
  <c r="C9137" i="1"/>
  <c r="C9136" i="1"/>
  <c r="C9135" i="1"/>
  <c r="C9134" i="1"/>
  <c r="C9133" i="1"/>
  <c r="C9132" i="1"/>
  <c r="C9131" i="1"/>
  <c r="C9130" i="1"/>
  <c r="C9129" i="1"/>
  <c r="C9128" i="1"/>
  <c r="C9127" i="1"/>
  <c r="C9126" i="1"/>
  <c r="C9125" i="1"/>
  <c r="C9124" i="1"/>
  <c r="C9123" i="1"/>
  <c r="C9122" i="1"/>
  <c r="C9121" i="1"/>
  <c r="C9120" i="1"/>
  <c r="C9119" i="1"/>
  <c r="C9118" i="1"/>
  <c r="C9117" i="1"/>
  <c r="C9116" i="1"/>
  <c r="C9115" i="1"/>
  <c r="C9114" i="1"/>
  <c r="C9113" i="1"/>
  <c r="C9112" i="1"/>
  <c r="C9111" i="1"/>
  <c r="C9110" i="1"/>
  <c r="C9109" i="1"/>
  <c r="C9108" i="1"/>
  <c r="C9107" i="1"/>
  <c r="C9106" i="1"/>
  <c r="C9105" i="1"/>
  <c r="C9104" i="1"/>
  <c r="C9103" i="1"/>
  <c r="C9102" i="1"/>
  <c r="C9101" i="1"/>
  <c r="C9100" i="1"/>
  <c r="C9099" i="1"/>
  <c r="C9098" i="1"/>
  <c r="C9097" i="1"/>
  <c r="C9096" i="1"/>
  <c r="C9095" i="1"/>
  <c r="C9094" i="1"/>
  <c r="C9093" i="1"/>
  <c r="C9092" i="1"/>
  <c r="C9091" i="1"/>
  <c r="C9090" i="1"/>
  <c r="C9089" i="1"/>
  <c r="C9088" i="1"/>
  <c r="C9087" i="1"/>
  <c r="C9086" i="1"/>
  <c r="C9085" i="1"/>
  <c r="C9084" i="1"/>
  <c r="C9083" i="1"/>
  <c r="C9082" i="1"/>
  <c r="C9081" i="1"/>
  <c r="C9080" i="1"/>
  <c r="C9079" i="1"/>
  <c r="C9078" i="1"/>
  <c r="C9077" i="1"/>
  <c r="C9076" i="1"/>
  <c r="C9075" i="1"/>
  <c r="C9074" i="1"/>
  <c r="C9073" i="1"/>
  <c r="C9072" i="1"/>
  <c r="C9071" i="1"/>
  <c r="C9070" i="1"/>
  <c r="C9069" i="1"/>
  <c r="C9068" i="1"/>
  <c r="C9067" i="1"/>
  <c r="C9066" i="1"/>
  <c r="C9065" i="1"/>
  <c r="C9064" i="1"/>
  <c r="C9063" i="1"/>
  <c r="C9062" i="1"/>
  <c r="C9061" i="1"/>
  <c r="C9060" i="1"/>
  <c r="C9059" i="1"/>
  <c r="C9058" i="1"/>
  <c r="C9057" i="1"/>
  <c r="C9056" i="1"/>
  <c r="C9055" i="1"/>
  <c r="C9054" i="1"/>
  <c r="C9053" i="1"/>
  <c r="C9052" i="1"/>
  <c r="C9051" i="1"/>
  <c r="C9050" i="1"/>
  <c r="C9049" i="1"/>
  <c r="C9048" i="1"/>
  <c r="C9047" i="1"/>
  <c r="C9046" i="1"/>
  <c r="C9045" i="1"/>
  <c r="C9044" i="1"/>
  <c r="C9043" i="1"/>
  <c r="C9042" i="1"/>
  <c r="C9041" i="1"/>
  <c r="C9040" i="1"/>
  <c r="C9039" i="1"/>
  <c r="C9038" i="1"/>
  <c r="C9037" i="1"/>
  <c r="C9036" i="1"/>
  <c r="C9035" i="1"/>
  <c r="C9034" i="1"/>
  <c r="C9033" i="1"/>
  <c r="C9032" i="1"/>
  <c r="C9031" i="1"/>
  <c r="C9030" i="1"/>
  <c r="C9029" i="1"/>
  <c r="C9028" i="1"/>
  <c r="C9027" i="1"/>
  <c r="C9026" i="1"/>
  <c r="C9025" i="1"/>
  <c r="C9024" i="1"/>
  <c r="C9023" i="1"/>
  <c r="C9022" i="1"/>
  <c r="C9021" i="1"/>
  <c r="C9020" i="1"/>
  <c r="C9019" i="1"/>
  <c r="C9018" i="1"/>
  <c r="C9017" i="1"/>
  <c r="C9016" i="1"/>
  <c r="C9015" i="1"/>
  <c r="C9014" i="1"/>
  <c r="C9013" i="1"/>
  <c r="C9012" i="1"/>
  <c r="C9011" i="1"/>
  <c r="C9010" i="1"/>
  <c r="C9009" i="1"/>
  <c r="C9008" i="1"/>
  <c r="C9007" i="1"/>
  <c r="C9006" i="1"/>
  <c r="C9005" i="1"/>
  <c r="C9004" i="1"/>
  <c r="C9003" i="1"/>
  <c r="C9002" i="1"/>
  <c r="C9001" i="1"/>
  <c r="C9000" i="1"/>
  <c r="C8999" i="1"/>
  <c r="C8998" i="1"/>
  <c r="C8997" i="1"/>
  <c r="C8996" i="1"/>
  <c r="C8995" i="1"/>
  <c r="C8994" i="1"/>
  <c r="C8993" i="1"/>
  <c r="C8992" i="1"/>
  <c r="C8991" i="1"/>
  <c r="C8990" i="1"/>
  <c r="C8989" i="1"/>
  <c r="C8988" i="1"/>
  <c r="C8987" i="1"/>
  <c r="C8986" i="1"/>
  <c r="C8985" i="1"/>
  <c r="C8984" i="1"/>
  <c r="C8983" i="1"/>
  <c r="C8982" i="1"/>
  <c r="C8981" i="1"/>
  <c r="C8980" i="1"/>
  <c r="C8979" i="1"/>
  <c r="C8978" i="1"/>
  <c r="C8977" i="1"/>
  <c r="C8976" i="1"/>
  <c r="C8975" i="1"/>
  <c r="C8974" i="1"/>
  <c r="C8973" i="1"/>
  <c r="C8972" i="1"/>
  <c r="C8971" i="1"/>
  <c r="C8970" i="1"/>
  <c r="C8969" i="1"/>
  <c r="C8968" i="1"/>
  <c r="C8967" i="1"/>
  <c r="C8966" i="1"/>
  <c r="C8965" i="1"/>
  <c r="C8964" i="1"/>
  <c r="C8963" i="1"/>
  <c r="C8962" i="1"/>
  <c r="C8961" i="1"/>
  <c r="C8960" i="1"/>
  <c r="C8959" i="1"/>
  <c r="C8958" i="1"/>
  <c r="C8957" i="1"/>
  <c r="C8956" i="1"/>
  <c r="C8955" i="1"/>
  <c r="C8954" i="1"/>
  <c r="C8953" i="1"/>
  <c r="C8952" i="1"/>
  <c r="C8951" i="1"/>
  <c r="C8950" i="1"/>
  <c r="C8949" i="1"/>
  <c r="C8948" i="1"/>
  <c r="C8947" i="1"/>
  <c r="C8946" i="1"/>
  <c r="C8945" i="1"/>
  <c r="C8944" i="1"/>
  <c r="C8943" i="1"/>
  <c r="C8942" i="1"/>
  <c r="C8941" i="1"/>
  <c r="C8940" i="1"/>
  <c r="C8939" i="1"/>
  <c r="C8938" i="1"/>
  <c r="C8937" i="1"/>
  <c r="C8936" i="1"/>
  <c r="C8935" i="1"/>
  <c r="C8934" i="1"/>
  <c r="C8933" i="1"/>
  <c r="C8932" i="1"/>
  <c r="C8931" i="1"/>
  <c r="C8930" i="1"/>
  <c r="C8929" i="1"/>
  <c r="C8928" i="1"/>
  <c r="C8927" i="1"/>
  <c r="C8926" i="1"/>
  <c r="C8925" i="1"/>
  <c r="C8924" i="1"/>
  <c r="C8923" i="1"/>
  <c r="C8922" i="1"/>
  <c r="C8921" i="1"/>
  <c r="C8920" i="1"/>
  <c r="C8919" i="1"/>
  <c r="C8918" i="1"/>
  <c r="C8917" i="1"/>
  <c r="C8916" i="1"/>
  <c r="C8915" i="1"/>
  <c r="C8914" i="1"/>
  <c r="C8913" i="1"/>
  <c r="C8912" i="1"/>
  <c r="C8911" i="1"/>
  <c r="C8910" i="1"/>
  <c r="C8909" i="1"/>
  <c r="C8908" i="1"/>
  <c r="C8907" i="1"/>
  <c r="C8906" i="1"/>
  <c r="C8905" i="1"/>
  <c r="C8904" i="1"/>
  <c r="C8903" i="1"/>
  <c r="C8902" i="1"/>
  <c r="C8901" i="1"/>
  <c r="C8900" i="1"/>
  <c r="C8899" i="1"/>
  <c r="C8898" i="1"/>
  <c r="C8897" i="1"/>
  <c r="C8896" i="1"/>
  <c r="C8895" i="1"/>
  <c r="C8894" i="1"/>
  <c r="C8893" i="1"/>
  <c r="C8892" i="1"/>
  <c r="C8891" i="1"/>
  <c r="C8890" i="1"/>
  <c r="C8889" i="1"/>
  <c r="C8888" i="1"/>
  <c r="C8887" i="1"/>
  <c r="C8886" i="1"/>
  <c r="C8885" i="1"/>
  <c r="C8884" i="1"/>
  <c r="C8883" i="1"/>
  <c r="C8882" i="1"/>
  <c r="C8881" i="1"/>
  <c r="C8880" i="1"/>
  <c r="C8879" i="1"/>
  <c r="C8878" i="1"/>
  <c r="C8877" i="1"/>
  <c r="C8876" i="1"/>
  <c r="C8875" i="1"/>
  <c r="C8874" i="1"/>
  <c r="C8873" i="1"/>
  <c r="C8872" i="1"/>
  <c r="C8871" i="1"/>
  <c r="C8870" i="1"/>
  <c r="C8869" i="1"/>
  <c r="C8868" i="1"/>
  <c r="C8867" i="1"/>
  <c r="C8866" i="1"/>
  <c r="C8865" i="1"/>
  <c r="C8864" i="1"/>
  <c r="C8863" i="1"/>
  <c r="C8862" i="1"/>
  <c r="C8861" i="1"/>
  <c r="C8860" i="1"/>
  <c r="C8859" i="1"/>
  <c r="C8858" i="1"/>
  <c r="C8857" i="1"/>
  <c r="C8856" i="1"/>
  <c r="C8855" i="1"/>
  <c r="C8854" i="1"/>
  <c r="C8853" i="1"/>
  <c r="C8852" i="1"/>
  <c r="C8851" i="1"/>
  <c r="C8850" i="1"/>
  <c r="C8849" i="1"/>
  <c r="C8848" i="1"/>
  <c r="C8847" i="1"/>
  <c r="C8846" i="1"/>
  <c r="C8845" i="1"/>
  <c r="C8844" i="1"/>
  <c r="C8843" i="1"/>
  <c r="C8842" i="1"/>
  <c r="C8841" i="1"/>
  <c r="C8840" i="1"/>
  <c r="C8839" i="1"/>
  <c r="C8838" i="1"/>
  <c r="C8837" i="1"/>
  <c r="C8836" i="1"/>
  <c r="C8835" i="1"/>
  <c r="C8834" i="1"/>
  <c r="C8833" i="1"/>
  <c r="C8832" i="1"/>
  <c r="C8831" i="1"/>
  <c r="C8830" i="1"/>
  <c r="C8829" i="1"/>
  <c r="C8828" i="1"/>
  <c r="C8827" i="1"/>
  <c r="C8826" i="1"/>
  <c r="C8825" i="1"/>
  <c r="C8824" i="1"/>
  <c r="C8823" i="1"/>
  <c r="C8822" i="1"/>
  <c r="C8821" i="1"/>
  <c r="C8820" i="1"/>
  <c r="C8819" i="1"/>
  <c r="C8818" i="1"/>
  <c r="C8817" i="1"/>
  <c r="C8816" i="1"/>
  <c r="C8815" i="1"/>
  <c r="C8814" i="1"/>
  <c r="C8813" i="1"/>
  <c r="C8812" i="1"/>
  <c r="C8811" i="1"/>
  <c r="C8810" i="1"/>
  <c r="C8809" i="1"/>
  <c r="C8808" i="1"/>
  <c r="C8807" i="1"/>
  <c r="C8806" i="1"/>
  <c r="C8805" i="1"/>
  <c r="C8804" i="1"/>
  <c r="C8803" i="1"/>
  <c r="C8802" i="1"/>
  <c r="C8801" i="1"/>
  <c r="C8800" i="1"/>
  <c r="C8799" i="1"/>
  <c r="C8798" i="1"/>
  <c r="C8797" i="1"/>
  <c r="C8796" i="1"/>
  <c r="C8795" i="1"/>
  <c r="C8794" i="1"/>
  <c r="C8793" i="1"/>
  <c r="C8792" i="1"/>
  <c r="C8791" i="1"/>
  <c r="C8790" i="1"/>
  <c r="C8789" i="1"/>
  <c r="C8788" i="1"/>
  <c r="C8787" i="1"/>
  <c r="C8786" i="1"/>
  <c r="C8785" i="1"/>
  <c r="C8784" i="1"/>
  <c r="C8783" i="1"/>
  <c r="C8782" i="1"/>
  <c r="C8781" i="1"/>
  <c r="C8780" i="1"/>
  <c r="C8779" i="1"/>
  <c r="C8778" i="1"/>
  <c r="C8777" i="1"/>
  <c r="C8776" i="1"/>
  <c r="C8775" i="1"/>
  <c r="C8774" i="1"/>
  <c r="C8773" i="1"/>
  <c r="C8772" i="1"/>
  <c r="C8771" i="1"/>
  <c r="C8770" i="1"/>
  <c r="C8769" i="1"/>
  <c r="C8768" i="1"/>
  <c r="C8767" i="1"/>
  <c r="C8766" i="1"/>
  <c r="C8765" i="1"/>
  <c r="C8764" i="1"/>
  <c r="C8763" i="1"/>
  <c r="C8762" i="1"/>
  <c r="C8761" i="1"/>
  <c r="C8760" i="1"/>
  <c r="C8759" i="1"/>
  <c r="C8758" i="1"/>
  <c r="C8757" i="1"/>
  <c r="C8756" i="1"/>
  <c r="C8755" i="1"/>
  <c r="C8754" i="1"/>
  <c r="C8753" i="1"/>
  <c r="C8752" i="1"/>
  <c r="C8751" i="1"/>
  <c r="C8750" i="1"/>
  <c r="C8749" i="1"/>
  <c r="C8748" i="1"/>
  <c r="C8747" i="1"/>
  <c r="C8746" i="1"/>
  <c r="C8745" i="1"/>
  <c r="C8744" i="1"/>
  <c r="C8743" i="1"/>
  <c r="C8742" i="1"/>
  <c r="C8741" i="1"/>
  <c r="C8740" i="1"/>
  <c r="C8739" i="1"/>
  <c r="C8738" i="1"/>
  <c r="C8737" i="1"/>
  <c r="C8736" i="1"/>
  <c r="C8735" i="1"/>
  <c r="C8734" i="1"/>
  <c r="C8733" i="1"/>
  <c r="C8732" i="1"/>
  <c r="C8731" i="1"/>
  <c r="C8730" i="1"/>
  <c r="C8729" i="1"/>
  <c r="C8728" i="1"/>
  <c r="C8727" i="1"/>
  <c r="C8726" i="1"/>
  <c r="C8725" i="1"/>
  <c r="C8724" i="1"/>
  <c r="C8723" i="1"/>
  <c r="C8722" i="1"/>
  <c r="C8721" i="1"/>
  <c r="C8720" i="1"/>
  <c r="C8719" i="1"/>
  <c r="C8718" i="1"/>
  <c r="C8717" i="1"/>
  <c r="C8716" i="1"/>
  <c r="C8715" i="1"/>
  <c r="C8714" i="1"/>
  <c r="C8713" i="1"/>
  <c r="C8712" i="1"/>
  <c r="C8711" i="1"/>
  <c r="C8710" i="1"/>
  <c r="C8709" i="1"/>
  <c r="C8708" i="1"/>
  <c r="C8707" i="1"/>
  <c r="C8706" i="1"/>
  <c r="C8705" i="1"/>
  <c r="C8704" i="1"/>
  <c r="C8703" i="1"/>
  <c r="C8702" i="1"/>
  <c r="C8701" i="1"/>
  <c r="C8700" i="1"/>
  <c r="C8699" i="1"/>
  <c r="C8698" i="1"/>
  <c r="C8697" i="1"/>
  <c r="C8696" i="1"/>
  <c r="C8695" i="1"/>
  <c r="C8694" i="1"/>
  <c r="C8693" i="1"/>
  <c r="C8692" i="1"/>
  <c r="C8691" i="1"/>
  <c r="C8690" i="1"/>
  <c r="C8689" i="1"/>
  <c r="C8688" i="1"/>
  <c r="C8687" i="1"/>
  <c r="C8686" i="1"/>
  <c r="C8685" i="1"/>
  <c r="C8684" i="1"/>
  <c r="C8683" i="1"/>
  <c r="C8682" i="1"/>
  <c r="C8681" i="1"/>
  <c r="C8680" i="1"/>
  <c r="C8679" i="1"/>
  <c r="C8678" i="1"/>
  <c r="C8677" i="1"/>
  <c r="C8676" i="1"/>
  <c r="C8675" i="1"/>
  <c r="C8674" i="1"/>
  <c r="C8673" i="1"/>
  <c r="C8672" i="1"/>
  <c r="C8671" i="1"/>
  <c r="C8670" i="1"/>
  <c r="C8669" i="1"/>
  <c r="C8668" i="1"/>
  <c r="C8667" i="1"/>
  <c r="C8666" i="1"/>
  <c r="C8665" i="1"/>
  <c r="C8664" i="1"/>
  <c r="C8663" i="1"/>
  <c r="C8662" i="1"/>
  <c r="C8661" i="1"/>
  <c r="C8660" i="1"/>
  <c r="C8659" i="1"/>
  <c r="C8658" i="1"/>
  <c r="C8657" i="1"/>
  <c r="C8656" i="1"/>
  <c r="C8655" i="1"/>
  <c r="C8654" i="1"/>
  <c r="C8653" i="1"/>
  <c r="C8652" i="1"/>
  <c r="C8651" i="1"/>
  <c r="C8650" i="1"/>
  <c r="C8649" i="1"/>
  <c r="C8648" i="1"/>
  <c r="C8647" i="1"/>
  <c r="C8646" i="1"/>
  <c r="C8645" i="1"/>
  <c r="C8644" i="1"/>
  <c r="C8643" i="1"/>
  <c r="C8642" i="1"/>
  <c r="C8641" i="1"/>
  <c r="C8640" i="1"/>
  <c r="C8639" i="1"/>
  <c r="C8638" i="1"/>
  <c r="C8637" i="1"/>
  <c r="C8636" i="1"/>
  <c r="C8635" i="1"/>
  <c r="C8634" i="1"/>
  <c r="C8633" i="1"/>
  <c r="C8632" i="1"/>
  <c r="C8631" i="1"/>
  <c r="C8630" i="1"/>
  <c r="C8629" i="1"/>
  <c r="C8628" i="1"/>
  <c r="C8627" i="1"/>
  <c r="C8626" i="1"/>
  <c r="C8625" i="1"/>
  <c r="C8624" i="1"/>
  <c r="C8623" i="1"/>
  <c r="C8622" i="1"/>
  <c r="C8621" i="1"/>
  <c r="C8620" i="1"/>
  <c r="C8619" i="1"/>
  <c r="C8618" i="1"/>
  <c r="C8617" i="1"/>
  <c r="C8616" i="1"/>
  <c r="C8615" i="1"/>
  <c r="C8614" i="1"/>
  <c r="C8613" i="1"/>
  <c r="C8612" i="1"/>
  <c r="C8611" i="1"/>
  <c r="C8610" i="1"/>
  <c r="C8609" i="1"/>
  <c r="C8608" i="1"/>
  <c r="C8607" i="1"/>
  <c r="C8606" i="1"/>
  <c r="C8605" i="1"/>
  <c r="C8604" i="1"/>
  <c r="C8603" i="1"/>
  <c r="C8602" i="1"/>
  <c r="C8601" i="1"/>
  <c r="C8600" i="1"/>
  <c r="C8599" i="1"/>
  <c r="C8598" i="1"/>
  <c r="C8597" i="1"/>
  <c r="C8596" i="1"/>
  <c r="C8595" i="1"/>
  <c r="C8594" i="1"/>
  <c r="C8593" i="1"/>
  <c r="C8592" i="1"/>
  <c r="C8591" i="1"/>
  <c r="C8590" i="1"/>
  <c r="C8589" i="1"/>
  <c r="C8588" i="1"/>
  <c r="C8587" i="1"/>
  <c r="C8586" i="1"/>
  <c r="C8585" i="1"/>
  <c r="C8584" i="1"/>
  <c r="C8583" i="1"/>
  <c r="C8582" i="1"/>
  <c r="C8581" i="1"/>
  <c r="C8580" i="1"/>
  <c r="C8579" i="1"/>
  <c r="C8578" i="1"/>
  <c r="C8577" i="1"/>
  <c r="C8576" i="1"/>
  <c r="C8575" i="1"/>
  <c r="C8574" i="1"/>
  <c r="C8573" i="1"/>
  <c r="C8572" i="1"/>
  <c r="C8571" i="1"/>
  <c r="C8570" i="1"/>
  <c r="C8569" i="1"/>
  <c r="C8568" i="1"/>
  <c r="C8567" i="1"/>
  <c r="C8566" i="1"/>
  <c r="C8565" i="1"/>
  <c r="C8564" i="1"/>
  <c r="C8563" i="1"/>
  <c r="C8562" i="1"/>
  <c r="C8561" i="1"/>
  <c r="C8560" i="1"/>
  <c r="C8559" i="1"/>
  <c r="C8558" i="1"/>
  <c r="C8557" i="1"/>
  <c r="C8556" i="1"/>
  <c r="C8555" i="1"/>
  <c r="C8554" i="1"/>
  <c r="C8553" i="1"/>
  <c r="C8552" i="1"/>
  <c r="C8551" i="1"/>
  <c r="C8550" i="1"/>
  <c r="C8549" i="1"/>
  <c r="C8548" i="1"/>
  <c r="C8547" i="1"/>
  <c r="C8546" i="1"/>
  <c r="C8545" i="1"/>
  <c r="C8544" i="1"/>
  <c r="C8543" i="1"/>
  <c r="C8542" i="1"/>
  <c r="C8541" i="1"/>
  <c r="C8540" i="1"/>
  <c r="C8539" i="1"/>
  <c r="C8538" i="1"/>
  <c r="C8537" i="1"/>
  <c r="C8536" i="1"/>
  <c r="C8535" i="1"/>
  <c r="C8534" i="1"/>
  <c r="C8533" i="1"/>
  <c r="C8532" i="1"/>
  <c r="C8531" i="1"/>
  <c r="C8530" i="1"/>
  <c r="C8529" i="1"/>
  <c r="C8528" i="1"/>
  <c r="C8527" i="1"/>
  <c r="C8526" i="1"/>
  <c r="C8525" i="1"/>
  <c r="C8524" i="1"/>
  <c r="C8523" i="1"/>
  <c r="C8522" i="1"/>
  <c r="C8521" i="1"/>
  <c r="C8520" i="1"/>
  <c r="C8519" i="1"/>
  <c r="C8518" i="1"/>
  <c r="C8517" i="1"/>
  <c r="C8516" i="1"/>
  <c r="C8515" i="1"/>
  <c r="C8514" i="1"/>
  <c r="C8513" i="1"/>
  <c r="C8512" i="1"/>
  <c r="C8511" i="1"/>
  <c r="C8510" i="1"/>
  <c r="C8509" i="1"/>
  <c r="C8508" i="1"/>
  <c r="C8507" i="1"/>
  <c r="C8506" i="1"/>
  <c r="C8505" i="1"/>
  <c r="C8504" i="1"/>
  <c r="C8503" i="1"/>
  <c r="C8502" i="1"/>
  <c r="C8501" i="1"/>
  <c r="C8500" i="1"/>
  <c r="C8499" i="1"/>
  <c r="C8498" i="1"/>
  <c r="C8497" i="1"/>
  <c r="C8496" i="1"/>
  <c r="C8495" i="1"/>
  <c r="C8494" i="1"/>
  <c r="C8493" i="1"/>
  <c r="C8492" i="1"/>
  <c r="C8491" i="1"/>
  <c r="C8490" i="1"/>
  <c r="C8489" i="1"/>
  <c r="C8488" i="1"/>
  <c r="C8487" i="1"/>
  <c r="C8486" i="1"/>
  <c r="C8485" i="1"/>
  <c r="C8484" i="1"/>
  <c r="C8483" i="1"/>
  <c r="C8482" i="1"/>
  <c r="C8481" i="1"/>
  <c r="C8480" i="1"/>
  <c r="C8479" i="1"/>
  <c r="C8478" i="1"/>
  <c r="C8477" i="1"/>
  <c r="C8476" i="1"/>
  <c r="C8475" i="1"/>
  <c r="C8474" i="1"/>
  <c r="C8473" i="1"/>
  <c r="C8472" i="1"/>
  <c r="C8471" i="1"/>
  <c r="C8470" i="1"/>
  <c r="C8469" i="1"/>
  <c r="C8468" i="1"/>
  <c r="C8467" i="1"/>
  <c r="C8466" i="1"/>
  <c r="C8465" i="1"/>
  <c r="C8464" i="1"/>
  <c r="C8463" i="1"/>
  <c r="C8462" i="1"/>
  <c r="C8461" i="1"/>
  <c r="C8460" i="1"/>
  <c r="C8459" i="1"/>
  <c r="C8458" i="1"/>
  <c r="C8457" i="1"/>
  <c r="C8456" i="1"/>
  <c r="C8455" i="1"/>
  <c r="C8454" i="1"/>
  <c r="C8453" i="1"/>
  <c r="C8452" i="1"/>
  <c r="C8451" i="1"/>
  <c r="C8450" i="1"/>
  <c r="C8449" i="1"/>
  <c r="C8448" i="1"/>
  <c r="C8447" i="1"/>
  <c r="C8446" i="1"/>
  <c r="C8445" i="1"/>
  <c r="C8444" i="1"/>
  <c r="C8443" i="1"/>
  <c r="C8442" i="1"/>
  <c r="C8441" i="1"/>
  <c r="C8440" i="1"/>
  <c r="C8439" i="1"/>
  <c r="C8438" i="1"/>
  <c r="C8437" i="1"/>
  <c r="C8436" i="1"/>
  <c r="C8435" i="1"/>
  <c r="C8434" i="1"/>
  <c r="C8433" i="1"/>
  <c r="C8432" i="1"/>
  <c r="C8431" i="1"/>
  <c r="C8430" i="1"/>
  <c r="C8429" i="1"/>
  <c r="C8428" i="1"/>
  <c r="C8427" i="1"/>
  <c r="C8426" i="1"/>
  <c r="C8425" i="1"/>
  <c r="C8424" i="1"/>
  <c r="C8423" i="1"/>
  <c r="C8422" i="1"/>
  <c r="C8421" i="1"/>
  <c r="C8420" i="1"/>
  <c r="C8419" i="1"/>
  <c r="C8418" i="1"/>
  <c r="C8417" i="1"/>
  <c r="C8416" i="1"/>
  <c r="C8415" i="1"/>
  <c r="C8414" i="1"/>
  <c r="C8413" i="1"/>
  <c r="C8412" i="1"/>
  <c r="C8411" i="1"/>
  <c r="C8410" i="1"/>
  <c r="C8409" i="1"/>
  <c r="C8408" i="1"/>
  <c r="C8407" i="1"/>
  <c r="C8406" i="1"/>
  <c r="C8405" i="1"/>
  <c r="C8404" i="1"/>
  <c r="C8403" i="1"/>
  <c r="C8402" i="1"/>
  <c r="C8401" i="1"/>
  <c r="C8400" i="1"/>
  <c r="C8399" i="1"/>
  <c r="C8398" i="1"/>
  <c r="C8397" i="1"/>
  <c r="C8396" i="1"/>
  <c r="C8395" i="1"/>
  <c r="C8394" i="1"/>
  <c r="C8393" i="1"/>
  <c r="C8392" i="1"/>
  <c r="C8391" i="1"/>
  <c r="C8390" i="1"/>
  <c r="C8389" i="1"/>
  <c r="C8388" i="1"/>
  <c r="C8387" i="1"/>
  <c r="C8386" i="1"/>
  <c r="C8385" i="1"/>
  <c r="C8384" i="1"/>
  <c r="C8383" i="1"/>
  <c r="C8382" i="1"/>
  <c r="C8381" i="1"/>
  <c r="C8380" i="1"/>
  <c r="C8379" i="1"/>
  <c r="C8378" i="1"/>
  <c r="C8377" i="1"/>
  <c r="C8376" i="1"/>
  <c r="C8375" i="1"/>
  <c r="C8374" i="1"/>
  <c r="C8373" i="1"/>
  <c r="C8372" i="1"/>
  <c r="C8371" i="1"/>
  <c r="C8370" i="1"/>
  <c r="C8369" i="1"/>
  <c r="C8368" i="1"/>
  <c r="C8367" i="1"/>
  <c r="C8366" i="1"/>
  <c r="C8365" i="1"/>
  <c r="C8364" i="1"/>
  <c r="C8363" i="1"/>
  <c r="C8362" i="1"/>
  <c r="C8361" i="1"/>
  <c r="C8360" i="1"/>
  <c r="C8359" i="1"/>
  <c r="C8358" i="1"/>
  <c r="C8357" i="1"/>
  <c r="C8356" i="1"/>
  <c r="C8355" i="1"/>
  <c r="C8354" i="1"/>
  <c r="C8353" i="1"/>
  <c r="C8352" i="1"/>
  <c r="C8351" i="1"/>
  <c r="C8350" i="1"/>
  <c r="C8349" i="1"/>
  <c r="C8348" i="1"/>
  <c r="C8347" i="1"/>
  <c r="C8346" i="1"/>
  <c r="C8345" i="1"/>
  <c r="C8344" i="1"/>
  <c r="C8343" i="1"/>
  <c r="C8342" i="1"/>
  <c r="C8341" i="1"/>
  <c r="C8340" i="1"/>
  <c r="C8339" i="1"/>
  <c r="C8338" i="1"/>
  <c r="C8337" i="1"/>
  <c r="C8336" i="1"/>
  <c r="C8335" i="1"/>
  <c r="C8334" i="1"/>
  <c r="C8333" i="1"/>
  <c r="C8332" i="1"/>
  <c r="C8331" i="1"/>
  <c r="C8330" i="1"/>
  <c r="C8329" i="1"/>
  <c r="C8328" i="1"/>
  <c r="C8327" i="1"/>
  <c r="C8326" i="1"/>
  <c r="C8325" i="1"/>
  <c r="C8324" i="1"/>
  <c r="C8323" i="1"/>
  <c r="C8322" i="1"/>
  <c r="C8321" i="1"/>
  <c r="C8320" i="1"/>
  <c r="C8319" i="1"/>
  <c r="C8318" i="1"/>
  <c r="C8317" i="1"/>
  <c r="C8316" i="1"/>
  <c r="C8315" i="1"/>
  <c r="C8314" i="1"/>
  <c r="C8313" i="1"/>
  <c r="C8312" i="1"/>
  <c r="C8311" i="1"/>
  <c r="C8310" i="1"/>
  <c r="C8309" i="1"/>
  <c r="C8308" i="1"/>
  <c r="C8307" i="1"/>
  <c r="C8306" i="1"/>
  <c r="C8305" i="1"/>
  <c r="C8304" i="1"/>
  <c r="C8303" i="1"/>
  <c r="C8302" i="1"/>
  <c r="C8301" i="1"/>
  <c r="C8300" i="1"/>
  <c r="C8299" i="1"/>
  <c r="C8298" i="1"/>
  <c r="C8297" i="1"/>
  <c r="C8296" i="1"/>
  <c r="C8295" i="1"/>
  <c r="C8294" i="1"/>
  <c r="C8293" i="1"/>
  <c r="C8292" i="1"/>
  <c r="C8291" i="1"/>
  <c r="C8290" i="1"/>
  <c r="C8289" i="1"/>
  <c r="C8288" i="1"/>
  <c r="C8287" i="1"/>
  <c r="C8286" i="1"/>
  <c r="C8285" i="1"/>
  <c r="C8284" i="1"/>
  <c r="C8283" i="1"/>
  <c r="C8282" i="1"/>
  <c r="C8281" i="1"/>
  <c r="C8280" i="1"/>
  <c r="C8279" i="1"/>
  <c r="C8278" i="1"/>
  <c r="C8277" i="1"/>
  <c r="C8276" i="1"/>
  <c r="C8275" i="1"/>
  <c r="C8274" i="1"/>
  <c r="C8273" i="1"/>
  <c r="C8272" i="1"/>
  <c r="C8271" i="1"/>
  <c r="C8270" i="1"/>
  <c r="C8269" i="1"/>
  <c r="C8268" i="1"/>
  <c r="C8267" i="1"/>
  <c r="C8266" i="1"/>
  <c r="C8265" i="1"/>
  <c r="C8264" i="1"/>
  <c r="C8263" i="1"/>
  <c r="C8262" i="1"/>
  <c r="C8261" i="1"/>
  <c r="C8260" i="1"/>
  <c r="C8259" i="1"/>
  <c r="C8258" i="1"/>
  <c r="C8257" i="1"/>
  <c r="C8256" i="1"/>
  <c r="C8255" i="1"/>
  <c r="C8254" i="1"/>
  <c r="C8253" i="1"/>
  <c r="C8252" i="1"/>
  <c r="C8251" i="1"/>
  <c r="C8250" i="1"/>
  <c r="C8249" i="1"/>
  <c r="C8248" i="1"/>
  <c r="C8247" i="1"/>
  <c r="C8246" i="1"/>
  <c r="C8245" i="1"/>
  <c r="C8244" i="1"/>
  <c r="C8243" i="1"/>
  <c r="C8242" i="1"/>
  <c r="C8241" i="1"/>
  <c r="C8240" i="1"/>
  <c r="C8239" i="1"/>
  <c r="C8238" i="1"/>
  <c r="C8237" i="1"/>
  <c r="C8236" i="1"/>
  <c r="C8235" i="1"/>
  <c r="C8234" i="1"/>
  <c r="C8233" i="1"/>
  <c r="C8232" i="1"/>
  <c r="C8231" i="1"/>
  <c r="C8230" i="1"/>
  <c r="C8229" i="1"/>
  <c r="C8228" i="1"/>
  <c r="C8227" i="1"/>
  <c r="C8226" i="1"/>
  <c r="C8225" i="1"/>
  <c r="C8224" i="1"/>
  <c r="C8223" i="1"/>
  <c r="C8222" i="1"/>
  <c r="C8221" i="1"/>
  <c r="C8220" i="1"/>
  <c r="C8219" i="1"/>
  <c r="C8218" i="1"/>
  <c r="C8217" i="1"/>
  <c r="C8216" i="1"/>
  <c r="C8215" i="1"/>
  <c r="C8214" i="1"/>
  <c r="C8213" i="1"/>
  <c r="C8212" i="1"/>
  <c r="C8211" i="1"/>
  <c r="C8210" i="1"/>
  <c r="C8209" i="1"/>
  <c r="C8208" i="1"/>
  <c r="C8207" i="1"/>
  <c r="C8206" i="1"/>
  <c r="C8205" i="1"/>
  <c r="C8204" i="1"/>
  <c r="C8203" i="1"/>
  <c r="C8202" i="1"/>
  <c r="C8201" i="1"/>
  <c r="C8200" i="1"/>
  <c r="C8199" i="1"/>
  <c r="C8198" i="1"/>
  <c r="C8197" i="1"/>
  <c r="C8196" i="1"/>
  <c r="C8195" i="1"/>
  <c r="C8194" i="1"/>
  <c r="C8193" i="1"/>
  <c r="C8192" i="1"/>
  <c r="C8191" i="1"/>
  <c r="C8190" i="1"/>
  <c r="C8189" i="1"/>
  <c r="C8188" i="1"/>
  <c r="C8187" i="1"/>
  <c r="C8186" i="1"/>
  <c r="C8185" i="1"/>
  <c r="C8184" i="1"/>
  <c r="C8183" i="1"/>
  <c r="C8182" i="1"/>
  <c r="C8181" i="1"/>
  <c r="C8180" i="1"/>
  <c r="C8179" i="1"/>
  <c r="C8178" i="1"/>
  <c r="C8177" i="1"/>
  <c r="C8176" i="1"/>
  <c r="C8175" i="1"/>
  <c r="C8174" i="1"/>
  <c r="C8173" i="1"/>
  <c r="C8172" i="1"/>
  <c r="C8171" i="1"/>
  <c r="C8170" i="1"/>
  <c r="C8169" i="1"/>
  <c r="C8168" i="1"/>
  <c r="C8167" i="1"/>
  <c r="C8166" i="1"/>
  <c r="C8165" i="1"/>
  <c r="C8164" i="1"/>
  <c r="C8163" i="1"/>
  <c r="C8162" i="1"/>
  <c r="C8161" i="1"/>
  <c r="C8160" i="1"/>
  <c r="C8159" i="1"/>
  <c r="C8158" i="1"/>
  <c r="C8157" i="1"/>
  <c r="C8156" i="1"/>
  <c r="C8155" i="1"/>
  <c r="C8154" i="1"/>
  <c r="C8153" i="1"/>
  <c r="C8152" i="1"/>
  <c r="C8151" i="1"/>
  <c r="C8150" i="1"/>
  <c r="C8149" i="1"/>
  <c r="C8148" i="1"/>
  <c r="C8147" i="1"/>
  <c r="C8146" i="1"/>
  <c r="C8145" i="1"/>
  <c r="C8144" i="1"/>
  <c r="C8143" i="1"/>
  <c r="C8142" i="1"/>
  <c r="C8141" i="1"/>
  <c r="C8140" i="1"/>
  <c r="C8139" i="1"/>
  <c r="C8138" i="1"/>
  <c r="C8137" i="1"/>
  <c r="C8136" i="1"/>
  <c r="C8135" i="1"/>
  <c r="C8134" i="1"/>
  <c r="C8133" i="1"/>
  <c r="C8132" i="1"/>
  <c r="C8131" i="1"/>
  <c r="C8130" i="1"/>
  <c r="C8129" i="1"/>
  <c r="C8128" i="1"/>
  <c r="C8127" i="1"/>
  <c r="C8126" i="1"/>
  <c r="C8125" i="1"/>
  <c r="C8124" i="1"/>
  <c r="C8123" i="1"/>
  <c r="C8122" i="1"/>
  <c r="C8121" i="1"/>
  <c r="C8120" i="1"/>
  <c r="C8119" i="1"/>
  <c r="C8118" i="1"/>
  <c r="C8117" i="1"/>
  <c r="C8116" i="1"/>
  <c r="C8115" i="1"/>
  <c r="C8114" i="1"/>
  <c r="C8113" i="1"/>
  <c r="C8112" i="1"/>
  <c r="C8111" i="1"/>
  <c r="C8110" i="1"/>
  <c r="C8109" i="1"/>
  <c r="C8108" i="1"/>
  <c r="C8107" i="1"/>
  <c r="C8106" i="1"/>
  <c r="C8105" i="1"/>
  <c r="C8104" i="1"/>
  <c r="C8103" i="1"/>
  <c r="C8102" i="1"/>
  <c r="C8101" i="1"/>
  <c r="C8100" i="1"/>
  <c r="C8099" i="1"/>
  <c r="C8098" i="1"/>
  <c r="C8097" i="1"/>
  <c r="C8096" i="1"/>
  <c r="C8095" i="1"/>
  <c r="C8094" i="1"/>
  <c r="C8093" i="1"/>
  <c r="C8092" i="1"/>
  <c r="C8091" i="1"/>
  <c r="C8090" i="1"/>
  <c r="C8089" i="1"/>
  <c r="C8088" i="1"/>
  <c r="C8087" i="1"/>
  <c r="C8086" i="1"/>
  <c r="C8085" i="1"/>
  <c r="C8084" i="1"/>
  <c r="C8083" i="1"/>
  <c r="C8082" i="1"/>
  <c r="C8081" i="1"/>
  <c r="C8080" i="1"/>
  <c r="C8079" i="1"/>
  <c r="C8078" i="1"/>
  <c r="C8077" i="1"/>
  <c r="C8076" i="1"/>
  <c r="C8075" i="1"/>
  <c r="C8074" i="1"/>
  <c r="C8073" i="1"/>
  <c r="C8072" i="1"/>
  <c r="C8071" i="1"/>
  <c r="C8070" i="1"/>
  <c r="C8069" i="1"/>
  <c r="C8068" i="1"/>
  <c r="C8067" i="1"/>
  <c r="C8066" i="1"/>
  <c r="C8065" i="1"/>
  <c r="C8064" i="1"/>
  <c r="C8063" i="1"/>
  <c r="C8062" i="1"/>
  <c r="C8061" i="1"/>
  <c r="C8060" i="1"/>
  <c r="C8059" i="1"/>
  <c r="C8058" i="1"/>
  <c r="C8057" i="1"/>
  <c r="C8056" i="1"/>
  <c r="C8055" i="1"/>
  <c r="C8054" i="1"/>
  <c r="C8053" i="1"/>
  <c r="C8052" i="1"/>
  <c r="C8051" i="1"/>
  <c r="C8050" i="1"/>
  <c r="C8049" i="1"/>
  <c r="C8048" i="1"/>
  <c r="C8047" i="1"/>
  <c r="C8046" i="1"/>
  <c r="C8045" i="1"/>
  <c r="C8044" i="1"/>
  <c r="C8043" i="1"/>
  <c r="C8042" i="1"/>
  <c r="C8041" i="1"/>
  <c r="C8040" i="1"/>
  <c r="C8039" i="1"/>
  <c r="C8038" i="1"/>
  <c r="C8037" i="1"/>
  <c r="C8036" i="1"/>
  <c r="C8035" i="1"/>
  <c r="C8034" i="1"/>
  <c r="C8033" i="1"/>
  <c r="C8032" i="1"/>
  <c r="C8031" i="1"/>
  <c r="C8030" i="1"/>
  <c r="C8029" i="1"/>
  <c r="C8028" i="1"/>
  <c r="C8027" i="1"/>
  <c r="C8026" i="1"/>
  <c r="C8025" i="1"/>
  <c r="C8024" i="1"/>
  <c r="C8023" i="1"/>
  <c r="C8022" i="1"/>
  <c r="C8021" i="1"/>
  <c r="C8020" i="1"/>
  <c r="C8019" i="1"/>
  <c r="C8018" i="1"/>
  <c r="C8017" i="1"/>
  <c r="C8016" i="1"/>
  <c r="C8015" i="1"/>
  <c r="C8014" i="1"/>
  <c r="C8013" i="1"/>
  <c r="C8012" i="1"/>
  <c r="C8011" i="1"/>
  <c r="C8010" i="1"/>
  <c r="C8009" i="1"/>
  <c r="C8008" i="1"/>
  <c r="C8007" i="1"/>
  <c r="C8006" i="1"/>
  <c r="C8005" i="1"/>
  <c r="C8004" i="1"/>
  <c r="C8003" i="1"/>
  <c r="C8002" i="1"/>
  <c r="C8001" i="1"/>
  <c r="C8000" i="1"/>
  <c r="C7999" i="1"/>
  <c r="C7998" i="1"/>
  <c r="C7997" i="1"/>
  <c r="C7996" i="1"/>
  <c r="C7995" i="1"/>
  <c r="C7994" i="1"/>
  <c r="C7993" i="1"/>
  <c r="C7992" i="1"/>
  <c r="C7991" i="1"/>
  <c r="C7990" i="1"/>
  <c r="C7989" i="1"/>
  <c r="C7988" i="1"/>
  <c r="C7987" i="1"/>
  <c r="C7986" i="1"/>
  <c r="C7985" i="1"/>
  <c r="C7984" i="1"/>
  <c r="C7983" i="1"/>
  <c r="C7982" i="1"/>
  <c r="C7981" i="1"/>
  <c r="C7980" i="1"/>
  <c r="C7979" i="1"/>
  <c r="C7978" i="1"/>
  <c r="C7977" i="1"/>
  <c r="C7976" i="1"/>
  <c r="C7975" i="1"/>
  <c r="C7974" i="1"/>
  <c r="C7973" i="1"/>
  <c r="C7972" i="1"/>
  <c r="C7971" i="1"/>
  <c r="C7970" i="1"/>
  <c r="C7969" i="1"/>
  <c r="C7968" i="1"/>
  <c r="C7967" i="1"/>
  <c r="C7966" i="1"/>
  <c r="C7965" i="1"/>
  <c r="C7964" i="1"/>
  <c r="C7963" i="1"/>
  <c r="C7962" i="1"/>
  <c r="C7961" i="1"/>
  <c r="C7960" i="1"/>
  <c r="C7959" i="1"/>
  <c r="C7958" i="1"/>
  <c r="C7957" i="1"/>
  <c r="C7956" i="1"/>
  <c r="C7955" i="1"/>
  <c r="C7954" i="1"/>
  <c r="C7953" i="1"/>
  <c r="C7952" i="1"/>
  <c r="C7951" i="1"/>
  <c r="C7950" i="1"/>
  <c r="C7949" i="1"/>
  <c r="C7948" i="1"/>
  <c r="C7947" i="1"/>
  <c r="C7946" i="1"/>
  <c r="C7945" i="1"/>
  <c r="C7944" i="1"/>
  <c r="C7943" i="1"/>
  <c r="C7942" i="1"/>
  <c r="C7941" i="1"/>
  <c r="C7940" i="1"/>
  <c r="C7939" i="1"/>
  <c r="C7938" i="1"/>
  <c r="C7937" i="1"/>
  <c r="C7936" i="1"/>
  <c r="C7935" i="1"/>
  <c r="C7934" i="1"/>
  <c r="C7933" i="1"/>
  <c r="C7932" i="1"/>
  <c r="C7931" i="1"/>
  <c r="C7930" i="1"/>
  <c r="C7929" i="1"/>
  <c r="C7928" i="1"/>
  <c r="C7927" i="1"/>
  <c r="C7926" i="1"/>
  <c r="C7925" i="1"/>
  <c r="C7924" i="1"/>
  <c r="C7923" i="1"/>
  <c r="C7922" i="1"/>
  <c r="C7921" i="1"/>
  <c r="C7920" i="1"/>
  <c r="C7919" i="1"/>
  <c r="C7918" i="1"/>
  <c r="C7917" i="1"/>
  <c r="C7916" i="1"/>
  <c r="C7915" i="1"/>
  <c r="C7914" i="1"/>
  <c r="C7913" i="1"/>
  <c r="C7912" i="1"/>
  <c r="C7911" i="1"/>
  <c r="C7910" i="1"/>
  <c r="C7909" i="1"/>
  <c r="C7908" i="1"/>
  <c r="C7907" i="1"/>
  <c r="C7906" i="1"/>
  <c r="C7905" i="1"/>
  <c r="C7904" i="1"/>
  <c r="C7903" i="1"/>
  <c r="C7902" i="1"/>
  <c r="C7901" i="1"/>
  <c r="C7900" i="1"/>
  <c r="C7899" i="1"/>
  <c r="C7898" i="1"/>
  <c r="C7897" i="1"/>
  <c r="C7896" i="1"/>
  <c r="C7895" i="1"/>
  <c r="C7894" i="1"/>
  <c r="C7893" i="1"/>
  <c r="C7892" i="1"/>
  <c r="C7891" i="1"/>
  <c r="C7890" i="1"/>
  <c r="C7889" i="1"/>
  <c r="C7888" i="1"/>
  <c r="C7887" i="1"/>
  <c r="C7886" i="1"/>
  <c r="C7885" i="1"/>
  <c r="C7884" i="1"/>
  <c r="C7883" i="1"/>
  <c r="C7882" i="1"/>
  <c r="C7881" i="1"/>
  <c r="C7880" i="1"/>
  <c r="C7879" i="1"/>
  <c r="C7878" i="1"/>
  <c r="C7877" i="1"/>
  <c r="C7876" i="1"/>
  <c r="C7875" i="1"/>
  <c r="C7874" i="1"/>
  <c r="C7873" i="1"/>
  <c r="C7872" i="1"/>
  <c r="C7871" i="1"/>
  <c r="C7870" i="1"/>
  <c r="C7869" i="1"/>
  <c r="C7868" i="1"/>
  <c r="C7867" i="1"/>
  <c r="C7866" i="1"/>
  <c r="C7865" i="1"/>
  <c r="C7864" i="1"/>
  <c r="C7863" i="1"/>
  <c r="C7862" i="1"/>
  <c r="C7861" i="1"/>
  <c r="C7860" i="1"/>
  <c r="C7859" i="1"/>
  <c r="C7858" i="1"/>
  <c r="C7857" i="1"/>
  <c r="C7856" i="1"/>
  <c r="C7855" i="1"/>
  <c r="C7854" i="1"/>
  <c r="C7853" i="1"/>
  <c r="C7852" i="1"/>
  <c r="C7851" i="1"/>
  <c r="C7850" i="1"/>
  <c r="C7849" i="1"/>
  <c r="C7848" i="1"/>
  <c r="C7847" i="1"/>
  <c r="C7846" i="1"/>
  <c r="C7845" i="1"/>
  <c r="C7844" i="1"/>
  <c r="C7843" i="1"/>
  <c r="C7842" i="1"/>
  <c r="C7841" i="1"/>
  <c r="C7840" i="1"/>
  <c r="C7839" i="1"/>
  <c r="C7838" i="1"/>
  <c r="C7837" i="1"/>
  <c r="C7836" i="1"/>
  <c r="C7835" i="1"/>
  <c r="C7834" i="1"/>
  <c r="C7833" i="1"/>
  <c r="C7832" i="1"/>
  <c r="C7831" i="1"/>
  <c r="C7830" i="1"/>
  <c r="C7829" i="1"/>
  <c r="C7828" i="1"/>
  <c r="C7827" i="1"/>
  <c r="C7826" i="1"/>
  <c r="C7825" i="1"/>
  <c r="C7824" i="1"/>
  <c r="C7823" i="1"/>
  <c r="C7822" i="1"/>
  <c r="C7821" i="1"/>
  <c r="C7820" i="1"/>
  <c r="C7819" i="1"/>
  <c r="C7818" i="1"/>
  <c r="C7817" i="1"/>
  <c r="C7816" i="1"/>
  <c r="C7815" i="1"/>
  <c r="C7814" i="1"/>
  <c r="C7813" i="1"/>
  <c r="C7812" i="1"/>
  <c r="C7811" i="1"/>
  <c r="C7810" i="1"/>
  <c r="C7809" i="1"/>
  <c r="C7808" i="1"/>
  <c r="C7807" i="1"/>
  <c r="C7806" i="1"/>
  <c r="C7805" i="1"/>
  <c r="C7804" i="1"/>
  <c r="C7803" i="1"/>
  <c r="C7802" i="1"/>
  <c r="C7801" i="1"/>
  <c r="C7800" i="1"/>
  <c r="C7799" i="1"/>
  <c r="C7798" i="1"/>
  <c r="C7797" i="1"/>
  <c r="C7796" i="1"/>
  <c r="C7795" i="1"/>
  <c r="C7794" i="1"/>
  <c r="C7793" i="1"/>
  <c r="C7792" i="1"/>
  <c r="C7791" i="1"/>
  <c r="C7790" i="1"/>
  <c r="C7789" i="1"/>
  <c r="C7788" i="1"/>
  <c r="C7787" i="1"/>
  <c r="C7786" i="1"/>
  <c r="C7785" i="1"/>
  <c r="C7784" i="1"/>
  <c r="C7783" i="1"/>
  <c r="C7782" i="1"/>
  <c r="C7781" i="1"/>
  <c r="C7780" i="1"/>
  <c r="C7779" i="1"/>
  <c r="C7778" i="1"/>
  <c r="C7777" i="1"/>
  <c r="C7776" i="1"/>
  <c r="C7775" i="1"/>
  <c r="C7774" i="1"/>
  <c r="C7773" i="1"/>
  <c r="C7772" i="1"/>
  <c r="C7771" i="1"/>
  <c r="C7770" i="1"/>
  <c r="C7769" i="1"/>
  <c r="C7768" i="1"/>
  <c r="C7767" i="1"/>
  <c r="C7766" i="1"/>
  <c r="C7765" i="1"/>
  <c r="C7764" i="1"/>
  <c r="C7763" i="1"/>
  <c r="C7762" i="1"/>
  <c r="C7761" i="1"/>
  <c r="C7760" i="1"/>
  <c r="C7759" i="1"/>
  <c r="C7758" i="1"/>
  <c r="C7757" i="1"/>
  <c r="C7756" i="1"/>
  <c r="C7755" i="1"/>
  <c r="C7754" i="1"/>
  <c r="C7753" i="1"/>
  <c r="C7752" i="1"/>
  <c r="C7751" i="1"/>
  <c r="C7750" i="1"/>
  <c r="C7749" i="1"/>
  <c r="C7748" i="1"/>
  <c r="C7747" i="1"/>
  <c r="C7746" i="1"/>
  <c r="C7745" i="1"/>
  <c r="C7744" i="1"/>
  <c r="C7743" i="1"/>
  <c r="C7742" i="1"/>
  <c r="C7741" i="1"/>
  <c r="C7740" i="1"/>
  <c r="C7739" i="1"/>
  <c r="C7738" i="1"/>
  <c r="C7737" i="1"/>
  <c r="C7736" i="1"/>
  <c r="C7735" i="1"/>
  <c r="C7734" i="1"/>
  <c r="C7733" i="1"/>
  <c r="C7732" i="1"/>
  <c r="C7731" i="1"/>
  <c r="C7730" i="1"/>
  <c r="C7729" i="1"/>
  <c r="C7728" i="1"/>
  <c r="C7727" i="1"/>
  <c r="C7726" i="1"/>
  <c r="C7725" i="1"/>
  <c r="C7724" i="1"/>
  <c r="C7723" i="1"/>
  <c r="C7722" i="1"/>
  <c r="C7721" i="1"/>
  <c r="C7720" i="1"/>
  <c r="C7719" i="1"/>
  <c r="C7718" i="1"/>
  <c r="C7717" i="1"/>
  <c r="C7716" i="1"/>
  <c r="C7715" i="1"/>
  <c r="C7714" i="1"/>
  <c r="C7713" i="1"/>
  <c r="C7712" i="1"/>
  <c r="C7711" i="1"/>
  <c r="C7710" i="1"/>
  <c r="C7709" i="1"/>
  <c r="C7708" i="1"/>
  <c r="C7707" i="1"/>
  <c r="C7706" i="1"/>
  <c r="C7705" i="1"/>
  <c r="C7704" i="1"/>
  <c r="C7703" i="1"/>
  <c r="C7702" i="1"/>
  <c r="C7701" i="1"/>
  <c r="C7700" i="1"/>
  <c r="C7699" i="1"/>
  <c r="C7698" i="1"/>
  <c r="C7697" i="1"/>
  <c r="C7696" i="1"/>
  <c r="C7695" i="1"/>
  <c r="C7694" i="1"/>
  <c r="C7693" i="1"/>
  <c r="C7692" i="1"/>
  <c r="C7691" i="1"/>
  <c r="C7690" i="1"/>
  <c r="C7689" i="1"/>
  <c r="C7688" i="1"/>
  <c r="C7687" i="1"/>
  <c r="C7686" i="1"/>
  <c r="C7685" i="1"/>
  <c r="C7684" i="1"/>
  <c r="C7683" i="1"/>
  <c r="C7682" i="1"/>
  <c r="C7681" i="1"/>
  <c r="C7680" i="1"/>
  <c r="C7679" i="1"/>
  <c r="C7678" i="1"/>
  <c r="C7677" i="1"/>
  <c r="C7676" i="1"/>
  <c r="C7675" i="1"/>
  <c r="C7674" i="1"/>
  <c r="C7673" i="1"/>
  <c r="C7672" i="1"/>
  <c r="C7671" i="1"/>
  <c r="C7670" i="1"/>
  <c r="C7669" i="1"/>
  <c r="C7668" i="1"/>
  <c r="C7667" i="1"/>
  <c r="C7666" i="1"/>
  <c r="C7665" i="1"/>
  <c r="C7664" i="1"/>
  <c r="C7663" i="1"/>
  <c r="C7662" i="1"/>
  <c r="C7661" i="1"/>
  <c r="C7660" i="1"/>
  <c r="C7659" i="1"/>
  <c r="C7658" i="1"/>
  <c r="C7657" i="1"/>
  <c r="C7656" i="1"/>
  <c r="C7655" i="1"/>
  <c r="C7654" i="1"/>
  <c r="C7653" i="1"/>
  <c r="C7652" i="1"/>
  <c r="C7651" i="1"/>
  <c r="C7650" i="1"/>
  <c r="C7649" i="1"/>
  <c r="C7648" i="1"/>
  <c r="C7647" i="1"/>
  <c r="C7646" i="1"/>
  <c r="C7645" i="1"/>
  <c r="C7644" i="1"/>
  <c r="C7643" i="1"/>
  <c r="C7642" i="1"/>
  <c r="C7641" i="1"/>
  <c r="C7640" i="1"/>
  <c r="C7639" i="1"/>
  <c r="C7638" i="1"/>
  <c r="C7637" i="1"/>
  <c r="C7636" i="1"/>
  <c r="C7635" i="1"/>
  <c r="C7634" i="1"/>
  <c r="C7633" i="1"/>
  <c r="C7632" i="1"/>
  <c r="C7631" i="1"/>
  <c r="C7630" i="1"/>
  <c r="C7629" i="1"/>
  <c r="C7628" i="1"/>
  <c r="C7627" i="1"/>
  <c r="C7626" i="1"/>
  <c r="C7625" i="1"/>
  <c r="C7624" i="1"/>
  <c r="C7623" i="1"/>
  <c r="C7622" i="1"/>
  <c r="C7621" i="1"/>
  <c r="C7620" i="1"/>
  <c r="C7619" i="1"/>
  <c r="C7618" i="1"/>
  <c r="C7617" i="1"/>
  <c r="C7616" i="1"/>
  <c r="C7615" i="1"/>
  <c r="C7614" i="1"/>
  <c r="C7613" i="1"/>
  <c r="C7612" i="1"/>
  <c r="C7611" i="1"/>
  <c r="C7610" i="1"/>
  <c r="C7609" i="1"/>
  <c r="C7608" i="1"/>
  <c r="C7607" i="1"/>
  <c r="C7606" i="1"/>
  <c r="C7605" i="1"/>
  <c r="C7604" i="1"/>
  <c r="C7603" i="1"/>
  <c r="C7602" i="1"/>
  <c r="C7601" i="1"/>
  <c r="C7600" i="1"/>
  <c r="C7599" i="1"/>
  <c r="C7598" i="1"/>
  <c r="C7597" i="1"/>
  <c r="C7596" i="1"/>
  <c r="C7595" i="1"/>
  <c r="C7594" i="1"/>
  <c r="C7593" i="1"/>
  <c r="C7592" i="1"/>
  <c r="C7591" i="1"/>
  <c r="C7590" i="1"/>
  <c r="C7589" i="1"/>
  <c r="C7588" i="1"/>
  <c r="C7587" i="1"/>
  <c r="C7586" i="1"/>
  <c r="C7585" i="1"/>
  <c r="C7584" i="1"/>
  <c r="C7583" i="1"/>
  <c r="C7582" i="1"/>
  <c r="C7581" i="1"/>
  <c r="C7580" i="1"/>
  <c r="C7579" i="1"/>
  <c r="C7578" i="1"/>
  <c r="C7577" i="1"/>
  <c r="C7576" i="1"/>
  <c r="C7575" i="1"/>
  <c r="C7574" i="1"/>
  <c r="C7573" i="1"/>
  <c r="C7572" i="1"/>
  <c r="C7571" i="1"/>
  <c r="C7570" i="1"/>
  <c r="C7569" i="1"/>
  <c r="C7568" i="1"/>
  <c r="C7567" i="1"/>
  <c r="C7566" i="1"/>
  <c r="C7565" i="1"/>
  <c r="C7564" i="1"/>
  <c r="C7563" i="1"/>
  <c r="C7562" i="1"/>
  <c r="C7561" i="1"/>
  <c r="C7560" i="1"/>
  <c r="C7559" i="1"/>
  <c r="C7558" i="1"/>
  <c r="C7557" i="1"/>
  <c r="C7556" i="1"/>
  <c r="C7555" i="1"/>
  <c r="C7554" i="1"/>
  <c r="C7553" i="1"/>
  <c r="C7552" i="1"/>
  <c r="C7551" i="1"/>
  <c r="C7550" i="1"/>
  <c r="C7549" i="1"/>
  <c r="C7548" i="1"/>
  <c r="C7547" i="1"/>
  <c r="C7546" i="1"/>
  <c r="C7545" i="1"/>
  <c r="C7544" i="1"/>
  <c r="C7543" i="1"/>
  <c r="C7542" i="1"/>
  <c r="C7541" i="1"/>
  <c r="C7540" i="1"/>
  <c r="C7539" i="1"/>
  <c r="C7538" i="1"/>
  <c r="C7537" i="1"/>
  <c r="C7536" i="1"/>
  <c r="C7535" i="1"/>
  <c r="C7534" i="1"/>
  <c r="C7533" i="1"/>
  <c r="C7532" i="1"/>
  <c r="C7531" i="1"/>
  <c r="C7530" i="1"/>
  <c r="C7529" i="1"/>
  <c r="C7528" i="1"/>
  <c r="C7527" i="1"/>
  <c r="C7526" i="1"/>
  <c r="C7525" i="1"/>
  <c r="C7524" i="1"/>
  <c r="C7523" i="1"/>
  <c r="C7522" i="1"/>
  <c r="C7521" i="1"/>
  <c r="C7520" i="1"/>
  <c r="C7519" i="1"/>
  <c r="C7518" i="1"/>
  <c r="C7517" i="1"/>
  <c r="C7516" i="1"/>
  <c r="C7515" i="1"/>
  <c r="C7514" i="1"/>
  <c r="C7513" i="1"/>
  <c r="C7512" i="1"/>
  <c r="C7511" i="1"/>
  <c r="C7510" i="1"/>
  <c r="C7509" i="1"/>
  <c r="C7508" i="1"/>
  <c r="C7507" i="1"/>
  <c r="C7506" i="1"/>
  <c r="C7505" i="1"/>
  <c r="C7504" i="1"/>
  <c r="C7503" i="1"/>
  <c r="C7502" i="1"/>
  <c r="C7501" i="1"/>
  <c r="C7500" i="1"/>
  <c r="C7499" i="1"/>
  <c r="C7498" i="1"/>
  <c r="C7497" i="1"/>
  <c r="C7496" i="1"/>
  <c r="C7495" i="1"/>
  <c r="C7494" i="1"/>
  <c r="C7493" i="1"/>
  <c r="C7492" i="1"/>
  <c r="C7491" i="1"/>
  <c r="C7490" i="1"/>
  <c r="C7489" i="1"/>
  <c r="C7488" i="1"/>
  <c r="C7487" i="1"/>
  <c r="C7486" i="1"/>
  <c r="C7485" i="1"/>
  <c r="C7484" i="1"/>
  <c r="C7483" i="1"/>
  <c r="C7482" i="1"/>
  <c r="C7481" i="1"/>
  <c r="C7480" i="1"/>
  <c r="C7479" i="1"/>
  <c r="C7478" i="1"/>
  <c r="C7477" i="1"/>
  <c r="C7476" i="1"/>
  <c r="C7475" i="1"/>
  <c r="C7474" i="1"/>
  <c r="C7473" i="1"/>
  <c r="C7472" i="1"/>
  <c r="C7471" i="1"/>
  <c r="C7470" i="1"/>
  <c r="C7469" i="1"/>
  <c r="C7468" i="1"/>
  <c r="C7467" i="1"/>
  <c r="C7466" i="1"/>
  <c r="C7465" i="1"/>
  <c r="C7464" i="1"/>
  <c r="C7463" i="1"/>
  <c r="C7462" i="1"/>
  <c r="C7461" i="1"/>
  <c r="C7460" i="1"/>
  <c r="C7459" i="1"/>
  <c r="C7458" i="1"/>
  <c r="C7457" i="1"/>
  <c r="C7456" i="1"/>
  <c r="C7455" i="1"/>
  <c r="C7454" i="1"/>
  <c r="C7453" i="1"/>
  <c r="C7452" i="1"/>
  <c r="C7451" i="1"/>
  <c r="C7450" i="1"/>
  <c r="C7449" i="1"/>
  <c r="C7448" i="1"/>
  <c r="C7447" i="1"/>
  <c r="C7446" i="1"/>
  <c r="C7445" i="1"/>
  <c r="C7444" i="1"/>
  <c r="C7443" i="1"/>
  <c r="C7442" i="1"/>
  <c r="C7441" i="1"/>
  <c r="C7440" i="1"/>
  <c r="C7439" i="1"/>
  <c r="C7438" i="1"/>
  <c r="C7437" i="1"/>
  <c r="C7436" i="1"/>
  <c r="C7435" i="1"/>
  <c r="C7434" i="1"/>
  <c r="C7433" i="1"/>
  <c r="C7432" i="1"/>
  <c r="C7431" i="1"/>
  <c r="C7430" i="1"/>
  <c r="C7429" i="1"/>
  <c r="C7428" i="1"/>
  <c r="C7427" i="1"/>
  <c r="C7426" i="1"/>
  <c r="C7425" i="1"/>
  <c r="C7424" i="1"/>
  <c r="C7423" i="1"/>
  <c r="C7422" i="1"/>
  <c r="C7421" i="1"/>
  <c r="C7420" i="1"/>
  <c r="C7419" i="1"/>
  <c r="C7418" i="1"/>
  <c r="C7417" i="1"/>
  <c r="C7416" i="1"/>
  <c r="C7415" i="1"/>
  <c r="C7414" i="1"/>
  <c r="C7413" i="1"/>
  <c r="C7412" i="1"/>
  <c r="C7411" i="1"/>
  <c r="C7410" i="1"/>
  <c r="C7409" i="1"/>
  <c r="C7408" i="1"/>
  <c r="C7407" i="1"/>
  <c r="C7406" i="1"/>
  <c r="C7405" i="1"/>
  <c r="C7404" i="1"/>
  <c r="C7403" i="1"/>
  <c r="C7402" i="1"/>
  <c r="C7401" i="1"/>
  <c r="C7400" i="1"/>
  <c r="C7399" i="1"/>
  <c r="C7398" i="1"/>
  <c r="C7397" i="1"/>
  <c r="C7396" i="1"/>
  <c r="C7395" i="1"/>
  <c r="C7394" i="1"/>
  <c r="C7393" i="1"/>
  <c r="C7392" i="1"/>
  <c r="C7391" i="1"/>
  <c r="C7390" i="1"/>
  <c r="C7389" i="1"/>
  <c r="C7388" i="1"/>
  <c r="C7387" i="1"/>
  <c r="C7386" i="1"/>
  <c r="C7385" i="1"/>
  <c r="C7384" i="1"/>
  <c r="C7383" i="1"/>
  <c r="C7382" i="1"/>
  <c r="C7381" i="1"/>
  <c r="C7380" i="1"/>
  <c r="C7379" i="1"/>
  <c r="C7378" i="1"/>
  <c r="C7377" i="1"/>
  <c r="C7376" i="1"/>
  <c r="C7375" i="1"/>
  <c r="C7374" i="1"/>
  <c r="C7373" i="1"/>
  <c r="C7372" i="1"/>
  <c r="C7371" i="1"/>
  <c r="C7370" i="1"/>
  <c r="C7369" i="1"/>
  <c r="C7368" i="1"/>
  <c r="C7367" i="1"/>
  <c r="C7366" i="1"/>
  <c r="C7365" i="1"/>
  <c r="C7364" i="1"/>
  <c r="C7363" i="1"/>
  <c r="C7362" i="1"/>
  <c r="C7361" i="1"/>
  <c r="C7360" i="1"/>
  <c r="C7359" i="1"/>
  <c r="C7358" i="1"/>
  <c r="C7357" i="1"/>
  <c r="C7356" i="1"/>
  <c r="C7355" i="1"/>
  <c r="C7354" i="1"/>
  <c r="C7353" i="1"/>
  <c r="C7352" i="1"/>
  <c r="C7351" i="1"/>
  <c r="C7350" i="1"/>
  <c r="C7349" i="1"/>
  <c r="C7348" i="1"/>
  <c r="C7347" i="1"/>
  <c r="C7346" i="1"/>
  <c r="C7345" i="1"/>
  <c r="C7344" i="1"/>
  <c r="C7343" i="1"/>
  <c r="C7342" i="1"/>
  <c r="C7341" i="1"/>
  <c r="C7340" i="1"/>
  <c r="C7339" i="1"/>
  <c r="C7338" i="1"/>
  <c r="C7337" i="1"/>
  <c r="C7336" i="1"/>
  <c r="C7335" i="1"/>
  <c r="C7334" i="1"/>
  <c r="C7333" i="1"/>
  <c r="C7332" i="1"/>
  <c r="C7331" i="1"/>
  <c r="C7330" i="1"/>
  <c r="C7329" i="1"/>
  <c r="C7328" i="1"/>
  <c r="C7327" i="1"/>
  <c r="C7326" i="1"/>
  <c r="C7325" i="1"/>
  <c r="C7324" i="1"/>
  <c r="C7323" i="1"/>
  <c r="C7322" i="1"/>
  <c r="C7321" i="1"/>
  <c r="C7320" i="1"/>
  <c r="C7319" i="1"/>
  <c r="C7318" i="1"/>
  <c r="C7317" i="1"/>
  <c r="C7316" i="1"/>
  <c r="C7315" i="1"/>
  <c r="C7314" i="1"/>
  <c r="C7313" i="1"/>
  <c r="C7312" i="1"/>
  <c r="C7311" i="1"/>
  <c r="C7310" i="1"/>
  <c r="C7309" i="1"/>
  <c r="C7308" i="1"/>
  <c r="C7307" i="1"/>
  <c r="C7306" i="1"/>
  <c r="C7305" i="1"/>
  <c r="C7304" i="1"/>
  <c r="C7303" i="1"/>
  <c r="C7302" i="1"/>
  <c r="C7301" i="1"/>
  <c r="C7300" i="1"/>
  <c r="C7299" i="1"/>
  <c r="C7298" i="1"/>
  <c r="C7297" i="1"/>
  <c r="C7296" i="1"/>
  <c r="C7295" i="1"/>
  <c r="C7294" i="1"/>
  <c r="C7293" i="1"/>
  <c r="C7292" i="1"/>
  <c r="C7291" i="1"/>
  <c r="C7290" i="1"/>
  <c r="C7289" i="1"/>
  <c r="C7288" i="1"/>
  <c r="C7287" i="1"/>
  <c r="C7286" i="1"/>
  <c r="C7285" i="1"/>
  <c r="C7284" i="1"/>
  <c r="C7283" i="1"/>
  <c r="C7282" i="1"/>
  <c r="C7281" i="1"/>
  <c r="C7280" i="1"/>
  <c r="C7279" i="1"/>
  <c r="C7278" i="1"/>
  <c r="C7277" i="1"/>
  <c r="C7276" i="1"/>
  <c r="C7275" i="1"/>
  <c r="C7274" i="1"/>
  <c r="C7273" i="1"/>
  <c r="C7272" i="1"/>
  <c r="C7271" i="1"/>
  <c r="C7270" i="1"/>
  <c r="C7269" i="1"/>
  <c r="C7268" i="1"/>
  <c r="C7267" i="1"/>
  <c r="C7266" i="1"/>
  <c r="C7265" i="1"/>
  <c r="C7264" i="1"/>
  <c r="C7263" i="1"/>
  <c r="C7262" i="1"/>
  <c r="C7261" i="1"/>
  <c r="C7260" i="1"/>
  <c r="C7259" i="1"/>
  <c r="C7258" i="1"/>
  <c r="C7257" i="1"/>
  <c r="C7256" i="1"/>
  <c r="C7255" i="1"/>
  <c r="C7254" i="1"/>
  <c r="C7253" i="1"/>
  <c r="C7252" i="1"/>
  <c r="C7251" i="1"/>
  <c r="C7250" i="1"/>
  <c r="C7249" i="1"/>
  <c r="C7248" i="1"/>
  <c r="C7247" i="1"/>
  <c r="C7246" i="1"/>
  <c r="C7245" i="1"/>
  <c r="C7244" i="1"/>
  <c r="C7243" i="1"/>
  <c r="C7242" i="1"/>
  <c r="C7241" i="1"/>
  <c r="C7240" i="1"/>
  <c r="C7239" i="1"/>
  <c r="C7238" i="1"/>
  <c r="C7237" i="1"/>
  <c r="C7236" i="1"/>
  <c r="C7235" i="1"/>
  <c r="C7234" i="1"/>
  <c r="C7233" i="1"/>
  <c r="C7232" i="1"/>
  <c r="C7231" i="1"/>
  <c r="C7230" i="1"/>
  <c r="C7229" i="1"/>
  <c r="C7228" i="1"/>
  <c r="C7227" i="1"/>
  <c r="C7226" i="1"/>
  <c r="C7225" i="1"/>
  <c r="C7224" i="1"/>
  <c r="C7223" i="1"/>
  <c r="C7222" i="1"/>
  <c r="C7221" i="1"/>
  <c r="C7220" i="1"/>
  <c r="C7219" i="1"/>
  <c r="C7218" i="1"/>
  <c r="C7217" i="1"/>
  <c r="C7216" i="1"/>
  <c r="C7215" i="1"/>
  <c r="C7214" i="1"/>
  <c r="C7213" i="1"/>
  <c r="C7212" i="1"/>
  <c r="C7211" i="1"/>
  <c r="C7210" i="1"/>
  <c r="C7209" i="1"/>
  <c r="C7208" i="1"/>
  <c r="C7207" i="1"/>
  <c r="C7206" i="1"/>
  <c r="C7205" i="1"/>
  <c r="C7204" i="1"/>
  <c r="C7203" i="1"/>
  <c r="C7202" i="1"/>
  <c r="C7201" i="1"/>
  <c r="C7200" i="1"/>
  <c r="C7199" i="1"/>
  <c r="C7198" i="1"/>
  <c r="C7197" i="1"/>
  <c r="C7196" i="1"/>
  <c r="C7195" i="1"/>
  <c r="C7194" i="1"/>
  <c r="C7193" i="1"/>
  <c r="C7192" i="1"/>
  <c r="C7191" i="1"/>
  <c r="C7190" i="1"/>
  <c r="C7189" i="1"/>
  <c r="C7188" i="1"/>
  <c r="C7187" i="1"/>
  <c r="C7186" i="1"/>
  <c r="C7185" i="1"/>
  <c r="C7184" i="1"/>
  <c r="C7183" i="1"/>
  <c r="C7182" i="1"/>
  <c r="C7181" i="1"/>
  <c r="C7180" i="1"/>
  <c r="C7179" i="1"/>
  <c r="C7178" i="1"/>
  <c r="C7177" i="1"/>
  <c r="C7176" i="1"/>
  <c r="C7175" i="1"/>
  <c r="C7174" i="1"/>
  <c r="C7173" i="1"/>
  <c r="C7172" i="1"/>
  <c r="C7171" i="1"/>
  <c r="C7170" i="1"/>
  <c r="C7169" i="1"/>
  <c r="C7168" i="1"/>
  <c r="C7167" i="1"/>
  <c r="C7166" i="1"/>
  <c r="C7165" i="1"/>
  <c r="C7164" i="1"/>
  <c r="C7163" i="1"/>
  <c r="C7162" i="1"/>
  <c r="C7161" i="1"/>
  <c r="C7160" i="1"/>
  <c r="C7159" i="1"/>
  <c r="C7158" i="1"/>
  <c r="C7157" i="1"/>
  <c r="C7156" i="1"/>
  <c r="C7155" i="1"/>
  <c r="C7154" i="1"/>
  <c r="C7153" i="1"/>
  <c r="C7152" i="1"/>
  <c r="C7151" i="1"/>
  <c r="C7150" i="1"/>
  <c r="C7149" i="1"/>
  <c r="C7148" i="1"/>
  <c r="C7147" i="1"/>
  <c r="C7146" i="1"/>
  <c r="C7145" i="1"/>
  <c r="C7144" i="1"/>
  <c r="C7143" i="1"/>
  <c r="C7142" i="1"/>
  <c r="C7141" i="1"/>
  <c r="C7140" i="1"/>
  <c r="C7139" i="1"/>
  <c r="C7138" i="1"/>
  <c r="C7137" i="1"/>
  <c r="C7136" i="1"/>
  <c r="C7135" i="1"/>
  <c r="C7134" i="1"/>
  <c r="C7133" i="1"/>
  <c r="C7132" i="1"/>
  <c r="C7131" i="1"/>
  <c r="C7130" i="1"/>
  <c r="C7129" i="1"/>
  <c r="C7128" i="1"/>
  <c r="C7127" i="1"/>
  <c r="C7126" i="1"/>
  <c r="C7125" i="1"/>
  <c r="C7124" i="1"/>
  <c r="C7123" i="1"/>
  <c r="C7122" i="1"/>
  <c r="C7121" i="1"/>
  <c r="C7120" i="1"/>
  <c r="C7119" i="1"/>
  <c r="C7118" i="1"/>
  <c r="C7117" i="1"/>
  <c r="C7116" i="1"/>
  <c r="C7115" i="1"/>
  <c r="C7114" i="1"/>
  <c r="C7113" i="1"/>
  <c r="C7112" i="1"/>
  <c r="C7111" i="1"/>
  <c r="C7110" i="1"/>
  <c r="C7109" i="1"/>
  <c r="C7108" i="1"/>
  <c r="C7107" i="1"/>
  <c r="C7106" i="1"/>
  <c r="C7105" i="1"/>
  <c r="C7104" i="1"/>
  <c r="C7103" i="1"/>
  <c r="C7102" i="1"/>
  <c r="C7101" i="1"/>
  <c r="C7100" i="1"/>
  <c r="C7099" i="1"/>
  <c r="C7098" i="1"/>
  <c r="C7097" i="1"/>
  <c r="C7096" i="1"/>
  <c r="C7095" i="1"/>
  <c r="C7094" i="1"/>
  <c r="C7093" i="1"/>
  <c r="C7092" i="1"/>
  <c r="C7091" i="1"/>
  <c r="C7090" i="1"/>
  <c r="C7089" i="1"/>
  <c r="C7088" i="1"/>
  <c r="C7087" i="1"/>
  <c r="C7086" i="1"/>
  <c r="C7085" i="1"/>
  <c r="C7084" i="1"/>
  <c r="C7083" i="1"/>
  <c r="C7082" i="1"/>
  <c r="C7081" i="1"/>
  <c r="C7080" i="1"/>
  <c r="C7079" i="1"/>
  <c r="C7078" i="1"/>
  <c r="C7077" i="1"/>
  <c r="C7076" i="1"/>
  <c r="C7075" i="1"/>
  <c r="C7074" i="1"/>
  <c r="C7073" i="1"/>
  <c r="C7072" i="1"/>
  <c r="C7071" i="1"/>
  <c r="C7070" i="1"/>
  <c r="C7069" i="1"/>
  <c r="C7068" i="1"/>
  <c r="C7067" i="1"/>
  <c r="C7066" i="1"/>
  <c r="C7065" i="1"/>
  <c r="C7064" i="1"/>
  <c r="C7063" i="1"/>
  <c r="C7062" i="1"/>
  <c r="C7061" i="1"/>
  <c r="C7060" i="1"/>
  <c r="C7059" i="1"/>
  <c r="C7058" i="1"/>
  <c r="C7057" i="1"/>
  <c r="C7056" i="1"/>
  <c r="C7055" i="1"/>
  <c r="C7054" i="1"/>
  <c r="C7053" i="1"/>
  <c r="C7052" i="1"/>
  <c r="C7051" i="1"/>
  <c r="C7050" i="1"/>
  <c r="C7049" i="1"/>
  <c r="C7048" i="1"/>
  <c r="C7047" i="1"/>
  <c r="C7046" i="1"/>
  <c r="C7045" i="1"/>
  <c r="C7044" i="1"/>
  <c r="C7043" i="1"/>
  <c r="C7042" i="1"/>
  <c r="C7041" i="1"/>
  <c r="C7040" i="1"/>
  <c r="C7039" i="1"/>
  <c r="C7038" i="1"/>
  <c r="C7037" i="1"/>
  <c r="C7036" i="1"/>
  <c r="C7035" i="1"/>
  <c r="C7034" i="1"/>
  <c r="C7033" i="1"/>
  <c r="C7032" i="1"/>
  <c r="C7031" i="1"/>
  <c r="C7030" i="1"/>
  <c r="C7029" i="1"/>
  <c r="C7028" i="1"/>
  <c r="C7027" i="1"/>
  <c r="C7026" i="1"/>
  <c r="C7025" i="1"/>
  <c r="C7024" i="1"/>
  <c r="C7023" i="1"/>
  <c r="C7022" i="1"/>
  <c r="C7021" i="1"/>
  <c r="C7020" i="1"/>
  <c r="C7019" i="1"/>
  <c r="C7018" i="1"/>
  <c r="C7017" i="1"/>
  <c r="C7016" i="1"/>
  <c r="C7015" i="1"/>
  <c r="C7014" i="1"/>
  <c r="C7013" i="1"/>
  <c r="C7012" i="1"/>
  <c r="C7011" i="1"/>
  <c r="C7010" i="1"/>
  <c r="C7009" i="1"/>
  <c r="C7008" i="1"/>
  <c r="C7007" i="1"/>
  <c r="C7006" i="1"/>
  <c r="C7005" i="1"/>
  <c r="C7004" i="1"/>
  <c r="C7003" i="1"/>
  <c r="C7002" i="1"/>
  <c r="C7001" i="1"/>
  <c r="C7000" i="1"/>
  <c r="C6999" i="1"/>
  <c r="C6998" i="1"/>
  <c r="C6997" i="1"/>
  <c r="C6996" i="1"/>
  <c r="C6995" i="1"/>
  <c r="C6994" i="1"/>
  <c r="C6993" i="1"/>
  <c r="C6992" i="1"/>
  <c r="C6991" i="1"/>
  <c r="C6990" i="1"/>
  <c r="C6989" i="1"/>
  <c r="C6988" i="1"/>
  <c r="C6987" i="1"/>
  <c r="C6986" i="1"/>
  <c r="C6985" i="1"/>
  <c r="C6984" i="1"/>
  <c r="C6983" i="1"/>
  <c r="C6982" i="1"/>
  <c r="C6981" i="1"/>
  <c r="C6980" i="1"/>
  <c r="C6979" i="1"/>
  <c r="C6978" i="1"/>
  <c r="C6977" i="1"/>
  <c r="C6976" i="1"/>
  <c r="C6975" i="1"/>
  <c r="C6974" i="1"/>
  <c r="C6973" i="1"/>
  <c r="C6972" i="1"/>
  <c r="C6971" i="1"/>
  <c r="C6970" i="1"/>
  <c r="C6969" i="1"/>
  <c r="C6968" i="1"/>
  <c r="C6967" i="1"/>
  <c r="C6966" i="1"/>
  <c r="C6965" i="1"/>
  <c r="C6964" i="1"/>
  <c r="C6963" i="1"/>
  <c r="C6962" i="1"/>
  <c r="C6961" i="1"/>
  <c r="C6960" i="1"/>
  <c r="C6959" i="1"/>
  <c r="C6958" i="1"/>
  <c r="C6957" i="1"/>
  <c r="C6956" i="1"/>
  <c r="C6955" i="1"/>
  <c r="C6954" i="1"/>
  <c r="C6953" i="1"/>
  <c r="C6952" i="1"/>
  <c r="C6951" i="1"/>
  <c r="C6950" i="1"/>
  <c r="C6949" i="1"/>
  <c r="C6948" i="1"/>
  <c r="C6947" i="1"/>
  <c r="C6946" i="1"/>
  <c r="C6945" i="1"/>
  <c r="C6944" i="1"/>
  <c r="C6943" i="1"/>
  <c r="C6942" i="1"/>
  <c r="C6941" i="1"/>
  <c r="C6940" i="1"/>
  <c r="C6939" i="1"/>
  <c r="C6938" i="1"/>
  <c r="C6937" i="1"/>
  <c r="C6936" i="1"/>
  <c r="C6935" i="1"/>
  <c r="C6934" i="1"/>
  <c r="C6933" i="1"/>
  <c r="C6932" i="1"/>
  <c r="C6931" i="1"/>
  <c r="C6930" i="1"/>
  <c r="C6929" i="1"/>
  <c r="C6928" i="1"/>
  <c r="C6927" i="1"/>
  <c r="C6926" i="1"/>
  <c r="C6925" i="1"/>
  <c r="C6924" i="1"/>
  <c r="C6923" i="1"/>
  <c r="C6922" i="1"/>
  <c r="C6921" i="1"/>
  <c r="C6920" i="1"/>
  <c r="C6919" i="1"/>
  <c r="C6918" i="1"/>
  <c r="C6917" i="1"/>
  <c r="C6916" i="1"/>
  <c r="C6915" i="1"/>
  <c r="C6914" i="1"/>
  <c r="C6913" i="1"/>
  <c r="C6912" i="1"/>
  <c r="C6911" i="1"/>
  <c r="C6910" i="1"/>
  <c r="C6909" i="1"/>
  <c r="C6908" i="1"/>
  <c r="C6907" i="1"/>
  <c r="C6906" i="1"/>
  <c r="C6905" i="1"/>
  <c r="C6904" i="1"/>
  <c r="C6903" i="1"/>
  <c r="C6902" i="1"/>
  <c r="C6901" i="1"/>
  <c r="C6900" i="1"/>
  <c r="C6899" i="1"/>
  <c r="C6898" i="1"/>
  <c r="C6897" i="1"/>
  <c r="C6896" i="1"/>
  <c r="C6895" i="1"/>
  <c r="C6894" i="1"/>
  <c r="C6893" i="1"/>
  <c r="C6892" i="1"/>
  <c r="C6891" i="1"/>
  <c r="C6890" i="1"/>
  <c r="C6889" i="1"/>
  <c r="C6888" i="1"/>
  <c r="C6887" i="1"/>
  <c r="C6886" i="1"/>
  <c r="C6885" i="1"/>
  <c r="C6884" i="1"/>
  <c r="C6883" i="1"/>
  <c r="C6882" i="1"/>
  <c r="C6881" i="1"/>
  <c r="C6880" i="1"/>
  <c r="C6879" i="1"/>
  <c r="C6878" i="1"/>
  <c r="C6877" i="1"/>
  <c r="C6876" i="1"/>
  <c r="C6875" i="1"/>
  <c r="C6874" i="1"/>
  <c r="C6873" i="1"/>
  <c r="C6872" i="1"/>
  <c r="C6871" i="1"/>
  <c r="C6870" i="1"/>
  <c r="C6869" i="1"/>
  <c r="C6868" i="1"/>
  <c r="C6867" i="1"/>
  <c r="C6866" i="1"/>
  <c r="C6865" i="1"/>
  <c r="C6864" i="1"/>
  <c r="C6863" i="1"/>
  <c r="C6862" i="1"/>
  <c r="C6861" i="1"/>
  <c r="C6860" i="1"/>
  <c r="C6859" i="1"/>
  <c r="C6858" i="1"/>
  <c r="C6857" i="1"/>
  <c r="C6856" i="1"/>
  <c r="C6855" i="1"/>
  <c r="C6854" i="1"/>
  <c r="C6853" i="1"/>
  <c r="C6852" i="1"/>
  <c r="C6851" i="1"/>
  <c r="C6850" i="1"/>
  <c r="C6849" i="1"/>
  <c r="C6848" i="1"/>
  <c r="C6847" i="1"/>
  <c r="C6846" i="1"/>
  <c r="C6845" i="1"/>
  <c r="C6844" i="1"/>
  <c r="C6843" i="1"/>
  <c r="C6842" i="1"/>
  <c r="C6841" i="1"/>
  <c r="C6840" i="1"/>
  <c r="C6839" i="1"/>
  <c r="C6838" i="1"/>
  <c r="C6837" i="1"/>
  <c r="C6836" i="1"/>
  <c r="C6835" i="1"/>
  <c r="C6834" i="1"/>
  <c r="C6833" i="1"/>
  <c r="C6832" i="1"/>
  <c r="C6831" i="1"/>
  <c r="C6830" i="1"/>
  <c r="C6829" i="1"/>
  <c r="C6828" i="1"/>
  <c r="C6827" i="1"/>
  <c r="C6826" i="1"/>
  <c r="C6825" i="1"/>
  <c r="C6824" i="1"/>
  <c r="C6823" i="1"/>
  <c r="C6822" i="1"/>
  <c r="C6821" i="1"/>
  <c r="C6820" i="1"/>
  <c r="C6819" i="1"/>
  <c r="C6818" i="1"/>
  <c r="C6817" i="1"/>
  <c r="C6816" i="1"/>
  <c r="C6815" i="1"/>
  <c r="C6814" i="1"/>
  <c r="C6813" i="1"/>
  <c r="C6812" i="1"/>
  <c r="C6811" i="1"/>
  <c r="C6810" i="1"/>
  <c r="C6809" i="1"/>
  <c r="C6808" i="1"/>
  <c r="C6807" i="1"/>
  <c r="C6806" i="1"/>
  <c r="C6805" i="1"/>
  <c r="C6804" i="1"/>
  <c r="C6803" i="1"/>
  <c r="C6802" i="1"/>
  <c r="C6801" i="1"/>
  <c r="C6800" i="1"/>
  <c r="C6799" i="1"/>
  <c r="C6798" i="1"/>
  <c r="C6797" i="1"/>
  <c r="C6796" i="1"/>
  <c r="C6795" i="1"/>
  <c r="C6794" i="1"/>
  <c r="C6793" i="1"/>
  <c r="C6792" i="1"/>
  <c r="C6791" i="1"/>
  <c r="C6790" i="1"/>
  <c r="C6789" i="1"/>
  <c r="C6788" i="1"/>
  <c r="C6787" i="1"/>
  <c r="C6786" i="1"/>
  <c r="C6785" i="1"/>
  <c r="C6784" i="1"/>
  <c r="C6783" i="1"/>
  <c r="C6782" i="1"/>
  <c r="C6781" i="1"/>
  <c r="C6780" i="1"/>
  <c r="C6779" i="1"/>
  <c r="C6778" i="1"/>
  <c r="C6777" i="1"/>
  <c r="C6776" i="1"/>
  <c r="C6775" i="1"/>
  <c r="C6774" i="1"/>
  <c r="C6773" i="1"/>
  <c r="C6772" i="1"/>
  <c r="C6771" i="1"/>
  <c r="C6770" i="1"/>
  <c r="C6769" i="1"/>
  <c r="C6768" i="1"/>
  <c r="C6767" i="1"/>
  <c r="C6766" i="1"/>
  <c r="C6765" i="1"/>
  <c r="C6764" i="1"/>
  <c r="C6763" i="1"/>
  <c r="C6762" i="1"/>
  <c r="C6761" i="1"/>
  <c r="C6760" i="1"/>
  <c r="C6759" i="1"/>
  <c r="C6758" i="1"/>
  <c r="C6757" i="1"/>
  <c r="C6756" i="1"/>
  <c r="C6755" i="1"/>
  <c r="C6754" i="1"/>
  <c r="C6753" i="1"/>
  <c r="C6752" i="1"/>
  <c r="C6751" i="1"/>
  <c r="C6750" i="1"/>
  <c r="C6749" i="1"/>
  <c r="C6748" i="1"/>
  <c r="C6747" i="1"/>
  <c r="C6746" i="1"/>
  <c r="C6745" i="1"/>
  <c r="C6744" i="1"/>
  <c r="C6743" i="1"/>
  <c r="C6742" i="1"/>
  <c r="C6741" i="1"/>
  <c r="C6740" i="1"/>
  <c r="C6739" i="1"/>
  <c r="C6738" i="1"/>
  <c r="C6737" i="1"/>
  <c r="C6736" i="1"/>
  <c r="C6735" i="1"/>
  <c r="C6734" i="1"/>
  <c r="C6733" i="1"/>
  <c r="C6732" i="1"/>
  <c r="C6731" i="1"/>
  <c r="C6730" i="1"/>
  <c r="C6729" i="1"/>
  <c r="C6728" i="1"/>
  <c r="C6727" i="1"/>
  <c r="C6726" i="1"/>
  <c r="C6725" i="1"/>
  <c r="C6724" i="1"/>
  <c r="C6723" i="1"/>
  <c r="C6722" i="1"/>
  <c r="C6721" i="1"/>
  <c r="C6720" i="1"/>
  <c r="C6719" i="1"/>
  <c r="C6718" i="1"/>
  <c r="C6717" i="1"/>
  <c r="C6716" i="1"/>
  <c r="C6715" i="1"/>
  <c r="C6714" i="1"/>
  <c r="C6713" i="1"/>
  <c r="C6712" i="1"/>
  <c r="C6711" i="1"/>
  <c r="C6710" i="1"/>
  <c r="C6709" i="1"/>
  <c r="C6708" i="1"/>
  <c r="C6707" i="1"/>
  <c r="C6706" i="1"/>
  <c r="C6705" i="1"/>
  <c r="C6704" i="1"/>
  <c r="C6703" i="1"/>
  <c r="C6702" i="1"/>
  <c r="C6701" i="1"/>
  <c r="C6700" i="1"/>
  <c r="C6699" i="1"/>
  <c r="C6698" i="1"/>
  <c r="C6697" i="1"/>
  <c r="C6696" i="1"/>
  <c r="C6695" i="1"/>
  <c r="C6694" i="1"/>
  <c r="C6693" i="1"/>
  <c r="C6692" i="1"/>
  <c r="C6691" i="1"/>
  <c r="C6690" i="1"/>
  <c r="C6689" i="1"/>
  <c r="C6688" i="1"/>
  <c r="C6687" i="1"/>
  <c r="C6686" i="1"/>
  <c r="C6685" i="1"/>
  <c r="C6684" i="1"/>
  <c r="C6683" i="1"/>
  <c r="C6682" i="1"/>
  <c r="C6681" i="1"/>
  <c r="C6680" i="1"/>
  <c r="C6679" i="1"/>
  <c r="C6678" i="1"/>
  <c r="C6677" i="1"/>
  <c r="C6676" i="1"/>
  <c r="C6675" i="1"/>
  <c r="C6674" i="1"/>
  <c r="C6673" i="1"/>
  <c r="C6672" i="1"/>
  <c r="C6671" i="1"/>
  <c r="C6670" i="1"/>
  <c r="C6669" i="1"/>
  <c r="C6668" i="1"/>
  <c r="C6667" i="1"/>
  <c r="C6666" i="1"/>
  <c r="C6665" i="1"/>
  <c r="C6664" i="1"/>
  <c r="C6663" i="1"/>
  <c r="C6662" i="1"/>
  <c r="C6661" i="1"/>
  <c r="C6660" i="1"/>
  <c r="C6659" i="1"/>
  <c r="C6658" i="1"/>
  <c r="C6657" i="1"/>
  <c r="C6656" i="1"/>
  <c r="C6655" i="1"/>
  <c r="C6654" i="1"/>
  <c r="C6653" i="1"/>
  <c r="C6652" i="1"/>
  <c r="C6651" i="1"/>
  <c r="C6650" i="1"/>
  <c r="C6649" i="1"/>
  <c r="C6648" i="1"/>
  <c r="C6647" i="1"/>
  <c r="C6646" i="1"/>
  <c r="C6645" i="1"/>
  <c r="C6644" i="1"/>
  <c r="C6643" i="1"/>
  <c r="C6642" i="1"/>
  <c r="C6641" i="1"/>
  <c r="C6640" i="1"/>
  <c r="C6639" i="1"/>
  <c r="C6638" i="1"/>
  <c r="C6637" i="1"/>
  <c r="C6636" i="1"/>
  <c r="C6635" i="1"/>
  <c r="C6634" i="1"/>
  <c r="C6633" i="1"/>
  <c r="C6632" i="1"/>
  <c r="C6631" i="1"/>
  <c r="C6630" i="1"/>
  <c r="C6629" i="1"/>
  <c r="C6628" i="1"/>
  <c r="C6627" i="1"/>
  <c r="C6626" i="1"/>
  <c r="C6625" i="1"/>
  <c r="C6624" i="1"/>
  <c r="C6623" i="1"/>
  <c r="C6622" i="1"/>
  <c r="C6621" i="1"/>
  <c r="C6620" i="1"/>
  <c r="C6619" i="1"/>
  <c r="C6618" i="1"/>
  <c r="C6617" i="1"/>
  <c r="C6616" i="1"/>
  <c r="C6615" i="1"/>
  <c r="C6614" i="1"/>
  <c r="C6613" i="1"/>
  <c r="C6612" i="1"/>
  <c r="C6611" i="1"/>
  <c r="C6610" i="1"/>
  <c r="C6609" i="1"/>
  <c r="C6608" i="1"/>
  <c r="C6607" i="1"/>
  <c r="C6606" i="1"/>
  <c r="C6605" i="1"/>
  <c r="C6604" i="1"/>
  <c r="C6603" i="1"/>
  <c r="C6602" i="1"/>
  <c r="C6601" i="1"/>
  <c r="C6600" i="1"/>
  <c r="C6599" i="1"/>
  <c r="C6598" i="1"/>
  <c r="C6597" i="1"/>
  <c r="C6596" i="1"/>
  <c r="C6595" i="1"/>
  <c r="C6594" i="1"/>
  <c r="C6593" i="1"/>
  <c r="C6592" i="1"/>
  <c r="C6591" i="1"/>
  <c r="C6590" i="1"/>
  <c r="C6589" i="1"/>
  <c r="C6588" i="1"/>
  <c r="C6587" i="1"/>
  <c r="C6586" i="1"/>
  <c r="C6585" i="1"/>
  <c r="C6584" i="1"/>
  <c r="C6583" i="1"/>
  <c r="C6582" i="1"/>
  <c r="C6581" i="1"/>
  <c r="C6580" i="1"/>
  <c r="C6579" i="1"/>
  <c r="C6578" i="1"/>
  <c r="C6577" i="1"/>
  <c r="C6576" i="1"/>
  <c r="C6575" i="1"/>
  <c r="C6574" i="1"/>
  <c r="C6573" i="1"/>
  <c r="C6572" i="1"/>
  <c r="C6571" i="1"/>
  <c r="C6570" i="1"/>
  <c r="C6569" i="1"/>
  <c r="C6568" i="1"/>
  <c r="C6567" i="1"/>
  <c r="C6566" i="1"/>
  <c r="C6565" i="1"/>
  <c r="C6564" i="1"/>
  <c r="C6563" i="1"/>
  <c r="C6562" i="1"/>
  <c r="C6561" i="1"/>
  <c r="C6560" i="1"/>
  <c r="C6559" i="1"/>
  <c r="C6558" i="1"/>
  <c r="C6557" i="1"/>
  <c r="C6556" i="1"/>
  <c r="C6555" i="1"/>
  <c r="C6554" i="1"/>
  <c r="C6553" i="1"/>
  <c r="C6552" i="1"/>
  <c r="C6551" i="1"/>
  <c r="C6550" i="1"/>
  <c r="C6549" i="1"/>
  <c r="C6548" i="1"/>
  <c r="C6547" i="1"/>
  <c r="C6546" i="1"/>
  <c r="C6545" i="1"/>
  <c r="C6544" i="1"/>
  <c r="C6543" i="1"/>
  <c r="C6542" i="1"/>
  <c r="C6541" i="1"/>
  <c r="C6540" i="1"/>
  <c r="C6539" i="1"/>
  <c r="C6538" i="1"/>
  <c r="C6537" i="1"/>
  <c r="C6536" i="1"/>
  <c r="C6535" i="1"/>
  <c r="C6534" i="1"/>
  <c r="C6533" i="1"/>
  <c r="C6532" i="1"/>
  <c r="C6531" i="1"/>
  <c r="C6530" i="1"/>
  <c r="C6529" i="1"/>
  <c r="C6528" i="1"/>
  <c r="C6527" i="1"/>
  <c r="C6526" i="1"/>
  <c r="C6525" i="1"/>
  <c r="C6524" i="1"/>
  <c r="C6523" i="1"/>
  <c r="C6522" i="1"/>
  <c r="C6521" i="1"/>
  <c r="C6520" i="1"/>
  <c r="C6519" i="1"/>
  <c r="C6518" i="1"/>
  <c r="C6517" i="1"/>
  <c r="C6516" i="1"/>
  <c r="C6515" i="1"/>
  <c r="C6514" i="1"/>
  <c r="C6513" i="1"/>
  <c r="C6512" i="1"/>
  <c r="C6511" i="1"/>
  <c r="C6510" i="1"/>
  <c r="C6509" i="1"/>
  <c r="C6508" i="1"/>
  <c r="C6507" i="1"/>
  <c r="C6506" i="1"/>
  <c r="C6505" i="1"/>
  <c r="C6504" i="1"/>
  <c r="C6503" i="1"/>
  <c r="C6502" i="1"/>
  <c r="C6501" i="1"/>
  <c r="C6500" i="1"/>
  <c r="C6499" i="1"/>
  <c r="C6498" i="1"/>
  <c r="C6497" i="1"/>
  <c r="C6496" i="1"/>
  <c r="C6495" i="1"/>
  <c r="C6494" i="1"/>
  <c r="C6493" i="1"/>
  <c r="C6492" i="1"/>
  <c r="C6491" i="1"/>
  <c r="C6490" i="1"/>
  <c r="C6489" i="1"/>
  <c r="C6488" i="1"/>
  <c r="C6487" i="1"/>
  <c r="C6486" i="1"/>
  <c r="C6485" i="1"/>
  <c r="C6484" i="1"/>
  <c r="C6483" i="1"/>
  <c r="C6482" i="1"/>
  <c r="C6481" i="1"/>
  <c r="C6480" i="1"/>
  <c r="C6479" i="1"/>
  <c r="C6478" i="1"/>
  <c r="C6477" i="1"/>
  <c r="C6476" i="1"/>
  <c r="C6475" i="1"/>
  <c r="C6474" i="1"/>
  <c r="C6473" i="1"/>
  <c r="C6472" i="1"/>
  <c r="C6471" i="1"/>
  <c r="C6470" i="1"/>
  <c r="C6469" i="1"/>
  <c r="C6468" i="1"/>
  <c r="C6467" i="1"/>
  <c r="C6466" i="1"/>
  <c r="C6465" i="1"/>
  <c r="C6464" i="1"/>
  <c r="C6463" i="1"/>
  <c r="C6462" i="1"/>
  <c r="C6461" i="1"/>
  <c r="C6460" i="1"/>
  <c r="C6459" i="1"/>
  <c r="C6458" i="1"/>
  <c r="C6457" i="1"/>
  <c r="C6456" i="1"/>
  <c r="C6455" i="1"/>
  <c r="C6454" i="1"/>
  <c r="C6453" i="1"/>
  <c r="C6452" i="1"/>
  <c r="C6451" i="1"/>
  <c r="C6450" i="1"/>
  <c r="C6449" i="1"/>
  <c r="C6448" i="1"/>
  <c r="C6447" i="1"/>
  <c r="C6446" i="1"/>
  <c r="C6445" i="1"/>
  <c r="C6444" i="1"/>
  <c r="C6443" i="1"/>
  <c r="C6442" i="1"/>
  <c r="C6441" i="1"/>
  <c r="C6440" i="1"/>
  <c r="C6439" i="1"/>
  <c r="C6438" i="1"/>
  <c r="C6437" i="1"/>
  <c r="C6436" i="1"/>
  <c r="C6435" i="1"/>
  <c r="C6434" i="1"/>
  <c r="C6433" i="1"/>
  <c r="C6432" i="1"/>
  <c r="C6431" i="1"/>
  <c r="C6430" i="1"/>
  <c r="C6429" i="1"/>
  <c r="C6428" i="1"/>
  <c r="C6427" i="1"/>
  <c r="C6426" i="1"/>
  <c r="C6425" i="1"/>
  <c r="C6424" i="1"/>
  <c r="C6423" i="1"/>
  <c r="C6422" i="1"/>
  <c r="C6421" i="1"/>
  <c r="C6420" i="1"/>
  <c r="C6419" i="1"/>
  <c r="C6418" i="1"/>
  <c r="C6417" i="1"/>
  <c r="C6416" i="1"/>
  <c r="C6415" i="1"/>
  <c r="C6414" i="1"/>
  <c r="C6413" i="1"/>
  <c r="C6412" i="1"/>
  <c r="C6411" i="1"/>
  <c r="C6410" i="1"/>
  <c r="C6409" i="1"/>
  <c r="C6408" i="1"/>
  <c r="C6407" i="1"/>
  <c r="C6406" i="1"/>
  <c r="C6405" i="1"/>
  <c r="C6404" i="1"/>
  <c r="C6403" i="1"/>
  <c r="C6402" i="1"/>
  <c r="C6401" i="1"/>
  <c r="C6400" i="1"/>
  <c r="C6399" i="1"/>
  <c r="C6398" i="1"/>
  <c r="C6397" i="1"/>
  <c r="C6396" i="1"/>
  <c r="C6395" i="1"/>
  <c r="C6394" i="1"/>
  <c r="C6393" i="1"/>
  <c r="C6392" i="1"/>
  <c r="C6391" i="1"/>
  <c r="C6390" i="1"/>
  <c r="C6389" i="1"/>
  <c r="C6388" i="1"/>
  <c r="C6387" i="1"/>
  <c r="C6386" i="1"/>
  <c r="C6385" i="1"/>
  <c r="C6384" i="1"/>
  <c r="C6383" i="1"/>
  <c r="C6382" i="1"/>
  <c r="C6381" i="1"/>
  <c r="C6380" i="1"/>
  <c r="C6379" i="1"/>
  <c r="C6378" i="1"/>
  <c r="C6377" i="1"/>
  <c r="C6376" i="1"/>
  <c r="C6375" i="1"/>
  <c r="C6374" i="1"/>
  <c r="C6373" i="1"/>
  <c r="C6372" i="1"/>
  <c r="C6371" i="1"/>
  <c r="C6370" i="1"/>
  <c r="C6369" i="1"/>
  <c r="C6368" i="1"/>
  <c r="C6367" i="1"/>
  <c r="C6366" i="1"/>
  <c r="C6365" i="1"/>
  <c r="C6364" i="1"/>
  <c r="C6363" i="1"/>
  <c r="C6362" i="1"/>
  <c r="C6361" i="1"/>
  <c r="C6360" i="1"/>
  <c r="C6359" i="1"/>
  <c r="C6358" i="1"/>
  <c r="C6357" i="1"/>
  <c r="C6356" i="1"/>
  <c r="C6355" i="1"/>
  <c r="C6354" i="1"/>
  <c r="C6353" i="1"/>
  <c r="C6352" i="1"/>
  <c r="C6351" i="1"/>
  <c r="C6350" i="1"/>
  <c r="C6349" i="1"/>
  <c r="C6348" i="1"/>
  <c r="C6347" i="1"/>
  <c r="C6346" i="1"/>
  <c r="C6345" i="1"/>
  <c r="C6344" i="1"/>
  <c r="C6343" i="1"/>
  <c r="C6342" i="1"/>
  <c r="C6341" i="1"/>
  <c r="C6340" i="1"/>
  <c r="C6339" i="1"/>
  <c r="C6338" i="1"/>
  <c r="C6337" i="1"/>
  <c r="C6336" i="1"/>
  <c r="C6335" i="1"/>
  <c r="C6334" i="1"/>
  <c r="C6333" i="1"/>
  <c r="C6332" i="1"/>
  <c r="C6331" i="1"/>
  <c r="C6330" i="1"/>
  <c r="C6329" i="1"/>
  <c r="C6328" i="1"/>
  <c r="C6327" i="1"/>
  <c r="C6326" i="1"/>
  <c r="C6325" i="1"/>
  <c r="C6324" i="1"/>
  <c r="C6323" i="1"/>
  <c r="C6322" i="1"/>
  <c r="C6321" i="1"/>
  <c r="C6320" i="1"/>
  <c r="C6319" i="1"/>
  <c r="C6318" i="1"/>
  <c r="C6317" i="1"/>
  <c r="C6316" i="1"/>
  <c r="C6315" i="1"/>
  <c r="C6314" i="1"/>
  <c r="C6313" i="1"/>
  <c r="C6312" i="1"/>
  <c r="C6311" i="1"/>
  <c r="C6310" i="1"/>
  <c r="C6309" i="1"/>
  <c r="C6308" i="1"/>
  <c r="C6307" i="1"/>
  <c r="C6306" i="1"/>
  <c r="C6305" i="1"/>
  <c r="C6304" i="1"/>
  <c r="C6303" i="1"/>
  <c r="C6302" i="1"/>
  <c r="C6301" i="1"/>
  <c r="C6300" i="1"/>
  <c r="C6299" i="1"/>
  <c r="C6298" i="1"/>
  <c r="C6297" i="1"/>
  <c r="C6296" i="1"/>
  <c r="C6295" i="1"/>
  <c r="C6294" i="1"/>
  <c r="C6293" i="1"/>
  <c r="C6292" i="1"/>
  <c r="C6291" i="1"/>
  <c r="C6290" i="1"/>
  <c r="C6289" i="1"/>
  <c r="C6288" i="1"/>
  <c r="C6287" i="1"/>
  <c r="C6286" i="1"/>
  <c r="C6285" i="1"/>
  <c r="C6284" i="1"/>
  <c r="C6283" i="1"/>
  <c r="C6282" i="1"/>
  <c r="C6281" i="1"/>
  <c r="C6280" i="1"/>
  <c r="C6279" i="1"/>
  <c r="C6278" i="1"/>
  <c r="C6277" i="1"/>
  <c r="C6276" i="1"/>
  <c r="C6275" i="1"/>
  <c r="C6274" i="1"/>
  <c r="C6273" i="1"/>
  <c r="C6272" i="1"/>
  <c r="C6271" i="1"/>
  <c r="C6270" i="1"/>
  <c r="C6269" i="1"/>
  <c r="C6268" i="1"/>
  <c r="C6267" i="1"/>
  <c r="C6266" i="1"/>
  <c r="C6265" i="1"/>
  <c r="C6264" i="1"/>
  <c r="C6263" i="1"/>
  <c r="C6262" i="1"/>
  <c r="C6261" i="1"/>
  <c r="C6260" i="1"/>
  <c r="C6259" i="1"/>
  <c r="C6258" i="1"/>
  <c r="C6257" i="1"/>
  <c r="C6256" i="1"/>
  <c r="C6255" i="1"/>
  <c r="C6254" i="1"/>
  <c r="C6253" i="1"/>
  <c r="C6252" i="1"/>
  <c r="C6251" i="1"/>
  <c r="C6250" i="1"/>
  <c r="C6249" i="1"/>
  <c r="C6248" i="1"/>
  <c r="C6247" i="1"/>
  <c r="C6246" i="1"/>
  <c r="C6245" i="1"/>
  <c r="C6244" i="1"/>
  <c r="C6243" i="1"/>
  <c r="C6242" i="1"/>
  <c r="C6241" i="1"/>
  <c r="C6240" i="1"/>
  <c r="C6239" i="1"/>
  <c r="C6238" i="1"/>
  <c r="C6237" i="1"/>
  <c r="C6236" i="1"/>
  <c r="C6235" i="1"/>
  <c r="C6234" i="1"/>
  <c r="C6233" i="1"/>
  <c r="C6232" i="1"/>
  <c r="C6231" i="1"/>
  <c r="C6230" i="1"/>
  <c r="C6229" i="1"/>
  <c r="C6228" i="1"/>
  <c r="C6227" i="1"/>
  <c r="C6226" i="1"/>
  <c r="C6225" i="1"/>
  <c r="C6224" i="1"/>
  <c r="C6223" i="1"/>
  <c r="C6222" i="1"/>
  <c r="C6221" i="1"/>
  <c r="C6220" i="1"/>
  <c r="C6219" i="1"/>
  <c r="C6218" i="1"/>
  <c r="C6217" i="1"/>
  <c r="C6216" i="1"/>
  <c r="C6215" i="1"/>
  <c r="C6214" i="1"/>
  <c r="C6213" i="1"/>
  <c r="C6212" i="1"/>
  <c r="C6211" i="1"/>
  <c r="C6210" i="1"/>
  <c r="C6209" i="1"/>
  <c r="C6208" i="1"/>
  <c r="C6207" i="1"/>
  <c r="C6206" i="1"/>
  <c r="C6205" i="1"/>
  <c r="C6204" i="1"/>
  <c r="C6203" i="1"/>
  <c r="C6202" i="1"/>
  <c r="C6201" i="1"/>
  <c r="C6200" i="1"/>
  <c r="C6199" i="1"/>
  <c r="C6198" i="1"/>
  <c r="C6197" i="1"/>
  <c r="C6196" i="1"/>
  <c r="C6195" i="1"/>
  <c r="C6194" i="1"/>
  <c r="C6193" i="1"/>
  <c r="C6192" i="1"/>
  <c r="C6191" i="1"/>
  <c r="C6190" i="1"/>
  <c r="C6189" i="1"/>
  <c r="C6188" i="1"/>
  <c r="C6187" i="1"/>
  <c r="C6186" i="1"/>
  <c r="C6185" i="1"/>
  <c r="C6184" i="1"/>
  <c r="C6183" i="1"/>
  <c r="C6182" i="1"/>
  <c r="C6181" i="1"/>
  <c r="C6180" i="1"/>
  <c r="C6179" i="1"/>
  <c r="C6178" i="1"/>
  <c r="C6177" i="1"/>
  <c r="C6176" i="1"/>
  <c r="C6175" i="1"/>
  <c r="C6174" i="1"/>
  <c r="C6173" i="1"/>
  <c r="C6172" i="1"/>
  <c r="C6171" i="1"/>
  <c r="C6170" i="1"/>
  <c r="C6169" i="1"/>
  <c r="C6168" i="1"/>
  <c r="C6167" i="1"/>
  <c r="C6166" i="1"/>
  <c r="C6165" i="1"/>
  <c r="C6164" i="1"/>
  <c r="C6163" i="1"/>
  <c r="C6162" i="1"/>
  <c r="C6161" i="1"/>
  <c r="C6160" i="1"/>
  <c r="C6159" i="1"/>
  <c r="C6158" i="1"/>
  <c r="C6157" i="1"/>
  <c r="C6156" i="1"/>
  <c r="C6155" i="1"/>
  <c r="C6154" i="1"/>
  <c r="C6153" i="1"/>
  <c r="C6152" i="1"/>
  <c r="C6151" i="1"/>
  <c r="C6150" i="1"/>
  <c r="C6149" i="1"/>
  <c r="C6148" i="1"/>
  <c r="C6147" i="1"/>
  <c r="C6146" i="1"/>
  <c r="C6145" i="1"/>
  <c r="C6144" i="1"/>
  <c r="C6143" i="1"/>
  <c r="C6142" i="1"/>
  <c r="C6141" i="1"/>
  <c r="C6140" i="1"/>
  <c r="C6139" i="1"/>
  <c r="C6138" i="1"/>
  <c r="C6137" i="1"/>
  <c r="C6136" i="1"/>
  <c r="C6135" i="1"/>
  <c r="C6134" i="1"/>
  <c r="C6133" i="1"/>
  <c r="C6132" i="1"/>
  <c r="C6131" i="1"/>
  <c r="C6130" i="1"/>
  <c r="C6129" i="1"/>
  <c r="C6128" i="1"/>
  <c r="C6127" i="1"/>
  <c r="C6126" i="1"/>
  <c r="C6125" i="1"/>
  <c r="C6124" i="1"/>
  <c r="C6123" i="1"/>
  <c r="C6122" i="1"/>
  <c r="C6121" i="1"/>
  <c r="C6120" i="1"/>
  <c r="C6119" i="1"/>
  <c r="C6118" i="1"/>
  <c r="C6117" i="1"/>
  <c r="C6116" i="1"/>
  <c r="C6115" i="1"/>
  <c r="C6114" i="1"/>
  <c r="C6113" i="1"/>
  <c r="C6112" i="1"/>
  <c r="C6111" i="1"/>
  <c r="C6110" i="1"/>
  <c r="C6109" i="1"/>
  <c r="C6108" i="1"/>
  <c r="C6107" i="1"/>
  <c r="C6106" i="1"/>
  <c r="C6105" i="1"/>
  <c r="C6104" i="1"/>
  <c r="C6103" i="1"/>
  <c r="C6102" i="1"/>
  <c r="C6101" i="1"/>
  <c r="C6100" i="1"/>
  <c r="C6099" i="1"/>
  <c r="C6098" i="1"/>
  <c r="C6097" i="1"/>
  <c r="C6096" i="1"/>
  <c r="C6095" i="1"/>
  <c r="C6094" i="1"/>
  <c r="C6093" i="1"/>
  <c r="C6092" i="1"/>
  <c r="C6091" i="1"/>
  <c r="C6090" i="1"/>
  <c r="C6089" i="1"/>
  <c r="C6088" i="1"/>
  <c r="C6087" i="1"/>
  <c r="C6086" i="1"/>
  <c r="C6085" i="1"/>
  <c r="C6084" i="1"/>
  <c r="C6083" i="1"/>
  <c r="C6082" i="1"/>
  <c r="C6081" i="1"/>
  <c r="C6080" i="1"/>
  <c r="C6079" i="1"/>
  <c r="C6078" i="1"/>
  <c r="C6077" i="1"/>
  <c r="C6076" i="1"/>
  <c r="C6075" i="1"/>
  <c r="C6074" i="1"/>
  <c r="C6073" i="1"/>
  <c r="C6072" i="1"/>
  <c r="C6071" i="1"/>
  <c r="C6070" i="1"/>
  <c r="C6069" i="1"/>
  <c r="C6068" i="1"/>
  <c r="C6067" i="1"/>
  <c r="C6066" i="1"/>
  <c r="C6065" i="1"/>
  <c r="C6064" i="1"/>
  <c r="C6063" i="1"/>
  <c r="C6062" i="1"/>
  <c r="C6061" i="1"/>
  <c r="C6060" i="1"/>
  <c r="C6059" i="1"/>
  <c r="C6058" i="1"/>
  <c r="C6057" i="1"/>
  <c r="C6056" i="1"/>
  <c r="C6055" i="1"/>
  <c r="C6054" i="1"/>
  <c r="C6053" i="1"/>
  <c r="C6052" i="1"/>
  <c r="C6051" i="1"/>
  <c r="C6050" i="1"/>
  <c r="C6049" i="1"/>
  <c r="C6048" i="1"/>
  <c r="C6047" i="1"/>
  <c r="C6046" i="1"/>
  <c r="C6045" i="1"/>
  <c r="C6044" i="1"/>
  <c r="C6043" i="1"/>
  <c r="C6042" i="1"/>
  <c r="C6041" i="1"/>
  <c r="C6040" i="1"/>
  <c r="C6039" i="1"/>
  <c r="C6038" i="1"/>
  <c r="C6037" i="1"/>
  <c r="C6036" i="1"/>
  <c r="C6035" i="1"/>
  <c r="C6034" i="1"/>
  <c r="C6033" i="1"/>
  <c r="C6032" i="1"/>
  <c r="C6031" i="1"/>
  <c r="C6030" i="1"/>
  <c r="C6029" i="1"/>
  <c r="C6028" i="1"/>
  <c r="C6027" i="1"/>
  <c r="C6026" i="1"/>
  <c r="C6025" i="1"/>
  <c r="C6024" i="1"/>
  <c r="C6023" i="1"/>
  <c r="C6022" i="1"/>
  <c r="C6021" i="1"/>
  <c r="C6020" i="1"/>
  <c r="C6019" i="1"/>
  <c r="C6018" i="1"/>
  <c r="C6017" i="1"/>
  <c r="C6016" i="1"/>
  <c r="C6015" i="1"/>
  <c r="C6014" i="1"/>
  <c r="C6013" i="1"/>
  <c r="C6012" i="1"/>
  <c r="C6011" i="1"/>
  <c r="C6010" i="1"/>
  <c r="C6009" i="1"/>
  <c r="C6008" i="1"/>
  <c r="C6007" i="1"/>
  <c r="C6006" i="1"/>
  <c r="C6005" i="1"/>
  <c r="C6004" i="1"/>
  <c r="C6003" i="1"/>
  <c r="C6002" i="1"/>
  <c r="C6001" i="1"/>
  <c r="C6000" i="1"/>
  <c r="C5999" i="1"/>
  <c r="C5998" i="1"/>
  <c r="C5997" i="1"/>
  <c r="C5996" i="1"/>
  <c r="C5995" i="1"/>
  <c r="C5994" i="1"/>
  <c r="C5993" i="1"/>
  <c r="C5992" i="1"/>
  <c r="C5991" i="1"/>
  <c r="C5990" i="1"/>
  <c r="C5989" i="1"/>
  <c r="C5988" i="1"/>
  <c r="C5987" i="1"/>
  <c r="C5986" i="1"/>
  <c r="C5985" i="1"/>
  <c r="C5984" i="1"/>
  <c r="C5983" i="1"/>
  <c r="C5982" i="1"/>
  <c r="C5981" i="1"/>
  <c r="C5980" i="1"/>
  <c r="C5979" i="1"/>
  <c r="C5978" i="1"/>
  <c r="C5977" i="1"/>
  <c r="C5976" i="1"/>
  <c r="C5975" i="1"/>
  <c r="C5974" i="1"/>
  <c r="C5973" i="1"/>
  <c r="C5972" i="1"/>
  <c r="C5971" i="1"/>
  <c r="C5970" i="1"/>
  <c r="C5969" i="1"/>
  <c r="C5968" i="1"/>
  <c r="C5967" i="1"/>
  <c r="C5966" i="1"/>
  <c r="C5965" i="1"/>
  <c r="C5964" i="1"/>
  <c r="C5963" i="1"/>
  <c r="C5962" i="1"/>
  <c r="C5961" i="1"/>
  <c r="C5960" i="1"/>
  <c r="C5959" i="1"/>
  <c r="C5958" i="1"/>
  <c r="C5957" i="1"/>
  <c r="C5956" i="1"/>
  <c r="C5955" i="1"/>
  <c r="C5954" i="1"/>
  <c r="C5953" i="1"/>
  <c r="C5952" i="1"/>
  <c r="C5951" i="1"/>
  <c r="C5950" i="1"/>
  <c r="C5949" i="1"/>
  <c r="C5948" i="1"/>
  <c r="C5947" i="1"/>
  <c r="C5946" i="1"/>
  <c r="C5945" i="1"/>
  <c r="C5944" i="1"/>
  <c r="C5943" i="1"/>
  <c r="C5942" i="1"/>
  <c r="C5941" i="1"/>
  <c r="C5940" i="1"/>
  <c r="C5939" i="1"/>
  <c r="C5938" i="1"/>
  <c r="C5937" i="1"/>
  <c r="C5936" i="1"/>
  <c r="C5935" i="1"/>
  <c r="C5934" i="1"/>
  <c r="C5933" i="1"/>
  <c r="C5932" i="1"/>
  <c r="C5931" i="1"/>
  <c r="C5930" i="1"/>
  <c r="C5929" i="1"/>
  <c r="C5928" i="1"/>
  <c r="C5927" i="1"/>
  <c r="C5926" i="1"/>
  <c r="C5925" i="1"/>
  <c r="C5924" i="1"/>
  <c r="C5923" i="1"/>
  <c r="C5922" i="1"/>
  <c r="C5921" i="1"/>
  <c r="C5920" i="1"/>
  <c r="C5919" i="1"/>
  <c r="C5918" i="1"/>
  <c r="C5917" i="1"/>
  <c r="C5916" i="1"/>
  <c r="C5915" i="1"/>
  <c r="C5914" i="1"/>
  <c r="C5913" i="1"/>
  <c r="C5912" i="1"/>
  <c r="C5911" i="1"/>
  <c r="C5910" i="1"/>
  <c r="C5909" i="1"/>
  <c r="C5908" i="1"/>
  <c r="C5907" i="1"/>
  <c r="C5906" i="1"/>
  <c r="C5905" i="1"/>
  <c r="C5904" i="1"/>
  <c r="C5903" i="1"/>
  <c r="C5902" i="1"/>
  <c r="C5901" i="1"/>
  <c r="C5900" i="1"/>
  <c r="C5899" i="1"/>
  <c r="C5898" i="1"/>
  <c r="C5897" i="1"/>
  <c r="C5896" i="1"/>
  <c r="C5895" i="1"/>
  <c r="C5894" i="1"/>
  <c r="C5893" i="1"/>
  <c r="C5892" i="1"/>
  <c r="C5891" i="1"/>
  <c r="C5890" i="1"/>
  <c r="C5889" i="1"/>
  <c r="C5888" i="1"/>
  <c r="C5887" i="1"/>
  <c r="C5886" i="1"/>
  <c r="C5885" i="1"/>
  <c r="C5884" i="1"/>
  <c r="C5883" i="1"/>
  <c r="C5882" i="1"/>
  <c r="C5881" i="1"/>
  <c r="C5880" i="1"/>
  <c r="C5879" i="1"/>
  <c r="C5878" i="1"/>
  <c r="C5877" i="1"/>
  <c r="C5876" i="1"/>
  <c r="C5875" i="1"/>
  <c r="C5874" i="1"/>
  <c r="C5873" i="1"/>
  <c r="C5872" i="1"/>
  <c r="C5871" i="1"/>
  <c r="C5870" i="1"/>
  <c r="C5869" i="1"/>
  <c r="C5868" i="1"/>
  <c r="C5867" i="1"/>
  <c r="C5866" i="1"/>
  <c r="C5865" i="1"/>
  <c r="C5864" i="1"/>
  <c r="C5863" i="1"/>
  <c r="C5862" i="1"/>
  <c r="C5861" i="1"/>
  <c r="C5860" i="1"/>
  <c r="C5859" i="1"/>
  <c r="C5858" i="1"/>
  <c r="C5857" i="1"/>
  <c r="C5856" i="1"/>
  <c r="C5855" i="1"/>
  <c r="C5854" i="1"/>
  <c r="C5853" i="1"/>
  <c r="C5852" i="1"/>
  <c r="C5851" i="1"/>
  <c r="C5850" i="1"/>
  <c r="C5849" i="1"/>
  <c r="C5848" i="1"/>
  <c r="C5847" i="1"/>
  <c r="C5846" i="1"/>
  <c r="C5845" i="1"/>
  <c r="C5844" i="1"/>
  <c r="C5843" i="1"/>
  <c r="C5842" i="1"/>
  <c r="C5841" i="1"/>
  <c r="C5840" i="1"/>
  <c r="C5839" i="1"/>
  <c r="C5838" i="1"/>
  <c r="C5837" i="1"/>
  <c r="C5836" i="1"/>
  <c r="C5835" i="1"/>
  <c r="C5834" i="1"/>
  <c r="C5833" i="1"/>
  <c r="C5832" i="1"/>
  <c r="C5831" i="1"/>
  <c r="C5830" i="1"/>
  <c r="C5829" i="1"/>
  <c r="C5828" i="1"/>
  <c r="C5827" i="1"/>
  <c r="C5826" i="1"/>
  <c r="C5825" i="1"/>
  <c r="C5824" i="1"/>
  <c r="C5823" i="1"/>
  <c r="C5822" i="1"/>
  <c r="C5821" i="1"/>
  <c r="C5820" i="1"/>
  <c r="C5819" i="1"/>
  <c r="C5818" i="1"/>
  <c r="C5817" i="1"/>
  <c r="C5816" i="1"/>
  <c r="C5815" i="1"/>
  <c r="C5814" i="1"/>
  <c r="C5813" i="1"/>
  <c r="C5812" i="1"/>
  <c r="C5811" i="1"/>
  <c r="C5810" i="1"/>
  <c r="C5809" i="1"/>
  <c r="C5808" i="1"/>
  <c r="C5807" i="1"/>
  <c r="C5806" i="1"/>
  <c r="C5805" i="1"/>
  <c r="C5804" i="1"/>
  <c r="C5803" i="1"/>
  <c r="C5802" i="1"/>
  <c r="C5801" i="1"/>
  <c r="C5800" i="1"/>
  <c r="C5799" i="1"/>
  <c r="C5798" i="1"/>
  <c r="C5797" i="1"/>
  <c r="C5796" i="1"/>
  <c r="C5795" i="1"/>
  <c r="C5794" i="1"/>
  <c r="C5793" i="1"/>
  <c r="C5792" i="1"/>
  <c r="C5791" i="1"/>
  <c r="C5790" i="1"/>
  <c r="C5789" i="1"/>
  <c r="C5788" i="1"/>
  <c r="C5787" i="1"/>
  <c r="C5786" i="1"/>
  <c r="C5785" i="1"/>
  <c r="C5784" i="1"/>
  <c r="C5783" i="1"/>
  <c r="C5782" i="1"/>
  <c r="C5781" i="1"/>
  <c r="C5780" i="1"/>
  <c r="C5779" i="1"/>
  <c r="C5778" i="1"/>
  <c r="C5777" i="1"/>
  <c r="C5776" i="1"/>
  <c r="C5775" i="1"/>
  <c r="C5774" i="1"/>
  <c r="C5773" i="1"/>
  <c r="C5772" i="1"/>
  <c r="C5771" i="1"/>
  <c r="C5770" i="1"/>
  <c r="C5769" i="1"/>
  <c r="C5768" i="1"/>
  <c r="C5767" i="1"/>
  <c r="C5766" i="1"/>
  <c r="C5765" i="1"/>
  <c r="C5764" i="1"/>
  <c r="C5763" i="1"/>
  <c r="C5762" i="1"/>
  <c r="C5761" i="1"/>
  <c r="C5760" i="1"/>
  <c r="C5759" i="1"/>
  <c r="C5758" i="1"/>
  <c r="C5757" i="1"/>
  <c r="C5756" i="1"/>
  <c r="C5755" i="1"/>
  <c r="C5754" i="1"/>
  <c r="C5753" i="1"/>
  <c r="C5752" i="1"/>
  <c r="C5751" i="1"/>
  <c r="C5750" i="1"/>
  <c r="C5749" i="1"/>
  <c r="C5748" i="1"/>
  <c r="C5747" i="1"/>
  <c r="C5746" i="1"/>
  <c r="C5745" i="1"/>
  <c r="C5744" i="1"/>
  <c r="C5743" i="1"/>
  <c r="C5742" i="1"/>
  <c r="C5741" i="1"/>
  <c r="C5740" i="1"/>
  <c r="C5739" i="1"/>
  <c r="C5738" i="1"/>
  <c r="C5737" i="1"/>
  <c r="C5736" i="1"/>
  <c r="C5735" i="1"/>
  <c r="C5734" i="1"/>
  <c r="C5733" i="1"/>
  <c r="C5732" i="1"/>
  <c r="C5731" i="1"/>
  <c r="C5730" i="1"/>
  <c r="C5729" i="1"/>
  <c r="C5728" i="1"/>
  <c r="C5727" i="1"/>
  <c r="C5726" i="1"/>
  <c r="C5725" i="1"/>
  <c r="C5724" i="1"/>
  <c r="C5723" i="1"/>
  <c r="C5722" i="1"/>
  <c r="C5721" i="1"/>
  <c r="C5720" i="1"/>
  <c r="C5719" i="1"/>
  <c r="C5718" i="1"/>
  <c r="C5717" i="1"/>
  <c r="C5716" i="1"/>
  <c r="C5715" i="1"/>
  <c r="C5714" i="1"/>
  <c r="C5713" i="1"/>
  <c r="C5712" i="1"/>
  <c r="C5711" i="1"/>
  <c r="C5710" i="1"/>
  <c r="C5709" i="1"/>
  <c r="C5708" i="1"/>
  <c r="C5707" i="1"/>
  <c r="C5706" i="1"/>
  <c r="C5705" i="1"/>
  <c r="C5704" i="1"/>
  <c r="C5703" i="1"/>
  <c r="C5702" i="1"/>
  <c r="C5701" i="1"/>
  <c r="C5700" i="1"/>
  <c r="C5699" i="1"/>
  <c r="C5698" i="1"/>
  <c r="C5697" i="1"/>
  <c r="C5696" i="1"/>
  <c r="C5695" i="1"/>
  <c r="C5694" i="1"/>
  <c r="C5693" i="1"/>
  <c r="C5692" i="1"/>
  <c r="C5691" i="1"/>
  <c r="C5690" i="1"/>
  <c r="C5689" i="1"/>
  <c r="C5688" i="1"/>
  <c r="C5687" i="1"/>
  <c r="C5686" i="1"/>
  <c r="C5685" i="1"/>
  <c r="C5684" i="1"/>
  <c r="C5683" i="1"/>
  <c r="C5682" i="1"/>
  <c r="C5681" i="1"/>
  <c r="C5680" i="1"/>
  <c r="C5679" i="1"/>
  <c r="C5678" i="1"/>
  <c r="C5677" i="1"/>
  <c r="C5676" i="1"/>
  <c r="C5675" i="1"/>
  <c r="C5674" i="1"/>
  <c r="C5673" i="1"/>
  <c r="C5672" i="1"/>
  <c r="C5671" i="1"/>
  <c r="C5670" i="1"/>
  <c r="C5669" i="1"/>
  <c r="C5668" i="1"/>
  <c r="C5667" i="1"/>
  <c r="C5666" i="1"/>
  <c r="C5665" i="1"/>
  <c r="C5664" i="1"/>
  <c r="C5663" i="1"/>
  <c r="C5662" i="1"/>
  <c r="C5661" i="1"/>
  <c r="C5660" i="1"/>
  <c r="C5659" i="1"/>
  <c r="C5658" i="1"/>
  <c r="C5657" i="1"/>
  <c r="C5656" i="1"/>
  <c r="C5655" i="1"/>
  <c r="C5654" i="1"/>
  <c r="C5653" i="1"/>
  <c r="C5652" i="1"/>
  <c r="C5651" i="1"/>
  <c r="C5650" i="1"/>
  <c r="C5649" i="1"/>
  <c r="C5648" i="1"/>
  <c r="C5647" i="1"/>
  <c r="C5646" i="1"/>
  <c r="C5645" i="1"/>
  <c r="C5644" i="1"/>
  <c r="C5643" i="1"/>
  <c r="C5642" i="1"/>
  <c r="C5641" i="1"/>
  <c r="C5640" i="1"/>
  <c r="C5639" i="1"/>
  <c r="C5638" i="1"/>
  <c r="C5637" i="1"/>
  <c r="C5636" i="1"/>
  <c r="C5635" i="1"/>
  <c r="C5634" i="1"/>
  <c r="C5633" i="1"/>
  <c r="C5632" i="1"/>
  <c r="C5631" i="1"/>
  <c r="C5630" i="1"/>
  <c r="C5629" i="1"/>
  <c r="C5628" i="1"/>
  <c r="C5627" i="1"/>
  <c r="C5626" i="1"/>
  <c r="C5625" i="1"/>
  <c r="C5624" i="1"/>
  <c r="C5623" i="1"/>
  <c r="C5622" i="1"/>
  <c r="C5621" i="1"/>
  <c r="C5620" i="1"/>
  <c r="C5619" i="1"/>
  <c r="C5618" i="1"/>
  <c r="C5617" i="1"/>
  <c r="C5616" i="1"/>
  <c r="C5615" i="1"/>
  <c r="C5614" i="1"/>
  <c r="C5613" i="1"/>
  <c r="C5612" i="1"/>
  <c r="C5611" i="1"/>
  <c r="C5610" i="1"/>
  <c r="C5609" i="1"/>
  <c r="C5608" i="1"/>
  <c r="C5607" i="1"/>
  <c r="C5606" i="1"/>
  <c r="C5605" i="1"/>
  <c r="C5604" i="1"/>
  <c r="C5603" i="1"/>
  <c r="C5602" i="1"/>
  <c r="C5601" i="1"/>
  <c r="C5600" i="1"/>
  <c r="C5599" i="1"/>
  <c r="C5598" i="1"/>
  <c r="C5597" i="1"/>
  <c r="C5596" i="1"/>
  <c r="C5595" i="1"/>
  <c r="C5594" i="1"/>
  <c r="C5593" i="1"/>
  <c r="C5592" i="1"/>
  <c r="C5591" i="1"/>
  <c r="C5590" i="1"/>
  <c r="C5589" i="1"/>
  <c r="C5588" i="1"/>
  <c r="C5587" i="1"/>
  <c r="C5586" i="1"/>
  <c r="C5585" i="1"/>
  <c r="C5584" i="1"/>
  <c r="C5583" i="1"/>
  <c r="C5582" i="1"/>
  <c r="C5581" i="1"/>
  <c r="C5580" i="1"/>
  <c r="C5579" i="1"/>
  <c r="C5578" i="1"/>
  <c r="C5577" i="1"/>
  <c r="C5576" i="1"/>
  <c r="C5575" i="1"/>
  <c r="C5574" i="1"/>
  <c r="C5573" i="1"/>
  <c r="C5572" i="1"/>
  <c r="C5571" i="1"/>
  <c r="C5570" i="1"/>
  <c r="C5569" i="1"/>
  <c r="C5568" i="1"/>
  <c r="C5567" i="1"/>
  <c r="C5566" i="1"/>
  <c r="C5565" i="1"/>
  <c r="C5564" i="1"/>
  <c r="C5563" i="1"/>
  <c r="C5562" i="1"/>
  <c r="C5561" i="1"/>
  <c r="C5560" i="1"/>
  <c r="C5559" i="1"/>
  <c r="C5558" i="1"/>
  <c r="C5557" i="1"/>
  <c r="C5556" i="1"/>
  <c r="C5555" i="1"/>
  <c r="C5554" i="1"/>
  <c r="C5553" i="1"/>
  <c r="C5552" i="1"/>
  <c r="C5551" i="1"/>
  <c r="C5550" i="1"/>
  <c r="C5549" i="1"/>
  <c r="C5548" i="1"/>
  <c r="C5547" i="1"/>
  <c r="C5546" i="1"/>
  <c r="C5545" i="1"/>
  <c r="C5544" i="1"/>
  <c r="C5543" i="1"/>
  <c r="C5542" i="1"/>
  <c r="C5541" i="1"/>
  <c r="C5540" i="1"/>
  <c r="C5539" i="1"/>
  <c r="C5538" i="1"/>
  <c r="C5537" i="1"/>
  <c r="C5536" i="1"/>
  <c r="C5535" i="1"/>
  <c r="C5534" i="1"/>
  <c r="C5533" i="1"/>
  <c r="C5532" i="1"/>
  <c r="C5531" i="1"/>
  <c r="C5530" i="1"/>
  <c r="C5529" i="1"/>
  <c r="C5528" i="1"/>
  <c r="C5527" i="1"/>
  <c r="C5526" i="1"/>
  <c r="C5525" i="1"/>
  <c r="C5524" i="1"/>
  <c r="C5523" i="1"/>
  <c r="C5522" i="1"/>
  <c r="C5521" i="1"/>
  <c r="C5520" i="1"/>
  <c r="C5519" i="1"/>
  <c r="C5518" i="1"/>
  <c r="C5517" i="1"/>
  <c r="C5516" i="1"/>
  <c r="C5515" i="1"/>
  <c r="C5514" i="1"/>
  <c r="C5513" i="1"/>
  <c r="C5512" i="1"/>
  <c r="C5511" i="1"/>
  <c r="C5510" i="1"/>
  <c r="C5509" i="1"/>
  <c r="C5508" i="1"/>
  <c r="C5507" i="1"/>
  <c r="C5506" i="1"/>
  <c r="C5505" i="1"/>
  <c r="C5504" i="1"/>
  <c r="C5503" i="1"/>
  <c r="C5502" i="1"/>
  <c r="C5501" i="1"/>
  <c r="C5500" i="1"/>
  <c r="C5499" i="1"/>
  <c r="C5498" i="1"/>
  <c r="C5497" i="1"/>
  <c r="C5496" i="1"/>
  <c r="C5495" i="1"/>
  <c r="C5494" i="1"/>
  <c r="C5493" i="1"/>
  <c r="C5492" i="1"/>
  <c r="C5491" i="1"/>
  <c r="C5490" i="1"/>
  <c r="C5489" i="1"/>
  <c r="C5488" i="1"/>
  <c r="C5487" i="1"/>
  <c r="C5486" i="1"/>
  <c r="C5485" i="1"/>
  <c r="C5484" i="1"/>
  <c r="C5483" i="1"/>
  <c r="C5482" i="1"/>
  <c r="C5481" i="1"/>
  <c r="C5480" i="1"/>
  <c r="C5479" i="1"/>
  <c r="C5478" i="1"/>
  <c r="C5477" i="1"/>
  <c r="C5476" i="1"/>
  <c r="C5475" i="1"/>
  <c r="C5474" i="1"/>
  <c r="C5473" i="1"/>
  <c r="C5472" i="1"/>
  <c r="C5471" i="1"/>
  <c r="C5470" i="1"/>
  <c r="C5469" i="1"/>
  <c r="C5468" i="1"/>
  <c r="C5467" i="1"/>
  <c r="C5466" i="1"/>
  <c r="C5465" i="1"/>
  <c r="C5464" i="1"/>
  <c r="C5463" i="1"/>
  <c r="C5462" i="1"/>
  <c r="C5461" i="1"/>
  <c r="C5460" i="1"/>
  <c r="C5459" i="1"/>
  <c r="C5458" i="1"/>
  <c r="C5457" i="1"/>
  <c r="C5456" i="1"/>
  <c r="C5455" i="1"/>
  <c r="C5454" i="1"/>
  <c r="C5453" i="1"/>
  <c r="C5452" i="1"/>
  <c r="C5451" i="1"/>
  <c r="C5450" i="1"/>
  <c r="C5449" i="1"/>
  <c r="C5448" i="1"/>
  <c r="C5447" i="1"/>
  <c r="C5446" i="1"/>
  <c r="C5445" i="1"/>
  <c r="C5444" i="1"/>
  <c r="C5443" i="1"/>
  <c r="C5442" i="1"/>
  <c r="C5441" i="1"/>
  <c r="C5440" i="1"/>
  <c r="C5439" i="1"/>
  <c r="C5438" i="1"/>
  <c r="C5437" i="1"/>
  <c r="C5436" i="1"/>
  <c r="C5435" i="1"/>
  <c r="C5434" i="1"/>
  <c r="C5433" i="1"/>
  <c r="C5432" i="1"/>
  <c r="C5431" i="1"/>
  <c r="C5430" i="1"/>
  <c r="C5429" i="1"/>
  <c r="C5428" i="1"/>
  <c r="C5427" i="1"/>
  <c r="C5426" i="1"/>
  <c r="C5425" i="1"/>
  <c r="C5424" i="1"/>
  <c r="C5423" i="1"/>
  <c r="C5422" i="1"/>
  <c r="C5421" i="1"/>
  <c r="C5420" i="1"/>
  <c r="C5419" i="1"/>
  <c r="C5418" i="1"/>
  <c r="C5417" i="1"/>
  <c r="C5416" i="1"/>
  <c r="C5415" i="1"/>
  <c r="C5414" i="1"/>
  <c r="C5413" i="1"/>
  <c r="C5412" i="1"/>
  <c r="C5411" i="1"/>
  <c r="C5410" i="1"/>
  <c r="C5409" i="1"/>
  <c r="C5408" i="1"/>
  <c r="C5407" i="1"/>
  <c r="C5406" i="1"/>
  <c r="C5405" i="1"/>
  <c r="C5404" i="1"/>
  <c r="C5403" i="1"/>
  <c r="C5402" i="1"/>
  <c r="C5401" i="1"/>
  <c r="C5400" i="1"/>
  <c r="C5399" i="1"/>
  <c r="C5398" i="1"/>
  <c r="C5397" i="1"/>
  <c r="C5396" i="1"/>
  <c r="C5395" i="1"/>
  <c r="C5394" i="1"/>
  <c r="C5393" i="1"/>
  <c r="C5392" i="1"/>
  <c r="C5391" i="1"/>
  <c r="C5390" i="1"/>
  <c r="C5389" i="1"/>
  <c r="C5388" i="1"/>
  <c r="C5387" i="1"/>
  <c r="C5386" i="1"/>
  <c r="C5385" i="1"/>
  <c r="C5384" i="1"/>
  <c r="C5383" i="1"/>
  <c r="C5382" i="1"/>
  <c r="C5381" i="1"/>
  <c r="C5380" i="1"/>
  <c r="C5379" i="1"/>
  <c r="C5378" i="1"/>
  <c r="C5377" i="1"/>
  <c r="C5376" i="1"/>
  <c r="C5375" i="1"/>
  <c r="C5374" i="1"/>
  <c r="C5373" i="1"/>
  <c r="C5372" i="1"/>
  <c r="C5371" i="1"/>
  <c r="C5370" i="1"/>
  <c r="C5369" i="1"/>
  <c r="C5368" i="1"/>
  <c r="C5367" i="1"/>
  <c r="C5366" i="1"/>
  <c r="C5365" i="1"/>
  <c r="C5364" i="1"/>
  <c r="C5363" i="1"/>
  <c r="C5362" i="1"/>
  <c r="C5361" i="1"/>
  <c r="C5360" i="1"/>
  <c r="C5359" i="1"/>
  <c r="C5358" i="1"/>
  <c r="C5357" i="1"/>
  <c r="C5356" i="1"/>
  <c r="C5355" i="1"/>
  <c r="C5354" i="1"/>
  <c r="C5353" i="1"/>
  <c r="C5352" i="1"/>
  <c r="C5351" i="1"/>
  <c r="C5350" i="1"/>
  <c r="C5349" i="1"/>
  <c r="C5348" i="1"/>
  <c r="C5347" i="1"/>
  <c r="C5346" i="1"/>
  <c r="C5345" i="1"/>
  <c r="C5344" i="1"/>
  <c r="C5343" i="1"/>
  <c r="C5342" i="1"/>
  <c r="C5341" i="1"/>
  <c r="C5340" i="1"/>
  <c r="C5339" i="1"/>
  <c r="C5338" i="1"/>
  <c r="C5337" i="1"/>
  <c r="C5336" i="1"/>
  <c r="C5335" i="1"/>
  <c r="C5334" i="1"/>
  <c r="C5333" i="1"/>
  <c r="C5332" i="1"/>
  <c r="C5331" i="1"/>
  <c r="C5330" i="1"/>
  <c r="C5329" i="1"/>
  <c r="C5328" i="1"/>
  <c r="C5327" i="1"/>
  <c r="C5326" i="1"/>
  <c r="C5325" i="1"/>
  <c r="C5324" i="1"/>
  <c r="C5323" i="1"/>
  <c r="C5322" i="1"/>
  <c r="C5321" i="1"/>
  <c r="C5320" i="1"/>
  <c r="C5319" i="1"/>
  <c r="C5318" i="1"/>
  <c r="C5317" i="1"/>
  <c r="C5316" i="1"/>
  <c r="C5315" i="1"/>
  <c r="C5314" i="1"/>
  <c r="C5313" i="1"/>
  <c r="C5312" i="1"/>
  <c r="C5311" i="1"/>
  <c r="C5310" i="1"/>
  <c r="C5309" i="1"/>
  <c r="C5308" i="1"/>
  <c r="C5307" i="1"/>
  <c r="C5306" i="1"/>
  <c r="C5305" i="1"/>
  <c r="C5304" i="1"/>
  <c r="C5303" i="1"/>
  <c r="C5302" i="1"/>
  <c r="C5301" i="1"/>
  <c r="C5300" i="1"/>
  <c r="C5299" i="1"/>
  <c r="C5298" i="1"/>
  <c r="C5297" i="1"/>
  <c r="C5296" i="1"/>
  <c r="C5295" i="1"/>
  <c r="C5294" i="1"/>
  <c r="C5293" i="1"/>
  <c r="C5292" i="1"/>
  <c r="C5291" i="1"/>
  <c r="C5290" i="1"/>
  <c r="C5289" i="1"/>
  <c r="C5288" i="1"/>
  <c r="C5287" i="1"/>
  <c r="C5286" i="1"/>
  <c r="C5285" i="1"/>
  <c r="C5284" i="1"/>
  <c r="C5283" i="1"/>
  <c r="C5282" i="1"/>
  <c r="C5281" i="1"/>
  <c r="C5280" i="1"/>
  <c r="C5279" i="1"/>
  <c r="C5278" i="1"/>
  <c r="C5277" i="1"/>
  <c r="C5276" i="1"/>
  <c r="C5275" i="1"/>
  <c r="C5274" i="1"/>
  <c r="C5273" i="1"/>
  <c r="C5272" i="1"/>
  <c r="C5271" i="1"/>
  <c r="C5270" i="1"/>
  <c r="C5269" i="1"/>
  <c r="C5268" i="1"/>
  <c r="C5267" i="1"/>
  <c r="C5266" i="1"/>
  <c r="C5265" i="1"/>
  <c r="C5264" i="1"/>
  <c r="C5263" i="1"/>
  <c r="C5262" i="1"/>
  <c r="C5261" i="1"/>
  <c r="C5260" i="1"/>
  <c r="C5259" i="1"/>
  <c r="C5258" i="1"/>
  <c r="C5257" i="1"/>
  <c r="C5256" i="1"/>
  <c r="C5255" i="1"/>
  <c r="C5254" i="1"/>
  <c r="C5253" i="1"/>
  <c r="C5252" i="1"/>
  <c r="C5251" i="1"/>
  <c r="C5250" i="1"/>
  <c r="C5249" i="1"/>
  <c r="C5248" i="1"/>
  <c r="C5247" i="1"/>
  <c r="C5246" i="1"/>
  <c r="C5245" i="1"/>
  <c r="C5244" i="1"/>
  <c r="C5243" i="1"/>
  <c r="C5242" i="1"/>
  <c r="C5241" i="1"/>
  <c r="C5240" i="1"/>
  <c r="C5239" i="1"/>
  <c r="C5238" i="1"/>
  <c r="C5237" i="1"/>
  <c r="C5236" i="1"/>
  <c r="C5235" i="1"/>
  <c r="C5234" i="1"/>
  <c r="C5233" i="1"/>
  <c r="C5232" i="1"/>
  <c r="C5231" i="1"/>
  <c r="C5230" i="1"/>
  <c r="C5229" i="1"/>
  <c r="C5228" i="1"/>
  <c r="C5227" i="1"/>
  <c r="C5226" i="1"/>
  <c r="C5225" i="1"/>
  <c r="C5224" i="1"/>
  <c r="C5223" i="1"/>
  <c r="C5222" i="1"/>
  <c r="C5221" i="1"/>
  <c r="C5220" i="1"/>
  <c r="C5219" i="1"/>
  <c r="C5218" i="1"/>
  <c r="C5217" i="1"/>
  <c r="C5216" i="1"/>
  <c r="C5215" i="1"/>
  <c r="C5214" i="1"/>
  <c r="C5213" i="1"/>
  <c r="C5212" i="1"/>
  <c r="C5211" i="1"/>
  <c r="C5210" i="1"/>
  <c r="C5209" i="1"/>
  <c r="C5208" i="1"/>
  <c r="C5207" i="1"/>
  <c r="C5206" i="1"/>
  <c r="C5205" i="1"/>
  <c r="C5204" i="1"/>
  <c r="C5203" i="1"/>
  <c r="C5202" i="1"/>
  <c r="C5201" i="1"/>
  <c r="C5200" i="1"/>
  <c r="C5199" i="1"/>
  <c r="C5198" i="1"/>
  <c r="C5197" i="1"/>
  <c r="C5196" i="1"/>
  <c r="C5195" i="1"/>
  <c r="C5194" i="1"/>
  <c r="C5193" i="1"/>
  <c r="C5192" i="1"/>
  <c r="C5191" i="1"/>
  <c r="C5190" i="1"/>
  <c r="C5189" i="1"/>
  <c r="C5188" i="1"/>
  <c r="C5187" i="1"/>
  <c r="C5186" i="1"/>
  <c r="C5185" i="1"/>
  <c r="C5184" i="1"/>
  <c r="C5183" i="1"/>
  <c r="C5182" i="1"/>
  <c r="C5181" i="1"/>
  <c r="C5180" i="1"/>
  <c r="C5179" i="1"/>
  <c r="C5178" i="1"/>
  <c r="C5177" i="1"/>
  <c r="C5176" i="1"/>
  <c r="C5175" i="1"/>
  <c r="C5174" i="1"/>
  <c r="C5173" i="1"/>
  <c r="C5172" i="1"/>
  <c r="C5171" i="1"/>
  <c r="C5170" i="1"/>
  <c r="C5169" i="1"/>
  <c r="C5168" i="1"/>
  <c r="C5167" i="1"/>
  <c r="C5166" i="1"/>
  <c r="C5165" i="1"/>
  <c r="C5164" i="1"/>
  <c r="C5163" i="1"/>
  <c r="C5162" i="1"/>
  <c r="C5161" i="1"/>
  <c r="C5160" i="1"/>
  <c r="C5159" i="1"/>
  <c r="C5158" i="1"/>
  <c r="C5157" i="1"/>
  <c r="C5156" i="1"/>
  <c r="C5155" i="1"/>
  <c r="C5154" i="1"/>
  <c r="C5153" i="1"/>
  <c r="C5152" i="1"/>
  <c r="C5151" i="1"/>
  <c r="C5150" i="1"/>
  <c r="C5149" i="1"/>
  <c r="C5148" i="1"/>
  <c r="C5147" i="1"/>
  <c r="C5146" i="1"/>
  <c r="C5145" i="1"/>
  <c r="C5144" i="1"/>
  <c r="C5143" i="1"/>
  <c r="C5142" i="1"/>
  <c r="C5141" i="1"/>
  <c r="C5140" i="1"/>
  <c r="C5139" i="1"/>
  <c r="C5138" i="1"/>
  <c r="C5137" i="1"/>
  <c r="C5136" i="1"/>
  <c r="C5135" i="1"/>
  <c r="C5134" i="1"/>
  <c r="C5133" i="1"/>
  <c r="C5132" i="1"/>
  <c r="C5131" i="1"/>
  <c r="C5130" i="1"/>
  <c r="C5129" i="1"/>
  <c r="C5128" i="1"/>
  <c r="C5127" i="1"/>
  <c r="C5126" i="1"/>
  <c r="C5125" i="1"/>
  <c r="C5124" i="1"/>
  <c r="C5123" i="1"/>
  <c r="C5122" i="1"/>
  <c r="C5121" i="1"/>
  <c r="C5120" i="1"/>
  <c r="C5119" i="1"/>
  <c r="C5118" i="1"/>
  <c r="C5117" i="1"/>
  <c r="C5116" i="1"/>
  <c r="C5115" i="1"/>
  <c r="C5114" i="1"/>
  <c r="C5113" i="1"/>
  <c r="C5112" i="1"/>
  <c r="C5111" i="1"/>
  <c r="C5110" i="1"/>
  <c r="C5109" i="1"/>
  <c r="C5108" i="1"/>
  <c r="C5107" i="1"/>
  <c r="C5106" i="1"/>
  <c r="C5105" i="1"/>
  <c r="C5104" i="1"/>
  <c r="C5103" i="1"/>
  <c r="C5102" i="1"/>
  <c r="C5101" i="1"/>
  <c r="C5100" i="1"/>
  <c r="C5099" i="1"/>
  <c r="C5098" i="1"/>
  <c r="C5097" i="1"/>
  <c r="C5096" i="1"/>
  <c r="C5095" i="1"/>
  <c r="C5094" i="1"/>
  <c r="C5093" i="1"/>
  <c r="C5092" i="1"/>
  <c r="C5091" i="1"/>
  <c r="C5090" i="1"/>
  <c r="C5089" i="1"/>
  <c r="C5088" i="1"/>
  <c r="C5087" i="1"/>
  <c r="C5086" i="1"/>
  <c r="C5085" i="1"/>
  <c r="C5084" i="1"/>
  <c r="C5083" i="1"/>
  <c r="C5082" i="1"/>
  <c r="C5081" i="1"/>
  <c r="C5080" i="1"/>
  <c r="C5079" i="1"/>
  <c r="C5078" i="1"/>
  <c r="C5077" i="1"/>
  <c r="C5076" i="1"/>
  <c r="C5075" i="1"/>
  <c r="C5074" i="1"/>
  <c r="C5073" i="1"/>
  <c r="C5072" i="1"/>
  <c r="C5071" i="1"/>
  <c r="C5070" i="1"/>
  <c r="C5069" i="1"/>
  <c r="C5068" i="1"/>
  <c r="C5067" i="1"/>
  <c r="C5066" i="1"/>
  <c r="C5065" i="1"/>
  <c r="C5064" i="1"/>
  <c r="C5063" i="1"/>
  <c r="C5062" i="1"/>
  <c r="C5061" i="1"/>
  <c r="C5060" i="1"/>
  <c r="C5059" i="1"/>
  <c r="C5058" i="1"/>
  <c r="C5057" i="1"/>
  <c r="C5056" i="1"/>
  <c r="C5055" i="1"/>
  <c r="C5054" i="1"/>
  <c r="C5053" i="1"/>
  <c r="C5052" i="1"/>
  <c r="C5051" i="1"/>
  <c r="C5050" i="1"/>
  <c r="C5049" i="1"/>
  <c r="C5048" i="1"/>
  <c r="C5047" i="1"/>
  <c r="C5046" i="1"/>
  <c r="C5045" i="1"/>
  <c r="C5044" i="1"/>
  <c r="C5043" i="1"/>
  <c r="C5042" i="1"/>
  <c r="C5041" i="1"/>
  <c r="C5040" i="1"/>
  <c r="C5039" i="1"/>
  <c r="C5038" i="1"/>
  <c r="C5037" i="1"/>
  <c r="C5036" i="1"/>
  <c r="C5035" i="1"/>
  <c r="C5034" i="1"/>
  <c r="C5033" i="1"/>
  <c r="C5032" i="1"/>
  <c r="C5031" i="1"/>
  <c r="C5030" i="1"/>
  <c r="C5029" i="1"/>
  <c r="C5028" i="1"/>
  <c r="C5027" i="1"/>
  <c r="C5026" i="1"/>
  <c r="C5025" i="1"/>
  <c r="C5024" i="1"/>
  <c r="C5023" i="1"/>
  <c r="C5022" i="1"/>
  <c r="C5021" i="1"/>
  <c r="C5020" i="1"/>
  <c r="C5019" i="1"/>
  <c r="C5018" i="1"/>
  <c r="C5017" i="1"/>
  <c r="C5016" i="1"/>
  <c r="C5015" i="1"/>
  <c r="C5014" i="1"/>
  <c r="C5013" i="1"/>
  <c r="C5012" i="1"/>
  <c r="C5011" i="1"/>
  <c r="C5010" i="1"/>
  <c r="C5009" i="1"/>
  <c r="C5008" i="1"/>
  <c r="C5007" i="1"/>
  <c r="C5006" i="1"/>
  <c r="C5005" i="1"/>
  <c r="C5004" i="1"/>
  <c r="C5003" i="1"/>
  <c r="C5002" i="1"/>
  <c r="C5001" i="1"/>
  <c r="C5000" i="1"/>
  <c r="C4999" i="1"/>
  <c r="C4998" i="1"/>
  <c r="C4997" i="1"/>
  <c r="C4996" i="1"/>
  <c r="C4995" i="1"/>
  <c r="C4994" i="1"/>
  <c r="C4993" i="1"/>
  <c r="C4992" i="1"/>
  <c r="C4991" i="1"/>
  <c r="C4990" i="1"/>
  <c r="C4989" i="1"/>
  <c r="C4988" i="1"/>
  <c r="C4987" i="1"/>
  <c r="C4986" i="1"/>
  <c r="C4985" i="1"/>
  <c r="C4984" i="1"/>
  <c r="C4983" i="1"/>
  <c r="C4982" i="1"/>
  <c r="C4981" i="1"/>
  <c r="C4980" i="1"/>
  <c r="C4979" i="1"/>
  <c r="C4978" i="1"/>
  <c r="C4977" i="1"/>
  <c r="C4976" i="1"/>
  <c r="C4975" i="1"/>
  <c r="C4974" i="1"/>
  <c r="C4973" i="1"/>
  <c r="C4972" i="1"/>
  <c r="C4971" i="1"/>
  <c r="C4970" i="1"/>
  <c r="C4969" i="1"/>
  <c r="C4968" i="1"/>
  <c r="C4967" i="1"/>
  <c r="C4966" i="1"/>
  <c r="C4965" i="1"/>
  <c r="C4964" i="1"/>
  <c r="C4963" i="1"/>
  <c r="C4962" i="1"/>
  <c r="C4961" i="1"/>
  <c r="C4960" i="1"/>
  <c r="C4959" i="1"/>
  <c r="C4958" i="1"/>
  <c r="C4957" i="1"/>
  <c r="C4956" i="1"/>
  <c r="C4955" i="1"/>
  <c r="C4954" i="1"/>
  <c r="C4953" i="1"/>
  <c r="C4952" i="1"/>
  <c r="C4951" i="1"/>
  <c r="C4950" i="1"/>
  <c r="C4949" i="1"/>
  <c r="C4948" i="1"/>
  <c r="C4947" i="1"/>
  <c r="C4946" i="1"/>
  <c r="C4945" i="1"/>
  <c r="C4944" i="1"/>
  <c r="C4943" i="1"/>
  <c r="C4942" i="1"/>
  <c r="C4941" i="1"/>
  <c r="C4940" i="1"/>
  <c r="C4939" i="1"/>
  <c r="C4938" i="1"/>
  <c r="C4937" i="1"/>
  <c r="C4936" i="1"/>
  <c r="C4935" i="1"/>
  <c r="C4934" i="1"/>
  <c r="C4933" i="1"/>
  <c r="C4932" i="1"/>
  <c r="C4931" i="1"/>
  <c r="C4930" i="1"/>
  <c r="C4929" i="1"/>
  <c r="C4928" i="1"/>
  <c r="C4927" i="1"/>
  <c r="C4926" i="1"/>
  <c r="C4925" i="1"/>
  <c r="C4924" i="1"/>
  <c r="C4923" i="1"/>
  <c r="C4922" i="1"/>
  <c r="C4921" i="1"/>
  <c r="C4920" i="1"/>
  <c r="C4919" i="1"/>
  <c r="C4918" i="1"/>
  <c r="C4917" i="1"/>
  <c r="C4916" i="1"/>
  <c r="C4915" i="1"/>
  <c r="C4914" i="1"/>
  <c r="C4913" i="1"/>
  <c r="C4912" i="1"/>
  <c r="C4911" i="1"/>
  <c r="C4910" i="1"/>
  <c r="C4909" i="1"/>
  <c r="C4908" i="1"/>
  <c r="C4907" i="1"/>
  <c r="C4906" i="1"/>
  <c r="C4905" i="1"/>
  <c r="C4904" i="1"/>
  <c r="C4903" i="1"/>
  <c r="C4902" i="1"/>
  <c r="C4901" i="1"/>
  <c r="C4900" i="1"/>
  <c r="C4899" i="1"/>
  <c r="C4898" i="1"/>
  <c r="C4897" i="1"/>
  <c r="C4896" i="1"/>
  <c r="C4895" i="1"/>
  <c r="C4894" i="1"/>
  <c r="C4893" i="1"/>
  <c r="C4892" i="1"/>
  <c r="C4891" i="1"/>
  <c r="C4890" i="1"/>
  <c r="C4889" i="1"/>
  <c r="C4888" i="1"/>
  <c r="C4887" i="1"/>
  <c r="C4886" i="1"/>
  <c r="C4885" i="1"/>
  <c r="C4884" i="1"/>
  <c r="C4883" i="1"/>
  <c r="C4882" i="1"/>
  <c r="C4881" i="1"/>
  <c r="C4880" i="1"/>
  <c r="C4879" i="1"/>
  <c r="C4878" i="1"/>
  <c r="C4877" i="1"/>
  <c r="C4876" i="1"/>
  <c r="C4875" i="1"/>
  <c r="C4874" i="1"/>
  <c r="C4873" i="1"/>
  <c r="C4872" i="1"/>
  <c r="C4871" i="1"/>
  <c r="C4870" i="1"/>
  <c r="C4869" i="1"/>
  <c r="C4868" i="1"/>
  <c r="C4867" i="1"/>
  <c r="C4866" i="1"/>
  <c r="C4865" i="1"/>
  <c r="C4864" i="1"/>
  <c r="C4863" i="1"/>
  <c r="C4862" i="1"/>
  <c r="C4861" i="1"/>
  <c r="C4860" i="1"/>
  <c r="C4859" i="1"/>
  <c r="C4858" i="1"/>
  <c r="C4857" i="1"/>
  <c r="C4856" i="1"/>
  <c r="C4855" i="1"/>
  <c r="C4854" i="1"/>
  <c r="C4853" i="1"/>
  <c r="C4852" i="1"/>
  <c r="C4851" i="1"/>
  <c r="C4850" i="1"/>
  <c r="C4849" i="1"/>
  <c r="C4848" i="1"/>
  <c r="C4847" i="1"/>
  <c r="C4846" i="1"/>
  <c r="C4845" i="1"/>
  <c r="C4844" i="1"/>
  <c r="C4843" i="1"/>
  <c r="C4842" i="1"/>
  <c r="C4841" i="1"/>
  <c r="C4840" i="1"/>
  <c r="C4839" i="1"/>
  <c r="C4838" i="1"/>
  <c r="C4837" i="1"/>
  <c r="C4836" i="1"/>
  <c r="C4835" i="1"/>
  <c r="C4834" i="1"/>
  <c r="C4833" i="1"/>
  <c r="C4832" i="1"/>
  <c r="C4831" i="1"/>
  <c r="C4830" i="1"/>
  <c r="C4829" i="1"/>
  <c r="C4828" i="1"/>
  <c r="C4827" i="1"/>
  <c r="C4826" i="1"/>
  <c r="C4825" i="1"/>
  <c r="C4824" i="1"/>
  <c r="C4823" i="1"/>
  <c r="C4822" i="1"/>
  <c r="C4821" i="1"/>
  <c r="C4820" i="1"/>
  <c r="C4819" i="1"/>
  <c r="C4818" i="1"/>
  <c r="C4817" i="1"/>
  <c r="C4816" i="1"/>
  <c r="C4815" i="1"/>
  <c r="C4814" i="1"/>
  <c r="C4813" i="1"/>
  <c r="C4812" i="1"/>
  <c r="C4811" i="1"/>
  <c r="C4810" i="1"/>
  <c r="C4809" i="1"/>
  <c r="C4808" i="1"/>
  <c r="C4807" i="1"/>
  <c r="C4806" i="1"/>
  <c r="C4805" i="1"/>
  <c r="C4804" i="1"/>
  <c r="C4803" i="1"/>
  <c r="C4802" i="1"/>
  <c r="C4801" i="1"/>
  <c r="C4800" i="1"/>
  <c r="C4799" i="1"/>
  <c r="C4798" i="1"/>
  <c r="C4797" i="1"/>
  <c r="C4796" i="1"/>
  <c r="C4795" i="1"/>
  <c r="C4794" i="1"/>
  <c r="C4793" i="1"/>
  <c r="C4792" i="1"/>
  <c r="C4791" i="1"/>
  <c r="C4790" i="1"/>
  <c r="C4789" i="1"/>
  <c r="C4788" i="1"/>
  <c r="C4787" i="1"/>
  <c r="C4786" i="1"/>
  <c r="C4785" i="1"/>
  <c r="C4784" i="1"/>
  <c r="C4783" i="1"/>
  <c r="C4782" i="1"/>
  <c r="C4781" i="1"/>
  <c r="C4780" i="1"/>
  <c r="C4779" i="1"/>
  <c r="C4778" i="1"/>
  <c r="C4777" i="1"/>
  <c r="C4776" i="1"/>
  <c r="C4775" i="1"/>
  <c r="C4774" i="1"/>
  <c r="C4773" i="1"/>
  <c r="C4772" i="1"/>
  <c r="C4771" i="1"/>
  <c r="C4770" i="1"/>
  <c r="C4769" i="1"/>
  <c r="C4768" i="1"/>
  <c r="C4767" i="1"/>
  <c r="C4766" i="1"/>
  <c r="C4765" i="1"/>
  <c r="C4764" i="1"/>
  <c r="C4763" i="1"/>
  <c r="C4762" i="1"/>
  <c r="C4761" i="1"/>
  <c r="C4760" i="1"/>
  <c r="C4759" i="1"/>
  <c r="C4758" i="1"/>
  <c r="C4757" i="1"/>
  <c r="C4756" i="1"/>
  <c r="C4755" i="1"/>
  <c r="C4754" i="1"/>
  <c r="C4753" i="1"/>
  <c r="C4752" i="1"/>
  <c r="C4751" i="1"/>
  <c r="C4750" i="1"/>
  <c r="C4749" i="1"/>
  <c r="C4748" i="1"/>
  <c r="C4747" i="1"/>
  <c r="C4746" i="1"/>
  <c r="C4745" i="1"/>
  <c r="C4744" i="1"/>
  <c r="C4743" i="1"/>
  <c r="C4742" i="1"/>
  <c r="C4741" i="1"/>
  <c r="C4740" i="1"/>
  <c r="C4739" i="1"/>
  <c r="C4738" i="1"/>
  <c r="C4737" i="1"/>
  <c r="C4736" i="1"/>
  <c r="C4735" i="1"/>
  <c r="C4734" i="1"/>
  <c r="C4733" i="1"/>
  <c r="C4732" i="1"/>
  <c r="C4731" i="1"/>
  <c r="C4730" i="1"/>
  <c r="C4729" i="1"/>
  <c r="C4728" i="1"/>
  <c r="C4727" i="1"/>
  <c r="C4726" i="1"/>
  <c r="C4725" i="1"/>
  <c r="C4724" i="1"/>
  <c r="C4723" i="1"/>
  <c r="C4722" i="1"/>
  <c r="C4721" i="1"/>
  <c r="C4720" i="1"/>
  <c r="C4719" i="1"/>
  <c r="C4718" i="1"/>
  <c r="C4717" i="1"/>
  <c r="C4716" i="1"/>
  <c r="C4715" i="1"/>
  <c r="C4714" i="1"/>
  <c r="C4713" i="1"/>
  <c r="C4712" i="1"/>
  <c r="C4711" i="1"/>
  <c r="C4710" i="1"/>
  <c r="C4709" i="1"/>
  <c r="C4708" i="1"/>
  <c r="C4707" i="1"/>
  <c r="C4706" i="1"/>
  <c r="C4705" i="1"/>
  <c r="C4704" i="1"/>
  <c r="C4703" i="1"/>
  <c r="C4702" i="1"/>
  <c r="C4701" i="1"/>
  <c r="C4700" i="1"/>
  <c r="C4699" i="1"/>
  <c r="C4698" i="1"/>
  <c r="C4697" i="1"/>
  <c r="C4696" i="1"/>
  <c r="C4695" i="1"/>
  <c r="C4694" i="1"/>
  <c r="C4693" i="1"/>
  <c r="C4692" i="1"/>
  <c r="C4691" i="1"/>
  <c r="C4690" i="1"/>
  <c r="C4689" i="1"/>
  <c r="C4688" i="1"/>
  <c r="C4687" i="1"/>
  <c r="C4686" i="1"/>
  <c r="C4685" i="1"/>
  <c r="C4684" i="1"/>
  <c r="C4683" i="1"/>
  <c r="C4682" i="1"/>
  <c r="C4681" i="1"/>
  <c r="C4680" i="1"/>
  <c r="C4679" i="1"/>
  <c r="C4678" i="1"/>
  <c r="C4677" i="1"/>
  <c r="C4676" i="1"/>
  <c r="C4675" i="1"/>
  <c r="C4674" i="1"/>
  <c r="C4673" i="1"/>
  <c r="C4672" i="1"/>
  <c r="C4671" i="1"/>
  <c r="C4670" i="1"/>
  <c r="C4669" i="1"/>
  <c r="C4668" i="1"/>
  <c r="C4667" i="1"/>
  <c r="C4666" i="1"/>
  <c r="C4665" i="1"/>
  <c r="C4664" i="1"/>
  <c r="C4663" i="1"/>
  <c r="C4662" i="1"/>
  <c r="C4661" i="1"/>
  <c r="C4660" i="1"/>
  <c r="C4659" i="1"/>
  <c r="C4658" i="1"/>
  <c r="C4657" i="1"/>
  <c r="C4656" i="1"/>
  <c r="C4655" i="1"/>
  <c r="C4654" i="1"/>
  <c r="C4653" i="1"/>
  <c r="C4652" i="1"/>
  <c r="C4651" i="1"/>
  <c r="C4650" i="1"/>
  <c r="C4649" i="1"/>
  <c r="C4648" i="1"/>
  <c r="C4647" i="1"/>
  <c r="C4646" i="1"/>
  <c r="C4645" i="1"/>
  <c r="C4644" i="1"/>
  <c r="C4643" i="1"/>
  <c r="C4642" i="1"/>
  <c r="C4641" i="1"/>
  <c r="C4640" i="1"/>
  <c r="C4639" i="1"/>
  <c r="C4638" i="1"/>
  <c r="C4637" i="1"/>
  <c r="C4636" i="1"/>
  <c r="C4635" i="1"/>
  <c r="C4634" i="1"/>
  <c r="C4633" i="1"/>
  <c r="C4632" i="1"/>
  <c r="C4631" i="1"/>
  <c r="C4630" i="1"/>
  <c r="C4629" i="1"/>
  <c r="C4628" i="1"/>
  <c r="C4627" i="1"/>
  <c r="C4626" i="1"/>
  <c r="C4625" i="1"/>
  <c r="C4624" i="1"/>
  <c r="C4623" i="1"/>
  <c r="C4622" i="1"/>
  <c r="C4621" i="1"/>
  <c r="C4620" i="1"/>
  <c r="C4619" i="1"/>
  <c r="C4618" i="1"/>
  <c r="C4617" i="1"/>
  <c r="C4616" i="1"/>
  <c r="C4615" i="1"/>
  <c r="C4614" i="1"/>
  <c r="C4613" i="1"/>
  <c r="C4612" i="1"/>
  <c r="C4611" i="1"/>
  <c r="C4610" i="1"/>
  <c r="C4609" i="1"/>
  <c r="C4608" i="1"/>
  <c r="C4607" i="1"/>
  <c r="C4606" i="1"/>
  <c r="C4605" i="1"/>
  <c r="C4604" i="1"/>
  <c r="C4603" i="1"/>
  <c r="C4602" i="1"/>
  <c r="C4601" i="1"/>
  <c r="C4600" i="1"/>
  <c r="C4599" i="1"/>
  <c r="C4598" i="1"/>
  <c r="C4597" i="1"/>
  <c r="C4596" i="1"/>
  <c r="C4595" i="1"/>
  <c r="C4594" i="1"/>
  <c r="C4593" i="1"/>
  <c r="C4592" i="1"/>
  <c r="C4591" i="1"/>
  <c r="C4590" i="1"/>
  <c r="C4589" i="1"/>
  <c r="C4588" i="1"/>
  <c r="C4587" i="1"/>
  <c r="C4586" i="1"/>
  <c r="C4585" i="1"/>
  <c r="C4584" i="1"/>
  <c r="C4583" i="1"/>
  <c r="C4582" i="1"/>
  <c r="C4581" i="1"/>
  <c r="C4580" i="1"/>
  <c r="C4579" i="1"/>
  <c r="C4578" i="1"/>
  <c r="C4577" i="1"/>
  <c r="C4576" i="1"/>
  <c r="C4575" i="1"/>
  <c r="C4574" i="1"/>
  <c r="C4573" i="1"/>
  <c r="C4572" i="1"/>
  <c r="C4571" i="1"/>
  <c r="C4570" i="1"/>
  <c r="C4569" i="1"/>
  <c r="C4568" i="1"/>
  <c r="C4567" i="1"/>
  <c r="C4566" i="1"/>
  <c r="C4565" i="1"/>
  <c r="C4564" i="1"/>
  <c r="C4563" i="1"/>
  <c r="C4562" i="1"/>
  <c r="C4561" i="1"/>
  <c r="C4560" i="1"/>
  <c r="C4559" i="1"/>
  <c r="C4558" i="1"/>
  <c r="C4557" i="1"/>
  <c r="C4556" i="1"/>
  <c r="C4555" i="1"/>
  <c r="C4554" i="1"/>
  <c r="C4553" i="1"/>
  <c r="C4552" i="1"/>
  <c r="C4551" i="1"/>
  <c r="C4550" i="1"/>
  <c r="C4549" i="1"/>
  <c r="C4548" i="1"/>
  <c r="C4547" i="1"/>
  <c r="C4546" i="1"/>
  <c r="C4545" i="1"/>
  <c r="C4544" i="1"/>
  <c r="C4543" i="1"/>
  <c r="C4542" i="1"/>
  <c r="C4541" i="1"/>
  <c r="C4540" i="1"/>
  <c r="C4539" i="1"/>
  <c r="C4538" i="1"/>
  <c r="C4537" i="1"/>
  <c r="C4536" i="1"/>
  <c r="C4535" i="1"/>
  <c r="C4534" i="1"/>
  <c r="C4533" i="1"/>
  <c r="C4532" i="1"/>
  <c r="C4531" i="1"/>
  <c r="C4530" i="1"/>
  <c r="C4529" i="1"/>
  <c r="C4528" i="1"/>
  <c r="C4527" i="1"/>
  <c r="C4526" i="1"/>
  <c r="C4525" i="1"/>
  <c r="C4524" i="1"/>
  <c r="C4523" i="1"/>
  <c r="C4522" i="1"/>
  <c r="C4521" i="1"/>
  <c r="C4520" i="1"/>
  <c r="C4519" i="1"/>
  <c r="C4518" i="1"/>
  <c r="C4517" i="1"/>
  <c r="C4516" i="1"/>
  <c r="C4515" i="1"/>
  <c r="C4514" i="1"/>
  <c r="C4513" i="1"/>
  <c r="C4512" i="1"/>
  <c r="C4511" i="1"/>
  <c r="C4510" i="1"/>
  <c r="C4509" i="1"/>
  <c r="C4508" i="1"/>
  <c r="C4507" i="1"/>
  <c r="C4506" i="1"/>
  <c r="C4505" i="1"/>
  <c r="C4504" i="1"/>
  <c r="C4503" i="1"/>
  <c r="C4502" i="1"/>
  <c r="C4501" i="1"/>
  <c r="C4500" i="1"/>
  <c r="C4499" i="1"/>
  <c r="C4498" i="1"/>
  <c r="C4497" i="1"/>
  <c r="C4496" i="1"/>
  <c r="C4495" i="1"/>
  <c r="C4494" i="1"/>
  <c r="C4493" i="1"/>
  <c r="C4492" i="1"/>
  <c r="C4491" i="1"/>
  <c r="C4490" i="1"/>
  <c r="C4489" i="1"/>
  <c r="C4488" i="1"/>
  <c r="C4487" i="1"/>
  <c r="C4486" i="1"/>
  <c r="C4485" i="1"/>
  <c r="C4484" i="1"/>
  <c r="C4483" i="1"/>
  <c r="C4482" i="1"/>
  <c r="C4481" i="1"/>
  <c r="C4480" i="1"/>
  <c r="C4479" i="1"/>
  <c r="C4478" i="1"/>
  <c r="C4477" i="1"/>
  <c r="C4476" i="1"/>
  <c r="C4475" i="1"/>
  <c r="C4474" i="1"/>
  <c r="C4473" i="1"/>
  <c r="C4472" i="1"/>
  <c r="C4471" i="1"/>
  <c r="C4470" i="1"/>
  <c r="C4469" i="1"/>
  <c r="C4468" i="1"/>
  <c r="C4467" i="1"/>
  <c r="C4466" i="1"/>
  <c r="C4465" i="1"/>
  <c r="C4464" i="1"/>
  <c r="C4463" i="1"/>
  <c r="C4462" i="1"/>
  <c r="C4461" i="1"/>
  <c r="C4460" i="1"/>
  <c r="C4459" i="1"/>
  <c r="C4458" i="1"/>
  <c r="C4457" i="1"/>
  <c r="C4456" i="1"/>
  <c r="C4455" i="1"/>
  <c r="C4454" i="1"/>
  <c r="C4453" i="1"/>
  <c r="C4452" i="1"/>
  <c r="C4451" i="1"/>
  <c r="C4450" i="1"/>
  <c r="C4449" i="1"/>
  <c r="C4448" i="1"/>
  <c r="C4447" i="1"/>
  <c r="C4446" i="1"/>
  <c r="C4445" i="1"/>
  <c r="C4444" i="1"/>
  <c r="C4443" i="1"/>
  <c r="C4442" i="1"/>
  <c r="C4441" i="1"/>
  <c r="C4440" i="1"/>
  <c r="C4439" i="1"/>
  <c r="C4438" i="1"/>
  <c r="C4437" i="1"/>
  <c r="C4436" i="1"/>
  <c r="C4435" i="1"/>
  <c r="C4434" i="1"/>
  <c r="C4433" i="1"/>
  <c r="C4432" i="1"/>
  <c r="C4431" i="1"/>
  <c r="C4430" i="1"/>
  <c r="C4429" i="1"/>
  <c r="C4428" i="1"/>
  <c r="C4427" i="1"/>
  <c r="C4426" i="1"/>
  <c r="C4425" i="1"/>
  <c r="C4424" i="1"/>
  <c r="C4423" i="1"/>
  <c r="C4422" i="1"/>
  <c r="C4421" i="1"/>
  <c r="C4420" i="1"/>
  <c r="C4419" i="1"/>
  <c r="C4418" i="1"/>
  <c r="C4417" i="1"/>
  <c r="C4416" i="1"/>
  <c r="C4415" i="1"/>
  <c r="C4414" i="1"/>
  <c r="C4413" i="1"/>
  <c r="C4412" i="1"/>
  <c r="C4411" i="1"/>
  <c r="C4410" i="1"/>
  <c r="C4409" i="1"/>
  <c r="C4408" i="1"/>
  <c r="C4407" i="1"/>
  <c r="C4406" i="1"/>
  <c r="C4405" i="1"/>
  <c r="C4404" i="1"/>
  <c r="C4403" i="1"/>
  <c r="C4402" i="1"/>
  <c r="C4401" i="1"/>
  <c r="C4400" i="1"/>
  <c r="C4399" i="1"/>
  <c r="C4398" i="1"/>
  <c r="C4397" i="1"/>
  <c r="C4396" i="1"/>
  <c r="C4395" i="1"/>
  <c r="C4394" i="1"/>
  <c r="C4393" i="1"/>
  <c r="C4392" i="1"/>
  <c r="C4391" i="1"/>
  <c r="C4390" i="1"/>
  <c r="C4389" i="1"/>
  <c r="C4388" i="1"/>
  <c r="C4387" i="1"/>
  <c r="C4386" i="1"/>
  <c r="C4385" i="1"/>
  <c r="C4384" i="1"/>
  <c r="C4383" i="1"/>
  <c r="C4382" i="1"/>
  <c r="C4381" i="1"/>
  <c r="C4380" i="1"/>
  <c r="C4379" i="1"/>
  <c r="C4378" i="1"/>
  <c r="C4377" i="1"/>
  <c r="C4376" i="1"/>
  <c r="C4375" i="1"/>
  <c r="C4374" i="1"/>
  <c r="C4373" i="1"/>
  <c r="C4372" i="1"/>
  <c r="C4371" i="1"/>
  <c r="C4370" i="1"/>
  <c r="C4369" i="1"/>
  <c r="C4368" i="1"/>
  <c r="C4367" i="1"/>
  <c r="C4366" i="1"/>
  <c r="C4365" i="1"/>
  <c r="C4364" i="1"/>
  <c r="C4363" i="1"/>
  <c r="C4362" i="1"/>
  <c r="C4361" i="1"/>
  <c r="C4360" i="1"/>
  <c r="C4359" i="1"/>
  <c r="C4358" i="1"/>
  <c r="C4357" i="1"/>
  <c r="C4356" i="1"/>
  <c r="C4355" i="1"/>
  <c r="C4354" i="1"/>
  <c r="C4353" i="1"/>
  <c r="C4352" i="1"/>
  <c r="C4351" i="1"/>
  <c r="C4350" i="1"/>
  <c r="C4349" i="1"/>
  <c r="C4348" i="1"/>
  <c r="C4347" i="1"/>
  <c r="C4346" i="1"/>
  <c r="C4345" i="1"/>
  <c r="C4344" i="1"/>
  <c r="C4343" i="1"/>
  <c r="C4342" i="1"/>
  <c r="C4341" i="1"/>
  <c r="C4340" i="1"/>
  <c r="C4339" i="1"/>
  <c r="C4338" i="1"/>
  <c r="C4337" i="1"/>
  <c r="C4336" i="1"/>
  <c r="C4335" i="1"/>
  <c r="C4334" i="1"/>
  <c r="C4333" i="1"/>
  <c r="C4332" i="1"/>
  <c r="C4331" i="1"/>
  <c r="C4330" i="1"/>
  <c r="C4329" i="1"/>
  <c r="C4328" i="1"/>
  <c r="C4327" i="1"/>
  <c r="C4326" i="1"/>
  <c r="C4325" i="1"/>
  <c r="C4324" i="1"/>
  <c r="C4323" i="1"/>
  <c r="C4322" i="1"/>
  <c r="C4321" i="1"/>
  <c r="C4320" i="1"/>
  <c r="C4319" i="1"/>
  <c r="C4318" i="1"/>
  <c r="C4317" i="1"/>
  <c r="C4316" i="1"/>
  <c r="C4315" i="1"/>
  <c r="C4314" i="1"/>
  <c r="C4313" i="1"/>
  <c r="C4312" i="1"/>
  <c r="C4311" i="1"/>
  <c r="C4310" i="1"/>
  <c r="C4309" i="1"/>
  <c r="C4308" i="1"/>
  <c r="C4307" i="1"/>
  <c r="C4306" i="1"/>
  <c r="C4305" i="1"/>
  <c r="C4304" i="1"/>
  <c r="C4303" i="1"/>
  <c r="C4302" i="1"/>
  <c r="C4301" i="1"/>
  <c r="C4300" i="1"/>
  <c r="C4299" i="1"/>
  <c r="C4298" i="1"/>
  <c r="C4297" i="1"/>
  <c r="C4296" i="1"/>
  <c r="C4295" i="1"/>
  <c r="C4294" i="1"/>
  <c r="C4293" i="1"/>
  <c r="C4292" i="1"/>
  <c r="C4291" i="1"/>
  <c r="C4290" i="1"/>
  <c r="C4289" i="1"/>
  <c r="C4288" i="1"/>
  <c r="C4287" i="1"/>
  <c r="C4286" i="1"/>
  <c r="C4285" i="1"/>
  <c r="C4284" i="1"/>
  <c r="C4283" i="1"/>
  <c r="C4282" i="1"/>
  <c r="C4281" i="1"/>
  <c r="C4280" i="1"/>
  <c r="C4279" i="1"/>
  <c r="C4278" i="1"/>
  <c r="C4277" i="1"/>
  <c r="C4276" i="1"/>
  <c r="C4275" i="1"/>
  <c r="C4274" i="1"/>
  <c r="C4273" i="1"/>
  <c r="C4272" i="1"/>
  <c r="C4271" i="1"/>
  <c r="C4270" i="1"/>
  <c r="C4269" i="1"/>
  <c r="C4268" i="1"/>
  <c r="C4267" i="1"/>
  <c r="C4266" i="1"/>
  <c r="C4265" i="1"/>
  <c r="C4264" i="1"/>
  <c r="C4263" i="1"/>
  <c r="C4262" i="1"/>
  <c r="C4261" i="1"/>
  <c r="C4260" i="1"/>
  <c r="C4259" i="1"/>
  <c r="C4258" i="1"/>
  <c r="C4257" i="1"/>
  <c r="C4256" i="1"/>
  <c r="C4255" i="1"/>
  <c r="C4254" i="1"/>
  <c r="C4253" i="1"/>
  <c r="C4252" i="1"/>
  <c r="C4251" i="1"/>
  <c r="C4250" i="1"/>
  <c r="C4249" i="1"/>
  <c r="C4248" i="1"/>
  <c r="C4247" i="1"/>
  <c r="C4246" i="1"/>
  <c r="C4245" i="1"/>
  <c r="C4244" i="1"/>
  <c r="C4243" i="1"/>
  <c r="C4242" i="1"/>
  <c r="C4241" i="1"/>
  <c r="C4240" i="1"/>
  <c r="C4239" i="1"/>
  <c r="C4238" i="1"/>
  <c r="C4237" i="1"/>
  <c r="C4236" i="1"/>
  <c r="C4235" i="1"/>
  <c r="C4234" i="1"/>
  <c r="C4233" i="1"/>
  <c r="C4232" i="1"/>
  <c r="C4231" i="1"/>
  <c r="C4230" i="1"/>
  <c r="C4229" i="1"/>
  <c r="C4228" i="1"/>
  <c r="C4227" i="1"/>
  <c r="C4226" i="1"/>
  <c r="C4225" i="1"/>
  <c r="C4224" i="1"/>
  <c r="C4223" i="1"/>
  <c r="C4222" i="1"/>
  <c r="C4221" i="1"/>
  <c r="C4220" i="1"/>
  <c r="C4219" i="1"/>
  <c r="C4218" i="1"/>
  <c r="C4217" i="1"/>
  <c r="C4216" i="1"/>
  <c r="C4215" i="1"/>
  <c r="C4214" i="1"/>
  <c r="C4213" i="1"/>
  <c r="C4212" i="1"/>
  <c r="C4211" i="1"/>
  <c r="C4210" i="1"/>
  <c r="C4209" i="1"/>
  <c r="C4208" i="1"/>
  <c r="C4207" i="1"/>
  <c r="C4206" i="1"/>
  <c r="C4205" i="1"/>
  <c r="C4204" i="1"/>
  <c r="C4203" i="1"/>
  <c r="C4202" i="1"/>
  <c r="C4201" i="1"/>
  <c r="C4200" i="1"/>
  <c r="C4199" i="1"/>
  <c r="C4198" i="1"/>
  <c r="C4197" i="1"/>
  <c r="C4196" i="1"/>
  <c r="C4195" i="1"/>
  <c r="C4194" i="1"/>
  <c r="C4193" i="1"/>
  <c r="C4192" i="1"/>
  <c r="C4191" i="1"/>
  <c r="C4190" i="1"/>
  <c r="C4189" i="1"/>
  <c r="C4188" i="1"/>
  <c r="C4187" i="1"/>
  <c r="C4186" i="1"/>
  <c r="C4185" i="1"/>
  <c r="C4184" i="1"/>
  <c r="C4183" i="1"/>
  <c r="C4182" i="1"/>
  <c r="C4181" i="1"/>
  <c r="C4180" i="1"/>
  <c r="C4179" i="1"/>
  <c r="C4178" i="1"/>
  <c r="C4177" i="1"/>
  <c r="C4176" i="1"/>
  <c r="C4175" i="1"/>
  <c r="C4174" i="1"/>
  <c r="C4173" i="1"/>
  <c r="C4172" i="1"/>
  <c r="C4171" i="1"/>
  <c r="C4170" i="1"/>
  <c r="C4169" i="1"/>
  <c r="C4168" i="1"/>
  <c r="C4167" i="1"/>
  <c r="C4166" i="1"/>
  <c r="C4165" i="1"/>
  <c r="C4164" i="1"/>
  <c r="C4163" i="1"/>
  <c r="C4162" i="1"/>
  <c r="C4161" i="1"/>
  <c r="C4160" i="1"/>
  <c r="C4159" i="1"/>
  <c r="C4158" i="1"/>
  <c r="C4157" i="1"/>
  <c r="C4156" i="1"/>
  <c r="C4155" i="1"/>
  <c r="C4154" i="1"/>
  <c r="C4153" i="1"/>
  <c r="C4152" i="1"/>
  <c r="C4151" i="1"/>
  <c r="C4150" i="1"/>
  <c r="C4149" i="1"/>
  <c r="C4148" i="1"/>
  <c r="C4147" i="1"/>
  <c r="C4146" i="1"/>
  <c r="C4145" i="1"/>
  <c r="C4144" i="1"/>
  <c r="C4143" i="1"/>
  <c r="C4142" i="1"/>
  <c r="C4141" i="1"/>
  <c r="C4140" i="1"/>
  <c r="C4139" i="1"/>
  <c r="C4138" i="1"/>
  <c r="C4137" i="1"/>
  <c r="C4136" i="1"/>
  <c r="C4135" i="1"/>
  <c r="C4134" i="1"/>
  <c r="C4133" i="1"/>
  <c r="C4132" i="1"/>
  <c r="C4131" i="1"/>
  <c r="C4130" i="1"/>
  <c r="C4129" i="1"/>
  <c r="C4128" i="1"/>
  <c r="C4127" i="1"/>
  <c r="C4126" i="1"/>
  <c r="C4125" i="1"/>
  <c r="C4124" i="1"/>
  <c r="C4123" i="1"/>
  <c r="C4122" i="1"/>
  <c r="C4121" i="1"/>
  <c r="C4120" i="1"/>
  <c r="C4119" i="1"/>
  <c r="C4118" i="1"/>
  <c r="C4117" i="1"/>
  <c r="C4116" i="1"/>
  <c r="C4115" i="1"/>
  <c r="C4114" i="1"/>
  <c r="C4113" i="1"/>
  <c r="C4112" i="1"/>
  <c r="C4111" i="1"/>
  <c r="C4110" i="1"/>
  <c r="C4109" i="1"/>
  <c r="C4108" i="1"/>
  <c r="C4107" i="1"/>
  <c r="C4106" i="1"/>
  <c r="C4105" i="1"/>
  <c r="C4104" i="1"/>
  <c r="C4103" i="1"/>
  <c r="C4102" i="1"/>
  <c r="C4101" i="1"/>
  <c r="C4100" i="1"/>
  <c r="C4099" i="1"/>
  <c r="C4098" i="1"/>
  <c r="C4097" i="1"/>
  <c r="C4096" i="1"/>
  <c r="C4095" i="1"/>
  <c r="C4094" i="1"/>
  <c r="C4093" i="1"/>
  <c r="C4092" i="1"/>
  <c r="C4091" i="1"/>
  <c r="C4090" i="1"/>
  <c r="C4089" i="1"/>
  <c r="C4088" i="1"/>
  <c r="C4087" i="1"/>
  <c r="C4086" i="1"/>
  <c r="C4085" i="1"/>
  <c r="C4084" i="1"/>
  <c r="C4083" i="1"/>
  <c r="C4082" i="1"/>
  <c r="C4081" i="1"/>
  <c r="C4080" i="1"/>
  <c r="C4079" i="1"/>
  <c r="C4078" i="1"/>
  <c r="C4077" i="1"/>
  <c r="C4076" i="1"/>
  <c r="C4075" i="1"/>
  <c r="C4074" i="1"/>
  <c r="C4073" i="1"/>
  <c r="C4072" i="1"/>
  <c r="C4071" i="1"/>
  <c r="C4070" i="1"/>
  <c r="C4069" i="1"/>
  <c r="C4068" i="1"/>
  <c r="C4067" i="1"/>
  <c r="C4066" i="1"/>
  <c r="C4065" i="1"/>
  <c r="C4064" i="1"/>
  <c r="C4063" i="1"/>
  <c r="C4062" i="1"/>
  <c r="C4061" i="1"/>
  <c r="C4060" i="1"/>
  <c r="C4059" i="1"/>
  <c r="C4058" i="1"/>
  <c r="C4057" i="1"/>
  <c r="C4056" i="1"/>
  <c r="C4055" i="1"/>
  <c r="C4054" i="1"/>
  <c r="C4053" i="1"/>
  <c r="C4052" i="1"/>
  <c r="C4051" i="1"/>
  <c r="C4050" i="1"/>
  <c r="C4049" i="1"/>
  <c r="C4048" i="1"/>
  <c r="C4047" i="1"/>
  <c r="C4046" i="1"/>
  <c r="C4045" i="1"/>
  <c r="C4044" i="1"/>
  <c r="C4043" i="1"/>
  <c r="C4042" i="1"/>
  <c r="C4041" i="1"/>
  <c r="C4040" i="1"/>
  <c r="C4039" i="1"/>
  <c r="C4038" i="1"/>
  <c r="C4037" i="1"/>
  <c r="C4036" i="1"/>
  <c r="C4035" i="1"/>
  <c r="C4034" i="1"/>
  <c r="C4033" i="1"/>
  <c r="C4032" i="1"/>
  <c r="C4031" i="1"/>
  <c r="C4030" i="1"/>
  <c r="C4029" i="1"/>
  <c r="C4028" i="1"/>
  <c r="C4027" i="1"/>
  <c r="C4026" i="1"/>
  <c r="C4025" i="1"/>
  <c r="C4024" i="1"/>
  <c r="C4023" i="1"/>
  <c r="C4022" i="1"/>
  <c r="C4021" i="1"/>
  <c r="C4020" i="1"/>
  <c r="C4019" i="1"/>
  <c r="C4018" i="1"/>
  <c r="C4017" i="1"/>
  <c r="C4016" i="1"/>
  <c r="C4015" i="1"/>
  <c r="C4014" i="1"/>
  <c r="C4013" i="1"/>
  <c r="C4012" i="1"/>
  <c r="C4011" i="1"/>
  <c r="C4010" i="1"/>
  <c r="C4009" i="1"/>
  <c r="C4008" i="1"/>
  <c r="C4007" i="1"/>
  <c r="C4006" i="1"/>
  <c r="C4005" i="1"/>
  <c r="C4004" i="1"/>
  <c r="C4003" i="1"/>
  <c r="C4002" i="1"/>
  <c r="C4001" i="1"/>
  <c r="C4000" i="1"/>
  <c r="C3999" i="1"/>
  <c r="C3998" i="1"/>
  <c r="C3997" i="1"/>
  <c r="C3996" i="1"/>
  <c r="C3995" i="1"/>
  <c r="C3994" i="1"/>
  <c r="C3993" i="1"/>
  <c r="C3992" i="1"/>
  <c r="C3991" i="1"/>
  <c r="C3990" i="1"/>
  <c r="C3989" i="1"/>
  <c r="C3988" i="1"/>
  <c r="C3987" i="1"/>
  <c r="C3986" i="1"/>
  <c r="C3985" i="1"/>
  <c r="C3984" i="1"/>
  <c r="C3983" i="1"/>
  <c r="C3982" i="1"/>
  <c r="C3981" i="1"/>
  <c r="C3980" i="1"/>
  <c r="C3979" i="1"/>
  <c r="C3978" i="1"/>
  <c r="C3977" i="1"/>
  <c r="C3976" i="1"/>
  <c r="C3975" i="1"/>
  <c r="C3974" i="1"/>
  <c r="C3973" i="1"/>
  <c r="C3972" i="1"/>
  <c r="C3971" i="1"/>
  <c r="C3970" i="1"/>
  <c r="C3969" i="1"/>
  <c r="C3968" i="1"/>
  <c r="C3967" i="1"/>
  <c r="C3966" i="1"/>
  <c r="C3965" i="1"/>
  <c r="C3964" i="1"/>
  <c r="C3963" i="1"/>
  <c r="C3962" i="1"/>
  <c r="C3961" i="1"/>
  <c r="C3960" i="1"/>
  <c r="C3959" i="1"/>
  <c r="C3958" i="1"/>
  <c r="C3957" i="1"/>
  <c r="C3956" i="1"/>
  <c r="C3955" i="1"/>
  <c r="C3954" i="1"/>
  <c r="C3953" i="1"/>
  <c r="C3952" i="1"/>
  <c r="C3951" i="1"/>
  <c r="C3950" i="1"/>
  <c r="C3949" i="1"/>
  <c r="C3948" i="1"/>
  <c r="C3947" i="1"/>
  <c r="C3946" i="1"/>
  <c r="C3945" i="1"/>
  <c r="C3944" i="1"/>
  <c r="C3943" i="1"/>
  <c r="C3942" i="1"/>
  <c r="C3941" i="1"/>
  <c r="C3940" i="1"/>
  <c r="C3939" i="1"/>
  <c r="C3938" i="1"/>
  <c r="C3937" i="1"/>
  <c r="C3936" i="1"/>
  <c r="C3935" i="1"/>
  <c r="C3934" i="1"/>
  <c r="C3933" i="1"/>
  <c r="C3932" i="1"/>
  <c r="C3931" i="1"/>
  <c r="C3930" i="1"/>
  <c r="C3929" i="1"/>
  <c r="C3928" i="1"/>
  <c r="C3927" i="1"/>
  <c r="C3926" i="1"/>
  <c r="C3925" i="1"/>
  <c r="C3924" i="1"/>
  <c r="C3923" i="1"/>
  <c r="C3922" i="1"/>
  <c r="C3921" i="1"/>
  <c r="C3920" i="1"/>
  <c r="C3919" i="1"/>
  <c r="C3918" i="1"/>
  <c r="C3917" i="1"/>
  <c r="C3916" i="1"/>
  <c r="C3915" i="1"/>
  <c r="C3914" i="1"/>
  <c r="C3913" i="1"/>
  <c r="C3912" i="1"/>
  <c r="C3911" i="1"/>
  <c r="C3910" i="1"/>
  <c r="C3909" i="1"/>
  <c r="C3908" i="1"/>
  <c r="C3907" i="1"/>
  <c r="C3906" i="1"/>
  <c r="C3905" i="1"/>
  <c r="C3904" i="1"/>
  <c r="C3903" i="1"/>
  <c r="C3902" i="1"/>
  <c r="C3901" i="1"/>
  <c r="C3900" i="1"/>
  <c r="C3899" i="1"/>
  <c r="C3898" i="1"/>
  <c r="C3897" i="1"/>
  <c r="C3896" i="1"/>
  <c r="C3895" i="1"/>
  <c r="C3894" i="1"/>
  <c r="C3893" i="1"/>
  <c r="C3892" i="1"/>
  <c r="C3891" i="1"/>
  <c r="C3890" i="1"/>
  <c r="C3889" i="1"/>
  <c r="C3888" i="1"/>
  <c r="C3887" i="1"/>
  <c r="C3886" i="1"/>
  <c r="C3885" i="1"/>
  <c r="C3884" i="1"/>
  <c r="C3883" i="1"/>
  <c r="C3882" i="1"/>
  <c r="C3881" i="1"/>
  <c r="C3880" i="1"/>
  <c r="C3879" i="1"/>
  <c r="C3878" i="1"/>
  <c r="C3877" i="1"/>
  <c r="C3876" i="1"/>
  <c r="C3875" i="1"/>
  <c r="C3874" i="1"/>
  <c r="C3873" i="1"/>
  <c r="C3872" i="1"/>
  <c r="C3871" i="1"/>
  <c r="C3870" i="1"/>
  <c r="C3869" i="1"/>
  <c r="C3868" i="1"/>
  <c r="C3867" i="1"/>
  <c r="C3866" i="1"/>
  <c r="C3865" i="1"/>
  <c r="C3864" i="1"/>
  <c r="C3863" i="1"/>
  <c r="C3862" i="1"/>
  <c r="C3861" i="1"/>
  <c r="C3860" i="1"/>
  <c r="C3859" i="1"/>
  <c r="C3858" i="1"/>
  <c r="C3857" i="1"/>
  <c r="C3856" i="1"/>
  <c r="C3855" i="1"/>
  <c r="C3854" i="1"/>
  <c r="C3853" i="1"/>
  <c r="C3852" i="1"/>
  <c r="C3851" i="1"/>
  <c r="C3850" i="1"/>
  <c r="C3849" i="1"/>
  <c r="C3848" i="1"/>
  <c r="C3847" i="1"/>
  <c r="C3846" i="1"/>
  <c r="C3845" i="1"/>
  <c r="C3844" i="1"/>
  <c r="C3843" i="1"/>
  <c r="C3842" i="1"/>
  <c r="C3841" i="1"/>
  <c r="C3840" i="1"/>
  <c r="C3839" i="1"/>
  <c r="C3838" i="1"/>
  <c r="C3837" i="1"/>
  <c r="C3836" i="1"/>
  <c r="C3835" i="1"/>
  <c r="C3834" i="1"/>
  <c r="C3833" i="1"/>
  <c r="C3832" i="1"/>
  <c r="C3831" i="1"/>
  <c r="C3830" i="1"/>
  <c r="C3829" i="1"/>
  <c r="C3828" i="1"/>
  <c r="C3827" i="1"/>
  <c r="C3826" i="1"/>
  <c r="C3825" i="1"/>
  <c r="C3824" i="1"/>
  <c r="C3823" i="1"/>
  <c r="C3822" i="1"/>
  <c r="C3821" i="1"/>
  <c r="C3820" i="1"/>
  <c r="C3819" i="1"/>
  <c r="C3818" i="1"/>
  <c r="C3817" i="1"/>
  <c r="C3816" i="1"/>
  <c r="C3815" i="1"/>
  <c r="C3814" i="1"/>
  <c r="C3813" i="1"/>
  <c r="C3812" i="1"/>
  <c r="C3811" i="1"/>
  <c r="C3810" i="1"/>
  <c r="C3809" i="1"/>
  <c r="C3808" i="1"/>
  <c r="C3807" i="1"/>
  <c r="C3806" i="1"/>
  <c r="C3805" i="1"/>
  <c r="C3804" i="1"/>
  <c r="C3803" i="1"/>
  <c r="C3802" i="1"/>
  <c r="C3801" i="1"/>
  <c r="C3800" i="1"/>
  <c r="C3799" i="1"/>
  <c r="C3798" i="1"/>
  <c r="C3797" i="1"/>
  <c r="C3796" i="1"/>
  <c r="C3795" i="1"/>
  <c r="C3794" i="1"/>
  <c r="C3793" i="1"/>
  <c r="C3792" i="1"/>
  <c r="C3791" i="1"/>
  <c r="C3790" i="1"/>
  <c r="C3789" i="1"/>
  <c r="C3788" i="1"/>
  <c r="C3787" i="1"/>
  <c r="C3786" i="1"/>
  <c r="C3785" i="1"/>
  <c r="C3784" i="1"/>
  <c r="C3783" i="1"/>
  <c r="C3782" i="1"/>
  <c r="C3781" i="1"/>
  <c r="C3780" i="1"/>
  <c r="C3779" i="1"/>
  <c r="C3778" i="1"/>
  <c r="C3777" i="1"/>
  <c r="C3776" i="1"/>
  <c r="C3775" i="1"/>
  <c r="C3774" i="1"/>
  <c r="C3773" i="1"/>
  <c r="C3772" i="1"/>
  <c r="C3771" i="1"/>
  <c r="C3770" i="1"/>
  <c r="C3769" i="1"/>
  <c r="C3768" i="1"/>
  <c r="C3767" i="1"/>
  <c r="C3766" i="1"/>
  <c r="C3765" i="1"/>
  <c r="C3764" i="1"/>
  <c r="C3763" i="1"/>
  <c r="C3762" i="1"/>
  <c r="C3761" i="1"/>
  <c r="C3760" i="1"/>
  <c r="C3759" i="1"/>
  <c r="C3758" i="1"/>
  <c r="C3757" i="1"/>
  <c r="C3756" i="1"/>
  <c r="C3755" i="1"/>
  <c r="C3754" i="1"/>
  <c r="C3753" i="1"/>
  <c r="C3752" i="1"/>
  <c r="C3751" i="1"/>
  <c r="C3750" i="1"/>
  <c r="C3749" i="1"/>
  <c r="C3748" i="1"/>
  <c r="C3747" i="1"/>
  <c r="C3746" i="1"/>
  <c r="C3745" i="1"/>
  <c r="C3744" i="1"/>
  <c r="C3743" i="1"/>
  <c r="C3742" i="1"/>
  <c r="C3741" i="1"/>
  <c r="C3740" i="1"/>
  <c r="C3739" i="1"/>
  <c r="C3738" i="1"/>
  <c r="C3737" i="1"/>
  <c r="C3736" i="1"/>
  <c r="C3735" i="1"/>
  <c r="C3734" i="1"/>
  <c r="C3733" i="1"/>
  <c r="C3732" i="1"/>
  <c r="C3731" i="1"/>
  <c r="C3730" i="1"/>
  <c r="C3729" i="1"/>
  <c r="C3728" i="1"/>
  <c r="C3727" i="1"/>
  <c r="C3726" i="1"/>
  <c r="C3725" i="1"/>
  <c r="C3724" i="1"/>
  <c r="C3723" i="1"/>
  <c r="C3722" i="1"/>
  <c r="C3721" i="1"/>
  <c r="C3720" i="1"/>
  <c r="C3719" i="1"/>
  <c r="C3718" i="1"/>
  <c r="C3717" i="1"/>
  <c r="C3716" i="1"/>
  <c r="C3715" i="1"/>
  <c r="C3714" i="1"/>
  <c r="C3713" i="1"/>
  <c r="C3712" i="1"/>
  <c r="C3711" i="1"/>
  <c r="C3710" i="1"/>
  <c r="C3709" i="1"/>
  <c r="C3708" i="1"/>
  <c r="C3707" i="1"/>
  <c r="C3706" i="1"/>
  <c r="C3705" i="1"/>
  <c r="C3704" i="1"/>
  <c r="C3703" i="1"/>
  <c r="C3702" i="1"/>
  <c r="C3701" i="1"/>
  <c r="C3700" i="1"/>
  <c r="C3699" i="1"/>
  <c r="C3698" i="1"/>
  <c r="C3697" i="1"/>
  <c r="C3696" i="1"/>
  <c r="C3695" i="1"/>
  <c r="C3694" i="1"/>
  <c r="C3693" i="1"/>
  <c r="C3692" i="1"/>
  <c r="C3691" i="1"/>
  <c r="C3690" i="1"/>
  <c r="C3689" i="1"/>
  <c r="C3688" i="1"/>
  <c r="C3687" i="1"/>
  <c r="C3686" i="1"/>
  <c r="C3685" i="1"/>
  <c r="C3684" i="1"/>
  <c r="C3683" i="1"/>
  <c r="C3682" i="1"/>
  <c r="C3681" i="1"/>
  <c r="C3680" i="1"/>
  <c r="C3679" i="1"/>
  <c r="C3678" i="1"/>
  <c r="C3677" i="1"/>
  <c r="C3676" i="1"/>
  <c r="C3675" i="1"/>
  <c r="C3674" i="1"/>
  <c r="C3673" i="1"/>
  <c r="C3672" i="1"/>
  <c r="C3671" i="1"/>
  <c r="C3670" i="1"/>
  <c r="C3669" i="1"/>
  <c r="C3668" i="1"/>
  <c r="C3667" i="1"/>
  <c r="C3666" i="1"/>
  <c r="C3665" i="1"/>
  <c r="C3664" i="1"/>
  <c r="C3663" i="1"/>
  <c r="C3662" i="1"/>
  <c r="C3661" i="1"/>
  <c r="C3660" i="1"/>
  <c r="C3659" i="1"/>
  <c r="C3658" i="1"/>
  <c r="C3657" i="1"/>
  <c r="C3656" i="1"/>
  <c r="C3655" i="1"/>
  <c r="C3654" i="1"/>
  <c r="C3653" i="1"/>
  <c r="C3652" i="1"/>
  <c r="C3651" i="1"/>
  <c r="C3650" i="1"/>
  <c r="C3649" i="1"/>
  <c r="C3648" i="1"/>
  <c r="C3647" i="1"/>
  <c r="C3646" i="1"/>
  <c r="C3645" i="1"/>
  <c r="C3644" i="1"/>
  <c r="C3643" i="1"/>
  <c r="C3642" i="1"/>
  <c r="C3641" i="1"/>
  <c r="C3640" i="1"/>
  <c r="C3639" i="1"/>
  <c r="C3638" i="1"/>
  <c r="C3637" i="1"/>
  <c r="C3636" i="1"/>
  <c r="C3635" i="1"/>
  <c r="C3634" i="1"/>
  <c r="C3633" i="1"/>
  <c r="C3632" i="1"/>
  <c r="C3631" i="1"/>
  <c r="C3630" i="1"/>
  <c r="C3629" i="1"/>
  <c r="C3628" i="1"/>
  <c r="C3627" i="1"/>
  <c r="C3626" i="1"/>
  <c r="C3625" i="1"/>
  <c r="C3624" i="1"/>
  <c r="C3623" i="1"/>
  <c r="C3622" i="1"/>
  <c r="C3621" i="1"/>
  <c r="C3620" i="1"/>
  <c r="C3619" i="1"/>
  <c r="C3618" i="1"/>
  <c r="C3617" i="1"/>
  <c r="C3616" i="1"/>
  <c r="C3615" i="1"/>
  <c r="C3614" i="1"/>
  <c r="C3613" i="1"/>
  <c r="C3612" i="1"/>
  <c r="C3611" i="1"/>
  <c r="C3610" i="1"/>
  <c r="C3609" i="1"/>
  <c r="C3608" i="1"/>
  <c r="C3607" i="1"/>
  <c r="C3606" i="1"/>
  <c r="C3605" i="1"/>
  <c r="C3604" i="1"/>
  <c r="C3603" i="1"/>
  <c r="C3602" i="1"/>
  <c r="C3601" i="1"/>
  <c r="C3600" i="1"/>
  <c r="C3599" i="1"/>
  <c r="C3598" i="1"/>
  <c r="C3597" i="1"/>
  <c r="C3596" i="1"/>
  <c r="C3595" i="1"/>
  <c r="C3594" i="1"/>
  <c r="C3593" i="1"/>
  <c r="C3592" i="1"/>
  <c r="C3591" i="1"/>
  <c r="C3590" i="1"/>
  <c r="C3589" i="1"/>
  <c r="C3588" i="1"/>
  <c r="C3587" i="1"/>
  <c r="C3586" i="1"/>
  <c r="C3585" i="1"/>
  <c r="C3584" i="1"/>
  <c r="C3583" i="1"/>
  <c r="C3582" i="1"/>
  <c r="C3581" i="1"/>
  <c r="C3580" i="1"/>
  <c r="C3579" i="1"/>
  <c r="C3578" i="1"/>
  <c r="C3577" i="1"/>
  <c r="C3576" i="1"/>
  <c r="C3575" i="1"/>
  <c r="C3574" i="1"/>
  <c r="C3573" i="1"/>
  <c r="C3572" i="1"/>
  <c r="C3571" i="1"/>
  <c r="C3570" i="1"/>
  <c r="C3569" i="1"/>
  <c r="C3568" i="1"/>
  <c r="C3567" i="1"/>
  <c r="C3566" i="1"/>
  <c r="C3565" i="1"/>
  <c r="C3564" i="1"/>
  <c r="C3563" i="1"/>
  <c r="C3562" i="1"/>
  <c r="C3561" i="1"/>
  <c r="C3560" i="1"/>
  <c r="C3559" i="1"/>
  <c r="C3558" i="1"/>
  <c r="C3557" i="1"/>
  <c r="C3556" i="1"/>
  <c r="C3555" i="1"/>
  <c r="C3554" i="1"/>
  <c r="C3553" i="1"/>
  <c r="C3552" i="1"/>
  <c r="C3551" i="1"/>
  <c r="C3550" i="1"/>
  <c r="C3549" i="1"/>
  <c r="C3548" i="1"/>
  <c r="C3547" i="1"/>
  <c r="C3546" i="1"/>
  <c r="C3545" i="1"/>
  <c r="C3544" i="1"/>
  <c r="C3543" i="1"/>
  <c r="C3542" i="1"/>
  <c r="C3541" i="1"/>
  <c r="C3540" i="1"/>
  <c r="C3539" i="1"/>
  <c r="C3538" i="1"/>
  <c r="C3537" i="1"/>
  <c r="C3536" i="1"/>
  <c r="C3535" i="1"/>
  <c r="C3534" i="1"/>
  <c r="C3533" i="1"/>
  <c r="C3532" i="1"/>
  <c r="C3531" i="1"/>
  <c r="C3530" i="1"/>
  <c r="C3529" i="1"/>
  <c r="C3528" i="1"/>
  <c r="C3527" i="1"/>
  <c r="C3526" i="1"/>
  <c r="C3525" i="1"/>
  <c r="C3524" i="1"/>
  <c r="C3523" i="1"/>
  <c r="C3522" i="1"/>
  <c r="C3521" i="1"/>
  <c r="C3520" i="1"/>
  <c r="C3519" i="1"/>
  <c r="C3518" i="1"/>
  <c r="C3517" i="1"/>
  <c r="C3516" i="1"/>
  <c r="C3515" i="1"/>
  <c r="C3514" i="1"/>
  <c r="C3513" i="1"/>
  <c r="C3512" i="1"/>
  <c r="C3511" i="1"/>
  <c r="C3510" i="1"/>
  <c r="C3509" i="1"/>
  <c r="C3508" i="1"/>
  <c r="C3507" i="1"/>
  <c r="C3506" i="1"/>
  <c r="C3505" i="1"/>
  <c r="C3504" i="1"/>
  <c r="C3503" i="1"/>
  <c r="C3502" i="1"/>
  <c r="C3501" i="1"/>
  <c r="C3500" i="1"/>
  <c r="C3499" i="1"/>
  <c r="C3498" i="1"/>
  <c r="C3497" i="1"/>
  <c r="C3496" i="1"/>
  <c r="C3495" i="1"/>
  <c r="C3494" i="1"/>
  <c r="C3493" i="1"/>
  <c r="C3492" i="1"/>
  <c r="C3491" i="1"/>
  <c r="C3490" i="1"/>
  <c r="C3489" i="1"/>
  <c r="C3488" i="1"/>
  <c r="C3487" i="1"/>
  <c r="C3486" i="1"/>
  <c r="C3485" i="1"/>
  <c r="C3484" i="1"/>
  <c r="C3483" i="1"/>
  <c r="C3482" i="1"/>
  <c r="C3481" i="1"/>
  <c r="C3480" i="1"/>
  <c r="C3479" i="1"/>
  <c r="C3478" i="1"/>
  <c r="C3477" i="1"/>
  <c r="C3476" i="1"/>
  <c r="C3475" i="1"/>
  <c r="C3474" i="1"/>
  <c r="C3473" i="1"/>
  <c r="C3472" i="1"/>
  <c r="C3471" i="1"/>
  <c r="C3470" i="1"/>
  <c r="C3469" i="1"/>
  <c r="C3468" i="1"/>
  <c r="C3467" i="1"/>
  <c r="C3466" i="1"/>
  <c r="C3465" i="1"/>
  <c r="C3464" i="1"/>
  <c r="C3463" i="1"/>
  <c r="C3462" i="1"/>
  <c r="C3461" i="1"/>
  <c r="C3460" i="1"/>
  <c r="C3459" i="1"/>
  <c r="C3458" i="1"/>
  <c r="C3457" i="1"/>
  <c r="C3456" i="1"/>
  <c r="C3455" i="1"/>
  <c r="C3454" i="1"/>
  <c r="C3453" i="1"/>
  <c r="C3452" i="1"/>
  <c r="C3451" i="1"/>
  <c r="C3450" i="1"/>
  <c r="C3449" i="1"/>
  <c r="C3448" i="1"/>
  <c r="C3447" i="1"/>
  <c r="C3446" i="1"/>
  <c r="C3445" i="1"/>
  <c r="C3444" i="1"/>
  <c r="C3443" i="1"/>
  <c r="C3442" i="1"/>
  <c r="C3441" i="1"/>
  <c r="C3440" i="1"/>
  <c r="C3439" i="1"/>
  <c r="C3438" i="1"/>
  <c r="C3437" i="1"/>
  <c r="C3436" i="1"/>
  <c r="C3435" i="1"/>
  <c r="C3434" i="1"/>
  <c r="C3433" i="1"/>
  <c r="C3432" i="1"/>
  <c r="C3431" i="1"/>
  <c r="C3430" i="1"/>
  <c r="C3429" i="1"/>
  <c r="C3428" i="1"/>
  <c r="C3427" i="1"/>
  <c r="C3426" i="1"/>
  <c r="C3425" i="1"/>
  <c r="C3424" i="1"/>
  <c r="C3423" i="1"/>
  <c r="C3422" i="1"/>
  <c r="C3421" i="1"/>
  <c r="C3420" i="1"/>
  <c r="C3419" i="1"/>
  <c r="C3418" i="1"/>
  <c r="C3417" i="1"/>
  <c r="C3416" i="1"/>
  <c r="C3415" i="1"/>
  <c r="C3414" i="1"/>
  <c r="C3413" i="1"/>
  <c r="C3412" i="1"/>
  <c r="C3411" i="1"/>
  <c r="C3410" i="1"/>
  <c r="C3409" i="1"/>
  <c r="C3408" i="1"/>
  <c r="C3407" i="1"/>
  <c r="C3406" i="1"/>
  <c r="C3405" i="1"/>
  <c r="C3404" i="1"/>
  <c r="C3403" i="1"/>
  <c r="C3402" i="1"/>
  <c r="C3401" i="1"/>
  <c r="C3400" i="1"/>
  <c r="C3399" i="1"/>
  <c r="C3398" i="1"/>
  <c r="C3397" i="1"/>
  <c r="C3396" i="1"/>
  <c r="C3395" i="1"/>
  <c r="C3394" i="1"/>
  <c r="C3393" i="1"/>
  <c r="C3392" i="1"/>
  <c r="C3391" i="1"/>
  <c r="C3390" i="1"/>
  <c r="C3389" i="1"/>
  <c r="C3388" i="1"/>
  <c r="C3387" i="1"/>
  <c r="C3386" i="1"/>
  <c r="C3385" i="1"/>
  <c r="C3384" i="1"/>
  <c r="C3383" i="1"/>
  <c r="C3382" i="1"/>
  <c r="C3381" i="1"/>
  <c r="C3380" i="1"/>
  <c r="C3379" i="1"/>
  <c r="C3378" i="1"/>
  <c r="C3377" i="1"/>
  <c r="C3376" i="1"/>
  <c r="C3375" i="1"/>
  <c r="C3374" i="1"/>
  <c r="C3373" i="1"/>
  <c r="C3372" i="1"/>
  <c r="C3371" i="1"/>
  <c r="C3370" i="1"/>
  <c r="C3369" i="1"/>
  <c r="C3368" i="1"/>
  <c r="C3367" i="1"/>
  <c r="C3366" i="1"/>
  <c r="C3365" i="1"/>
  <c r="C3364" i="1"/>
  <c r="C3363" i="1"/>
  <c r="C3362" i="1"/>
  <c r="C3361" i="1"/>
  <c r="C3360" i="1"/>
  <c r="C3359" i="1"/>
  <c r="C3358" i="1"/>
  <c r="C3357" i="1"/>
  <c r="C3356" i="1"/>
  <c r="C3355" i="1"/>
  <c r="C3354" i="1"/>
  <c r="C3353" i="1"/>
  <c r="C3352" i="1"/>
  <c r="C3351" i="1"/>
  <c r="C3350" i="1"/>
  <c r="C3349" i="1"/>
  <c r="C3348" i="1"/>
  <c r="C3347" i="1"/>
  <c r="C3346" i="1"/>
  <c r="C3345" i="1"/>
  <c r="C3344" i="1"/>
  <c r="C3343" i="1"/>
  <c r="C3342" i="1"/>
  <c r="C3341" i="1"/>
  <c r="C3340" i="1"/>
  <c r="C3339" i="1"/>
  <c r="C3338" i="1"/>
  <c r="C3337" i="1"/>
  <c r="C3336" i="1"/>
  <c r="C3335" i="1"/>
  <c r="C3334" i="1"/>
  <c r="C3333" i="1"/>
  <c r="C3332" i="1"/>
  <c r="C3331" i="1"/>
  <c r="C3330" i="1"/>
  <c r="C3329" i="1"/>
  <c r="C3328" i="1"/>
  <c r="C3327" i="1"/>
  <c r="C3326" i="1"/>
  <c r="C3325" i="1"/>
  <c r="C3324" i="1"/>
  <c r="C3323" i="1"/>
  <c r="C3322" i="1"/>
  <c r="C3321" i="1"/>
  <c r="C3320" i="1"/>
  <c r="C3319" i="1"/>
  <c r="C3318" i="1"/>
  <c r="C3317" i="1"/>
  <c r="C3316" i="1"/>
  <c r="C3315" i="1"/>
  <c r="C3314" i="1"/>
  <c r="C3313" i="1"/>
  <c r="C3312" i="1"/>
  <c r="C3311" i="1"/>
  <c r="C3310" i="1"/>
  <c r="C3309" i="1"/>
  <c r="C3308" i="1"/>
  <c r="C3307" i="1"/>
  <c r="C3306" i="1"/>
  <c r="C3305" i="1"/>
  <c r="C3304" i="1"/>
  <c r="C3303" i="1"/>
  <c r="C3302" i="1"/>
  <c r="C3301" i="1"/>
  <c r="C3300" i="1"/>
  <c r="C3299" i="1"/>
  <c r="C3298" i="1"/>
  <c r="C3297" i="1"/>
  <c r="C3296" i="1"/>
  <c r="C3295" i="1"/>
  <c r="C3294" i="1"/>
  <c r="C3293" i="1"/>
  <c r="C3292" i="1"/>
  <c r="C3291" i="1"/>
  <c r="C3290" i="1"/>
  <c r="C3289" i="1"/>
  <c r="C3288" i="1"/>
  <c r="C3287" i="1"/>
  <c r="C3286" i="1"/>
  <c r="C3285" i="1"/>
  <c r="C3284" i="1"/>
  <c r="C3283" i="1"/>
  <c r="C3282" i="1"/>
  <c r="C3281" i="1"/>
  <c r="C3280" i="1"/>
  <c r="C3279" i="1"/>
  <c r="C3278" i="1"/>
  <c r="C3277" i="1"/>
  <c r="C3276" i="1"/>
  <c r="C3275" i="1"/>
  <c r="C3274" i="1"/>
  <c r="C3273" i="1"/>
  <c r="C3272" i="1"/>
  <c r="C3271" i="1"/>
  <c r="C3270" i="1"/>
  <c r="C3269" i="1"/>
  <c r="C3268" i="1"/>
  <c r="C3267" i="1"/>
  <c r="C3266" i="1"/>
  <c r="C3265" i="1"/>
  <c r="C3264" i="1"/>
  <c r="C3263" i="1"/>
  <c r="C3262" i="1"/>
  <c r="C3261" i="1"/>
  <c r="C3260" i="1"/>
  <c r="C3259" i="1"/>
  <c r="C3258" i="1"/>
  <c r="C3257" i="1"/>
  <c r="C3256" i="1"/>
  <c r="C3255" i="1"/>
  <c r="C3254" i="1"/>
  <c r="C3253" i="1"/>
  <c r="C3252" i="1"/>
  <c r="C3251" i="1"/>
  <c r="C3250" i="1"/>
  <c r="C3249" i="1"/>
  <c r="C3248" i="1"/>
  <c r="C3247" i="1"/>
  <c r="C3246" i="1"/>
  <c r="C3245" i="1"/>
  <c r="C3244" i="1"/>
  <c r="C3243" i="1"/>
  <c r="C3242" i="1"/>
  <c r="C3241" i="1"/>
  <c r="C3240" i="1"/>
  <c r="C3239" i="1"/>
  <c r="C3238" i="1"/>
  <c r="C3237" i="1"/>
  <c r="C3236" i="1"/>
  <c r="C3235" i="1"/>
  <c r="C3234" i="1"/>
  <c r="C3233" i="1"/>
  <c r="C3232" i="1"/>
  <c r="C3231" i="1"/>
  <c r="C3230" i="1"/>
  <c r="C3229" i="1"/>
  <c r="C3228" i="1"/>
  <c r="C3227" i="1"/>
  <c r="C3226" i="1"/>
  <c r="C3225" i="1"/>
  <c r="C3224" i="1"/>
  <c r="C3223" i="1"/>
  <c r="C3222" i="1"/>
  <c r="C3221" i="1"/>
  <c r="C3220" i="1"/>
  <c r="C3219" i="1"/>
  <c r="C3218" i="1"/>
  <c r="C3217" i="1"/>
  <c r="C3216" i="1"/>
  <c r="C3215" i="1"/>
  <c r="C3214" i="1"/>
  <c r="C3213" i="1"/>
  <c r="C3212" i="1"/>
  <c r="C3211" i="1"/>
  <c r="C3210" i="1"/>
  <c r="C3209" i="1"/>
  <c r="C3208" i="1"/>
  <c r="C3207" i="1"/>
  <c r="C3206" i="1"/>
  <c r="C3205" i="1"/>
  <c r="C3204" i="1"/>
  <c r="C3203" i="1"/>
  <c r="C3202" i="1"/>
  <c r="C3201" i="1"/>
  <c r="C3200" i="1"/>
  <c r="C3199" i="1"/>
  <c r="C3198" i="1"/>
  <c r="C3197" i="1"/>
  <c r="C3196" i="1"/>
  <c r="C3195" i="1"/>
  <c r="C3194" i="1"/>
  <c r="C3193" i="1"/>
  <c r="C3192" i="1"/>
  <c r="C3191" i="1"/>
  <c r="C3190" i="1"/>
  <c r="C3189" i="1"/>
  <c r="C3188" i="1"/>
  <c r="C3187" i="1"/>
  <c r="C3186" i="1"/>
  <c r="C3185" i="1"/>
  <c r="C3184" i="1"/>
  <c r="C3183" i="1"/>
  <c r="C3182" i="1"/>
  <c r="C3181" i="1"/>
  <c r="C3180" i="1"/>
  <c r="C3179" i="1"/>
  <c r="C3178" i="1"/>
  <c r="C3177" i="1"/>
  <c r="C3176" i="1"/>
  <c r="C3175" i="1"/>
  <c r="C3174" i="1"/>
  <c r="C3173" i="1"/>
  <c r="C3172" i="1"/>
  <c r="C3171" i="1"/>
  <c r="C3170" i="1"/>
  <c r="C3169" i="1"/>
  <c r="C3168" i="1"/>
  <c r="C3167" i="1"/>
  <c r="C3166" i="1"/>
  <c r="C3165" i="1"/>
  <c r="C3164" i="1"/>
  <c r="C3163" i="1"/>
  <c r="C3162" i="1"/>
  <c r="C3161" i="1"/>
  <c r="C3160" i="1"/>
  <c r="C3159" i="1"/>
  <c r="C3158" i="1"/>
  <c r="C3157" i="1"/>
  <c r="C3156" i="1"/>
  <c r="C3155" i="1"/>
  <c r="C3154" i="1"/>
  <c r="C3153" i="1"/>
  <c r="C3152" i="1"/>
  <c r="C3151" i="1"/>
  <c r="C3150" i="1"/>
  <c r="C3149" i="1"/>
  <c r="C3148" i="1"/>
  <c r="C3147" i="1"/>
  <c r="C3146" i="1"/>
  <c r="C3145" i="1"/>
  <c r="C3144" i="1"/>
  <c r="C3143" i="1"/>
  <c r="C3142" i="1"/>
  <c r="C3141" i="1"/>
  <c r="C3140" i="1"/>
  <c r="C3139" i="1"/>
  <c r="C3138" i="1"/>
  <c r="C3137" i="1"/>
  <c r="C3136" i="1"/>
  <c r="C3135" i="1"/>
  <c r="C3134" i="1"/>
  <c r="C3133" i="1"/>
  <c r="C3132" i="1"/>
  <c r="C3131" i="1"/>
  <c r="C3130" i="1"/>
  <c r="C3129" i="1"/>
  <c r="C3128" i="1"/>
  <c r="C3127" i="1"/>
  <c r="C3126" i="1"/>
  <c r="C3125" i="1"/>
  <c r="C3124" i="1"/>
  <c r="C3123" i="1"/>
  <c r="C3122" i="1"/>
  <c r="C3121" i="1"/>
  <c r="C3120" i="1"/>
  <c r="C3119" i="1"/>
  <c r="C3118" i="1"/>
  <c r="C3117" i="1"/>
  <c r="C3116" i="1"/>
  <c r="C3115" i="1"/>
  <c r="C3114" i="1"/>
  <c r="C3113" i="1"/>
  <c r="C3112" i="1"/>
  <c r="C3111" i="1"/>
  <c r="C3110" i="1"/>
  <c r="C3109" i="1"/>
  <c r="C3108" i="1"/>
  <c r="C3107" i="1"/>
  <c r="C3106" i="1"/>
  <c r="C3105" i="1"/>
  <c r="C3104" i="1"/>
  <c r="C3103" i="1"/>
  <c r="C3102" i="1"/>
  <c r="C3101" i="1"/>
  <c r="C3100" i="1"/>
  <c r="C3099" i="1"/>
  <c r="C3098" i="1"/>
  <c r="C3097" i="1"/>
  <c r="C3096" i="1"/>
  <c r="C3095" i="1"/>
  <c r="C3094" i="1"/>
  <c r="C3093" i="1"/>
  <c r="C3092" i="1"/>
  <c r="C3091" i="1"/>
  <c r="C3090" i="1"/>
  <c r="C3089" i="1"/>
  <c r="C3088" i="1"/>
  <c r="C3087" i="1"/>
  <c r="C3086" i="1"/>
  <c r="C3085" i="1"/>
  <c r="C3084" i="1"/>
  <c r="C3083" i="1"/>
  <c r="C3082" i="1"/>
  <c r="C3081" i="1"/>
  <c r="C3080" i="1"/>
  <c r="C3079" i="1"/>
  <c r="C3078" i="1"/>
  <c r="C3077" i="1"/>
  <c r="C3076" i="1"/>
  <c r="C3075" i="1"/>
  <c r="C3074" i="1"/>
  <c r="C3073" i="1"/>
  <c r="C3072" i="1"/>
  <c r="C3071" i="1"/>
  <c r="C3070" i="1"/>
  <c r="C3069" i="1"/>
  <c r="C3068" i="1"/>
  <c r="C3067" i="1"/>
  <c r="C3066" i="1"/>
  <c r="C3065" i="1"/>
  <c r="C3064" i="1"/>
  <c r="C3063" i="1"/>
  <c r="C3062" i="1"/>
  <c r="C3061" i="1"/>
  <c r="C3060" i="1"/>
  <c r="C3059" i="1"/>
  <c r="C3058" i="1"/>
  <c r="C3057" i="1"/>
  <c r="C3056" i="1"/>
  <c r="C3055" i="1"/>
  <c r="C3054" i="1"/>
  <c r="C3053" i="1"/>
  <c r="C3052" i="1"/>
  <c r="C3051" i="1"/>
  <c r="C3050" i="1"/>
  <c r="C3049" i="1"/>
  <c r="C3048" i="1"/>
  <c r="C3047" i="1"/>
  <c r="C3046" i="1"/>
  <c r="C3045" i="1"/>
  <c r="C3044" i="1"/>
  <c r="C3043" i="1"/>
  <c r="C3042" i="1"/>
  <c r="C3041" i="1"/>
  <c r="C3040" i="1"/>
  <c r="C3039" i="1"/>
  <c r="C3038" i="1"/>
  <c r="C3037" i="1"/>
  <c r="C3036" i="1"/>
  <c r="C3035" i="1"/>
  <c r="C3034" i="1"/>
  <c r="C3033" i="1"/>
  <c r="C3032" i="1"/>
  <c r="C3031" i="1"/>
  <c r="C3030" i="1"/>
  <c r="C3029" i="1"/>
  <c r="C3028" i="1"/>
  <c r="C3027" i="1"/>
  <c r="C3026" i="1"/>
  <c r="C3025" i="1"/>
  <c r="C3024" i="1"/>
  <c r="C3023" i="1"/>
  <c r="C3022" i="1"/>
  <c r="C3021" i="1"/>
  <c r="C3020" i="1"/>
  <c r="C3019" i="1"/>
  <c r="C3018" i="1"/>
  <c r="C3017" i="1"/>
  <c r="C3016" i="1"/>
  <c r="C3015" i="1"/>
  <c r="C3014" i="1"/>
  <c r="C3013" i="1"/>
  <c r="C3012" i="1"/>
  <c r="C3011" i="1"/>
  <c r="C3010" i="1"/>
  <c r="C3009" i="1"/>
  <c r="C3008" i="1"/>
  <c r="C3007" i="1"/>
  <c r="C3006" i="1"/>
  <c r="C3005" i="1"/>
  <c r="C3004" i="1"/>
  <c r="C3003" i="1"/>
  <c r="C3002" i="1"/>
  <c r="C3001" i="1"/>
  <c r="C3000" i="1"/>
  <c r="C2999" i="1"/>
  <c r="C2998" i="1"/>
  <c r="C2997" i="1"/>
  <c r="C2996" i="1"/>
  <c r="C2995" i="1"/>
  <c r="C2994" i="1"/>
  <c r="C2993" i="1"/>
  <c r="C2992" i="1"/>
  <c r="C2991" i="1"/>
  <c r="C2990" i="1"/>
  <c r="C2989" i="1"/>
  <c r="C2988" i="1"/>
  <c r="C2987" i="1"/>
  <c r="C2986" i="1"/>
  <c r="C2985" i="1"/>
  <c r="C2984" i="1"/>
  <c r="C2983" i="1"/>
  <c r="C2982" i="1"/>
  <c r="C2981" i="1"/>
  <c r="C2980" i="1"/>
  <c r="C2979" i="1"/>
  <c r="C2978" i="1"/>
  <c r="C2977" i="1"/>
  <c r="C2976" i="1"/>
  <c r="C2975" i="1"/>
  <c r="C2974" i="1"/>
  <c r="C2973" i="1"/>
  <c r="C2972" i="1"/>
  <c r="C2971" i="1"/>
  <c r="C2970" i="1"/>
  <c r="C2969" i="1"/>
  <c r="C2968" i="1"/>
  <c r="C2967" i="1"/>
  <c r="C2966" i="1"/>
  <c r="C2965" i="1"/>
  <c r="C2964" i="1"/>
  <c r="C2963" i="1"/>
  <c r="C2962" i="1"/>
  <c r="C2961" i="1"/>
  <c r="C2960" i="1"/>
  <c r="C2959" i="1"/>
  <c r="C2958" i="1"/>
  <c r="C2957" i="1"/>
  <c r="C2956" i="1"/>
  <c r="C2955" i="1"/>
  <c r="C2954" i="1"/>
  <c r="C2953" i="1"/>
  <c r="C2952" i="1"/>
  <c r="C2951" i="1"/>
  <c r="C2950" i="1"/>
  <c r="C2949" i="1"/>
  <c r="C2948" i="1"/>
  <c r="C2947" i="1"/>
  <c r="C2946" i="1"/>
  <c r="C2945" i="1"/>
  <c r="C2944" i="1"/>
  <c r="C2943" i="1"/>
  <c r="C2942" i="1"/>
  <c r="C2941" i="1"/>
  <c r="C2940" i="1"/>
  <c r="C2939" i="1"/>
  <c r="C2938" i="1"/>
  <c r="C2937" i="1"/>
  <c r="C2936" i="1"/>
  <c r="C2935" i="1"/>
  <c r="C2934" i="1"/>
  <c r="C2933" i="1"/>
  <c r="C2932" i="1"/>
  <c r="C2931" i="1"/>
  <c r="C2930" i="1"/>
  <c r="C2929" i="1"/>
  <c r="C2928" i="1"/>
  <c r="C2927" i="1"/>
  <c r="C2926" i="1"/>
  <c r="C2925" i="1"/>
  <c r="C2924" i="1"/>
  <c r="C2923" i="1"/>
  <c r="C2922" i="1"/>
  <c r="C2921" i="1"/>
  <c r="C2920" i="1"/>
  <c r="C2919" i="1"/>
  <c r="C2918" i="1"/>
  <c r="C2917" i="1"/>
  <c r="C2916" i="1"/>
  <c r="C2915" i="1"/>
  <c r="C2914" i="1"/>
  <c r="C2913" i="1"/>
  <c r="C2912" i="1"/>
  <c r="C2911" i="1"/>
  <c r="C2910" i="1"/>
  <c r="C2909" i="1"/>
  <c r="C2908" i="1"/>
  <c r="C2907" i="1"/>
  <c r="C2906" i="1"/>
  <c r="C2905" i="1"/>
  <c r="C2904" i="1"/>
  <c r="C2903" i="1"/>
  <c r="C2902" i="1"/>
  <c r="C2901" i="1"/>
  <c r="C2900" i="1"/>
  <c r="C2899" i="1"/>
  <c r="C2898" i="1"/>
  <c r="C2897" i="1"/>
  <c r="C2896" i="1"/>
  <c r="C2895" i="1"/>
  <c r="C2894" i="1"/>
  <c r="C2893" i="1"/>
  <c r="C2892" i="1"/>
  <c r="C2891" i="1"/>
  <c r="C2890" i="1"/>
  <c r="C2889" i="1"/>
  <c r="C2888" i="1"/>
  <c r="C2887" i="1"/>
  <c r="C2886" i="1"/>
  <c r="C2885" i="1"/>
  <c r="C2884" i="1"/>
  <c r="C2883" i="1"/>
  <c r="C2882" i="1"/>
  <c r="C2881" i="1"/>
  <c r="C2880" i="1"/>
  <c r="C2879" i="1"/>
  <c r="C2878" i="1"/>
  <c r="C2877" i="1"/>
  <c r="C2876" i="1"/>
  <c r="C2875" i="1"/>
  <c r="C2874" i="1"/>
  <c r="C2873" i="1"/>
  <c r="C2872" i="1"/>
  <c r="C2871" i="1"/>
  <c r="C2870" i="1"/>
  <c r="C2869" i="1"/>
  <c r="C2868" i="1"/>
  <c r="C2867" i="1"/>
  <c r="C2866" i="1"/>
  <c r="C2865" i="1"/>
  <c r="C2864" i="1"/>
  <c r="C2863" i="1"/>
  <c r="C2862" i="1"/>
  <c r="C2861" i="1"/>
  <c r="C2860" i="1"/>
  <c r="C2859" i="1"/>
  <c r="C2858" i="1"/>
  <c r="C2857" i="1"/>
  <c r="C2856" i="1"/>
  <c r="C2855" i="1"/>
  <c r="C2854" i="1"/>
  <c r="C2853" i="1"/>
  <c r="C2852" i="1"/>
  <c r="C2851" i="1"/>
  <c r="C2850" i="1"/>
  <c r="C2849" i="1"/>
  <c r="C2848" i="1"/>
  <c r="C2847" i="1"/>
  <c r="C2846" i="1"/>
  <c r="C2845" i="1"/>
  <c r="C2844" i="1"/>
  <c r="C2843" i="1"/>
  <c r="C2842" i="1"/>
  <c r="C2841" i="1"/>
  <c r="C2840" i="1"/>
  <c r="C2839" i="1"/>
  <c r="C2838" i="1"/>
  <c r="C2837" i="1"/>
  <c r="C2836" i="1"/>
  <c r="C2835" i="1"/>
  <c r="C2834" i="1"/>
  <c r="C2833" i="1"/>
  <c r="C2832" i="1"/>
  <c r="C2831" i="1"/>
  <c r="C2830" i="1"/>
  <c r="C2829" i="1"/>
  <c r="C2828" i="1"/>
  <c r="C2827" i="1"/>
  <c r="C2826" i="1"/>
  <c r="C2825" i="1"/>
  <c r="C2824" i="1"/>
  <c r="C2823" i="1"/>
  <c r="C2822" i="1"/>
  <c r="C2821" i="1"/>
  <c r="C2820" i="1"/>
  <c r="C2819" i="1"/>
  <c r="C2818" i="1"/>
  <c r="C2817" i="1"/>
  <c r="C2816" i="1"/>
  <c r="C2815" i="1"/>
  <c r="C2814" i="1"/>
  <c r="C2813" i="1"/>
  <c r="C2812" i="1"/>
  <c r="C2811" i="1"/>
  <c r="C2810" i="1"/>
  <c r="C2809" i="1"/>
  <c r="C2808" i="1"/>
  <c r="C2807" i="1"/>
  <c r="C2806" i="1"/>
  <c r="C2805" i="1"/>
  <c r="C2804" i="1"/>
  <c r="C2803" i="1"/>
  <c r="C2802" i="1"/>
  <c r="C2801" i="1"/>
  <c r="C2800" i="1"/>
  <c r="C2799" i="1"/>
  <c r="C2798" i="1"/>
  <c r="C2797" i="1"/>
  <c r="C2796" i="1"/>
  <c r="C2795" i="1"/>
  <c r="C2794" i="1"/>
  <c r="C2793" i="1"/>
  <c r="C2792" i="1"/>
  <c r="C2791" i="1"/>
  <c r="C2790" i="1"/>
  <c r="C2789" i="1"/>
  <c r="C2788" i="1"/>
  <c r="C2787" i="1"/>
  <c r="C2786" i="1"/>
  <c r="C2785" i="1"/>
  <c r="C2784" i="1"/>
  <c r="C2783" i="1"/>
  <c r="C2782" i="1"/>
  <c r="C2781" i="1"/>
  <c r="C2780" i="1"/>
  <c r="C2779" i="1"/>
  <c r="C2778" i="1"/>
  <c r="C2777" i="1"/>
  <c r="C2776" i="1"/>
  <c r="C2775" i="1"/>
  <c r="C2774" i="1"/>
  <c r="C2773" i="1"/>
  <c r="C2772" i="1"/>
  <c r="C2771" i="1"/>
  <c r="C2770" i="1"/>
  <c r="C2769" i="1"/>
  <c r="C2768" i="1"/>
  <c r="C2767" i="1"/>
  <c r="C2766" i="1"/>
  <c r="C2765" i="1"/>
  <c r="C2764" i="1"/>
  <c r="C2763" i="1"/>
  <c r="C2762" i="1"/>
  <c r="C2761" i="1"/>
  <c r="C2760" i="1"/>
  <c r="C2759" i="1"/>
  <c r="C2758" i="1"/>
  <c r="C2757" i="1"/>
  <c r="C2756" i="1"/>
  <c r="C2755" i="1"/>
  <c r="C2754" i="1"/>
  <c r="C2753" i="1"/>
  <c r="C2752" i="1"/>
  <c r="C2751" i="1"/>
  <c r="C2750" i="1"/>
  <c r="C2749" i="1"/>
  <c r="C2748" i="1"/>
  <c r="C2747" i="1"/>
  <c r="C2746" i="1"/>
  <c r="C2745" i="1"/>
  <c r="C2744" i="1"/>
  <c r="C2743" i="1"/>
  <c r="C2742" i="1"/>
  <c r="C2741" i="1"/>
  <c r="C2740" i="1"/>
  <c r="C2739" i="1"/>
  <c r="C2738" i="1"/>
  <c r="C2737" i="1"/>
  <c r="C2736" i="1"/>
  <c r="C2735" i="1"/>
  <c r="C2734" i="1"/>
  <c r="C2733" i="1"/>
  <c r="C2732" i="1"/>
  <c r="C2731" i="1"/>
  <c r="C2730" i="1"/>
  <c r="C2729" i="1"/>
  <c r="C2728" i="1"/>
  <c r="C2727" i="1"/>
  <c r="C2726" i="1"/>
  <c r="C2725" i="1"/>
  <c r="C2724" i="1"/>
  <c r="C2723" i="1"/>
  <c r="C2722" i="1"/>
  <c r="C2721" i="1"/>
  <c r="C2720" i="1"/>
  <c r="C2719" i="1"/>
  <c r="C2718" i="1"/>
  <c r="C2717" i="1"/>
  <c r="C2716" i="1"/>
  <c r="C2715" i="1"/>
  <c r="C2714" i="1"/>
  <c r="C2713" i="1"/>
  <c r="C2712" i="1"/>
  <c r="C2711" i="1"/>
  <c r="C2710" i="1"/>
  <c r="C2709" i="1"/>
  <c r="C2708" i="1"/>
  <c r="C2707" i="1"/>
  <c r="C2706" i="1"/>
  <c r="C2705" i="1"/>
  <c r="C2704" i="1"/>
  <c r="C2703" i="1"/>
  <c r="C2702" i="1"/>
  <c r="C2701" i="1"/>
  <c r="C2700" i="1"/>
  <c r="C2699" i="1"/>
  <c r="C2698" i="1"/>
  <c r="C2697" i="1"/>
  <c r="C2696" i="1"/>
  <c r="C2695" i="1"/>
  <c r="C2694" i="1"/>
  <c r="C2693" i="1"/>
  <c r="C2692" i="1"/>
  <c r="C2691" i="1"/>
  <c r="C2690" i="1"/>
  <c r="C2689" i="1"/>
  <c r="C2688" i="1"/>
  <c r="C2687" i="1"/>
  <c r="C2686" i="1"/>
  <c r="C2685" i="1"/>
  <c r="C2684" i="1"/>
  <c r="C2683" i="1"/>
  <c r="C2682" i="1"/>
  <c r="C2681" i="1"/>
  <c r="C2680" i="1"/>
  <c r="C2679" i="1"/>
  <c r="C2678" i="1"/>
  <c r="C2677" i="1"/>
  <c r="C2676" i="1"/>
  <c r="C2675" i="1"/>
  <c r="C2674" i="1"/>
  <c r="C2673" i="1"/>
  <c r="C2672" i="1"/>
  <c r="C2671" i="1"/>
  <c r="C2670" i="1"/>
  <c r="C2669" i="1"/>
  <c r="C2668" i="1"/>
  <c r="C2667" i="1"/>
  <c r="C2666" i="1"/>
  <c r="C2665" i="1"/>
  <c r="C2664" i="1"/>
  <c r="C2663" i="1"/>
  <c r="C2662" i="1"/>
  <c r="C2661" i="1"/>
  <c r="C2660" i="1"/>
  <c r="C2659" i="1"/>
  <c r="C2658" i="1"/>
  <c r="C2657" i="1"/>
  <c r="C2656" i="1"/>
  <c r="C2655" i="1"/>
  <c r="C2654" i="1"/>
  <c r="C2653" i="1"/>
  <c r="C2652" i="1"/>
  <c r="C2651" i="1"/>
  <c r="C2650" i="1"/>
  <c r="C2649" i="1"/>
  <c r="C2648" i="1"/>
  <c r="C2647" i="1"/>
  <c r="C2646" i="1"/>
  <c r="C2645" i="1"/>
  <c r="C2644" i="1"/>
  <c r="C2643" i="1"/>
  <c r="C2642" i="1"/>
  <c r="C2641" i="1"/>
  <c r="C2640" i="1"/>
  <c r="C2639" i="1"/>
  <c r="C2638" i="1"/>
  <c r="C2637" i="1"/>
  <c r="C2636" i="1"/>
  <c r="C2635" i="1"/>
  <c r="C2634" i="1"/>
  <c r="C2633" i="1"/>
  <c r="C2632" i="1"/>
  <c r="C2631" i="1"/>
  <c r="C2630" i="1"/>
  <c r="C2629" i="1"/>
  <c r="C2628" i="1"/>
  <c r="C2627" i="1"/>
  <c r="C2626" i="1"/>
  <c r="C2625" i="1"/>
  <c r="C2624" i="1"/>
  <c r="C2623" i="1"/>
  <c r="C2622" i="1"/>
  <c r="C2621" i="1"/>
  <c r="C2620" i="1"/>
  <c r="C2619" i="1"/>
  <c r="C2618" i="1"/>
  <c r="C2617" i="1"/>
  <c r="C2616" i="1"/>
  <c r="C2615" i="1"/>
  <c r="C2614" i="1"/>
  <c r="C2613" i="1"/>
  <c r="C2612" i="1"/>
  <c r="C2611" i="1"/>
  <c r="C2610" i="1"/>
  <c r="C2609" i="1"/>
  <c r="C2608" i="1"/>
  <c r="C2607" i="1"/>
  <c r="C2606" i="1"/>
  <c r="C2605" i="1"/>
  <c r="C2604" i="1"/>
  <c r="C2603" i="1"/>
  <c r="C2602" i="1"/>
  <c r="C2601" i="1"/>
  <c r="C2600" i="1"/>
  <c r="C2599" i="1"/>
  <c r="C2598" i="1"/>
  <c r="C2597" i="1"/>
  <c r="C2596" i="1"/>
  <c r="C2595" i="1"/>
  <c r="C2594" i="1"/>
  <c r="C2593" i="1"/>
  <c r="C2592" i="1"/>
  <c r="C2591" i="1"/>
  <c r="C2590" i="1"/>
  <c r="C2589" i="1"/>
  <c r="C2588" i="1"/>
  <c r="C2587" i="1"/>
  <c r="C2586" i="1"/>
  <c r="C2585" i="1"/>
  <c r="C2584" i="1"/>
  <c r="C2583" i="1"/>
  <c r="C2582" i="1"/>
  <c r="C2581" i="1"/>
  <c r="C2580" i="1"/>
  <c r="C2579" i="1"/>
  <c r="C2578" i="1"/>
  <c r="C2577" i="1"/>
  <c r="C2576" i="1"/>
  <c r="C2575" i="1"/>
  <c r="C2574" i="1"/>
  <c r="C2573" i="1"/>
  <c r="C2572" i="1"/>
  <c r="C2571" i="1"/>
  <c r="C2570" i="1"/>
  <c r="C2569" i="1"/>
  <c r="C2568" i="1"/>
  <c r="C2567" i="1"/>
  <c r="C2566" i="1"/>
  <c r="C2565" i="1"/>
  <c r="C2564" i="1"/>
  <c r="C2563" i="1"/>
  <c r="C2562" i="1"/>
  <c r="C2561" i="1"/>
  <c r="C2560" i="1"/>
  <c r="C2559" i="1"/>
  <c r="C2558" i="1"/>
  <c r="C2557" i="1"/>
  <c r="C2556" i="1"/>
  <c r="C2555" i="1"/>
  <c r="C2554" i="1"/>
  <c r="C2553" i="1"/>
  <c r="C2552" i="1"/>
  <c r="C2551" i="1"/>
  <c r="C2550" i="1"/>
  <c r="C2549" i="1"/>
  <c r="C2548" i="1"/>
  <c r="C2547" i="1"/>
  <c r="C2546" i="1"/>
  <c r="C2545" i="1"/>
  <c r="C2544" i="1"/>
  <c r="C2543" i="1"/>
  <c r="C2542" i="1"/>
  <c r="C2541" i="1"/>
  <c r="C2540" i="1"/>
  <c r="C2539" i="1"/>
  <c r="C2538" i="1"/>
  <c r="C2537" i="1"/>
  <c r="C2536" i="1"/>
  <c r="C2535" i="1"/>
  <c r="C2534" i="1"/>
  <c r="C2533" i="1"/>
  <c r="C2532" i="1"/>
  <c r="C2531" i="1"/>
  <c r="C2530" i="1"/>
  <c r="C2529" i="1"/>
  <c r="C2528" i="1"/>
  <c r="C2527" i="1"/>
  <c r="C2526" i="1"/>
  <c r="C2525" i="1"/>
  <c r="C2524" i="1"/>
  <c r="C2523" i="1"/>
  <c r="C2522" i="1"/>
  <c r="C2521" i="1"/>
  <c r="C2520" i="1"/>
  <c r="C2519" i="1"/>
  <c r="C2518" i="1"/>
  <c r="C2517" i="1"/>
  <c r="C2516" i="1"/>
  <c r="C2515" i="1"/>
  <c r="C2514" i="1"/>
  <c r="C2513" i="1"/>
  <c r="C2512" i="1"/>
  <c r="C2511" i="1"/>
  <c r="C2510" i="1"/>
  <c r="C2509" i="1"/>
  <c r="C2508" i="1"/>
  <c r="C2507" i="1"/>
  <c r="C2506" i="1"/>
  <c r="C2505" i="1"/>
  <c r="C2504" i="1"/>
  <c r="C2503" i="1"/>
  <c r="C2502" i="1"/>
  <c r="C2501" i="1"/>
  <c r="C2500" i="1"/>
  <c r="C2499" i="1"/>
  <c r="C2498" i="1"/>
  <c r="C2497" i="1"/>
  <c r="C2496" i="1"/>
  <c r="C2495" i="1"/>
  <c r="C2494" i="1"/>
  <c r="C2493" i="1"/>
  <c r="C2492" i="1"/>
  <c r="C2491" i="1"/>
  <c r="C2490" i="1"/>
  <c r="C2489" i="1"/>
  <c r="C2488" i="1"/>
  <c r="C2487" i="1"/>
  <c r="C2486" i="1"/>
  <c r="C2485" i="1"/>
  <c r="C2484" i="1"/>
  <c r="C2483" i="1"/>
  <c r="C2482" i="1"/>
  <c r="C2481" i="1"/>
  <c r="C2480" i="1"/>
  <c r="C2479" i="1"/>
  <c r="C2478" i="1"/>
  <c r="C2477" i="1"/>
  <c r="C2476" i="1"/>
  <c r="C2475" i="1"/>
  <c r="C2474" i="1"/>
  <c r="C2473" i="1"/>
  <c r="C2472" i="1"/>
  <c r="C2471" i="1"/>
  <c r="C2470" i="1"/>
  <c r="C2469" i="1"/>
  <c r="C2468" i="1"/>
  <c r="C2467" i="1"/>
  <c r="C2466" i="1"/>
  <c r="C2465" i="1"/>
  <c r="C2464" i="1"/>
  <c r="C2463" i="1"/>
  <c r="C2462" i="1"/>
  <c r="C2461" i="1"/>
  <c r="C2460" i="1"/>
  <c r="C2459" i="1"/>
  <c r="C2458" i="1"/>
  <c r="C2457" i="1"/>
  <c r="C2456" i="1"/>
  <c r="C2455" i="1"/>
  <c r="C2454" i="1"/>
  <c r="C2453" i="1"/>
  <c r="C2452" i="1"/>
  <c r="C2451" i="1"/>
  <c r="C2450" i="1"/>
  <c r="C2449" i="1"/>
  <c r="C2448" i="1"/>
  <c r="C2447" i="1"/>
  <c r="C2446" i="1"/>
  <c r="C2445" i="1"/>
  <c r="C2444" i="1"/>
  <c r="C2443" i="1"/>
  <c r="C2442" i="1"/>
  <c r="C2441" i="1"/>
  <c r="C2440" i="1"/>
  <c r="C2439" i="1"/>
  <c r="C2438" i="1"/>
  <c r="C2437" i="1"/>
  <c r="C2436" i="1"/>
  <c r="C2435" i="1"/>
  <c r="C2434" i="1"/>
  <c r="C2433" i="1"/>
  <c r="C2432" i="1"/>
  <c r="C2431" i="1"/>
  <c r="C2430" i="1"/>
  <c r="C2429" i="1"/>
  <c r="C2428" i="1"/>
  <c r="C2427" i="1"/>
  <c r="C2426" i="1"/>
  <c r="C2425" i="1"/>
  <c r="C2424" i="1"/>
  <c r="C2423" i="1"/>
  <c r="C2422" i="1"/>
  <c r="C2421" i="1"/>
  <c r="C2420" i="1"/>
  <c r="C2419" i="1"/>
  <c r="C2418" i="1"/>
  <c r="C2417" i="1"/>
  <c r="C2416" i="1"/>
  <c r="C2415" i="1"/>
  <c r="C2414" i="1"/>
  <c r="C2413" i="1"/>
  <c r="C2412" i="1"/>
  <c r="C2411" i="1"/>
  <c r="C2410" i="1"/>
  <c r="C2409" i="1"/>
  <c r="C2408" i="1"/>
  <c r="C2407" i="1"/>
  <c r="C2406" i="1"/>
  <c r="C2405" i="1"/>
  <c r="C2404" i="1"/>
  <c r="C2403" i="1"/>
  <c r="C2402" i="1"/>
  <c r="C2401" i="1"/>
  <c r="C2400" i="1"/>
  <c r="C2399" i="1"/>
  <c r="C2398" i="1"/>
  <c r="C2397" i="1"/>
  <c r="C2396" i="1"/>
  <c r="C2395" i="1"/>
  <c r="C2394" i="1"/>
  <c r="C2393" i="1"/>
  <c r="C2392" i="1"/>
  <c r="C2391" i="1"/>
  <c r="C2390" i="1"/>
  <c r="C2389" i="1"/>
  <c r="C2388" i="1"/>
  <c r="C2387" i="1"/>
  <c r="C2386" i="1"/>
  <c r="C2385" i="1"/>
  <c r="C2384" i="1"/>
  <c r="C2383" i="1"/>
  <c r="C2382" i="1"/>
  <c r="C2381" i="1"/>
  <c r="C2380" i="1"/>
  <c r="C2379" i="1"/>
  <c r="C2378" i="1"/>
  <c r="C2377" i="1"/>
  <c r="C2376" i="1"/>
  <c r="C2375" i="1"/>
  <c r="C2374" i="1"/>
  <c r="C2373" i="1"/>
  <c r="C2372" i="1"/>
  <c r="C2371" i="1"/>
  <c r="C2370" i="1"/>
  <c r="C2369" i="1"/>
  <c r="C2368" i="1"/>
  <c r="C2367" i="1"/>
  <c r="C2366" i="1"/>
  <c r="C2365" i="1"/>
  <c r="C2364" i="1"/>
  <c r="C2363" i="1"/>
  <c r="C2362" i="1"/>
  <c r="C2361" i="1"/>
  <c r="C2360" i="1"/>
  <c r="C2359" i="1"/>
  <c r="C2358" i="1"/>
  <c r="C2357" i="1"/>
  <c r="C2356" i="1"/>
  <c r="C2355" i="1"/>
  <c r="C2354" i="1"/>
  <c r="C2353" i="1"/>
  <c r="C2352" i="1"/>
  <c r="C2351" i="1"/>
  <c r="C2350" i="1"/>
  <c r="C2349" i="1"/>
  <c r="C2348" i="1"/>
  <c r="C2347" i="1"/>
  <c r="C2346" i="1"/>
  <c r="C2345" i="1"/>
  <c r="C2344" i="1"/>
  <c r="C2343" i="1"/>
  <c r="C2342" i="1"/>
  <c r="C2341" i="1"/>
  <c r="C2340" i="1"/>
  <c r="C2339" i="1"/>
  <c r="C2338" i="1"/>
  <c r="C2337" i="1"/>
  <c r="C2336" i="1"/>
  <c r="C2335" i="1"/>
  <c r="C2334" i="1"/>
  <c r="C2333" i="1"/>
  <c r="C2332" i="1"/>
  <c r="C2331" i="1"/>
  <c r="C2330" i="1"/>
  <c r="C2329" i="1"/>
  <c r="C2328" i="1"/>
  <c r="C2327" i="1"/>
  <c r="C2326" i="1"/>
  <c r="C2325" i="1"/>
  <c r="C2324" i="1"/>
  <c r="C2323" i="1"/>
  <c r="C2322" i="1"/>
  <c r="C2321" i="1"/>
  <c r="C2320" i="1"/>
  <c r="C2319" i="1"/>
  <c r="C2318" i="1"/>
  <c r="C2317" i="1"/>
  <c r="C2316" i="1"/>
  <c r="C2315" i="1"/>
  <c r="C2314" i="1"/>
  <c r="C2313" i="1"/>
  <c r="C2312" i="1"/>
  <c r="C2311" i="1"/>
  <c r="C2310" i="1"/>
  <c r="C2309" i="1"/>
  <c r="C2308" i="1"/>
  <c r="C2307" i="1"/>
  <c r="C2306" i="1"/>
  <c r="C2305" i="1"/>
  <c r="C2304" i="1"/>
  <c r="C2303" i="1"/>
  <c r="C2302" i="1"/>
  <c r="C2301" i="1"/>
  <c r="C2300" i="1"/>
  <c r="C2299" i="1"/>
  <c r="C2298" i="1"/>
  <c r="C2297" i="1"/>
  <c r="C2296" i="1"/>
  <c r="C2295" i="1"/>
  <c r="C2294" i="1"/>
  <c r="C2293" i="1"/>
  <c r="C2292" i="1"/>
  <c r="C2291" i="1"/>
  <c r="C2290" i="1"/>
  <c r="C2289" i="1"/>
  <c r="C2288" i="1"/>
  <c r="C2287" i="1"/>
  <c r="C2286" i="1"/>
  <c r="C2285" i="1"/>
  <c r="C2284" i="1"/>
  <c r="C2283" i="1"/>
  <c r="C2282" i="1"/>
  <c r="C2281" i="1"/>
  <c r="C2280" i="1"/>
  <c r="C2279" i="1"/>
  <c r="C2278" i="1"/>
  <c r="C2277" i="1"/>
  <c r="C2276" i="1"/>
  <c r="C2275" i="1"/>
  <c r="C2274" i="1"/>
  <c r="C2273" i="1"/>
  <c r="C2272" i="1"/>
  <c r="C2271" i="1"/>
  <c r="C2270" i="1"/>
  <c r="C2269" i="1"/>
  <c r="C2268" i="1"/>
  <c r="C2267" i="1"/>
  <c r="C2266" i="1"/>
  <c r="C2265" i="1"/>
  <c r="C2264" i="1"/>
  <c r="C2263" i="1"/>
  <c r="C2262" i="1"/>
  <c r="C2261" i="1"/>
  <c r="C2260" i="1"/>
  <c r="C2259" i="1"/>
  <c r="C2258" i="1"/>
  <c r="C2257" i="1"/>
  <c r="C2256" i="1"/>
  <c r="C2255" i="1"/>
  <c r="C2254" i="1"/>
  <c r="C2253" i="1"/>
  <c r="C2252" i="1"/>
  <c r="C2251" i="1"/>
  <c r="C2250" i="1"/>
  <c r="C2249" i="1"/>
  <c r="C2248" i="1"/>
  <c r="C2247" i="1"/>
  <c r="C2246" i="1"/>
  <c r="C2245" i="1"/>
  <c r="C2244" i="1"/>
  <c r="C2243" i="1"/>
  <c r="C2242" i="1"/>
  <c r="C2241" i="1"/>
  <c r="C2240" i="1"/>
  <c r="C2239" i="1"/>
  <c r="C2238" i="1"/>
  <c r="C2237" i="1"/>
  <c r="C2236" i="1"/>
  <c r="C2235" i="1"/>
  <c r="C2234" i="1"/>
  <c r="C2233" i="1"/>
  <c r="C2232" i="1"/>
  <c r="C2231" i="1"/>
  <c r="C2230" i="1"/>
  <c r="C2229" i="1"/>
  <c r="C2228" i="1"/>
  <c r="C2227" i="1"/>
  <c r="C2226" i="1"/>
  <c r="C2225" i="1"/>
  <c r="C2224" i="1"/>
  <c r="C2223" i="1"/>
  <c r="C2222" i="1"/>
  <c r="C2221" i="1"/>
  <c r="C2220" i="1"/>
  <c r="C2219" i="1"/>
  <c r="C2218" i="1"/>
  <c r="C2217" i="1"/>
  <c r="C2216" i="1"/>
  <c r="C2215" i="1"/>
  <c r="C2214" i="1"/>
  <c r="C2213" i="1"/>
  <c r="C2212" i="1"/>
  <c r="C2211" i="1"/>
  <c r="C2210" i="1"/>
  <c r="C2209" i="1"/>
  <c r="C2208" i="1"/>
  <c r="C2207" i="1"/>
  <c r="C2206" i="1"/>
  <c r="C2205" i="1"/>
  <c r="C2204" i="1"/>
  <c r="C2203" i="1"/>
  <c r="C2202" i="1"/>
  <c r="C2201" i="1"/>
  <c r="C2200" i="1"/>
  <c r="C2199" i="1"/>
  <c r="C2198" i="1"/>
  <c r="C2197" i="1"/>
  <c r="C2196" i="1"/>
  <c r="C2195" i="1"/>
  <c r="C2194" i="1"/>
  <c r="C2193" i="1"/>
  <c r="C2192" i="1"/>
  <c r="C2191" i="1"/>
  <c r="C2190" i="1"/>
  <c r="C2189" i="1"/>
  <c r="C2188" i="1"/>
  <c r="C2187" i="1"/>
  <c r="C2186" i="1"/>
  <c r="C2185" i="1"/>
  <c r="C2184" i="1"/>
  <c r="C2183" i="1"/>
  <c r="C2182" i="1"/>
  <c r="C2181" i="1"/>
  <c r="C2180" i="1"/>
  <c r="C2179" i="1"/>
  <c r="C2178" i="1"/>
  <c r="C2177" i="1"/>
  <c r="C2176" i="1"/>
  <c r="C2175" i="1"/>
  <c r="C2174" i="1"/>
  <c r="C2173" i="1"/>
  <c r="C2172" i="1"/>
  <c r="C2171" i="1"/>
  <c r="C2170" i="1"/>
  <c r="C2169" i="1"/>
  <c r="C2168" i="1"/>
  <c r="C2167" i="1"/>
  <c r="C2166" i="1"/>
  <c r="C2165" i="1"/>
  <c r="C2164" i="1"/>
  <c r="C2163" i="1"/>
  <c r="C2162" i="1"/>
  <c r="C2161" i="1"/>
  <c r="C2160" i="1"/>
  <c r="C2159" i="1"/>
  <c r="C2158" i="1"/>
  <c r="C2157" i="1"/>
  <c r="C2156" i="1"/>
  <c r="C2155" i="1"/>
  <c r="C2154" i="1"/>
  <c r="C2153" i="1"/>
  <c r="C2152" i="1"/>
  <c r="C2151" i="1"/>
  <c r="C2150" i="1"/>
  <c r="C2149" i="1"/>
  <c r="C2148" i="1"/>
  <c r="C2147" i="1"/>
  <c r="C2146" i="1"/>
  <c r="C2145" i="1"/>
  <c r="C2144" i="1"/>
  <c r="C2143" i="1"/>
  <c r="C2142" i="1"/>
  <c r="C2141" i="1"/>
  <c r="C2140" i="1"/>
  <c r="C2139" i="1"/>
  <c r="C2138" i="1"/>
  <c r="C2137" i="1"/>
  <c r="C2136" i="1"/>
  <c r="C2135" i="1"/>
  <c r="C2134" i="1"/>
  <c r="C2133" i="1"/>
  <c r="C2132" i="1"/>
  <c r="C2131" i="1"/>
  <c r="C2130" i="1"/>
  <c r="C2129" i="1"/>
  <c r="C2128" i="1"/>
  <c r="C2127" i="1"/>
  <c r="C2126" i="1"/>
  <c r="C2125" i="1"/>
  <c r="C2124" i="1"/>
  <c r="C2123" i="1"/>
  <c r="C2122" i="1"/>
  <c r="C2121" i="1"/>
  <c r="C2120" i="1"/>
  <c r="C2119" i="1"/>
  <c r="C2118" i="1"/>
  <c r="C2117" i="1"/>
  <c r="C2116" i="1"/>
  <c r="C2115" i="1"/>
  <c r="C2114" i="1"/>
  <c r="C2113" i="1"/>
  <c r="C2112" i="1"/>
  <c r="C2111" i="1"/>
  <c r="C2110" i="1"/>
  <c r="C2109" i="1"/>
  <c r="C2108" i="1"/>
  <c r="C2107" i="1"/>
  <c r="C2106" i="1"/>
  <c r="C2105" i="1"/>
  <c r="C2104" i="1"/>
  <c r="C2103" i="1"/>
  <c r="C2102" i="1"/>
  <c r="C2101" i="1"/>
  <c r="C2100" i="1"/>
  <c r="C2099" i="1"/>
  <c r="C2098" i="1"/>
  <c r="C2097" i="1"/>
  <c r="C2096" i="1"/>
  <c r="C2095" i="1"/>
  <c r="C2094" i="1"/>
  <c r="C2093" i="1"/>
  <c r="C2092" i="1"/>
  <c r="C2091" i="1"/>
  <c r="C2090" i="1"/>
  <c r="C2089" i="1"/>
  <c r="C2088" i="1"/>
  <c r="C2087" i="1"/>
  <c r="C2086" i="1"/>
  <c r="C2085" i="1"/>
  <c r="C2084" i="1"/>
  <c r="C2083" i="1"/>
  <c r="C2082" i="1"/>
  <c r="C2081" i="1"/>
  <c r="C2080" i="1"/>
  <c r="C2079" i="1"/>
  <c r="C2078" i="1"/>
  <c r="C2077" i="1"/>
  <c r="C2076" i="1"/>
  <c r="C2075" i="1"/>
  <c r="C2074" i="1"/>
  <c r="C2073" i="1"/>
  <c r="C2072" i="1"/>
  <c r="C2071" i="1"/>
  <c r="C2070" i="1"/>
  <c r="C2069" i="1"/>
  <c r="C2068" i="1"/>
  <c r="C2067" i="1"/>
  <c r="C2066" i="1"/>
  <c r="C2065" i="1"/>
  <c r="C2064" i="1"/>
  <c r="C2063" i="1"/>
  <c r="C2062" i="1"/>
  <c r="C2061" i="1"/>
  <c r="C2060" i="1"/>
  <c r="C2059" i="1"/>
  <c r="C2058" i="1"/>
  <c r="C2057" i="1"/>
  <c r="C2056" i="1"/>
  <c r="C2055" i="1"/>
  <c r="C2054" i="1"/>
  <c r="C2053" i="1"/>
  <c r="C2052" i="1"/>
  <c r="C2051" i="1"/>
  <c r="C2050" i="1"/>
  <c r="C2049" i="1"/>
  <c r="C2048" i="1"/>
  <c r="C2047" i="1"/>
  <c r="C2046" i="1"/>
  <c r="C2045" i="1"/>
  <c r="C2044" i="1"/>
  <c r="C2043" i="1"/>
  <c r="C2042" i="1"/>
  <c r="C2041" i="1"/>
  <c r="C2040" i="1"/>
  <c r="C2039" i="1"/>
  <c r="C2038" i="1"/>
  <c r="C2037" i="1"/>
  <c r="C2036" i="1"/>
  <c r="C2035" i="1"/>
  <c r="C2034" i="1"/>
  <c r="C2033" i="1"/>
  <c r="C2032" i="1"/>
  <c r="C2031" i="1"/>
  <c r="C2030" i="1"/>
  <c r="C2029" i="1"/>
  <c r="C2028" i="1"/>
  <c r="C2027" i="1"/>
  <c r="C2026" i="1"/>
  <c r="C2025" i="1"/>
  <c r="C2024" i="1"/>
  <c r="C2023" i="1"/>
  <c r="C2022" i="1"/>
  <c r="C2021" i="1"/>
  <c r="C2020" i="1"/>
  <c r="C2019" i="1"/>
  <c r="C2018" i="1"/>
  <c r="C2017" i="1"/>
  <c r="C2016" i="1"/>
  <c r="C2015" i="1"/>
  <c r="C2014" i="1"/>
  <c r="C2013" i="1"/>
  <c r="C2012" i="1"/>
  <c r="C2011" i="1"/>
  <c r="C2010" i="1"/>
  <c r="C2009" i="1"/>
  <c r="C2008" i="1"/>
  <c r="C2007" i="1"/>
  <c r="C2006" i="1"/>
  <c r="C2005" i="1"/>
  <c r="C2004" i="1"/>
  <c r="C2003" i="1"/>
  <c r="C2002" i="1"/>
  <c r="C2001" i="1"/>
  <c r="C2000" i="1"/>
  <c r="C1999" i="1"/>
  <c r="C1998" i="1"/>
  <c r="C1997" i="1"/>
  <c r="C1996" i="1"/>
  <c r="C1995" i="1"/>
  <c r="C1994" i="1"/>
  <c r="C1993" i="1"/>
  <c r="C1992" i="1"/>
  <c r="C1991" i="1"/>
  <c r="C1990" i="1"/>
  <c r="C1989" i="1"/>
  <c r="C1988" i="1"/>
  <c r="C1987" i="1"/>
  <c r="C1986" i="1"/>
  <c r="C1985" i="1"/>
  <c r="C1984" i="1"/>
  <c r="C1983" i="1"/>
  <c r="C1982" i="1"/>
  <c r="C1981" i="1"/>
  <c r="C1980" i="1"/>
  <c r="C1979" i="1"/>
  <c r="C1978" i="1"/>
  <c r="C1977" i="1"/>
  <c r="C1976" i="1"/>
  <c r="C1975" i="1"/>
  <c r="C1974" i="1"/>
  <c r="C1973" i="1"/>
  <c r="C1972" i="1"/>
  <c r="C1971" i="1"/>
  <c r="C1970" i="1"/>
  <c r="C1969" i="1"/>
  <c r="C1968" i="1"/>
  <c r="C1967" i="1"/>
  <c r="C1966" i="1"/>
  <c r="C1965" i="1"/>
  <c r="C1964" i="1"/>
  <c r="C1963" i="1"/>
  <c r="C1962" i="1"/>
  <c r="C1961" i="1"/>
  <c r="C1960" i="1"/>
  <c r="C1959" i="1"/>
  <c r="C1958" i="1"/>
  <c r="C1957" i="1"/>
  <c r="C1956" i="1"/>
  <c r="C1955" i="1"/>
  <c r="C1954" i="1"/>
  <c r="C1953" i="1"/>
  <c r="C1952" i="1"/>
  <c r="C1951" i="1"/>
  <c r="C1950" i="1"/>
  <c r="C1949" i="1"/>
  <c r="C1948" i="1"/>
  <c r="C1947" i="1"/>
  <c r="C1946" i="1"/>
  <c r="C1945" i="1"/>
  <c r="C1944" i="1"/>
  <c r="C1943" i="1"/>
  <c r="C1942" i="1"/>
  <c r="C1941" i="1"/>
  <c r="C1940" i="1"/>
  <c r="C1939" i="1"/>
  <c r="C1938" i="1"/>
  <c r="C1937" i="1"/>
  <c r="C1936" i="1"/>
  <c r="C1935" i="1"/>
  <c r="C1934" i="1"/>
  <c r="C1933" i="1"/>
  <c r="C1932" i="1"/>
  <c r="C1931" i="1"/>
  <c r="C1930" i="1"/>
  <c r="C1929" i="1"/>
  <c r="C1928" i="1"/>
  <c r="C1927" i="1"/>
  <c r="C1926" i="1"/>
  <c r="C1925" i="1"/>
  <c r="C1924" i="1"/>
  <c r="C1923" i="1"/>
  <c r="C1922" i="1"/>
  <c r="C1921" i="1"/>
  <c r="C1920" i="1"/>
  <c r="C1919" i="1"/>
  <c r="C1918" i="1"/>
  <c r="C1917" i="1"/>
  <c r="C1916" i="1"/>
  <c r="C1915" i="1"/>
  <c r="C1914" i="1"/>
  <c r="C1913" i="1"/>
  <c r="C1912" i="1"/>
  <c r="C1911" i="1"/>
  <c r="C1910" i="1"/>
  <c r="C1909" i="1"/>
  <c r="C1908" i="1"/>
  <c r="C1907" i="1"/>
  <c r="C1906" i="1"/>
  <c r="C1905" i="1"/>
  <c r="C1904" i="1"/>
  <c r="C1903" i="1"/>
  <c r="C1902" i="1"/>
  <c r="C1901" i="1"/>
  <c r="C1900" i="1"/>
  <c r="C1899" i="1"/>
  <c r="C1898" i="1"/>
  <c r="C1897" i="1"/>
  <c r="C1896" i="1"/>
  <c r="C1895" i="1"/>
  <c r="C1894" i="1"/>
  <c r="C1893" i="1"/>
  <c r="C1892" i="1"/>
  <c r="C1891" i="1"/>
  <c r="C1890" i="1"/>
  <c r="C1889" i="1"/>
  <c r="C1888" i="1"/>
  <c r="C1887" i="1"/>
  <c r="C1886" i="1"/>
  <c r="C1885" i="1"/>
  <c r="C1884" i="1"/>
  <c r="C1883" i="1"/>
  <c r="C1882" i="1"/>
  <c r="C1881" i="1"/>
  <c r="C1880" i="1"/>
  <c r="C1879" i="1"/>
  <c r="C1878" i="1"/>
  <c r="C1877" i="1"/>
  <c r="C1876" i="1"/>
  <c r="C1875" i="1"/>
  <c r="C1874" i="1"/>
  <c r="C1873" i="1"/>
  <c r="C1872" i="1"/>
  <c r="C1871" i="1"/>
  <c r="C1870" i="1"/>
  <c r="C1869" i="1"/>
  <c r="C1868" i="1"/>
  <c r="C1867" i="1"/>
  <c r="C1866" i="1"/>
  <c r="C1865" i="1"/>
  <c r="C1864" i="1"/>
  <c r="C1863" i="1"/>
  <c r="C1862" i="1"/>
  <c r="C1861" i="1"/>
  <c r="C1860" i="1"/>
  <c r="C1859" i="1"/>
  <c r="C1858" i="1"/>
  <c r="C1857" i="1"/>
  <c r="C1856" i="1"/>
  <c r="C1855" i="1"/>
  <c r="C1854" i="1"/>
  <c r="C1853" i="1"/>
  <c r="C1852" i="1"/>
  <c r="C1851" i="1"/>
  <c r="C1850" i="1"/>
  <c r="C1849" i="1"/>
  <c r="C1848" i="1"/>
  <c r="C1847" i="1"/>
  <c r="C1846" i="1"/>
  <c r="C1845" i="1"/>
  <c r="C1844" i="1"/>
  <c r="C1843" i="1"/>
  <c r="C1842" i="1"/>
  <c r="C1841" i="1"/>
  <c r="C1840" i="1"/>
  <c r="C1839" i="1"/>
  <c r="C1838" i="1"/>
  <c r="C1837" i="1"/>
  <c r="C1836" i="1"/>
  <c r="C1835" i="1"/>
  <c r="C1834" i="1"/>
  <c r="C1833" i="1"/>
  <c r="C1832" i="1"/>
  <c r="C1831" i="1"/>
  <c r="C1830" i="1"/>
  <c r="C1829" i="1"/>
  <c r="C1828" i="1"/>
  <c r="C1827" i="1"/>
  <c r="C1826" i="1"/>
  <c r="C1825" i="1"/>
  <c r="C1824" i="1"/>
  <c r="C1823" i="1"/>
  <c r="C1822" i="1"/>
  <c r="C1821" i="1"/>
  <c r="C1820" i="1"/>
  <c r="C1819" i="1"/>
  <c r="C1818" i="1"/>
  <c r="C1817" i="1"/>
  <c r="C1816" i="1"/>
  <c r="C1815" i="1"/>
  <c r="C1814" i="1"/>
  <c r="C1813" i="1"/>
  <c r="C1812" i="1"/>
  <c r="C1811" i="1"/>
  <c r="C1810" i="1"/>
  <c r="C1809" i="1"/>
  <c r="C1808" i="1"/>
  <c r="C1807" i="1"/>
  <c r="C1806" i="1"/>
  <c r="C1805" i="1"/>
  <c r="C1804" i="1"/>
  <c r="C1803" i="1"/>
  <c r="C1802" i="1"/>
  <c r="C1801" i="1"/>
  <c r="C1800" i="1"/>
  <c r="C1799" i="1"/>
  <c r="C1798" i="1"/>
  <c r="C1797" i="1"/>
  <c r="C1796" i="1"/>
  <c r="C1795" i="1"/>
  <c r="C1794" i="1"/>
  <c r="C1793" i="1"/>
  <c r="C1792" i="1"/>
  <c r="C1791" i="1"/>
  <c r="C1790" i="1"/>
  <c r="C1789" i="1"/>
  <c r="C1788" i="1"/>
  <c r="C1787" i="1"/>
  <c r="C1786" i="1"/>
  <c r="C1785" i="1"/>
  <c r="C1784" i="1"/>
  <c r="C1783" i="1"/>
  <c r="C1782" i="1"/>
  <c r="C1781" i="1"/>
  <c r="C1780" i="1"/>
  <c r="C1779" i="1"/>
  <c r="C1778" i="1"/>
  <c r="C1777" i="1"/>
  <c r="C1776" i="1"/>
  <c r="C1775" i="1"/>
  <c r="C1774" i="1"/>
  <c r="C1773" i="1"/>
  <c r="C1772" i="1"/>
  <c r="C1771" i="1"/>
  <c r="C1770" i="1"/>
  <c r="C1769" i="1"/>
  <c r="C1768" i="1"/>
  <c r="C1767" i="1"/>
  <c r="C1766" i="1"/>
  <c r="C1765" i="1"/>
  <c r="C1764" i="1"/>
  <c r="C1763" i="1"/>
  <c r="C1762" i="1"/>
  <c r="C1761" i="1"/>
  <c r="C1760" i="1"/>
  <c r="C1759" i="1"/>
  <c r="C1758" i="1"/>
  <c r="C1757" i="1"/>
  <c r="C1756" i="1"/>
  <c r="C1755" i="1"/>
  <c r="C1754" i="1"/>
  <c r="C1753" i="1"/>
  <c r="C1752" i="1"/>
  <c r="C1751" i="1"/>
  <c r="C1750" i="1"/>
  <c r="C1749" i="1"/>
  <c r="C1748" i="1"/>
  <c r="C1747" i="1"/>
  <c r="C1746" i="1"/>
  <c r="C1745" i="1"/>
  <c r="C1744" i="1"/>
  <c r="C1743" i="1"/>
  <c r="C1742" i="1"/>
  <c r="C1741" i="1"/>
  <c r="C1740" i="1"/>
  <c r="C1739" i="1"/>
  <c r="C1738" i="1"/>
  <c r="C1737" i="1"/>
  <c r="C1736" i="1"/>
  <c r="C1735" i="1"/>
  <c r="C1734" i="1"/>
  <c r="C1733" i="1"/>
  <c r="C1732" i="1"/>
  <c r="C1731" i="1"/>
  <c r="C1730" i="1"/>
  <c r="C1729" i="1"/>
  <c r="C1728" i="1"/>
  <c r="C1727" i="1"/>
  <c r="C1726" i="1"/>
  <c r="C1725" i="1"/>
  <c r="C1724" i="1"/>
  <c r="C1723" i="1"/>
  <c r="C1722" i="1"/>
  <c r="C1721" i="1"/>
  <c r="C1720" i="1"/>
  <c r="C1719" i="1"/>
  <c r="C1718" i="1"/>
  <c r="C1717" i="1"/>
  <c r="C1716" i="1"/>
  <c r="C1715" i="1"/>
  <c r="C1714" i="1"/>
  <c r="C1713" i="1"/>
  <c r="C1712" i="1"/>
  <c r="C1711" i="1"/>
  <c r="C1710" i="1"/>
  <c r="C1709" i="1"/>
  <c r="C1708" i="1"/>
  <c r="C1707" i="1"/>
  <c r="C1706" i="1"/>
  <c r="C1705" i="1"/>
  <c r="C1704" i="1"/>
  <c r="C1703" i="1"/>
  <c r="C1702" i="1"/>
  <c r="C1701" i="1"/>
  <c r="C1700" i="1"/>
  <c r="C1699" i="1"/>
  <c r="C1698" i="1"/>
  <c r="C1697" i="1"/>
  <c r="C1696" i="1"/>
  <c r="C1695" i="1"/>
  <c r="C1694" i="1"/>
  <c r="C1693" i="1"/>
  <c r="C1692" i="1"/>
  <c r="C1691" i="1"/>
  <c r="C1690" i="1"/>
  <c r="C1689" i="1"/>
  <c r="C1688" i="1"/>
  <c r="C1687" i="1"/>
  <c r="C1686" i="1"/>
  <c r="C1685" i="1"/>
  <c r="C1684" i="1"/>
  <c r="C1683" i="1"/>
  <c r="C1682" i="1"/>
  <c r="C1681" i="1"/>
  <c r="C1680" i="1"/>
  <c r="C1679" i="1"/>
  <c r="C1678" i="1"/>
  <c r="C1677" i="1"/>
  <c r="C1676" i="1"/>
  <c r="C1675" i="1"/>
  <c r="C1674" i="1"/>
  <c r="C1673" i="1"/>
  <c r="C1672" i="1"/>
  <c r="C1671" i="1"/>
  <c r="C1670" i="1"/>
  <c r="C1669" i="1"/>
  <c r="C1668" i="1"/>
  <c r="C1667" i="1"/>
  <c r="C1666" i="1"/>
  <c r="C1665" i="1"/>
  <c r="C1664" i="1"/>
  <c r="C1663" i="1"/>
  <c r="C1662" i="1"/>
  <c r="C1661" i="1"/>
  <c r="C1660" i="1"/>
  <c r="C1659" i="1"/>
  <c r="C1658" i="1"/>
  <c r="C1657" i="1"/>
  <c r="C1656" i="1"/>
  <c r="C1655" i="1"/>
  <c r="C1654" i="1"/>
  <c r="C1653" i="1"/>
  <c r="C1652" i="1"/>
  <c r="C1651" i="1"/>
  <c r="C1650" i="1"/>
  <c r="C1649" i="1"/>
  <c r="C1648" i="1"/>
  <c r="C1647" i="1"/>
  <c r="C1646" i="1"/>
  <c r="C1645" i="1"/>
  <c r="C1644" i="1"/>
  <c r="C1643" i="1"/>
  <c r="C1642" i="1"/>
  <c r="C1641" i="1"/>
  <c r="C1640" i="1"/>
  <c r="C1639" i="1"/>
  <c r="C1638" i="1"/>
  <c r="C1637" i="1"/>
  <c r="C1636" i="1"/>
  <c r="C1635" i="1"/>
  <c r="C1634" i="1"/>
  <c r="C1633" i="1"/>
  <c r="C1632" i="1"/>
  <c r="C1631" i="1"/>
  <c r="C1630" i="1"/>
  <c r="C1629" i="1"/>
  <c r="C1628" i="1"/>
  <c r="C1627" i="1"/>
  <c r="C1626" i="1"/>
  <c r="C1625" i="1"/>
  <c r="C1624" i="1"/>
  <c r="C1623" i="1"/>
  <c r="C1622" i="1"/>
  <c r="C1621" i="1"/>
  <c r="C1620" i="1"/>
  <c r="C1619" i="1"/>
  <c r="C1618" i="1"/>
  <c r="C1617" i="1"/>
  <c r="C1616" i="1"/>
  <c r="C1615" i="1"/>
  <c r="C1614" i="1"/>
  <c r="C1613" i="1"/>
  <c r="C1612" i="1"/>
  <c r="C1611" i="1"/>
  <c r="C1610" i="1"/>
  <c r="C1609" i="1"/>
  <c r="C1608" i="1"/>
  <c r="C1607" i="1"/>
  <c r="C1606" i="1"/>
  <c r="C1605" i="1"/>
  <c r="C1604" i="1"/>
  <c r="C1603" i="1"/>
  <c r="C1602" i="1"/>
  <c r="C1601" i="1"/>
  <c r="C1600" i="1"/>
  <c r="C1599" i="1"/>
  <c r="C1598" i="1"/>
  <c r="C1597" i="1"/>
  <c r="C1596" i="1"/>
  <c r="C1595" i="1"/>
  <c r="C1594" i="1"/>
  <c r="C1593" i="1"/>
  <c r="C1592" i="1"/>
  <c r="C1591" i="1"/>
  <c r="C1590" i="1"/>
  <c r="C1589" i="1"/>
  <c r="C1588" i="1"/>
  <c r="C1587" i="1"/>
  <c r="C1586" i="1"/>
  <c r="C1585" i="1"/>
  <c r="C1584" i="1"/>
  <c r="C1583" i="1"/>
  <c r="C1582" i="1"/>
  <c r="C1581" i="1"/>
  <c r="C1580" i="1"/>
  <c r="C1579" i="1"/>
  <c r="C1578" i="1"/>
  <c r="C1577" i="1"/>
  <c r="C1576" i="1"/>
  <c r="C1575" i="1"/>
  <c r="C1574" i="1"/>
  <c r="C1573" i="1"/>
  <c r="C1572" i="1"/>
  <c r="C1571" i="1"/>
  <c r="C1570" i="1"/>
  <c r="C1569" i="1"/>
  <c r="C1568" i="1"/>
  <c r="C1567" i="1"/>
  <c r="C1566" i="1"/>
  <c r="C1565" i="1"/>
  <c r="C1564" i="1"/>
  <c r="C1563" i="1"/>
  <c r="C1562" i="1"/>
  <c r="C1561" i="1"/>
  <c r="C1560" i="1"/>
  <c r="C1559" i="1"/>
  <c r="C1558" i="1"/>
  <c r="C1557" i="1"/>
  <c r="C1556" i="1"/>
  <c r="C1555" i="1"/>
  <c r="C1554" i="1"/>
  <c r="C1553" i="1"/>
  <c r="C1552" i="1"/>
  <c r="C1551" i="1"/>
  <c r="C1550" i="1"/>
  <c r="C1549" i="1"/>
  <c r="C1548" i="1"/>
  <c r="C1547" i="1"/>
  <c r="C1546" i="1"/>
  <c r="C1545" i="1"/>
  <c r="C1544" i="1"/>
  <c r="C1543" i="1"/>
  <c r="C1542" i="1"/>
  <c r="C1541" i="1"/>
  <c r="C1540" i="1"/>
  <c r="C1539" i="1"/>
  <c r="C1538" i="1"/>
  <c r="C1537" i="1"/>
  <c r="C1536" i="1"/>
  <c r="C1535" i="1"/>
  <c r="C1534" i="1"/>
  <c r="C1533" i="1"/>
  <c r="C1532" i="1"/>
  <c r="C1531" i="1"/>
  <c r="C1530" i="1"/>
  <c r="C1529" i="1"/>
  <c r="C1528" i="1"/>
  <c r="C1527" i="1"/>
  <c r="C1526" i="1"/>
  <c r="C1525" i="1"/>
  <c r="C1524" i="1"/>
  <c r="C1523" i="1"/>
  <c r="C1522" i="1"/>
  <c r="C1521" i="1"/>
  <c r="C1520" i="1"/>
  <c r="C1519" i="1"/>
  <c r="C1518" i="1"/>
  <c r="C1517" i="1"/>
  <c r="C1516" i="1"/>
  <c r="C1515" i="1"/>
  <c r="C1514" i="1"/>
  <c r="C1513" i="1"/>
  <c r="C1512" i="1"/>
  <c r="C1511" i="1"/>
  <c r="C1510" i="1"/>
  <c r="C1509" i="1"/>
  <c r="C1508" i="1"/>
  <c r="C1507" i="1"/>
  <c r="C1506" i="1"/>
  <c r="C1505" i="1"/>
  <c r="C1504" i="1"/>
  <c r="C1503" i="1"/>
  <c r="C1502" i="1"/>
  <c r="C1501" i="1"/>
  <c r="C1500" i="1"/>
  <c r="C1499" i="1"/>
  <c r="C1498" i="1"/>
  <c r="C1497" i="1"/>
  <c r="C1496" i="1"/>
  <c r="C1495" i="1"/>
  <c r="C1494" i="1"/>
  <c r="C1493" i="1"/>
  <c r="C1492" i="1"/>
  <c r="C1491" i="1"/>
  <c r="C1490" i="1"/>
  <c r="C1489" i="1"/>
  <c r="C1488" i="1"/>
  <c r="C1487" i="1"/>
  <c r="C1486" i="1"/>
  <c r="C1485" i="1"/>
  <c r="C1484" i="1"/>
  <c r="C1483" i="1"/>
  <c r="C1482" i="1"/>
  <c r="C1481" i="1"/>
  <c r="C1480" i="1"/>
  <c r="C1479" i="1"/>
  <c r="C1478" i="1"/>
  <c r="C1477" i="1"/>
  <c r="C1476" i="1"/>
  <c r="C1475" i="1"/>
  <c r="C1474" i="1"/>
  <c r="C1473" i="1"/>
  <c r="C1472" i="1"/>
  <c r="C1471" i="1"/>
  <c r="C1470" i="1"/>
  <c r="C1469" i="1"/>
  <c r="C1468" i="1"/>
  <c r="C1467" i="1"/>
  <c r="C1466" i="1"/>
  <c r="C1465" i="1"/>
  <c r="C1464" i="1"/>
  <c r="C1463" i="1"/>
  <c r="C1462" i="1"/>
  <c r="C1461" i="1"/>
  <c r="C1460" i="1"/>
  <c r="C1459" i="1"/>
  <c r="C1458" i="1"/>
  <c r="C1457" i="1"/>
  <c r="C1456" i="1"/>
  <c r="C1455" i="1"/>
  <c r="C1454" i="1"/>
  <c r="C1453" i="1"/>
  <c r="C1452" i="1"/>
  <c r="C1451" i="1"/>
  <c r="C1450" i="1"/>
  <c r="C1449" i="1"/>
  <c r="C1448" i="1"/>
  <c r="C1447" i="1"/>
  <c r="C1446" i="1"/>
  <c r="C1445" i="1"/>
  <c r="C1444" i="1"/>
  <c r="C1443" i="1"/>
  <c r="C1442" i="1"/>
  <c r="C1441" i="1"/>
  <c r="C1440" i="1"/>
  <c r="C1439" i="1"/>
  <c r="C1438" i="1"/>
  <c r="C1437" i="1"/>
  <c r="C1436" i="1"/>
  <c r="C1435" i="1"/>
  <c r="C1434" i="1"/>
  <c r="C1433" i="1"/>
  <c r="C1432" i="1"/>
  <c r="C1431" i="1"/>
  <c r="C1430" i="1"/>
  <c r="C1429" i="1"/>
  <c r="C1428" i="1"/>
  <c r="C1427" i="1"/>
  <c r="C1426" i="1"/>
  <c r="C1425" i="1"/>
  <c r="C1424" i="1"/>
  <c r="C1423" i="1"/>
  <c r="C1422" i="1"/>
  <c r="C1421" i="1"/>
  <c r="C1420" i="1"/>
  <c r="C1419" i="1"/>
  <c r="C1418" i="1"/>
  <c r="C1417" i="1"/>
  <c r="C1416" i="1"/>
  <c r="C1415" i="1"/>
  <c r="C1414" i="1"/>
  <c r="C1413" i="1"/>
  <c r="C1412" i="1"/>
  <c r="C1411" i="1"/>
  <c r="C1410" i="1"/>
  <c r="C1409" i="1"/>
  <c r="C1408" i="1"/>
  <c r="C1407" i="1"/>
  <c r="C1406" i="1"/>
  <c r="C1405" i="1"/>
  <c r="C1404" i="1"/>
  <c r="C1403" i="1"/>
  <c r="C1402" i="1"/>
  <c r="C1401" i="1"/>
  <c r="C1400" i="1"/>
  <c r="C1399" i="1"/>
  <c r="C1398" i="1"/>
  <c r="C1397" i="1"/>
  <c r="C1396" i="1"/>
  <c r="C1395" i="1"/>
  <c r="C1394" i="1"/>
  <c r="C1393" i="1"/>
  <c r="C1392" i="1"/>
  <c r="C1391" i="1"/>
  <c r="C1390" i="1"/>
  <c r="C1389" i="1"/>
  <c r="C1388" i="1"/>
  <c r="C1387" i="1"/>
  <c r="C1386" i="1"/>
  <c r="C1385" i="1"/>
  <c r="C1384" i="1"/>
  <c r="C1383" i="1"/>
  <c r="C1382" i="1"/>
  <c r="C1381" i="1"/>
  <c r="C1380" i="1"/>
  <c r="C1379" i="1"/>
  <c r="C1378" i="1"/>
  <c r="C1377" i="1"/>
  <c r="C1376" i="1"/>
  <c r="C1375" i="1"/>
  <c r="C1374" i="1"/>
  <c r="C1373" i="1"/>
  <c r="C1372" i="1"/>
  <c r="C1371" i="1"/>
  <c r="C1370" i="1"/>
  <c r="C1369" i="1"/>
  <c r="C1368" i="1"/>
  <c r="C1367" i="1"/>
  <c r="C1366" i="1"/>
  <c r="C1365" i="1"/>
  <c r="C1364" i="1"/>
  <c r="C1363" i="1"/>
  <c r="C1362" i="1"/>
  <c r="C1361" i="1"/>
  <c r="C1360" i="1"/>
  <c r="C1359" i="1"/>
  <c r="C1358" i="1"/>
  <c r="C1357" i="1"/>
  <c r="C1356" i="1"/>
  <c r="C1355" i="1"/>
  <c r="C1354" i="1"/>
  <c r="C1353" i="1"/>
  <c r="C1352" i="1"/>
  <c r="C1351" i="1"/>
  <c r="C1350" i="1"/>
  <c r="C1349" i="1"/>
  <c r="C1348" i="1"/>
  <c r="C1347" i="1"/>
  <c r="C1346" i="1"/>
  <c r="C1345" i="1"/>
  <c r="C1344" i="1"/>
  <c r="C1343" i="1"/>
  <c r="C1342" i="1"/>
  <c r="C1341" i="1"/>
  <c r="C1340" i="1"/>
  <c r="C1339" i="1"/>
  <c r="C1338" i="1"/>
  <c r="C1337" i="1"/>
  <c r="C1336" i="1"/>
  <c r="C1335" i="1"/>
  <c r="C1334" i="1"/>
  <c r="C1333" i="1"/>
  <c r="C1332" i="1"/>
  <c r="C1331" i="1"/>
  <c r="C1330" i="1"/>
  <c r="C1329" i="1"/>
  <c r="C1328" i="1"/>
  <c r="C1327" i="1"/>
  <c r="C1326" i="1"/>
  <c r="C1325" i="1"/>
  <c r="C1324" i="1"/>
  <c r="C1323" i="1"/>
  <c r="C1322" i="1"/>
  <c r="C1321" i="1"/>
  <c r="C1320" i="1"/>
  <c r="C1319" i="1"/>
  <c r="C1318" i="1"/>
  <c r="C1317" i="1"/>
  <c r="C1316" i="1"/>
  <c r="C1315" i="1"/>
  <c r="C1314" i="1"/>
  <c r="C1313" i="1"/>
  <c r="C1312" i="1"/>
  <c r="C1311" i="1"/>
  <c r="C1310" i="1"/>
  <c r="C1309" i="1"/>
  <c r="C1308" i="1"/>
  <c r="C1307" i="1"/>
  <c r="C1306" i="1"/>
  <c r="C1305" i="1"/>
  <c r="C1304" i="1"/>
  <c r="C1303" i="1"/>
  <c r="C1302" i="1"/>
  <c r="C1301" i="1"/>
  <c r="C1300" i="1"/>
  <c r="C1299" i="1"/>
  <c r="C1298" i="1"/>
  <c r="C1297" i="1"/>
  <c r="C1296" i="1"/>
  <c r="C1295" i="1"/>
  <c r="C1294" i="1"/>
  <c r="C1293" i="1"/>
  <c r="C1292" i="1"/>
  <c r="C1291" i="1"/>
  <c r="C1290" i="1"/>
  <c r="C1289" i="1"/>
  <c r="C1288" i="1"/>
  <c r="C1287" i="1"/>
  <c r="C1286" i="1"/>
  <c r="C1285" i="1"/>
  <c r="C1284" i="1"/>
  <c r="C1283" i="1"/>
  <c r="C1282" i="1"/>
  <c r="C1281" i="1"/>
  <c r="C1280" i="1"/>
  <c r="C1279" i="1"/>
  <c r="C1278" i="1"/>
  <c r="C1277" i="1"/>
  <c r="C1276" i="1"/>
  <c r="C1275" i="1"/>
  <c r="C1274" i="1"/>
  <c r="C1273" i="1"/>
  <c r="C1272" i="1"/>
  <c r="C1271" i="1"/>
  <c r="C1270" i="1"/>
  <c r="C1269" i="1"/>
  <c r="C1268" i="1"/>
  <c r="C1267" i="1"/>
  <c r="C1266" i="1"/>
  <c r="C1265" i="1"/>
  <c r="C1264" i="1"/>
  <c r="C1263" i="1"/>
  <c r="C1262" i="1"/>
  <c r="C1261" i="1"/>
  <c r="C1260" i="1"/>
  <c r="C1259" i="1"/>
  <c r="C1258" i="1"/>
  <c r="C1257" i="1"/>
  <c r="C1256" i="1"/>
  <c r="C1255" i="1"/>
  <c r="C1254" i="1"/>
  <c r="C1253" i="1"/>
  <c r="C1252" i="1"/>
  <c r="C1251" i="1"/>
  <c r="C1250" i="1"/>
  <c r="C1249" i="1"/>
  <c r="C1248" i="1"/>
  <c r="C1247" i="1"/>
  <c r="C1246" i="1"/>
  <c r="C1245" i="1"/>
  <c r="C1244" i="1"/>
  <c r="C1243" i="1"/>
  <c r="C1242" i="1"/>
  <c r="C1241" i="1"/>
  <c r="C1240" i="1"/>
  <c r="C1239" i="1"/>
  <c r="C1238" i="1"/>
  <c r="C1237" i="1"/>
  <c r="C1236" i="1"/>
  <c r="C1235" i="1"/>
  <c r="C1234" i="1"/>
  <c r="C1233" i="1"/>
  <c r="C1232" i="1"/>
  <c r="C1231" i="1"/>
  <c r="C1230" i="1"/>
  <c r="C1229" i="1"/>
  <c r="C1228" i="1"/>
  <c r="C1227" i="1"/>
  <c r="C1226" i="1"/>
  <c r="C1225" i="1"/>
  <c r="C1224" i="1"/>
  <c r="C1223" i="1"/>
  <c r="C1222" i="1"/>
  <c r="C1221" i="1"/>
  <c r="C1220" i="1"/>
  <c r="C1219" i="1"/>
  <c r="C1218" i="1"/>
  <c r="C1217" i="1"/>
  <c r="C1216" i="1"/>
  <c r="C1215" i="1"/>
  <c r="C1214" i="1"/>
  <c r="C1213" i="1"/>
  <c r="C1212" i="1"/>
  <c r="C1211" i="1"/>
  <c r="C1210" i="1"/>
  <c r="C1209" i="1"/>
  <c r="C1208" i="1"/>
  <c r="C1207" i="1"/>
  <c r="C1206" i="1"/>
  <c r="C1205" i="1"/>
  <c r="C1204" i="1"/>
  <c r="C1203" i="1"/>
  <c r="C1202" i="1"/>
  <c r="C1201" i="1"/>
  <c r="C1200" i="1"/>
  <c r="C1199" i="1"/>
  <c r="C1198" i="1"/>
  <c r="C1197" i="1"/>
  <c r="C1196" i="1"/>
  <c r="C1195" i="1"/>
  <c r="C1194" i="1"/>
  <c r="C1193" i="1"/>
  <c r="C1192" i="1"/>
  <c r="C1191" i="1"/>
  <c r="C1190" i="1"/>
  <c r="C1189" i="1"/>
  <c r="C1188" i="1"/>
  <c r="C1187" i="1"/>
  <c r="C1186" i="1"/>
  <c r="C1185" i="1"/>
  <c r="C1184" i="1"/>
  <c r="C1183" i="1"/>
  <c r="C1182" i="1"/>
  <c r="C1181" i="1"/>
  <c r="C1180" i="1"/>
  <c r="C1179" i="1"/>
  <c r="C1178" i="1"/>
  <c r="C1177" i="1"/>
  <c r="C1176" i="1"/>
  <c r="C1175" i="1"/>
  <c r="C1174" i="1"/>
  <c r="C1173" i="1"/>
  <c r="C1172" i="1"/>
  <c r="C1171" i="1"/>
  <c r="C1170" i="1"/>
  <c r="C1169" i="1"/>
  <c r="C1168" i="1"/>
  <c r="C1167" i="1"/>
  <c r="C1166" i="1"/>
  <c r="C1165" i="1"/>
  <c r="C1164" i="1"/>
  <c r="C1163" i="1"/>
  <c r="C1162" i="1"/>
  <c r="C1161" i="1"/>
  <c r="C1160" i="1"/>
  <c r="C1159" i="1"/>
  <c r="C1158" i="1"/>
  <c r="C1157" i="1"/>
  <c r="C1156" i="1"/>
  <c r="C1155" i="1"/>
  <c r="C1154" i="1"/>
  <c r="C1153" i="1"/>
  <c r="C1152" i="1"/>
  <c r="C1151" i="1"/>
  <c r="C1150" i="1"/>
  <c r="C1149" i="1"/>
  <c r="C1148" i="1"/>
  <c r="C1147" i="1"/>
  <c r="C1146" i="1"/>
  <c r="C1145" i="1"/>
  <c r="C1144" i="1"/>
  <c r="C1143" i="1"/>
  <c r="C1142" i="1"/>
  <c r="C1141" i="1"/>
  <c r="C1140" i="1"/>
  <c r="C1139" i="1"/>
  <c r="C1138" i="1"/>
  <c r="C1137" i="1"/>
  <c r="C1136" i="1"/>
  <c r="C1135" i="1"/>
  <c r="C1134" i="1"/>
  <c r="C1133" i="1"/>
  <c r="C1132" i="1"/>
  <c r="C1131" i="1"/>
  <c r="C1130" i="1"/>
  <c r="C1129" i="1"/>
  <c r="C1128" i="1"/>
  <c r="C1127" i="1"/>
  <c r="C1126" i="1"/>
  <c r="C1125" i="1"/>
  <c r="C1124" i="1"/>
  <c r="C1123" i="1"/>
  <c r="C1122" i="1"/>
  <c r="C1121" i="1"/>
  <c r="C1120" i="1"/>
  <c r="C1119" i="1"/>
  <c r="C1118" i="1"/>
  <c r="C1117" i="1"/>
  <c r="C1116" i="1"/>
  <c r="C1115" i="1"/>
  <c r="C1114" i="1"/>
  <c r="C1113" i="1"/>
  <c r="C1112" i="1"/>
  <c r="C1111" i="1"/>
  <c r="C1110" i="1"/>
  <c r="C1109" i="1"/>
  <c r="C1108" i="1"/>
  <c r="C1107" i="1"/>
  <c r="C1106" i="1"/>
  <c r="C1105" i="1"/>
  <c r="C1104" i="1"/>
  <c r="C1103" i="1"/>
  <c r="C1102" i="1"/>
  <c r="C1101" i="1"/>
  <c r="C1100" i="1"/>
  <c r="C1099" i="1"/>
  <c r="C1098" i="1"/>
  <c r="C1097" i="1"/>
  <c r="C1096" i="1"/>
  <c r="C1095" i="1"/>
  <c r="C1094" i="1"/>
  <c r="C1093" i="1"/>
  <c r="C1092" i="1"/>
  <c r="C1091" i="1"/>
  <c r="C1090" i="1"/>
  <c r="C1089" i="1"/>
  <c r="C1088" i="1"/>
  <c r="C1087" i="1"/>
  <c r="C1086" i="1"/>
  <c r="C1085" i="1"/>
  <c r="C1084" i="1"/>
  <c r="C1083" i="1"/>
  <c r="C1082" i="1"/>
  <c r="C1081" i="1"/>
  <c r="C1080" i="1"/>
  <c r="C1079" i="1"/>
  <c r="C1078" i="1"/>
  <c r="C1077" i="1"/>
  <c r="C1076" i="1"/>
  <c r="C1075" i="1"/>
  <c r="C1074" i="1"/>
  <c r="C1073" i="1"/>
  <c r="C1072" i="1"/>
  <c r="C1071" i="1"/>
  <c r="C1070" i="1"/>
  <c r="C1069" i="1"/>
  <c r="C1068" i="1"/>
  <c r="C1067" i="1"/>
  <c r="C1066" i="1"/>
  <c r="C1065" i="1"/>
  <c r="C1064" i="1"/>
  <c r="C1063" i="1"/>
  <c r="C1062" i="1"/>
  <c r="C1061" i="1"/>
  <c r="C1060" i="1"/>
  <c r="C1059" i="1"/>
  <c r="C1058" i="1"/>
  <c r="C1057" i="1"/>
  <c r="C1056" i="1"/>
  <c r="C1055" i="1"/>
  <c r="C1054" i="1"/>
  <c r="C1053" i="1"/>
  <c r="C1052" i="1"/>
  <c r="C1051" i="1"/>
  <c r="C1050" i="1"/>
  <c r="C1049" i="1"/>
  <c r="C1048" i="1"/>
  <c r="C1047" i="1"/>
  <c r="C1046" i="1"/>
  <c r="C1045" i="1"/>
  <c r="C1044" i="1"/>
  <c r="C1043" i="1"/>
  <c r="C1042" i="1"/>
  <c r="C1041" i="1"/>
  <c r="C1040" i="1"/>
  <c r="C1039" i="1"/>
  <c r="C1038" i="1"/>
  <c r="C1037" i="1"/>
  <c r="C1036" i="1"/>
  <c r="C1035" i="1"/>
  <c r="C1034" i="1"/>
  <c r="C1033" i="1"/>
  <c r="C1032" i="1"/>
  <c r="C1031" i="1"/>
  <c r="C1030" i="1"/>
  <c r="C1029" i="1"/>
  <c r="C1028" i="1"/>
  <c r="C1027" i="1"/>
  <c r="C1026" i="1"/>
  <c r="C1025" i="1"/>
  <c r="C1024" i="1"/>
  <c r="C1023" i="1"/>
  <c r="C1022" i="1"/>
  <c r="C1021" i="1"/>
  <c r="C1020" i="1"/>
  <c r="C1019" i="1"/>
  <c r="C1018" i="1"/>
  <c r="C1017" i="1"/>
  <c r="C1016" i="1"/>
  <c r="C1015" i="1"/>
  <c r="C1014" i="1"/>
  <c r="C1013" i="1"/>
  <c r="C1012" i="1"/>
  <c r="C1011" i="1"/>
  <c r="C1010" i="1"/>
  <c r="C1009" i="1"/>
  <c r="C1008" i="1"/>
  <c r="C1007" i="1"/>
  <c r="C1006" i="1"/>
  <c r="C1005" i="1"/>
  <c r="C1004" i="1"/>
  <c r="C1003" i="1"/>
  <c r="C1002" i="1"/>
  <c r="C1001" i="1"/>
  <c r="C1000" i="1"/>
  <c r="C999" i="1"/>
  <c r="C998" i="1"/>
  <c r="C997" i="1"/>
  <c r="C996" i="1"/>
  <c r="C995" i="1"/>
  <c r="C994" i="1"/>
  <c r="C993" i="1"/>
  <c r="C992" i="1"/>
  <c r="C991" i="1"/>
  <c r="C990" i="1"/>
  <c r="C989" i="1"/>
  <c r="C988" i="1"/>
  <c r="C987" i="1"/>
  <c r="C986" i="1"/>
  <c r="C985" i="1"/>
  <c r="C984" i="1"/>
  <c r="C983" i="1"/>
  <c r="C982" i="1"/>
  <c r="C981" i="1"/>
  <c r="C980" i="1"/>
  <c r="C979" i="1"/>
  <c r="C978" i="1"/>
  <c r="C977" i="1"/>
  <c r="C976" i="1"/>
  <c r="C975" i="1"/>
  <c r="C974" i="1"/>
  <c r="C973" i="1"/>
  <c r="C972" i="1"/>
  <c r="C971" i="1"/>
  <c r="C970" i="1"/>
  <c r="C969" i="1"/>
  <c r="C968" i="1"/>
  <c r="C967" i="1"/>
  <c r="C966" i="1"/>
  <c r="C965" i="1"/>
  <c r="C964" i="1"/>
  <c r="C963" i="1"/>
  <c r="C962" i="1"/>
  <c r="C961" i="1"/>
  <c r="C960" i="1"/>
  <c r="C959" i="1"/>
  <c r="C958" i="1"/>
  <c r="C957" i="1"/>
  <c r="C956" i="1"/>
  <c r="C955" i="1"/>
  <c r="C954" i="1"/>
  <c r="C953" i="1"/>
  <c r="C952" i="1"/>
  <c r="C951" i="1"/>
  <c r="C950" i="1"/>
  <c r="C949" i="1"/>
  <c r="C948" i="1"/>
  <c r="C947" i="1"/>
  <c r="C946" i="1"/>
  <c r="C945" i="1"/>
  <c r="C944" i="1"/>
  <c r="C943" i="1"/>
  <c r="C942" i="1"/>
  <c r="C941" i="1"/>
  <c r="C940" i="1"/>
  <c r="C939" i="1"/>
  <c r="C938" i="1"/>
  <c r="C937" i="1"/>
  <c r="C936" i="1"/>
  <c r="C935" i="1"/>
  <c r="C934" i="1"/>
  <c r="C933" i="1"/>
  <c r="C932" i="1"/>
  <c r="C931" i="1"/>
  <c r="C930" i="1"/>
  <c r="C929" i="1"/>
  <c r="C928" i="1"/>
  <c r="C927" i="1"/>
  <c r="C926" i="1"/>
  <c r="C925" i="1"/>
  <c r="C924" i="1"/>
  <c r="C923" i="1"/>
  <c r="C922" i="1"/>
  <c r="C921" i="1"/>
  <c r="C920" i="1"/>
  <c r="C919" i="1"/>
  <c r="C918" i="1"/>
  <c r="C917" i="1"/>
  <c r="C916" i="1"/>
  <c r="C915" i="1"/>
  <c r="C914" i="1"/>
  <c r="C913" i="1"/>
  <c r="C912" i="1"/>
  <c r="C911" i="1"/>
  <c r="C910" i="1"/>
  <c r="C909" i="1"/>
  <c r="C908" i="1"/>
  <c r="C907" i="1"/>
  <c r="C906" i="1"/>
  <c r="C905" i="1"/>
  <c r="C904" i="1"/>
  <c r="C903" i="1"/>
  <c r="C902" i="1"/>
  <c r="C901" i="1"/>
  <c r="C900" i="1"/>
  <c r="C899" i="1"/>
  <c r="C898" i="1"/>
  <c r="C897" i="1"/>
  <c r="C896" i="1"/>
  <c r="C895" i="1"/>
  <c r="C894" i="1"/>
  <c r="C893" i="1"/>
  <c r="C892" i="1"/>
  <c r="C891" i="1"/>
  <c r="C890" i="1"/>
  <c r="C889" i="1"/>
  <c r="C888" i="1"/>
  <c r="C887" i="1"/>
  <c r="C886" i="1"/>
  <c r="C885" i="1"/>
  <c r="C884" i="1"/>
  <c r="C883" i="1"/>
  <c r="C882" i="1"/>
  <c r="C881" i="1"/>
  <c r="C880" i="1"/>
  <c r="C879" i="1"/>
  <c r="C878" i="1"/>
  <c r="C877" i="1"/>
  <c r="C876" i="1"/>
  <c r="C875" i="1"/>
  <c r="C874" i="1"/>
  <c r="C873" i="1"/>
  <c r="C872" i="1"/>
  <c r="C871" i="1"/>
  <c r="C870" i="1"/>
  <c r="C869" i="1"/>
  <c r="C868" i="1"/>
  <c r="C867" i="1"/>
  <c r="C866" i="1"/>
  <c r="C865" i="1"/>
  <c r="C864" i="1"/>
  <c r="C863" i="1"/>
  <c r="C862" i="1"/>
  <c r="C861" i="1"/>
  <c r="C860" i="1"/>
  <c r="C859" i="1"/>
  <c r="C858" i="1"/>
  <c r="C857" i="1"/>
  <c r="C856" i="1"/>
  <c r="C855" i="1"/>
  <c r="C854" i="1"/>
  <c r="C853" i="1"/>
  <c r="C852" i="1"/>
  <c r="C851" i="1"/>
  <c r="C850" i="1"/>
  <c r="C849" i="1"/>
  <c r="C848" i="1"/>
  <c r="C847" i="1"/>
  <c r="C846" i="1"/>
  <c r="C845" i="1"/>
  <c r="C844" i="1"/>
  <c r="C843" i="1"/>
  <c r="C842" i="1"/>
  <c r="C841" i="1"/>
  <c r="C840" i="1"/>
  <c r="C839" i="1"/>
  <c r="C838" i="1"/>
  <c r="C837" i="1"/>
  <c r="C836" i="1"/>
  <c r="C835" i="1"/>
  <c r="C834" i="1"/>
  <c r="C833" i="1"/>
  <c r="C832" i="1"/>
  <c r="C831" i="1"/>
  <c r="C830" i="1"/>
  <c r="C829" i="1"/>
  <c r="C828" i="1"/>
  <c r="C827" i="1"/>
  <c r="C826" i="1"/>
  <c r="C825" i="1"/>
  <c r="C824" i="1"/>
  <c r="C823" i="1"/>
  <c r="C822" i="1"/>
  <c r="C821" i="1"/>
  <c r="C820" i="1"/>
  <c r="C819" i="1"/>
  <c r="C818" i="1"/>
  <c r="C817" i="1"/>
  <c r="C816" i="1"/>
  <c r="C815" i="1"/>
  <c r="C814" i="1"/>
  <c r="C813" i="1"/>
  <c r="C812" i="1"/>
  <c r="C811" i="1"/>
  <c r="C810" i="1"/>
  <c r="C809" i="1"/>
  <c r="C808" i="1"/>
  <c r="C807" i="1"/>
  <c r="C806" i="1"/>
  <c r="C805" i="1"/>
  <c r="C804" i="1"/>
  <c r="C803" i="1"/>
  <c r="C802" i="1"/>
  <c r="C801" i="1"/>
  <c r="C800" i="1"/>
  <c r="C799" i="1"/>
  <c r="C798" i="1"/>
  <c r="C797" i="1"/>
  <c r="C796" i="1"/>
  <c r="C795" i="1"/>
  <c r="C794" i="1"/>
  <c r="C793" i="1"/>
  <c r="C792" i="1"/>
  <c r="C791" i="1"/>
  <c r="C790" i="1"/>
  <c r="C789" i="1"/>
  <c r="C788" i="1"/>
  <c r="C787" i="1"/>
  <c r="C786" i="1"/>
  <c r="C785" i="1"/>
  <c r="C784" i="1"/>
  <c r="C783" i="1"/>
  <c r="C782" i="1"/>
  <c r="C781" i="1"/>
  <c r="C780" i="1"/>
  <c r="C779" i="1"/>
  <c r="C778" i="1"/>
  <c r="C777" i="1"/>
  <c r="C776" i="1"/>
  <c r="C775" i="1"/>
  <c r="C774" i="1"/>
  <c r="C773" i="1"/>
  <c r="C772" i="1"/>
  <c r="C771" i="1"/>
  <c r="C770" i="1"/>
  <c r="C769" i="1"/>
  <c r="C768" i="1"/>
  <c r="C767" i="1"/>
  <c r="C766" i="1"/>
  <c r="C765" i="1"/>
  <c r="C764" i="1"/>
  <c r="C763" i="1"/>
  <c r="C762" i="1"/>
  <c r="C761" i="1"/>
  <c r="C760" i="1"/>
  <c r="C759" i="1"/>
  <c r="C758" i="1"/>
  <c r="C757" i="1"/>
  <c r="C756" i="1"/>
  <c r="C755" i="1"/>
  <c r="C754" i="1"/>
  <c r="C753" i="1"/>
  <c r="C752" i="1"/>
  <c r="C751" i="1"/>
  <c r="C750" i="1"/>
  <c r="C749" i="1"/>
  <c r="C748" i="1"/>
  <c r="C747" i="1"/>
  <c r="C746" i="1"/>
  <c r="C745" i="1"/>
  <c r="C744" i="1"/>
  <c r="C743" i="1"/>
  <c r="C742" i="1"/>
  <c r="C741" i="1"/>
  <c r="C740" i="1"/>
  <c r="C739" i="1"/>
  <c r="C738" i="1"/>
  <c r="C737" i="1"/>
  <c r="C736" i="1"/>
  <c r="C735" i="1"/>
  <c r="C734" i="1"/>
  <c r="C733" i="1"/>
  <c r="C732" i="1"/>
  <c r="C731" i="1"/>
  <c r="C730" i="1"/>
  <c r="C729" i="1"/>
  <c r="C728" i="1"/>
  <c r="C727" i="1"/>
  <c r="C726" i="1"/>
  <c r="C725" i="1"/>
  <c r="C724" i="1"/>
  <c r="C723" i="1"/>
  <c r="C722" i="1"/>
  <c r="C721" i="1"/>
  <c r="C720" i="1"/>
  <c r="C719" i="1"/>
  <c r="C718" i="1"/>
  <c r="C717" i="1"/>
  <c r="C716" i="1"/>
  <c r="C715" i="1"/>
  <c r="C714" i="1"/>
  <c r="C713" i="1"/>
  <c r="C712" i="1"/>
  <c r="C711" i="1"/>
  <c r="C710" i="1"/>
  <c r="C709" i="1"/>
  <c r="C708" i="1"/>
  <c r="C707" i="1"/>
  <c r="C706" i="1"/>
  <c r="C705" i="1"/>
  <c r="C704" i="1"/>
  <c r="C703" i="1"/>
  <c r="C702" i="1"/>
  <c r="C701" i="1"/>
  <c r="C700" i="1"/>
  <c r="C699" i="1"/>
  <c r="C698" i="1"/>
  <c r="C697" i="1"/>
  <c r="C696" i="1"/>
  <c r="C695" i="1"/>
  <c r="C694" i="1"/>
  <c r="C693" i="1"/>
  <c r="C692" i="1"/>
  <c r="C691" i="1"/>
  <c r="C690" i="1"/>
  <c r="C689" i="1"/>
  <c r="C688" i="1"/>
  <c r="C687" i="1"/>
  <c r="C686" i="1"/>
  <c r="C685" i="1"/>
  <c r="C684" i="1"/>
  <c r="C683" i="1"/>
  <c r="C682" i="1"/>
  <c r="C681" i="1"/>
  <c r="C680" i="1"/>
  <c r="C679" i="1"/>
  <c r="C678" i="1"/>
  <c r="C677" i="1"/>
  <c r="C676" i="1"/>
  <c r="C675" i="1"/>
  <c r="C674" i="1"/>
  <c r="C673" i="1"/>
  <c r="C672" i="1"/>
  <c r="C671" i="1"/>
  <c r="C670" i="1"/>
  <c r="C669" i="1"/>
  <c r="C668" i="1"/>
  <c r="C667" i="1"/>
  <c r="C666" i="1"/>
  <c r="C665" i="1"/>
  <c r="C664" i="1"/>
  <c r="C663" i="1"/>
  <c r="C662" i="1"/>
  <c r="C661" i="1"/>
  <c r="C660" i="1"/>
  <c r="C659" i="1"/>
  <c r="C658" i="1"/>
  <c r="C657" i="1"/>
  <c r="C656" i="1"/>
  <c r="C655" i="1"/>
  <c r="C654" i="1"/>
  <c r="C653" i="1"/>
  <c r="C652" i="1"/>
  <c r="C651" i="1"/>
  <c r="C650" i="1"/>
  <c r="C649" i="1"/>
  <c r="C648" i="1"/>
  <c r="C647" i="1"/>
  <c r="C646" i="1"/>
  <c r="C645" i="1"/>
  <c r="C644" i="1"/>
  <c r="C643" i="1"/>
  <c r="C642" i="1"/>
  <c r="C641" i="1"/>
  <c r="C640" i="1"/>
  <c r="C639" i="1"/>
  <c r="C638" i="1"/>
  <c r="C637" i="1"/>
  <c r="C636" i="1"/>
  <c r="C635" i="1"/>
  <c r="C634" i="1"/>
  <c r="C633" i="1"/>
  <c r="C632" i="1"/>
  <c r="C631" i="1"/>
  <c r="C630" i="1"/>
  <c r="C629" i="1"/>
  <c r="C628" i="1"/>
  <c r="C627" i="1"/>
  <c r="C626" i="1"/>
  <c r="C625" i="1"/>
  <c r="C624" i="1"/>
  <c r="C623" i="1"/>
  <c r="C622" i="1"/>
  <c r="C621" i="1"/>
  <c r="C620" i="1"/>
  <c r="C619" i="1"/>
  <c r="C618" i="1"/>
  <c r="C617" i="1"/>
  <c r="C616" i="1"/>
  <c r="C615" i="1"/>
  <c r="C614" i="1"/>
  <c r="C613" i="1"/>
  <c r="C612" i="1"/>
  <c r="C611" i="1"/>
  <c r="C610" i="1"/>
  <c r="C609" i="1"/>
  <c r="C608" i="1"/>
  <c r="C607" i="1"/>
  <c r="C606" i="1"/>
  <c r="C605" i="1"/>
  <c r="C604" i="1"/>
  <c r="C603" i="1"/>
  <c r="C602" i="1"/>
  <c r="C601" i="1"/>
  <c r="C600" i="1"/>
  <c r="C599" i="1"/>
  <c r="C598" i="1"/>
  <c r="C597" i="1"/>
  <c r="C596" i="1"/>
  <c r="C595" i="1"/>
  <c r="C594" i="1"/>
  <c r="C593" i="1"/>
  <c r="C592" i="1"/>
  <c r="C591" i="1"/>
  <c r="C590" i="1"/>
  <c r="C589" i="1"/>
  <c r="C588" i="1"/>
  <c r="C587" i="1"/>
  <c r="C586" i="1"/>
  <c r="C585" i="1"/>
  <c r="C584" i="1"/>
  <c r="C583" i="1"/>
  <c r="C582" i="1"/>
  <c r="C581" i="1"/>
  <c r="C580" i="1"/>
  <c r="C579" i="1"/>
  <c r="C578" i="1"/>
  <c r="C577" i="1"/>
  <c r="C576" i="1"/>
  <c r="C575" i="1"/>
  <c r="C574" i="1"/>
  <c r="C573" i="1"/>
  <c r="C572" i="1"/>
  <c r="C571" i="1"/>
  <c r="C570" i="1"/>
  <c r="C569" i="1"/>
  <c r="C568" i="1"/>
  <c r="C567" i="1"/>
  <c r="C566" i="1"/>
  <c r="C565" i="1"/>
  <c r="C564" i="1"/>
  <c r="C563" i="1"/>
  <c r="C562" i="1"/>
  <c r="C561" i="1"/>
  <c r="C560" i="1"/>
  <c r="C559" i="1"/>
  <c r="C558" i="1"/>
  <c r="C557" i="1"/>
  <c r="C556" i="1"/>
  <c r="C555" i="1"/>
  <c r="C554" i="1"/>
  <c r="C553" i="1"/>
  <c r="C552" i="1"/>
  <c r="C551" i="1"/>
  <c r="C550" i="1"/>
  <c r="C549" i="1"/>
  <c r="C548" i="1"/>
  <c r="C547" i="1"/>
  <c r="C546" i="1"/>
  <c r="C545" i="1"/>
  <c r="C544" i="1"/>
  <c r="C543" i="1"/>
  <c r="C542" i="1"/>
  <c r="C541" i="1"/>
  <c r="C540" i="1"/>
  <c r="C539" i="1"/>
  <c r="C538" i="1"/>
  <c r="C537" i="1"/>
  <c r="C536" i="1"/>
  <c r="C535" i="1"/>
  <c r="C534" i="1"/>
  <c r="C533" i="1"/>
  <c r="C532" i="1"/>
  <c r="C531" i="1"/>
  <c r="C530" i="1"/>
  <c r="C529" i="1"/>
  <c r="C528" i="1"/>
  <c r="C527" i="1"/>
  <c r="C526" i="1"/>
  <c r="C525" i="1"/>
  <c r="C524" i="1"/>
  <c r="C523" i="1"/>
  <c r="C522" i="1"/>
  <c r="C521" i="1"/>
  <c r="C520" i="1"/>
  <c r="C519" i="1"/>
  <c r="C518" i="1"/>
  <c r="C517" i="1"/>
  <c r="C516" i="1"/>
  <c r="C515" i="1"/>
  <c r="C514" i="1"/>
  <c r="C513" i="1"/>
  <c r="C512" i="1"/>
  <c r="C511" i="1"/>
  <c r="C510" i="1"/>
  <c r="C509" i="1"/>
  <c r="C508" i="1"/>
  <c r="C507" i="1"/>
  <c r="C506" i="1"/>
  <c r="C505" i="1"/>
  <c r="C504" i="1"/>
  <c r="C503" i="1"/>
  <c r="C502" i="1"/>
  <c r="C501" i="1"/>
  <c r="C500" i="1"/>
  <c r="C499" i="1"/>
  <c r="C498" i="1"/>
  <c r="C497" i="1"/>
  <c r="C496" i="1"/>
  <c r="C495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80" i="1"/>
  <c r="C479" i="1"/>
  <c r="C478" i="1"/>
  <c r="C477" i="1"/>
  <c r="C476" i="1"/>
  <c r="C475" i="1"/>
  <c r="C474" i="1"/>
  <c r="C473" i="1"/>
  <c r="C472" i="1"/>
  <c r="C471" i="1"/>
  <c r="C470" i="1"/>
  <c r="C469" i="1"/>
  <c r="C468" i="1"/>
  <c r="C467" i="1"/>
  <c r="C466" i="1"/>
  <c r="C465" i="1"/>
  <c r="C464" i="1"/>
  <c r="C463" i="1"/>
  <c r="C462" i="1"/>
  <c r="C461" i="1"/>
  <c r="C460" i="1"/>
  <c r="C459" i="1"/>
  <c r="C458" i="1"/>
  <c r="C457" i="1"/>
  <c r="C456" i="1"/>
  <c r="C455" i="1"/>
  <c r="C454" i="1"/>
  <c r="C453" i="1"/>
  <c r="C452" i="1"/>
  <c r="C451" i="1"/>
  <c r="C450" i="1"/>
  <c r="C449" i="1"/>
  <c r="C448" i="1"/>
  <c r="C447" i="1"/>
  <c r="C446" i="1"/>
  <c r="C445" i="1"/>
  <c r="C444" i="1"/>
  <c r="C443" i="1"/>
  <c r="C442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C429" i="1"/>
  <c r="C428" i="1"/>
  <c r="C427" i="1"/>
  <c r="C426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C2" i="1"/>
</calcChain>
</file>

<file path=xl/sharedStrings.xml><?xml version="1.0" encoding="utf-8"?>
<sst xmlns="http://schemas.openxmlformats.org/spreadsheetml/2006/main" count="47348" uniqueCount="1252">
  <si>
    <t>Дом</t>
  </si>
  <si>
    <t>Квартира</t>
  </si>
  <si>
    <t>Код плательщика</t>
  </si>
  <si>
    <t>Долг. Все услуги</t>
  </si>
  <si>
    <t>1-й Басманный пер., дом 4</t>
  </si>
  <si>
    <t>4</t>
  </si>
  <si>
    <t>1</t>
  </si>
  <si>
    <t>5</t>
  </si>
  <si>
    <t>6</t>
  </si>
  <si>
    <t>8</t>
  </si>
  <si>
    <t>9</t>
  </si>
  <si>
    <t>10</t>
  </si>
  <si>
    <t>11</t>
  </si>
  <si>
    <t>13</t>
  </si>
  <si>
    <t>14</t>
  </si>
  <si>
    <t>14А</t>
  </si>
  <si>
    <t>15</t>
  </si>
  <si>
    <t>16</t>
  </si>
  <si>
    <t>17</t>
  </si>
  <si>
    <t>18</t>
  </si>
  <si>
    <t>19</t>
  </si>
  <si>
    <t>20</t>
  </si>
  <si>
    <t>21</t>
  </si>
  <si>
    <t>12</t>
  </si>
  <si>
    <t>22</t>
  </si>
  <si>
    <t>23</t>
  </si>
  <si>
    <t>24</t>
  </si>
  <si>
    <t>25</t>
  </si>
  <si>
    <t>2</t>
  </si>
  <si>
    <t>26</t>
  </si>
  <si>
    <t>1-й Басманный пер., дом 12</t>
  </si>
  <si>
    <t>7</t>
  </si>
  <si>
    <t>10А</t>
  </si>
  <si>
    <t>18А</t>
  </si>
  <si>
    <t>Аптекарский пер., дом 8</t>
  </si>
  <si>
    <t>3</t>
  </si>
  <si>
    <t>Армянский пер., дом 1/8 стр.1</t>
  </si>
  <si>
    <t>23А</t>
  </si>
  <si>
    <t>27</t>
  </si>
  <si>
    <t>28</t>
  </si>
  <si>
    <t>29</t>
  </si>
  <si>
    <t>30</t>
  </si>
  <si>
    <t>Армянский пер., дом 4</t>
  </si>
  <si>
    <t>Архангельский пер., дом 7 стр.1</t>
  </si>
  <si>
    <t>Архангельский пер., дом 8/2 стр.2</t>
  </si>
  <si>
    <t>Архангельский пер., дом 8/2 стр.4</t>
  </si>
  <si>
    <t>Архангельский пер., дом 8/2 стр.6</t>
  </si>
  <si>
    <t>Архангельский пер., дом 9</t>
  </si>
  <si>
    <t>Архангельский пер., дом 11/16 стр.1</t>
  </si>
  <si>
    <t>16А</t>
  </si>
  <si>
    <t>17А</t>
  </si>
  <si>
    <t>31</t>
  </si>
  <si>
    <t>32</t>
  </si>
  <si>
    <t>33</t>
  </si>
  <si>
    <t>34</t>
  </si>
  <si>
    <t>35</t>
  </si>
  <si>
    <t>36</t>
  </si>
  <si>
    <t>Архангельский пер., дом 11/16 стр.4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</si>
  <si>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</si>
  <si>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</si>
  <si>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</si>
  <si>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</si>
  <si>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</si>
  <si>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</si>
  <si>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</si>
  <si>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</si>
  <si>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</si>
  <si>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</si>
  <si>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</si>
  <si>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</si>
  <si>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</si>
  <si>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57,58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</si>
  <si>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</si>
  <si>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</si>
  <si>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</si>
  <si>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</si>
  <si>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</si>
  <si>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</si>
  <si>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</si>
  <si>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</si>
  <si>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</si>
  <si>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</si>
  <si>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70</t>
  </si>
  <si>
    <t>71</t>
  </si>
  <si>
    <t>72</t>
  </si>
  <si>
    <t>73</t>
  </si>
  <si>
    <t>Бакунинская ул., дом 4-6 стр.1</t>
  </si>
  <si>
    <t>37</t>
  </si>
  <si>
    <t>38</t>
  </si>
  <si>
    <t>39</t>
  </si>
  <si>
    <t>40</t>
  </si>
  <si>
    <t>Бакунинская ул., дом 10-12 стр.1</t>
  </si>
  <si>
    <t>Бакунинская ул., дом 11 стр.3</t>
  </si>
  <si>
    <t>20А</t>
  </si>
  <si>
    <t>20Б</t>
  </si>
  <si>
    <t>Бакунинская ул., дом 23-41</t>
  </si>
  <si>
    <t>41</t>
  </si>
  <si>
    <t>42</t>
  </si>
  <si>
    <t>43</t>
  </si>
  <si>
    <t>56,57</t>
  </si>
  <si>
    <t>58</t>
  </si>
  <si>
    <t>69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</si>
  <si>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</si>
  <si>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</si>
  <si>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</si>
  <si>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</si>
  <si>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</si>
  <si>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</si>
  <si>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</si>
  <si>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</si>
  <si>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</si>
  <si>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</si>
  <si>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</si>
  <si>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</si>
  <si>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</si>
  <si>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</si>
  <si>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</si>
  <si>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</si>
  <si>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</si>
  <si>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</si>
  <si>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</si>
  <si>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</si>
  <si>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</si>
  <si>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</si>
  <si>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</si>
  <si>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</si>
  <si>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</si>
  <si>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</si>
  <si>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102</t>
  </si>
  <si>
    <t>103</t>
  </si>
  <si>
    <t>104</t>
  </si>
  <si>
    <t>105</t>
  </si>
  <si>
    <t>106</t>
  </si>
  <si>
    <t>107</t>
  </si>
  <si>
    <t>108</t>
  </si>
  <si>
    <t>109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</si>
  <si>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</si>
  <si>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</si>
  <si>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</si>
  <si>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</si>
  <si>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</si>
  <si>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</si>
  <si>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</si>
  <si>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</si>
  <si>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</si>
  <si>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</si>
  <si>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</si>
  <si>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</si>
  <si>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</si>
  <si>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</si>
  <si>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</si>
  <si>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</si>
  <si>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</si>
  <si>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</si>
  <si>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</si>
  <si>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</si>
  <si>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</si>
  <si>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</si>
  <si>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</si>
  <si>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</si>
  <si>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</si>
  <si>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</si>
  <si>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</si>
  <si>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</si>
  <si>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</si>
  <si>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</si>
  <si>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</si>
  <si>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</si>
  <si>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</si>
  <si>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</si>
  <si>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</si>
  <si>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</si>
  <si>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</si>
  <si>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</si>
  <si>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</si>
  <si>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</si>
  <si>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</si>
  <si>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</si>
  <si>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</si>
  <si>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</si>
  <si>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156</t>
  </si>
  <si>
    <t>157</t>
  </si>
  <si>
    <t>158</t>
  </si>
  <si>
    <t>159</t>
  </si>
  <si>
    <t>160</t>
  </si>
  <si>
    <t>161</t>
  </si>
  <si>
    <t>163</t>
  </si>
  <si>
    <t>164</t>
  </si>
  <si>
    <t>165</t>
  </si>
  <si>
    <t>166</t>
  </si>
  <si>
    <t>167</t>
  </si>
  <si>
    <t>168</t>
  </si>
  <si>
    <t>169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</si>
  <si>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</si>
  <si>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</si>
  <si>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</si>
  <si>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</si>
  <si>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</si>
  <si>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</si>
  <si>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</si>
  <si>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</si>
  <si>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</si>
  <si>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</si>
  <si>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</si>
  <si>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183</t>
  </si>
  <si>
    <t>184</t>
  </si>
  <si>
    <t>185</t>
  </si>
  <si>
    <t>186</t>
  </si>
  <si>
    <t>187</t>
  </si>
  <si>
    <t>189</t>
  </si>
  <si>
    <t>190</t>
  </si>
  <si>
    <t>191</t>
  </si>
  <si>
    <t>192</t>
  </si>
  <si>
    <t>193</t>
  </si>
  <si>
    <t>194</t>
  </si>
  <si>
    <t>195</t>
  </si>
  <si>
    <t>196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</si>
  <si>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</si>
  <si>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</si>
  <si>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</si>
  <si>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</si>
  <si>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</si>
  <si>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</si>
  <si>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</si>
  <si>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</si>
  <si>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</si>
  <si>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</si>
  <si>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</si>
  <si>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</si>
  <si>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</si>
  <si>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</si>
  <si>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</si>
  <si>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</si>
  <si>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</si>
  <si>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</si>
  <si>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</si>
  <si>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219</t>
  </si>
  <si>
    <t>220</t>
  </si>
  <si>
    <t>221</t>
  </si>
  <si>
    <t>222</t>
  </si>
  <si>
    <t>223</t>
  </si>
  <si>
    <t>224</t>
  </si>
  <si>
    <t>225</t>
  </si>
  <si>
    <t>227</t>
  </si>
  <si>
    <t>228</t>
  </si>
  <si>
    <t>229</t>
  </si>
  <si>
    <t>230</t>
  </si>
  <si>
    <t>231</t>
  </si>
  <si>
    <t>232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</si>
  <si>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</si>
  <si>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</si>
  <si>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</si>
  <si>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</si>
  <si>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</si>
  <si>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</si>
  <si>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</si>
  <si>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</si>
  <si>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</si>
  <si>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Бакунинская ул., дом 26-30 стр.1</t>
  </si>
  <si>
    <t>57</t>
  </si>
  <si>
    <t>70-</t>
  </si>
  <si>
    <t>87-</t>
  </si>
  <si>
    <t>101</t>
  </si>
  <si>
    <t>108-109</t>
  </si>
  <si>
    <t>110</t>
  </si>
  <si>
    <t>Бакунинская ул., дом 32-36 к.1</t>
  </si>
  <si>
    <t>89</t>
  </si>
  <si>
    <t>Бакунинская ул., дом 38-42 стр.1</t>
  </si>
  <si>
    <t>Бакунинская ул., дом 44-48 стр.1</t>
  </si>
  <si>
    <t>Бакунинская ул., дом 50 стр.3</t>
  </si>
  <si>
    <t>Бакунинская ул., дом 58 стр.1</t>
  </si>
  <si>
    <t>Бакунинская ул., дом 60/2</t>
  </si>
  <si>
    <t>Бакунинская ул., дом 62-68 стр.1</t>
  </si>
  <si>
    <t>155</t>
  </si>
  <si>
    <t>162</t>
  </si>
  <si>
    <t>Бакунинская ул., дом 77 стр.3</t>
  </si>
  <si>
    <t>Бакунинская ул., дом 98А стр.11</t>
  </si>
  <si>
    <t>Балакиревский пер., дом 2/26</t>
  </si>
  <si>
    <t>Барашевский пер., дом 12</t>
  </si>
  <si>
    <t>Басманный туп., дом 6а стр.2</t>
  </si>
  <si>
    <t>Басманный туп., дом 10/12</t>
  </si>
  <si>
    <t>Бауманская ул., дом 20 стр.3</t>
  </si>
  <si>
    <t>Бауманская ул., дом 33/2 стр.8</t>
  </si>
  <si>
    <t>Бауманская ул., дом 34/20</t>
  </si>
  <si>
    <t>Бауманская ул., дом 38 стр.2</t>
  </si>
  <si>
    <t>Бауманская ул., дом 47</t>
  </si>
  <si>
    <t>197</t>
  </si>
  <si>
    <t>198</t>
  </si>
  <si>
    <t>218</t>
  </si>
  <si>
    <t>226</t>
  </si>
  <si>
    <t>233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</si>
  <si>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</si>
  <si>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</si>
  <si>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</si>
  <si>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</si>
  <si>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</si>
  <si>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</si>
  <si>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</si>
  <si>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</si>
  <si>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</si>
  <si>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</si>
  <si>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</si>
  <si>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</si>
  <si>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</si>
  <si>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</si>
  <si>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</si>
  <si>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</si>
  <si>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</si>
  <si>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</si>
  <si>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</si>
  <si>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</si>
  <si>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</si>
  <si>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</si>
  <si>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</si>
  <si>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</si>
  <si>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</si>
  <si>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</si>
  <si>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</si>
  <si>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</si>
  <si>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</si>
  <si>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</si>
  <si>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</si>
  <si>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</si>
  <si>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Бауманская ул., дом 56/17 стр.1</t>
  </si>
  <si>
    <t>Волховский пер., дом 2</t>
  </si>
  <si>
    <t>170</t>
  </si>
  <si>
    <t>182</t>
  </si>
  <si>
    <t>188</t>
  </si>
  <si>
    <t>Волховский пер., дом 21/23</t>
  </si>
  <si>
    <t>Воронцово поле ул., дом 5-7 стр.8</t>
  </si>
  <si>
    <t>Гольяновская ул., дом 7А к.4</t>
  </si>
  <si>
    <t>Гороховский пер., дом 4 стр.7 к.5</t>
  </si>
  <si>
    <t>45а</t>
  </si>
  <si>
    <t>47а</t>
  </si>
  <si>
    <t>48а</t>
  </si>
  <si>
    <t>49а</t>
  </si>
  <si>
    <t>53а</t>
  </si>
  <si>
    <t>Гороховский пер., дом 8</t>
  </si>
  <si>
    <t>Гороховский пер., дом 9 стр.1</t>
  </si>
  <si>
    <t>Гороховский пер., дом 11-13</t>
  </si>
  <si>
    <t>Гороховский пер., дом 15</t>
  </si>
  <si>
    <t>Гороховский пер., дом 16</t>
  </si>
  <si>
    <t>5А</t>
  </si>
  <si>
    <t>6А</t>
  </si>
  <si>
    <t>Гороховский пер., дом 18/20 стр.1</t>
  </si>
  <si>
    <t>Гороховский пер., дом 21</t>
  </si>
  <si>
    <t>11-12</t>
  </si>
  <si>
    <t>Госпитальный вал ул., дом 5 к.11</t>
  </si>
  <si>
    <t>Госпитальный вал ул., дом 5 к.18</t>
  </si>
  <si>
    <t>254-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</si>
  <si>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</si>
  <si>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</si>
  <si>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</si>
  <si>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</si>
  <si>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</si>
  <si>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</si>
  <si>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</si>
  <si>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</si>
  <si>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</si>
  <si>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</si>
  <si>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</si>
  <si>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</si>
  <si>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</si>
  <si>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</si>
  <si>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</si>
  <si>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</si>
  <si>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</si>
  <si>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</si>
  <si>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</si>
  <si>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</si>
  <si>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</si>
  <si>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</si>
  <si>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</si>
  <si>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</si>
  <si>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</si>
  <si>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</si>
  <si>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</si>
  <si>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</si>
  <si>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</si>
  <si>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</si>
  <si>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</si>
  <si>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</si>
  <si>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</si>
  <si>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</si>
  <si>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</si>
  <si>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</si>
  <si>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</si>
  <si>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</si>
  <si>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</si>
  <si>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</si>
  <si>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</si>
  <si>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</si>
  <si>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</si>
  <si>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</si>
  <si>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</si>
  <si>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</si>
  <si>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</si>
  <si>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</si>
  <si>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</si>
  <si>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</si>
  <si>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</si>
  <si>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</si>
  <si>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</si>
  <si>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</si>
  <si>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</si>
  <si>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</si>
  <si>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</si>
  <si>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</si>
  <si>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</si>
  <si>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</si>
  <si>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</si>
  <si>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</si>
  <si>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</si>
  <si>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</si>
  <si>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</si>
  <si>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</si>
  <si>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</si>
  <si>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</si>
  <si>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</si>
  <si>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</si>
  <si>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</si>
  <si>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</si>
  <si>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</si>
  <si>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</si>
  <si>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</si>
  <si>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</si>
  <si>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</si>
  <si>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</si>
  <si>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</si>
  <si>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</si>
  <si>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</si>
  <si>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</si>
  <si>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</si>
  <si>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</si>
  <si>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</si>
  <si>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</si>
  <si>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</si>
  <si>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</si>
  <si>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</si>
  <si>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</si>
  <si>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</si>
  <si>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</si>
  <si>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</si>
  <si>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</si>
  <si>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</si>
  <si>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</si>
  <si>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</si>
  <si>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</si>
  <si>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</si>
  <si>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</si>
  <si>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</si>
  <si>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</si>
  <si>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</si>
  <si>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</si>
  <si>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</si>
  <si>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</si>
  <si>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</si>
  <si>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</si>
  <si>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</si>
  <si>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</si>
  <si>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</si>
  <si>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</si>
  <si>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</si>
  <si>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</si>
  <si>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</si>
  <si>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</si>
  <si>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</si>
  <si>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</si>
  <si>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</si>
  <si>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</si>
  <si>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</si>
  <si>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</si>
  <si>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</si>
  <si>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</si>
  <si>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</si>
  <si>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</si>
  <si>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</si>
  <si>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</si>
  <si>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</si>
  <si>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</si>
  <si>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</si>
  <si>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</si>
  <si>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</si>
  <si>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</si>
  <si>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</si>
  <si>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</si>
  <si>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</si>
  <si>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</si>
  <si>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</si>
  <si>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</si>
  <si>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</si>
  <si>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420-419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</si>
  <si>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</si>
  <si>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</si>
  <si>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</si>
  <si>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</si>
  <si>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</si>
  <si>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</si>
  <si>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</si>
  <si>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</si>
  <si>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</si>
  <si>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</si>
  <si>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</si>
  <si>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</si>
  <si>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</si>
  <si>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</si>
  <si>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</si>
  <si>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</si>
  <si>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</si>
  <si>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</si>
  <si>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</si>
  <si>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</si>
  <si>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</si>
  <si>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</si>
  <si>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</si>
  <si>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</si>
  <si>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</si>
  <si>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</si>
  <si>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</si>
  <si>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</si>
  <si>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</si>
  <si>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</si>
  <si>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</si>
  <si>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</si>
  <si>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</si>
  <si>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</si>
  <si>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</si>
  <si>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</si>
  <si>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</si>
  <si>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</si>
  <si>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</si>
  <si>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</si>
  <si>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</si>
  <si>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</si>
  <si>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</si>
  <si>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</si>
  <si>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</si>
  <si>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</si>
  <si>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Госпитальный вал ул., дом 5 стр.12</t>
  </si>
  <si>
    <t>132-133</t>
  </si>
  <si>
    <t>Госпитальный пер., дом 4А стр.3</t>
  </si>
  <si>
    <t>Госпитальный пер., дом 8</t>
  </si>
  <si>
    <t>Гусятников пер., дом 3/1 стр.1</t>
  </si>
  <si>
    <t>Гусятников пер., дом 4 стр.3</t>
  </si>
  <si>
    <t>Гусятников пер., дом 4 стр.4</t>
  </si>
  <si>
    <t>Гусятников пер., дом 9</t>
  </si>
  <si>
    <t>Гусятников пер., дом 13/3</t>
  </si>
  <si>
    <t>9а/чердак</t>
  </si>
  <si>
    <t>15А/ЧЕРДАК</t>
  </si>
  <si>
    <t>Девяткин пер., дом 2</t>
  </si>
  <si>
    <t>Девяткин пер., дом 4</t>
  </si>
  <si>
    <t>Демидовский Б. пер., дом 10/28</t>
  </si>
  <si>
    <t>Демидовский М. пер., дом 3</t>
  </si>
  <si>
    <t>Денисовский пер., дом 22</t>
  </si>
  <si>
    <t>Доброслободская ул., дом 4</t>
  </si>
  <si>
    <t>Доброслободская ул., дом 10 стр.4</t>
  </si>
  <si>
    <t>Доброслободская ул., дом 10 стр.5</t>
  </si>
  <si>
    <t>Доброслободская ул., дом 11-13</t>
  </si>
  <si>
    <t>Дурасовский пер., дом 3 стр.1</t>
  </si>
  <si>
    <t>Дурасовский пер., дом 9</t>
  </si>
  <si>
    <t>Елизаветинский пер., дом 6 стр.1</t>
  </si>
  <si>
    <t>Елоховский пр., дом 1</t>
  </si>
  <si>
    <t>Жуковского ул., дом 2</t>
  </si>
  <si>
    <t>18,20</t>
  </si>
  <si>
    <t>Жуковского ул., дом 4 стр.1</t>
  </si>
  <si>
    <t>12а</t>
  </si>
  <si>
    <t>Жуковского ул., дом 4 стр.3</t>
  </si>
  <si>
    <t>Жуковского ул., дом 5</t>
  </si>
  <si>
    <t>19-21</t>
  </si>
  <si>
    <t>Жуковского ул., дом 5А</t>
  </si>
  <si>
    <t>Жуковского ул., дом 6 стр.2</t>
  </si>
  <si>
    <t>10-11</t>
  </si>
  <si>
    <t>Жуковского ул., дом 7</t>
  </si>
  <si>
    <t>Жуковского ул., дом 9</t>
  </si>
  <si>
    <t>Жуковского ул., дом 11</t>
  </si>
  <si>
    <t>Жуковского ул., дом 19 стр.1</t>
  </si>
  <si>
    <t>Жуковского ул., дом 19 стр.2</t>
  </si>
  <si>
    <t>Забелина ул., дом 5 стр.2</t>
  </si>
  <si>
    <t>Земляной вал ул., дом 1/4 стр.1</t>
  </si>
  <si>
    <t>Земляной вал ул., дом 1/4 стр.2</t>
  </si>
  <si>
    <t>Земляной вал ул., дом 2</t>
  </si>
  <si>
    <t>Земляной вал ул., дом 3/1 стр.6</t>
  </si>
  <si>
    <t>19А</t>
  </si>
  <si>
    <t>21А</t>
  </si>
  <si>
    <t>22А</t>
  </si>
  <si>
    <t>24А</t>
  </si>
  <si>
    <t>25А</t>
  </si>
  <si>
    <t>26А</t>
  </si>
  <si>
    <t>27А</t>
  </si>
  <si>
    <t>Земляной вал ул., дом 3/1 стр.7</t>
  </si>
  <si>
    <t>Земляной вал ул., дом 6 стр.1</t>
  </si>
  <si>
    <t>Земляной вал ул., дом 6 стр.2</t>
  </si>
  <si>
    <t>Земляной вал ул., дом 10</t>
  </si>
  <si>
    <t>Земляной вал ул., дом 12/7 стр.1</t>
  </si>
  <si>
    <t>Земляной вал ул., дом 14-16 стр.1</t>
  </si>
  <si>
    <t>Земляной вал ул., дом 18-22 стр.1</t>
  </si>
  <si>
    <t>Земляной вал ул., дом 18-22 стр.2</t>
  </si>
  <si>
    <t>Земляной вал ул., дом 21/2 стр.1</t>
  </si>
  <si>
    <t>Земляной вал ул., дом 21/2-4 стр.2</t>
  </si>
  <si>
    <t>Земляной вал ул., дом 21/2-4 стр.3</t>
  </si>
  <si>
    <t>Земляной вал ул., дом 23 стр.1</t>
  </si>
  <si>
    <t>Земляной вал ул., дом 24/30 стр.1</t>
  </si>
  <si>
    <t>Земляной вал ул., дом 24/30 стр.1А</t>
  </si>
  <si>
    <t>Земляной вал ул., дом 24/32</t>
  </si>
  <si>
    <t>1Б</t>
  </si>
  <si>
    <t>1В</t>
  </si>
  <si>
    <t>2А</t>
  </si>
  <si>
    <t>2Б</t>
  </si>
  <si>
    <t>2В</t>
  </si>
  <si>
    <t>28А</t>
  </si>
  <si>
    <t>28Б</t>
  </si>
  <si>
    <t>30А</t>
  </si>
  <si>
    <t>9,10</t>
  </si>
  <si>
    <t>Земляной вал ул., дом 25</t>
  </si>
  <si>
    <t>Земляной вал ул., дом 27 стр.1</t>
  </si>
  <si>
    <t>57А</t>
  </si>
  <si>
    <t>57Б</t>
  </si>
  <si>
    <t>58А</t>
  </si>
  <si>
    <t>58Б</t>
  </si>
  <si>
    <t>59А</t>
  </si>
  <si>
    <t>59Б</t>
  </si>
  <si>
    <t>60А</t>
  </si>
  <si>
    <t>60Б</t>
  </si>
  <si>
    <t>Земляной вал ул., дом 27 стр.2</t>
  </si>
  <si>
    <t>Земляной вал ул., дом 32</t>
  </si>
  <si>
    <t>Земляной вал ул., дом 34 стр.3А</t>
  </si>
  <si>
    <t>Земляной вал ул., дом 34 стр.4</t>
  </si>
  <si>
    <t>95А</t>
  </si>
  <si>
    <t>97А</t>
  </si>
  <si>
    <t>Земляной вал ул., дом 38-40/15 стр.9</t>
  </si>
  <si>
    <t>6-7</t>
  </si>
  <si>
    <t>14- 15</t>
  </si>
  <si>
    <t>18-19</t>
  </si>
  <si>
    <t>22-23</t>
  </si>
  <si>
    <t>32-</t>
  </si>
  <si>
    <t>36-37</t>
  </si>
  <si>
    <t>40/41</t>
  </si>
  <si>
    <t>44-45</t>
  </si>
  <si>
    <t>48-</t>
  </si>
  <si>
    <t>58-59</t>
  </si>
  <si>
    <t>73-74</t>
  </si>
  <si>
    <t>82-83</t>
  </si>
  <si>
    <t>86-87</t>
  </si>
  <si>
    <t>91-92</t>
  </si>
  <si>
    <t>94-95</t>
  </si>
  <si>
    <t>98-99</t>
  </si>
  <si>
    <t>107-108</t>
  </si>
  <si>
    <t>111-112</t>
  </si>
  <si>
    <t>115-116</t>
  </si>
  <si>
    <t>119-120</t>
  </si>
  <si>
    <t>123-124</t>
  </si>
  <si>
    <t>129-130</t>
  </si>
  <si>
    <t>133-134</t>
  </si>
  <si>
    <t>137-138</t>
  </si>
  <si>
    <t>140/141</t>
  </si>
  <si>
    <t>145-146</t>
  </si>
  <si>
    <t>149-150</t>
  </si>
  <si>
    <t>155-156</t>
  </si>
  <si>
    <t>159-160</t>
  </si>
  <si>
    <t>167-168</t>
  </si>
  <si>
    <t>171-172</t>
  </si>
  <si>
    <t>175-176</t>
  </si>
  <si>
    <t>Златоустинский Б. пер., дом 3А стр.2</t>
  </si>
  <si>
    <t>29а</t>
  </si>
  <si>
    <t>29б</t>
  </si>
  <si>
    <t>29в</t>
  </si>
  <si>
    <t>Златоустинский Б. пер., дом 3/5 стр.1</t>
  </si>
  <si>
    <t>Златоустинский М. пер., дом 8 стр.1</t>
  </si>
  <si>
    <t>Златоустинский М. пер., дом 8 стр.2</t>
  </si>
  <si>
    <t>Златоустинский М. пер., дом 10 стр.1</t>
  </si>
  <si>
    <t>Ивановский М. пер., дом 6/5 стр.1</t>
  </si>
  <si>
    <t>Ивановский М. пер., дом 11/6 стр.1</t>
  </si>
  <si>
    <t>Ивановский М. пер., дом 11/6 стр.2</t>
  </si>
  <si>
    <t>Ирининский 2-й пер., дом 4</t>
  </si>
  <si>
    <t>Казакова ул., дом 3 стр.1</t>
  </si>
  <si>
    <t>Казакова ул., дом 3 стр.4</t>
  </si>
  <si>
    <t>Казакова ул., дом 8-8а стр.2</t>
  </si>
  <si>
    <t>Казакова ул., дом 8 стр.6</t>
  </si>
  <si>
    <t>6а</t>
  </si>
  <si>
    <t>6б</t>
  </si>
  <si>
    <t>6в</t>
  </si>
  <si>
    <t>18а</t>
  </si>
  <si>
    <t>Казакова ул., дом 8-8А стр.11в</t>
  </si>
  <si>
    <t>Казакова ул., дом 17/1 стр.1</t>
  </si>
  <si>
    <t>Казакова ул., дом 18-20 стр.1</t>
  </si>
  <si>
    <t>Казакова ул., дом 25</t>
  </si>
  <si>
    <t>Казакова ул., дом 27</t>
  </si>
  <si>
    <t>13А</t>
  </si>
  <si>
    <t>Казакова ул., дом 29 стр.1</t>
  </si>
  <si>
    <t>Казакова ул., дом 29 стр.2</t>
  </si>
  <si>
    <t>Казарменный пер., дом 3-5 стр.2</t>
  </si>
  <si>
    <t>Казарменный пер., дом 4 стр.1</t>
  </si>
  <si>
    <t>Казарменный пер., дом 4 стр.2</t>
  </si>
  <si>
    <t>Казарменный пер., дом 4 стр.3</t>
  </si>
  <si>
    <t>Казарменный пер., дом 6 стр.2</t>
  </si>
  <si>
    <t>9а</t>
  </si>
  <si>
    <t>Казарменный пер., дом 8 стр.1</t>
  </si>
  <si>
    <t>Казарменный пер., дом 8 стр.2</t>
  </si>
  <si>
    <t>71А</t>
  </si>
  <si>
    <t>Казарменный пер., дом 8 стр.3</t>
  </si>
  <si>
    <t>Казарменный пер., дом 10 стр.1</t>
  </si>
  <si>
    <t>Казарменный пер., дом 10 стр.2</t>
  </si>
  <si>
    <t>Казенный Б. пер., дом 1/2 стр.1</t>
  </si>
  <si>
    <t>Казенный Б. пер., дом 2</t>
  </si>
  <si>
    <t>Казенный Б. пер., дом 4</t>
  </si>
  <si>
    <t>Казенный Б. пер., дом 6 стр.1</t>
  </si>
  <si>
    <t>Казенный Б. пер., дом 8 стр.2</t>
  </si>
  <si>
    <t>Казенный Б. пер., дом 10 стр.1</t>
  </si>
  <si>
    <t>Казенный Б. пер., дом 10 стр.2</t>
  </si>
  <si>
    <t>Казенный М. пер., дом 2/1 стр.2</t>
  </si>
  <si>
    <t>Казенный М. пер., дом 4-6 стр.1</t>
  </si>
  <si>
    <t>Казенный М. пер., дом 8</t>
  </si>
  <si>
    <t>Козловский Б. пер., дом 7</t>
  </si>
  <si>
    <t>Козловский Б. пер., дом 8</t>
  </si>
  <si>
    <t>Козловский Б. пер., дом 10 стр.1</t>
  </si>
  <si>
    <t>Козловский Б. пер., дом 10 стр.3</t>
  </si>
  <si>
    <t>Козловский Б. пер., дом 11 стр.1</t>
  </si>
  <si>
    <t>Козловский Б. пер., дом 11 стр.2</t>
  </si>
  <si>
    <t>Козловский Б. пер., дом 12</t>
  </si>
  <si>
    <t>Козловский М. пер., дом 6</t>
  </si>
  <si>
    <t>Козловский М. пер., дом 8</t>
  </si>
  <si>
    <t>Козловский М. пер., дом 10</t>
  </si>
  <si>
    <t>Колпачный пер., дом 6 стр.4</t>
  </si>
  <si>
    <t>Колпачный пер., дом 6 стр.5</t>
  </si>
  <si>
    <t>Колпачный пер., дом 10/7 стр.8</t>
  </si>
  <si>
    <t>Красносельская Нижняя ул., дом 34/16</t>
  </si>
  <si>
    <t>Красносельская Нижняя ул., дом 45/17</t>
  </si>
  <si>
    <t>Кривоколенный пер., дом 11/13 стр.1</t>
  </si>
  <si>
    <t>Кривоколенный пер., дом 14 стр.1</t>
  </si>
  <si>
    <t>22а</t>
  </si>
  <si>
    <t>31А</t>
  </si>
  <si>
    <t>Ладожская ул., дом 7</t>
  </si>
  <si>
    <t>34а</t>
  </si>
  <si>
    <t>36а</t>
  </si>
  <si>
    <t>Ладожская ул., дом 7А</t>
  </si>
  <si>
    <t>Ладожская ул., дом 10</t>
  </si>
  <si>
    <t>Ладожская ул., дом 13</t>
  </si>
  <si>
    <t>Ладожская ул., дом 15</t>
  </si>
  <si>
    <t>Лубянский пр., дом 17</t>
  </si>
  <si>
    <t>3А</t>
  </si>
  <si>
    <t>4А</t>
  </si>
  <si>
    <t>44А</t>
  </si>
  <si>
    <t>45А</t>
  </si>
  <si>
    <t>46А</t>
  </si>
  <si>
    <t>47А</t>
  </si>
  <si>
    <t>48А</t>
  </si>
  <si>
    <t>49А</t>
  </si>
  <si>
    <t>Лубянский пр., дом 19 стр.1</t>
  </si>
  <si>
    <t>4а</t>
  </si>
  <si>
    <t>Лучников пер., дом 7/4 стр.5</t>
  </si>
  <si>
    <t>Лучников пер., дом 7/4 стр.6</t>
  </si>
  <si>
    <t>Лялин пер., дом 5 стр.1</t>
  </si>
  <si>
    <t>Лялин пер., дом 7/2 стр.1</t>
  </si>
  <si>
    <t>Лялин пер., дом 8 стр.1</t>
  </si>
  <si>
    <t>27,28</t>
  </si>
  <si>
    <t>Лялин пер., дом 8 стр.2</t>
  </si>
  <si>
    <t>Лялин пер., дом 9 стр.1</t>
  </si>
  <si>
    <t>Лялин пер., дом 9 стр.3</t>
  </si>
  <si>
    <t>Лялин пер., дом 11-13/1 стр.1</t>
  </si>
  <si>
    <t>5-6</t>
  </si>
  <si>
    <t>Лялин пер., дом 11-13/1 стр.2</t>
  </si>
  <si>
    <t>Лялин пер., дом 14 стр.1</t>
  </si>
  <si>
    <t>Лялин пер., дом 14 стр.2</t>
  </si>
  <si>
    <t>Лялин пер., дом 20</t>
  </si>
  <si>
    <t>Лялин пер., дом 22</t>
  </si>
  <si>
    <t>Лялин пер., дом 23-29 стр.1</t>
  </si>
  <si>
    <t>Лялин пер., дом 24-26 стр.2</t>
  </si>
  <si>
    <t>Лялин пер., дом 24-26 стр.2А</t>
  </si>
  <si>
    <t>Макаренко ул., дом 1/19</t>
  </si>
  <si>
    <t>Макаренко ул., дом 2/21 стр.1</t>
  </si>
  <si>
    <t>Макаренко ул., дом 2/21 стр.2</t>
  </si>
  <si>
    <t>41А</t>
  </si>
  <si>
    <t>Макаренко ул., дом 2/21 стр.3</t>
  </si>
  <si>
    <t>Макаренко ул., дом 3 стр.2</t>
  </si>
  <si>
    <t>Макаренко ул., дом 4 стр.2</t>
  </si>
  <si>
    <t>Макаренко ул., дом 5 стр.1А</t>
  </si>
  <si>
    <t>Макаренко ул., дом 8</t>
  </si>
  <si>
    <t>12А</t>
  </si>
  <si>
    <t>Макаренко ул., дом 9 стр.1</t>
  </si>
  <si>
    <t>Макаренко ул., дом 9 стр.2</t>
  </si>
  <si>
    <t>Маросейка ул., дом 6-8 стр.1</t>
  </si>
  <si>
    <t>60а</t>
  </si>
  <si>
    <t>Маросейка ул., дом 9/2 стр.1</t>
  </si>
  <si>
    <t>Маросейка ул., дом 9/2 стр.8</t>
  </si>
  <si>
    <t>Маросейка ул., дом 9/13/2 стр.7</t>
  </si>
  <si>
    <t>Маросейка ул., дом 10/1 стр.1</t>
  </si>
  <si>
    <t>19а</t>
  </si>
  <si>
    <t>19б</t>
  </si>
  <si>
    <t>Маросейка ул., дом 10/1 стр.3</t>
  </si>
  <si>
    <t>Маросейка ул., дом 13 стр.1</t>
  </si>
  <si>
    <t>Маросейка ул., дом 13 стр.2</t>
  </si>
  <si>
    <t>Маросейка ул., дом 13 стр.3</t>
  </si>
  <si>
    <t>Машкова ул., дом 2/13 стр.1</t>
  </si>
  <si>
    <t>Машкова ул., дом 6 стр.2</t>
  </si>
  <si>
    <t>Машкова ул., дом 9 стр.1</t>
  </si>
  <si>
    <t>40-</t>
  </si>
  <si>
    <t>50-</t>
  </si>
  <si>
    <t>52-53</t>
  </si>
  <si>
    <t>Машкова ул., дом 10 стр.1</t>
  </si>
  <si>
    <t>1А</t>
  </si>
  <si>
    <t>Машкова ул., дом 10 стр.2</t>
  </si>
  <si>
    <t>Машкова ул., дом 11 стр.1</t>
  </si>
  <si>
    <t>Машкова ул., дом 14</t>
  </si>
  <si>
    <t>Машкова ул., дом 16</t>
  </si>
  <si>
    <t>Машкова ул., дом 17</t>
  </si>
  <si>
    <t>Машкова ул., дом 18 стр.1</t>
  </si>
  <si>
    <t>Машкова ул., дом 21</t>
  </si>
  <si>
    <t>Машкова ул., дом 22</t>
  </si>
  <si>
    <t>Машкова ул., дом 24</t>
  </si>
  <si>
    <t>Машкова ул., дом 26 стр.1</t>
  </si>
  <si>
    <t>Машкова ул., дом 26 стр.2</t>
  </si>
  <si>
    <t>Машкова ул., дом 28/20 стр.2</t>
  </si>
  <si>
    <t>Мясницкая ул., дом 22 стр.1</t>
  </si>
  <si>
    <t>Мясницкая ул., дом 26А стр.2</t>
  </si>
  <si>
    <t>Мясницкая ул., дом 30 стр.3</t>
  </si>
  <si>
    <t>Мясницкая ул., дом 30/1/2 стр.1</t>
  </si>
  <si>
    <t>Мясницкая ул., дом 30/1/2 стр.2</t>
  </si>
  <si>
    <t>Мясницкая ул., дом 40А</t>
  </si>
  <si>
    <t>Мясницкая ул., дом 44 стр.3</t>
  </si>
  <si>
    <t>5а</t>
  </si>
  <si>
    <t>Новая Басманная ул., дом 4-6 стр.3</t>
  </si>
  <si>
    <t>312</t>
  </si>
  <si>
    <t>313</t>
  </si>
  <si>
    <t>341</t>
  </si>
  <si>
    <t>Новая Басманная ул., дом 12 стр.2</t>
  </si>
  <si>
    <t>Новая Басманная ул., дом 12 стр.3</t>
  </si>
  <si>
    <t>Новая Басманная ул., дом 12 стр.4</t>
  </si>
  <si>
    <t>Новая Басманная ул., дом 14 стр.1</t>
  </si>
  <si>
    <t>Новая Басманная ул., дом 14 стр.3</t>
  </si>
  <si>
    <t>34А</t>
  </si>
  <si>
    <t>Новая Басманная ул., дом 16 стр.3</t>
  </si>
  <si>
    <t>Новая Басманная ул., дом 16 стр.4</t>
  </si>
  <si>
    <t>29А</t>
  </si>
  <si>
    <t>Новая Басманная ул., дом 20 стр.1</t>
  </si>
  <si>
    <t>Новая Басманная ул., дом 25/2</t>
  </si>
  <si>
    <t>Новая Басманная ул., дом 28 стр.1</t>
  </si>
  <si>
    <t>Новая Басманная ул., дом 31 стр.1</t>
  </si>
  <si>
    <t>Новая Басманная ул., дом 31 стр.3</t>
  </si>
  <si>
    <t>68А</t>
  </si>
  <si>
    <t>69А</t>
  </si>
  <si>
    <t>80А</t>
  </si>
  <si>
    <t>Новая дорога ул., дом 17 к.2</t>
  </si>
  <si>
    <t>Новорязанская ул., дом 22/14</t>
  </si>
  <si>
    <t>Новорязанская ул., дом 25 стр.1</t>
  </si>
  <si>
    <t>Новорязанская ул., дом 30</t>
  </si>
  <si>
    <t>Новорязанская ул., дом 32</t>
  </si>
  <si>
    <t>Новорязанская ул., дом 36</t>
  </si>
  <si>
    <t>Новорязанская ул., дом 38</t>
  </si>
  <si>
    <t>Огородная слобода пер., дом 10</t>
  </si>
  <si>
    <t>Огородная слобода пер., дом 12</t>
  </si>
  <si>
    <t>Огородная слобода пер., дом 14</t>
  </si>
  <si>
    <t>Переведеновский пер., дом 3 стр.1</t>
  </si>
  <si>
    <t>Переведеновский пер., дом 4 стр.1</t>
  </si>
  <si>
    <t>Переведеновский пер., дом 4 стр.2</t>
  </si>
  <si>
    <t>Переведеновский пер., дом 6 стр.3</t>
  </si>
  <si>
    <t>Переведеновский пер., дом 9</t>
  </si>
  <si>
    <t>Петроверигский пер., дом 3 стр.1</t>
  </si>
  <si>
    <t>Петроверигский пер., дом 6-8-10 стр.4</t>
  </si>
  <si>
    <t>Подкопаевский пер., дом 8/13/5</t>
  </si>
  <si>
    <t>Подкопаевский пер., дом 9 стр.1</t>
  </si>
  <si>
    <t>Подкопаевский пер., дом 11 стр.1</t>
  </si>
  <si>
    <t>Подкопаевский пер., дом 11/11/1 стр.2</t>
  </si>
  <si>
    <t>8А</t>
  </si>
  <si>
    <t>Подсосенский пер., дом 5А</t>
  </si>
  <si>
    <t>Подсосенский пер., дом 6 стр.1</t>
  </si>
  <si>
    <t>Подсосенский пер., дом 8А стр.2</t>
  </si>
  <si>
    <t>Подсосенский пер., дом 8 стр.2</t>
  </si>
  <si>
    <t>Подсосенский пер., дом 8 стр.3</t>
  </si>
  <si>
    <t>Подсосенский пер., дом 9</t>
  </si>
  <si>
    <t>Подсосенский пер., дом 12 стр.1</t>
  </si>
  <si>
    <t>Подсосенский пер., дом 12 стр.2</t>
  </si>
  <si>
    <t>Подсосенский пер., дом 13</t>
  </si>
  <si>
    <t>Подсосенский пер., дом 14 стр.1</t>
  </si>
  <si>
    <t>Подсосенский пер., дом 14 стр.2</t>
  </si>
  <si>
    <t>Подсосенский пер., дом 18/5 стр.1</t>
  </si>
  <si>
    <t>Подсосенский пер., дом 19/28</t>
  </si>
  <si>
    <t>Подсосенский пер., дом 22</t>
  </si>
  <si>
    <t>Подсосенский пер., дом 24</t>
  </si>
  <si>
    <t>7-</t>
  </si>
  <si>
    <t>8,29</t>
  </si>
  <si>
    <t>15,</t>
  </si>
  <si>
    <t>Покровка ул., дом 2/1 стр.2</t>
  </si>
  <si>
    <t>Покровка ул., дом 3/7 стр.1Б</t>
  </si>
  <si>
    <t>Покровка ул., дом 3/7 стр.1Г</t>
  </si>
  <si>
    <t>Покровка ул., дом 4 стр.1</t>
  </si>
  <si>
    <t>Покровка ул., дом 7/9-11 к.1</t>
  </si>
  <si>
    <t>121А</t>
  </si>
  <si>
    <t>123А</t>
  </si>
  <si>
    <t>Покровка ул., дом 9 стр.2</t>
  </si>
  <si>
    <t>Покровка ул., дом 11</t>
  </si>
  <si>
    <t>Покровка ул., дом 14/2 стр.1</t>
  </si>
  <si>
    <t>Покровка ул., дом 15/16 стр.1</t>
  </si>
  <si>
    <t>Покровка ул., дом 19</t>
  </si>
  <si>
    <t>Покровка ул., дом 20/1 стр.1</t>
  </si>
  <si>
    <t>Покровка ул., дом 21-23/25 стр.1</t>
  </si>
  <si>
    <t>Покровка ул., дом 25 стр.1</t>
  </si>
  <si>
    <t>Покровка ул., дом 25 стр.2</t>
  </si>
  <si>
    <t>Покровка ул., дом 27 стр.1</t>
  </si>
  <si>
    <t>30а</t>
  </si>
  <si>
    <t>30б</t>
  </si>
  <si>
    <t>Покровка ул., дом 29</t>
  </si>
  <si>
    <t>Покровка ул., дом 31 стр.1</t>
  </si>
  <si>
    <t>Покровка ул., дом 31 стр.1Г</t>
  </si>
  <si>
    <t>24а</t>
  </si>
  <si>
    <t>25а</t>
  </si>
  <si>
    <t>Покровка ул., дом 31 стр.2</t>
  </si>
  <si>
    <t>Покровка ул., дом 31 стр.3</t>
  </si>
  <si>
    <t>21.</t>
  </si>
  <si>
    <t>Покровка ул., дом 34</t>
  </si>
  <si>
    <t>Покровка ул., дом 35/17 стр.1</t>
  </si>
  <si>
    <t>Покровка ул., дом 37 стр.1</t>
  </si>
  <si>
    <t>Покровка ул., дом 37/15 стр.4</t>
  </si>
  <si>
    <t>91А</t>
  </si>
  <si>
    <t>92А</t>
  </si>
  <si>
    <t>99А</t>
  </si>
  <si>
    <t>100А</t>
  </si>
  <si>
    <t>Покровка ул., дом 38 стр.1</t>
  </si>
  <si>
    <t>Покровка ул., дом 40 стр.1</t>
  </si>
  <si>
    <t>Покровка ул., дом 41 стр.1</t>
  </si>
  <si>
    <t>15А</t>
  </si>
  <si>
    <t>Покровка ул., дом 41 стр.2</t>
  </si>
  <si>
    <t>Покровка ул., дом 41 стр.3</t>
  </si>
  <si>
    <t>Покровка ул., дом 42 стр.6</t>
  </si>
  <si>
    <t>Покровка ул., дом 43А</t>
  </si>
  <si>
    <t>Покровка ул., дом 43 стр.6</t>
  </si>
  <si>
    <t>Покровка ул., дом 43 стр.7</t>
  </si>
  <si>
    <t>Покровка ул., дом 44</t>
  </si>
  <si>
    <t>Покровка ул., дом 45 стр.4</t>
  </si>
  <si>
    <t>Покровка ул., дом 45 стр.5</t>
  </si>
  <si>
    <t>Покровский бульв., дом 4/17 стр.6</t>
  </si>
  <si>
    <t>81,</t>
  </si>
  <si>
    <t>Покровский бульв., дом 4/17 стр.7</t>
  </si>
  <si>
    <t>Покровский бульв., дом 8 стр.2</t>
  </si>
  <si>
    <t>21а</t>
  </si>
  <si>
    <t>21б</t>
  </si>
  <si>
    <t>21в</t>
  </si>
  <si>
    <t>21г</t>
  </si>
  <si>
    <t>Покровский бульв., дом 14/5</t>
  </si>
  <si>
    <t>33А</t>
  </si>
  <si>
    <t>Покровский бульв., дом 14/6</t>
  </si>
  <si>
    <t>Покровский бульв., дом 16-18 стр.4-4А</t>
  </si>
  <si>
    <t>Покровский бульв., дом 18/15</t>
  </si>
  <si>
    <t>31а</t>
  </si>
  <si>
    <t>31б</t>
  </si>
  <si>
    <t>Посланников пер., дом 9 стр.2</t>
  </si>
  <si>
    <t>Посланников пер., дом 11/14</t>
  </si>
  <si>
    <t>Потаповский пер., дом 8/12 к.1</t>
  </si>
  <si>
    <t>Потаповский пер., дом 8/12 стр.4</t>
  </si>
  <si>
    <t>Потаповский пер., дом 10</t>
  </si>
  <si>
    <t>Потаповский пер., дом 12</t>
  </si>
  <si>
    <t>Потаповский пер., дом 14</t>
  </si>
  <si>
    <t>Почтовая Б. ул., дом 1/33 стр.1</t>
  </si>
  <si>
    <t>Почтовая Б. ул., дом 2/4</t>
  </si>
  <si>
    <t>Почтовая Б. ул., дом 5</t>
  </si>
  <si>
    <t>Почтовая Б. ул., дом 6</t>
  </si>
  <si>
    <t>Почтовая Б. ул., дом 16</t>
  </si>
  <si>
    <t>Почтовая Б. ул., дом 18/20 к.2</t>
  </si>
  <si>
    <t>9-10</t>
  </si>
  <si>
    <t>Почтовая Б. ул., дом 18/20 к.3</t>
  </si>
  <si>
    <t>Почтовая Б. ул., дом 18/20 к.4</t>
  </si>
  <si>
    <t>76а</t>
  </si>
  <si>
    <t>Почтовая Б. ул., дом 18/20 к.5</t>
  </si>
  <si>
    <t>Почтовая Б. ул., дом 18/20 к.6</t>
  </si>
  <si>
    <t>9,</t>
  </si>
  <si>
    <t>Почтовая Б. ул., дом 18/20 к.7</t>
  </si>
  <si>
    <t>Почтовая Б. ул., дом 18/20 к.8</t>
  </si>
  <si>
    <t>Почтовая Б. ул., дом 18/20 к.9</t>
  </si>
  <si>
    <t>Почтовая Б. ул., дом 18/20 к.9а</t>
  </si>
  <si>
    <t>Почтовая Б. ул., дом 18/20 к.10</t>
  </si>
  <si>
    <t>Почтовая Б. ул., дом 18/20 к.11</t>
  </si>
  <si>
    <t>Почтовая Б. ул., дом 18/20 к.12</t>
  </si>
  <si>
    <t>Почтовая Б. ул., дом 18/20 к.15</t>
  </si>
  <si>
    <t>Почтовая Б. ул., дом 18/20 к.16</t>
  </si>
  <si>
    <t>Почтовая Б. ул., дом 18/20 к.17</t>
  </si>
  <si>
    <t>Почтовая Б. ул., дом 18/20 к.18</t>
  </si>
  <si>
    <t>Почтовая Б. ул., дом 18/20 к.18А</t>
  </si>
  <si>
    <t>Почтовая Б. ул., дом 18/20 стр.6А к.9</t>
  </si>
  <si>
    <t>Почтовая Б. ул., дом 51-53 стр.1</t>
  </si>
  <si>
    <t>Почтовая Б. ул., дом 61-67 стр.1</t>
  </si>
  <si>
    <t>Почтовая М. ул., дом 5/12 стр.1</t>
  </si>
  <si>
    <t>Почтовая М. ул., дом 5/12 стр.2</t>
  </si>
  <si>
    <t>Почтовая М. ул., дом 10</t>
  </si>
  <si>
    <t>Радио ул., дом 10 стр.9</t>
  </si>
  <si>
    <t>Рубцов пер., дом 4</t>
  </si>
  <si>
    <t>Рубцов пер., дом 16 стр.1</t>
  </si>
  <si>
    <t>Рубцовская наб., дом 2 к.1</t>
  </si>
  <si>
    <t>117,118</t>
  </si>
  <si>
    <t>Рубцовская наб., дом 2 к.2</t>
  </si>
  <si>
    <t>Рубцовская наб., дом 2 к.3</t>
  </si>
  <si>
    <t>Рубцовская наб., дом 2 к.4</t>
  </si>
  <si>
    <t>15-16</t>
  </si>
  <si>
    <t>19,</t>
  </si>
  <si>
    <t>Рубцовская наб., дом 2 к.5</t>
  </si>
  <si>
    <t>31,</t>
  </si>
  <si>
    <t>Рубцовская наб., дом 4 к.1</t>
  </si>
  <si>
    <t>Рубцовская наб., дом 4 к.2</t>
  </si>
  <si>
    <t>61-62</t>
  </si>
  <si>
    <t>99-100</t>
  </si>
  <si>
    <t>Рубцовская наб., дом 4 к.3</t>
  </si>
  <si>
    <t>Садовая-Черногрязская ул., дом 3Б стр.1</t>
  </si>
  <si>
    <t>Садовая-Черногрязская ул., дом 5/9</t>
  </si>
  <si>
    <t>Садовая-Черногрязская ул., дом 11/2</t>
  </si>
  <si>
    <t>Садовая-Черногрязская ул., дом 13/3 стр.1</t>
  </si>
  <si>
    <t>Садовая-Черногрязская ул., дом 16-18 стр.1</t>
  </si>
  <si>
    <t>102/1</t>
  </si>
  <si>
    <t>102/2</t>
  </si>
  <si>
    <t>102/3</t>
  </si>
  <si>
    <t>102/4</t>
  </si>
  <si>
    <t>102/5</t>
  </si>
  <si>
    <t>103/1</t>
  </si>
  <si>
    <t>103/2</t>
  </si>
  <si>
    <t>103/3</t>
  </si>
  <si>
    <t>103/4</t>
  </si>
  <si>
    <t>103/5</t>
  </si>
  <si>
    <t>103/6</t>
  </si>
  <si>
    <t>104/1</t>
  </si>
  <si>
    <t>104/2</t>
  </si>
  <si>
    <t>104/3</t>
  </si>
  <si>
    <t>104/4</t>
  </si>
  <si>
    <t>104/5</t>
  </si>
  <si>
    <t>104/6</t>
  </si>
  <si>
    <t>105/1</t>
  </si>
  <si>
    <t>105/2</t>
  </si>
  <si>
    <t>105/3</t>
  </si>
  <si>
    <t>105/4</t>
  </si>
  <si>
    <t>105/5</t>
  </si>
  <si>
    <t>105/6</t>
  </si>
  <si>
    <t>106/1</t>
  </si>
  <si>
    <t>106/3</t>
  </si>
  <si>
    <t>106/4</t>
  </si>
  <si>
    <t>106/5</t>
  </si>
  <si>
    <t>106/6</t>
  </si>
  <si>
    <t>107/1</t>
  </si>
  <si>
    <t>107/2</t>
  </si>
  <si>
    <t>107/3</t>
  </si>
  <si>
    <t>107/4</t>
  </si>
  <si>
    <t>107/5</t>
  </si>
  <si>
    <t>107/6</t>
  </si>
  <si>
    <t>108/1</t>
  </si>
  <si>
    <t>108/2</t>
  </si>
  <si>
    <t>108/3</t>
  </si>
  <si>
    <t>108/4</t>
  </si>
  <si>
    <t>108/5</t>
  </si>
  <si>
    <t>108/6</t>
  </si>
  <si>
    <t>Сверчков пер., дом 10</t>
  </si>
  <si>
    <t>7А</t>
  </si>
  <si>
    <t>Сверчков пер., дом 10 стр.1</t>
  </si>
  <si>
    <t>Солянка ул., дом 1/2 стр.1</t>
  </si>
  <si>
    <t>23В</t>
  </si>
  <si>
    <t>Солянка ул., дом 1/2 стр.2</t>
  </si>
  <si>
    <t>8,9</t>
  </si>
  <si>
    <t>Спартаковская пл., дом 1/2</t>
  </si>
  <si>
    <t>Спартаковский пер., дом 24 стр.1</t>
  </si>
  <si>
    <t>Спартаковский пер., дом 26 стр.2</t>
  </si>
  <si>
    <t>Спасоглинищевский Б. пер., дом 6/1</t>
  </si>
  <si>
    <t>Спасоглинищевский Б. пер., дом 8</t>
  </si>
  <si>
    <t>Старая Басманная ул., дом 5 стр.1</t>
  </si>
  <si>
    <t>Старая Басманная ул., дом 6 стр.2</t>
  </si>
  <si>
    <t>Старая Басманная ул., дом 9 к.1</t>
  </si>
  <si>
    <t>Старая Басманная ул., дом 9 к.2</t>
  </si>
  <si>
    <t>Старая Басманная ул., дом 10 стр.2</t>
  </si>
  <si>
    <t>Старая Басманная ул., дом 10 стр.5</t>
  </si>
  <si>
    <t>Старая Басманная ул., дом 12 стр.2</t>
  </si>
  <si>
    <t>Старая Басманная ул., дом 12 стр.5</t>
  </si>
  <si>
    <t>Старая Басманная ул., дом 13 стр.1</t>
  </si>
  <si>
    <t>Старая Басманная ул., дом 14/2</t>
  </si>
  <si>
    <t>Старая Басманная ул., дом 15 стр.2</t>
  </si>
  <si>
    <t>Старая Басманная ул., дом 20 к.1</t>
  </si>
  <si>
    <t>Старая Басманная ул., дом 20 к.2</t>
  </si>
  <si>
    <t>Старая Басманная ул., дом 20 к.3</t>
  </si>
  <si>
    <t>Старая Басманная ул., дом 20 к.4</t>
  </si>
  <si>
    <t>Старая Басманная ул., дом 20 к.5</t>
  </si>
  <si>
    <t>Старая Басманная ул., дом 20 к.12</t>
  </si>
  <si>
    <t>Старая Басманная ул., дом 21/4 стр.2</t>
  </si>
  <si>
    <t>Старая Басманная ул., дом 22 стр.2 к.Б</t>
  </si>
  <si>
    <t>Старая Басманная ул., дом 22 стр.3 к.А</t>
  </si>
  <si>
    <t>67А</t>
  </si>
  <si>
    <t>Старая Басманная ул., дом 25 стр.1</t>
  </si>
  <si>
    <t>Старая Басманная ул., дом 25 стр.5</t>
  </si>
  <si>
    <t>16б</t>
  </si>
  <si>
    <t>Старая Басманная ул., дом 28/2</t>
  </si>
  <si>
    <t>Старая Басманная ул., дом 31</t>
  </si>
  <si>
    <t>Старая Басманная ул., дом 33</t>
  </si>
  <si>
    <t>Старая Басманная ул., дом 38/2 стр.3</t>
  </si>
  <si>
    <t>Старокирочный пер., дом 14</t>
  </si>
  <si>
    <t>Старосадский пер., дом 6/12 стр.1</t>
  </si>
  <si>
    <t>Старосадский пер., дом 9</t>
  </si>
  <si>
    <t>Старосадский пер., дом 10 стр.1</t>
  </si>
  <si>
    <t>Сусальный Нижн. пер., дом 3</t>
  </si>
  <si>
    <t>Сыромятническая Нижн. ул., дом 2/3 стр.1</t>
  </si>
  <si>
    <t>Сыромятническая Нижн. ул., дом 5 стр.3</t>
  </si>
  <si>
    <t>Сыромятническая Нижн. ул., дом 5 стр.3А</t>
  </si>
  <si>
    <t>Сыромятнический 4-й пер., дом 3/5 стр.3</t>
  </si>
  <si>
    <t>17а</t>
  </si>
  <si>
    <t>27а</t>
  </si>
  <si>
    <t>Сыромятнический 4-й пер., дом 3/5 стр.4</t>
  </si>
  <si>
    <t>Помещение I</t>
  </si>
  <si>
    <t>72-72А</t>
  </si>
  <si>
    <t>72Б</t>
  </si>
  <si>
    <t>88А</t>
  </si>
  <si>
    <t>104А</t>
  </si>
  <si>
    <t>115а</t>
  </si>
  <si>
    <t>116А</t>
  </si>
  <si>
    <t>120А</t>
  </si>
  <si>
    <t>120Б</t>
  </si>
  <si>
    <t>126А</t>
  </si>
  <si>
    <t>133А</t>
  </si>
  <si>
    <t>136А</t>
  </si>
  <si>
    <t>136Б</t>
  </si>
  <si>
    <t>Сыромятнический 4-й пер., дом 3/5 стр.4А</t>
  </si>
  <si>
    <t>187а</t>
  </si>
  <si>
    <t>187б</t>
  </si>
  <si>
    <t>Сыромятнический пр., дом 7/14</t>
  </si>
  <si>
    <t>Сыромятнический пр., дом 8 к.2</t>
  </si>
  <si>
    <t>Токмаков пер., дом 10 стр.3</t>
  </si>
  <si>
    <t>Токмаков пер., дом 16 стр.1</t>
  </si>
  <si>
    <t>15а</t>
  </si>
  <si>
    <t>Токмаков пер., дом 20/31 стр.1</t>
  </si>
  <si>
    <t>Трехсвятительский Б. пер., дом 1</t>
  </si>
  <si>
    <t>Трехсвятительский М. пер., дом 8/2 стр.7</t>
  </si>
  <si>
    <t>Трехсвятительский М. пер., дом 8/2 стр.8</t>
  </si>
  <si>
    <t>Туполева академика наб., дом 1/7 стр.2</t>
  </si>
  <si>
    <t>Фридриха Энгельса ул., дом 7-21</t>
  </si>
  <si>
    <t>Фридриха Энгельса ул., дом 23 стр.1</t>
  </si>
  <si>
    <t>Фридриха Энгельса ул., дом 28-30 к.1</t>
  </si>
  <si>
    <t>Фридриха Энгельса ул., дом 28-30 к.2</t>
  </si>
  <si>
    <t>Фридриха Энгельса ул., дом 36 стр.1</t>
  </si>
  <si>
    <t>Фридриха Энгельса ул., дом 37-41 к.А</t>
  </si>
  <si>
    <t>Фридриха Энгельса ул., дом 43-45</t>
  </si>
  <si>
    <t>Фридриха Энгельса ул., дом 63 стр.1</t>
  </si>
  <si>
    <t>Фурманный пер., дом 1/5</t>
  </si>
  <si>
    <t>Фурманный пер., дом 3</t>
  </si>
  <si>
    <t>Фурманный пер., дом 5</t>
  </si>
  <si>
    <t>Фурманный пер., дом 6</t>
  </si>
  <si>
    <t>Фурманный пер., дом 7</t>
  </si>
  <si>
    <t>Фурманный пер., дом 10</t>
  </si>
  <si>
    <t>Фурманный пер., дом 12 стр.1</t>
  </si>
  <si>
    <t>Фурманный пер., дом 15</t>
  </si>
  <si>
    <t>35А</t>
  </si>
  <si>
    <t>Фурманный пер., дом 16 стр.1</t>
  </si>
  <si>
    <t>Фурманный пер., дом 16 стр.3</t>
  </si>
  <si>
    <t>Фурманный пер., дом 18</t>
  </si>
  <si>
    <t>Фурманный пер., дом 20</t>
  </si>
  <si>
    <t>Фурманный пер., дом 22 стр.1</t>
  </si>
  <si>
    <t>Фурманный пер., дом 22 стр.2</t>
  </si>
  <si>
    <t>Фурманный пер., дом 24</t>
  </si>
  <si>
    <t>Харитоньевский Б. пер., дом 9</t>
  </si>
  <si>
    <t>Харитоньевский Б. пер., дом 12А</t>
  </si>
  <si>
    <t>Харитоньевский Б. пер., дом 14</t>
  </si>
  <si>
    <t>17.21</t>
  </si>
  <si>
    <t>Харитоньевский Б. пер., дом 20/2</t>
  </si>
  <si>
    <t>Харитоньевский М. пер., дом 7 стр.1</t>
  </si>
  <si>
    <t>Харитоньевский М. пер., дом 7 стр.2</t>
  </si>
  <si>
    <t>Харитоньевский М. пер., дом 7 стр.3</t>
  </si>
  <si>
    <t>Харитоньевский М. пер., дом 7 стр.4</t>
  </si>
  <si>
    <t>Харитоньевский М. пер., дом 8/18 стр.1</t>
  </si>
  <si>
    <t>Хитровский пер., дом 3/1 стр.1</t>
  </si>
  <si>
    <t>Хитровский пер., дом 4</t>
  </si>
  <si>
    <t>эт1 пом.I ком.1</t>
  </si>
  <si>
    <t>эт1 пом.I ком.3</t>
  </si>
  <si>
    <t>эт1 пом.I ком.4</t>
  </si>
  <si>
    <t>эт2 пом.2 ком.2</t>
  </si>
  <si>
    <t>эт2 пом.2 ком.3</t>
  </si>
  <si>
    <t>эт2 пом.2 ком.5</t>
  </si>
  <si>
    <t>эт2 пом.2 ком.6</t>
  </si>
  <si>
    <t>эт2 пом.2 ком.9</t>
  </si>
  <si>
    <t>эт3 пом.3 ком.1</t>
  </si>
  <si>
    <t>эт3 пом.3 ком.3</t>
  </si>
  <si>
    <t>эт3 пом.3 ком.5</t>
  </si>
  <si>
    <t>отдельная</t>
  </si>
  <si>
    <t>эт4 пом.4 ком.2</t>
  </si>
  <si>
    <t>эт4 пом.4 ком.3</t>
  </si>
  <si>
    <t>эт4 пом.4 ком.5</t>
  </si>
  <si>
    <t>эт4 пом.4 ком.6</t>
  </si>
  <si>
    <t>эт4 пом.4 ком.8</t>
  </si>
  <si>
    <t>эт5 пом.5 ком.2</t>
  </si>
  <si>
    <t>эт5 пом.5 ком.4</t>
  </si>
  <si>
    <t>эт5 пом.5 ком.6</t>
  </si>
  <si>
    <t>эт5 пом.5 ком.7</t>
  </si>
  <si>
    <t>эт6 пом6 ком1,2</t>
  </si>
  <si>
    <t>эт6 пом.6 ком.4</t>
  </si>
  <si>
    <t>эт6 пом.6 ком.8</t>
  </si>
  <si>
    <t>эт7 пом.7 ком.2</t>
  </si>
  <si>
    <t>эт7 пом.7 ком.5</t>
  </si>
  <si>
    <t>эт7 пом.7 ком.9</t>
  </si>
  <si>
    <t>эт7 пом.7 ком.6</t>
  </si>
  <si>
    <t>эт5 пом.5 ком.3</t>
  </si>
  <si>
    <t>эт7 пом.7 ком.4</t>
  </si>
  <si>
    <t>эт1 пом.I ком.6</t>
  </si>
  <si>
    <t>эт8 пом.8 ком.6</t>
  </si>
  <si>
    <t>эт8 пом.8 ком.3</t>
  </si>
  <si>
    <t>эт7 пом.7 ком.8</t>
  </si>
  <si>
    <t>эт8 пом.8 ком.2</t>
  </si>
  <si>
    <t>эт7 пом.7 ком.1</t>
  </si>
  <si>
    <t>эт1 пом.I ком.8</t>
  </si>
  <si>
    <t>эт8 пом.8 ком.9</t>
  </si>
  <si>
    <t>эт3 пом.3 ком.9</t>
  </si>
  <si>
    <t>эт6 пом.6 ком.9</t>
  </si>
  <si>
    <t>эт5 пом.5 ком.1</t>
  </si>
  <si>
    <t>эт3 пом.3 ком.2</t>
  </si>
  <si>
    <t>эт6 пом.6 ком10</t>
  </si>
  <si>
    <t>эт6 пом.6 ком.3</t>
  </si>
  <si>
    <t>эт5 пом.5 ком.8</t>
  </si>
  <si>
    <t>эт8 пом.8 ком.8</t>
  </si>
  <si>
    <t>эт4 пом.4 ком10</t>
  </si>
  <si>
    <t>эт8 пом.8 ком.4</t>
  </si>
  <si>
    <t>эт7 пом.7 ком.7</t>
  </si>
  <si>
    <t>Хомутовский туп., дом 4 к.1</t>
  </si>
  <si>
    <t>Хомутовский туп., дом 4 к.2</t>
  </si>
  <si>
    <t>Хохловский пер., дом 3 стр.1</t>
  </si>
  <si>
    <t>Хохловский пер., дом 10 стр.7</t>
  </si>
  <si>
    <t>Хохловский пер., дом 11 стр.1</t>
  </si>
  <si>
    <t>Хохловский пер., дом 14 стр.2</t>
  </si>
  <si>
    <t>Хохловский пер., дом 15</t>
  </si>
  <si>
    <t>Чаплыгина ул., дом 1А стр.1</t>
  </si>
  <si>
    <t>Чаплыгина ул., дом 1/12 стр.1</t>
  </si>
  <si>
    <t>Чаплыгина ул., дом 1/12 стр.2</t>
  </si>
  <si>
    <t>Чаплыгина ул., дом 8 стр.1</t>
  </si>
  <si>
    <t>Чаплыгина ул., дом 10</t>
  </si>
  <si>
    <t>Чаплыгина ул., дом 15 стр.5</t>
  </si>
  <si>
    <t>Чаплыгина ул., дом 16</t>
  </si>
  <si>
    <t>Чаплыгина ул., дом 22/33 стр.2</t>
  </si>
  <si>
    <t>Чешихинский пр., дом 4 стр.1</t>
  </si>
  <si>
    <t>Чистопрудный бульв., дом 1А</t>
  </si>
  <si>
    <t>Чистопрудный бульв., дом 2</t>
  </si>
  <si>
    <t>Чистопрудный бульв., дом 7/2</t>
  </si>
  <si>
    <t>Чистопрудный бульв., дом 9 стр.1</t>
  </si>
  <si>
    <t>Чистопрудный бульв., дом 10 стр.1</t>
  </si>
  <si>
    <t>Чистопрудный бульв., дом 11 стр.1</t>
  </si>
  <si>
    <t>Чистопрудный бульв., дом 11 стр.2</t>
  </si>
  <si>
    <t>Чистопрудный бульв., дом 11 стр.4</t>
  </si>
  <si>
    <t>Чистопрудный бульв., дом 12 к.2</t>
  </si>
  <si>
    <t>Чистопрудный бульв., дом 12 к.3</t>
  </si>
  <si>
    <t>Чистопрудный бульв., дом 12 к.4</t>
  </si>
  <si>
    <t>Чистопрудный бульв., дом 12 к.5</t>
  </si>
  <si>
    <t>Чистопрудный бульв., дом 12 к.6</t>
  </si>
  <si>
    <t>ПОМ.3</t>
  </si>
  <si>
    <t>ПОМ.5</t>
  </si>
  <si>
    <t>Чистопрудный бульв., дом 13 стр.1</t>
  </si>
  <si>
    <t>5, 7</t>
  </si>
  <si>
    <t>Чистопрудный бульв., дом 13 стр.2</t>
  </si>
  <si>
    <t>Чистопрудный бульв., дом 13 стр.3</t>
  </si>
  <si>
    <t>Чистопрудный бульв., дом 14 стр.3</t>
  </si>
  <si>
    <t>Чистопрудный бульв., дом 15 стр.1</t>
  </si>
  <si>
    <t>Чистопрудный бульв., дом 15 стр.2</t>
  </si>
  <si>
    <t>Чистопрудный бульв., дом 23 стр.1</t>
  </si>
  <si>
    <t>Яковоапостольский пер., дом 9 стр.1</t>
  </si>
  <si>
    <t>Яковоапостольский пер., дом 9 стр.3</t>
  </si>
  <si>
    <t>Яковоапостольский пер., дом 11-13 стр.1</t>
  </si>
  <si>
    <t>Яковоапостольский пер., дом 15</t>
  </si>
  <si>
    <t>9А</t>
  </si>
  <si>
    <t>Яковоапостольский пер., дом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</si>
</sst>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u/>
      <sz val="11"/>
      <color rgb="FF0C67D7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5EFE6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2" borderId="2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D23673"/>
  <sheetViews>
    <sheetView tabSelected="1" workbookViewId="0">
      <pane xSplit="3" ySplit="1" topLeftCell="D2" activePane="bottomRight" state="frozen"/>
      <selection pane="topRight" activeCell="G1" sqref="G1"/>
      <selection pane="bottomLeft" activeCell="A9" sqref="A9"/>
      <selection pane="bottomRight" activeCell="H51" sqref="H51"/>
    </sheetView>
  </sheetViews>
  <sheetFormatPr defaultRowHeight="14.4" x14ac:dyDescent="0.3"/>
  <cols>
    <col min="1" max="1" width="36" customWidth="1"/>
    <col min="2" max="2" width="11.44140625" customWidth="1"/>
    <col min="3" max="3" width="18.44140625" customWidth="1"/>
    <col min="4" max="4" width="16.88671875" customWidth="1"/>
  </cols>
  <sheetData>
    <row r="1" spans="1:4" ht="15.6" x14ac:dyDescent="0.3">
      <c r="A1" s="2" t="s">
        <v>0</v>
      </c>
      <c r="B1" s="2" t="s">
        <v>1</v>
      </c>
      <c r="C1" s="3" t="s">
        <v>2</v>
      </c>
      <c r="D1" s="3" t="s">
        <v>3</v>
      </c>
    </row>
    <row r="2" spans="1:4" x14ac:dyDescent="0.3">
      <c r="A2" t="s">
        <v>4</v>
      </c>
      <c r="B2" t="s">
        <v>5</v>
      </c>
      <c r="C2" s="1">
        <f>HYPERLINK("https://cao.dolgi.msk.ru/account/1011313242/", 1011313242)</f>
        <v>1011313242</v>
      </c>
      <c r="D2">
        <v>8803.4699999999993</v>
      </c>
    </row>
    <row r="3" spans="1:4" hidden="1" x14ac:dyDescent="0.3">
      <c r="A3" t="s">
        <v>4</v>
      </c>
      <c r="B3" t="s">
        <v>7</v>
      </c>
      <c r="C3" s="1">
        <f>HYPERLINK("https://cao.dolgi.msk.ru/account/1011313234/", 1011313234)</f>
        <v>1011313234</v>
      </c>
      <c r="D3">
        <v>-82.49</v>
      </c>
    </row>
    <row r="4" spans="1:4" hidden="1" x14ac:dyDescent="0.3">
      <c r="A4" t="s">
        <v>4</v>
      </c>
      <c r="B4" t="s">
        <v>8</v>
      </c>
      <c r="C4" s="1">
        <f>HYPERLINK("https://cao.dolgi.msk.ru/account/1011312987/", 1011312987)</f>
        <v>1011312987</v>
      </c>
      <c r="D4">
        <v>0</v>
      </c>
    </row>
    <row r="5" spans="1:4" hidden="1" x14ac:dyDescent="0.3">
      <c r="A5" t="s">
        <v>4</v>
      </c>
      <c r="B5" t="s">
        <v>9</v>
      </c>
      <c r="C5" s="1">
        <f>HYPERLINK("https://cao.dolgi.msk.ru/account/1011313226/", 1011313226)</f>
        <v>1011313226</v>
      </c>
      <c r="D5">
        <v>0</v>
      </c>
    </row>
    <row r="6" spans="1:4" x14ac:dyDescent="0.3">
      <c r="A6" t="s">
        <v>4</v>
      </c>
      <c r="B6" t="s">
        <v>10</v>
      </c>
      <c r="C6" s="1">
        <f>HYPERLINK("https://cao.dolgi.msk.ru/account/1011313015/", 1011313015)</f>
        <v>1011313015</v>
      </c>
      <c r="D6">
        <v>14925.79</v>
      </c>
    </row>
    <row r="7" spans="1:4" hidden="1" x14ac:dyDescent="0.3">
      <c r="A7" t="s">
        <v>4</v>
      </c>
      <c r="B7" t="s">
        <v>11</v>
      </c>
      <c r="C7" s="1">
        <f>HYPERLINK("https://cao.dolgi.msk.ru/account/1011313146/", 1011313146)</f>
        <v>1011313146</v>
      </c>
      <c r="D7">
        <v>0</v>
      </c>
    </row>
    <row r="8" spans="1:4" hidden="1" x14ac:dyDescent="0.3">
      <c r="A8" t="s">
        <v>4</v>
      </c>
      <c r="B8" t="s">
        <v>12</v>
      </c>
      <c r="C8" s="1">
        <f>HYPERLINK("https://cao.dolgi.msk.ru/account/1011313007/", 1011313007)</f>
        <v>1011313007</v>
      </c>
      <c r="D8">
        <v>0</v>
      </c>
    </row>
    <row r="9" spans="1:4" hidden="1" x14ac:dyDescent="0.3">
      <c r="A9" t="s">
        <v>4</v>
      </c>
      <c r="B9" t="s">
        <v>12</v>
      </c>
      <c r="C9" s="1">
        <f>HYPERLINK("https://cao.dolgi.msk.ru/account/1011313197/", 1011313197)</f>
        <v>1011313197</v>
      </c>
      <c r="D9">
        <v>-138.96</v>
      </c>
    </row>
    <row r="10" spans="1:4" x14ac:dyDescent="0.3">
      <c r="A10" t="s">
        <v>4</v>
      </c>
      <c r="B10" t="s">
        <v>13</v>
      </c>
      <c r="C10" s="1">
        <f>HYPERLINK("https://cao.dolgi.msk.ru/account/1011313031/", 1011313031)</f>
        <v>1011313031</v>
      </c>
      <c r="D10">
        <v>516.24</v>
      </c>
    </row>
    <row r="11" spans="1:4" hidden="1" x14ac:dyDescent="0.3">
      <c r="A11" t="s">
        <v>4</v>
      </c>
      <c r="B11" t="s">
        <v>14</v>
      </c>
      <c r="C11" s="1">
        <f>HYPERLINK("https://cao.dolgi.msk.ru/account/1011313066/", 1011313066)</f>
        <v>1011313066</v>
      </c>
      <c r="D11">
        <v>-3850.37</v>
      </c>
    </row>
    <row r="12" spans="1:4" hidden="1" x14ac:dyDescent="0.3">
      <c r="A12" t="s">
        <v>4</v>
      </c>
      <c r="B12" t="s">
        <v>15</v>
      </c>
      <c r="C12" s="1">
        <f>HYPERLINK("https://cao.dolgi.msk.ru/account/1011313074/", 1011313074)</f>
        <v>1011313074</v>
      </c>
      <c r="D12">
        <v>-18901.98</v>
      </c>
    </row>
    <row r="13" spans="1:4" hidden="1" x14ac:dyDescent="0.3">
      <c r="A13" t="s">
        <v>4</v>
      </c>
      <c r="B13" t="s">
        <v>16</v>
      </c>
      <c r="C13" s="1">
        <f>HYPERLINK("https://cao.dolgi.msk.ru/account/1011312979/", 1011312979)</f>
        <v>1011312979</v>
      </c>
      <c r="D13">
        <v>0</v>
      </c>
    </row>
    <row r="14" spans="1:4" hidden="1" x14ac:dyDescent="0.3">
      <c r="A14" t="s">
        <v>4</v>
      </c>
      <c r="B14" t="s">
        <v>17</v>
      </c>
      <c r="C14" s="1">
        <f>HYPERLINK("https://cao.dolgi.msk.ru/account/1011507645/", 1011507645)</f>
        <v>1011507645</v>
      </c>
      <c r="D14">
        <v>-15917.5</v>
      </c>
    </row>
    <row r="15" spans="1:4" hidden="1" x14ac:dyDescent="0.3">
      <c r="A15" t="s">
        <v>4</v>
      </c>
      <c r="B15" t="s">
        <v>18</v>
      </c>
      <c r="C15" s="1">
        <f>HYPERLINK("https://cao.dolgi.msk.ru/account/1011313138/", 1011313138)</f>
        <v>1011313138</v>
      </c>
      <c r="D15">
        <v>0</v>
      </c>
    </row>
    <row r="16" spans="1:4" hidden="1" x14ac:dyDescent="0.3">
      <c r="A16" t="s">
        <v>4</v>
      </c>
      <c r="B16" t="s">
        <v>19</v>
      </c>
      <c r="C16" s="1">
        <f>HYPERLINK("https://cao.dolgi.msk.ru/account/1011313162/", 1011313162)</f>
        <v>1011313162</v>
      </c>
      <c r="D16">
        <v>-20620.87</v>
      </c>
    </row>
    <row r="17" spans="1:4" hidden="1" x14ac:dyDescent="0.3">
      <c r="A17" t="s">
        <v>4</v>
      </c>
      <c r="B17" t="s">
        <v>20</v>
      </c>
      <c r="C17" s="1">
        <f>HYPERLINK("https://cao.dolgi.msk.ru/account/1011313023/", 1011313023)</f>
        <v>1011313023</v>
      </c>
      <c r="D17">
        <v>0</v>
      </c>
    </row>
    <row r="18" spans="1:4" hidden="1" x14ac:dyDescent="0.3">
      <c r="A18" t="s">
        <v>4</v>
      </c>
      <c r="B18" t="s">
        <v>21</v>
      </c>
      <c r="C18" s="1">
        <f>HYPERLINK("https://cao.dolgi.msk.ru/account/1011313154/", 1011313154)</f>
        <v>1011313154</v>
      </c>
      <c r="D18">
        <v>0</v>
      </c>
    </row>
    <row r="19" spans="1:4" hidden="1" x14ac:dyDescent="0.3">
      <c r="A19" t="s">
        <v>4</v>
      </c>
      <c r="B19" t="s">
        <v>22</v>
      </c>
      <c r="C19" s="1">
        <f>HYPERLINK("https://cao.dolgi.msk.ru/account/1011313058/", 1011313058)</f>
        <v>1011313058</v>
      </c>
      <c r="D19">
        <v>0</v>
      </c>
    </row>
    <row r="20" spans="1:4" hidden="1" x14ac:dyDescent="0.3">
      <c r="A20" t="s">
        <v>4</v>
      </c>
      <c r="B20" t="s">
        <v>24</v>
      </c>
      <c r="C20" s="1">
        <f>HYPERLINK("https://cao.dolgi.msk.ru/account/1011313189/", 1011313189)</f>
        <v>1011313189</v>
      </c>
      <c r="D20">
        <v>-559.59</v>
      </c>
    </row>
    <row r="21" spans="1:4" hidden="1" x14ac:dyDescent="0.3">
      <c r="A21" t="s">
        <v>4</v>
      </c>
      <c r="B21" t="s">
        <v>25</v>
      </c>
      <c r="C21" s="1">
        <f>HYPERLINK("https://cao.dolgi.msk.ru/account/1011313269/", 1011313269)</f>
        <v>1011313269</v>
      </c>
      <c r="D21">
        <v>-14117.76</v>
      </c>
    </row>
    <row r="22" spans="1:4" hidden="1" x14ac:dyDescent="0.3">
      <c r="A22" t="s">
        <v>4</v>
      </c>
      <c r="B22" t="s">
        <v>26</v>
      </c>
      <c r="C22" s="1">
        <f>HYPERLINK("https://cao.dolgi.msk.ru/account/1011313277/", 1011313277)</f>
        <v>1011313277</v>
      </c>
      <c r="D22">
        <v>-12749.19</v>
      </c>
    </row>
    <row r="23" spans="1:4" x14ac:dyDescent="0.3">
      <c r="A23" t="s">
        <v>4</v>
      </c>
      <c r="B23" t="s">
        <v>27</v>
      </c>
      <c r="C23" s="1">
        <f>HYPERLINK("https://cao.dolgi.msk.ru/account/1011313111/", 1011313111)</f>
        <v>1011313111</v>
      </c>
      <c r="D23">
        <v>1044.8900000000001</v>
      </c>
    </row>
    <row r="24" spans="1:4" hidden="1" x14ac:dyDescent="0.3">
      <c r="A24" t="s">
        <v>4</v>
      </c>
      <c r="B24" t="s">
        <v>27</v>
      </c>
      <c r="C24" s="1">
        <f>HYPERLINK("https://cao.dolgi.msk.ru/account/1011313218/", 1011313218)</f>
        <v>1011313218</v>
      </c>
      <c r="D24">
        <v>0</v>
      </c>
    </row>
    <row r="25" spans="1:4" x14ac:dyDescent="0.3">
      <c r="A25" t="s">
        <v>4</v>
      </c>
      <c r="B25" t="s">
        <v>29</v>
      </c>
      <c r="C25" s="1">
        <f>HYPERLINK("https://cao.dolgi.msk.ru/account/1011312995/", 1011312995)</f>
        <v>1011312995</v>
      </c>
      <c r="D25">
        <v>11589.77</v>
      </c>
    </row>
    <row r="26" spans="1:4" x14ac:dyDescent="0.3">
      <c r="A26" t="s">
        <v>4</v>
      </c>
      <c r="B26" t="s">
        <v>29</v>
      </c>
      <c r="C26" s="1">
        <f>HYPERLINK("https://cao.dolgi.msk.ru/account/1011313082/", 1011313082)</f>
        <v>1011313082</v>
      </c>
      <c r="D26">
        <v>3616.92</v>
      </c>
    </row>
    <row r="27" spans="1:4" hidden="1" x14ac:dyDescent="0.3">
      <c r="A27" t="s">
        <v>30</v>
      </c>
      <c r="B27" t="s">
        <v>7</v>
      </c>
      <c r="C27" s="1">
        <f>HYPERLINK("https://cao.dolgi.msk.ru/account/1011380576/", 1011380576)</f>
        <v>1011380576</v>
      </c>
      <c r="D27">
        <v>0</v>
      </c>
    </row>
    <row r="28" spans="1:4" hidden="1" x14ac:dyDescent="0.3">
      <c r="A28" t="s">
        <v>30</v>
      </c>
      <c r="B28" t="s">
        <v>8</v>
      </c>
      <c r="C28" s="1">
        <f>HYPERLINK("https://cao.dolgi.msk.ru/account/1011380621/", 1011380621)</f>
        <v>1011380621</v>
      </c>
      <c r="D28">
        <v>0</v>
      </c>
    </row>
    <row r="29" spans="1:4" hidden="1" x14ac:dyDescent="0.3">
      <c r="A29" t="s">
        <v>30</v>
      </c>
      <c r="B29" t="s">
        <v>8</v>
      </c>
      <c r="C29" s="1">
        <f>HYPERLINK("https://cao.dolgi.msk.ru/account/1011380664/", 1011380664)</f>
        <v>1011380664</v>
      </c>
      <c r="D29">
        <v>-26911.07</v>
      </c>
    </row>
    <row r="30" spans="1:4" hidden="1" x14ac:dyDescent="0.3">
      <c r="A30" t="s">
        <v>30</v>
      </c>
      <c r="B30" t="s">
        <v>8</v>
      </c>
      <c r="C30" s="1">
        <f>HYPERLINK("https://cao.dolgi.msk.ru/account/1011530685/", 1011530685)</f>
        <v>1011530685</v>
      </c>
      <c r="D30">
        <v>0</v>
      </c>
    </row>
    <row r="31" spans="1:4" hidden="1" x14ac:dyDescent="0.3">
      <c r="A31" t="s">
        <v>30</v>
      </c>
      <c r="B31" t="s">
        <v>31</v>
      </c>
      <c r="C31" s="1">
        <f>HYPERLINK("https://cao.dolgi.msk.ru/account/1011380752/", 1011380752)</f>
        <v>1011380752</v>
      </c>
      <c r="D31">
        <v>-21851.18</v>
      </c>
    </row>
    <row r="32" spans="1:4" hidden="1" x14ac:dyDescent="0.3">
      <c r="A32" t="s">
        <v>30</v>
      </c>
      <c r="B32" t="s">
        <v>9</v>
      </c>
      <c r="C32" s="1">
        <f>HYPERLINK("https://cao.dolgi.msk.ru/account/1011380701/", 1011380701)</f>
        <v>1011380701</v>
      </c>
      <c r="D32">
        <v>-23750.92</v>
      </c>
    </row>
    <row r="33" spans="1:4" hidden="1" x14ac:dyDescent="0.3">
      <c r="A33" t="s">
        <v>30</v>
      </c>
      <c r="B33" t="s">
        <v>10</v>
      </c>
      <c r="C33" s="1">
        <f>HYPERLINK("https://cao.dolgi.msk.ru/account/1011380736/", 1011380736)</f>
        <v>1011380736</v>
      </c>
      <c r="D33">
        <v>-1793.36</v>
      </c>
    </row>
    <row r="34" spans="1:4" x14ac:dyDescent="0.3">
      <c r="A34" t="s">
        <v>30</v>
      </c>
      <c r="B34" t="s">
        <v>11</v>
      </c>
      <c r="C34" s="1">
        <f>HYPERLINK("https://cao.dolgi.msk.ru/account/1011380699/", 1011380699)</f>
        <v>1011380699</v>
      </c>
      <c r="D34">
        <v>123275.6</v>
      </c>
    </row>
    <row r="35" spans="1:4" hidden="1" x14ac:dyDescent="0.3">
      <c r="A35" t="s">
        <v>30</v>
      </c>
      <c r="B35" t="s">
        <v>32</v>
      </c>
      <c r="C35" s="1">
        <f>HYPERLINK("https://cao.dolgi.msk.ru/account/1011380779/", 1011380779)</f>
        <v>1011380779</v>
      </c>
      <c r="D35">
        <v>0</v>
      </c>
    </row>
    <row r="36" spans="1:4" x14ac:dyDescent="0.3">
      <c r="A36" t="s">
        <v>30</v>
      </c>
      <c r="B36" t="s">
        <v>12</v>
      </c>
      <c r="C36" s="1">
        <f>HYPERLINK("https://cao.dolgi.msk.ru/account/1011380648/", 1011380648)</f>
        <v>1011380648</v>
      </c>
      <c r="D36">
        <v>52947.15</v>
      </c>
    </row>
    <row r="37" spans="1:4" x14ac:dyDescent="0.3">
      <c r="A37" t="s">
        <v>30</v>
      </c>
      <c r="B37" t="s">
        <v>23</v>
      </c>
      <c r="C37" s="1">
        <f>HYPERLINK("https://cao.dolgi.msk.ru/account/1011380787/", 1011380787)</f>
        <v>1011380787</v>
      </c>
      <c r="D37">
        <v>809614.35</v>
      </c>
    </row>
    <row r="38" spans="1:4" hidden="1" x14ac:dyDescent="0.3">
      <c r="A38" t="s">
        <v>30</v>
      </c>
      <c r="B38" t="s">
        <v>14</v>
      </c>
      <c r="C38" s="1">
        <f>HYPERLINK("https://cao.dolgi.msk.ru/account/1011380728/", 1011380728)</f>
        <v>1011380728</v>
      </c>
      <c r="D38">
        <v>-3129.06</v>
      </c>
    </row>
    <row r="39" spans="1:4" x14ac:dyDescent="0.3">
      <c r="A39" t="s">
        <v>30</v>
      </c>
      <c r="B39" t="s">
        <v>16</v>
      </c>
      <c r="C39" s="1">
        <f>HYPERLINK("https://cao.dolgi.msk.ru/account/1011380672/", 1011380672)</f>
        <v>1011380672</v>
      </c>
      <c r="D39">
        <v>38462.080000000002</v>
      </c>
    </row>
    <row r="40" spans="1:4" x14ac:dyDescent="0.3">
      <c r="A40" t="s">
        <v>30</v>
      </c>
      <c r="B40" t="s">
        <v>17</v>
      </c>
      <c r="C40" s="1">
        <f>HYPERLINK("https://cao.dolgi.msk.ru/account/1011380795/", 1011380795)</f>
        <v>1011380795</v>
      </c>
      <c r="D40">
        <v>13345.86</v>
      </c>
    </row>
    <row r="41" spans="1:4" x14ac:dyDescent="0.3">
      <c r="A41" t="s">
        <v>30</v>
      </c>
      <c r="B41" t="s">
        <v>18</v>
      </c>
      <c r="C41" s="1">
        <f>HYPERLINK("https://cao.dolgi.msk.ru/account/1011380584/", 1011380584)</f>
        <v>1011380584</v>
      </c>
      <c r="D41">
        <v>20478.509999999998</v>
      </c>
    </row>
    <row r="42" spans="1:4" x14ac:dyDescent="0.3">
      <c r="A42" t="s">
        <v>30</v>
      </c>
      <c r="B42" t="s">
        <v>19</v>
      </c>
      <c r="C42" s="1">
        <f>HYPERLINK("https://cao.dolgi.msk.ru/account/1011380656/", 1011380656)</f>
        <v>1011380656</v>
      </c>
      <c r="D42">
        <v>10790.1</v>
      </c>
    </row>
    <row r="43" spans="1:4" x14ac:dyDescent="0.3">
      <c r="A43" t="s">
        <v>30</v>
      </c>
      <c r="B43" t="s">
        <v>19</v>
      </c>
      <c r="C43" s="1">
        <f>HYPERLINK("https://cao.dolgi.msk.ru/account/1011380744/", 1011380744)</f>
        <v>1011380744</v>
      </c>
      <c r="D43">
        <v>10255.18</v>
      </c>
    </row>
    <row r="44" spans="1:4" hidden="1" x14ac:dyDescent="0.3">
      <c r="A44" t="s">
        <v>30</v>
      </c>
      <c r="B44" t="s">
        <v>33</v>
      </c>
      <c r="C44" s="1">
        <f>HYPERLINK("https://cao.dolgi.msk.ru/account/1011380613/", 1011380613)</f>
        <v>1011380613</v>
      </c>
      <c r="D44">
        <v>0</v>
      </c>
    </row>
    <row r="45" spans="1:4" hidden="1" x14ac:dyDescent="0.3">
      <c r="A45" t="s">
        <v>30</v>
      </c>
      <c r="B45" t="s">
        <v>20</v>
      </c>
      <c r="C45" s="1">
        <f>HYPERLINK("https://cao.dolgi.msk.ru/account/1011380541/", 1011380541)</f>
        <v>1011380541</v>
      </c>
      <c r="D45">
        <v>0</v>
      </c>
    </row>
    <row r="46" spans="1:4" hidden="1" x14ac:dyDescent="0.3">
      <c r="A46" t="s">
        <v>30</v>
      </c>
      <c r="B46" t="s">
        <v>21</v>
      </c>
      <c r="C46" s="1">
        <f>HYPERLINK("https://cao.dolgi.msk.ru/account/1011380605/", 1011380605)</f>
        <v>1011380605</v>
      </c>
      <c r="D46">
        <v>0</v>
      </c>
    </row>
    <row r="47" spans="1:4" hidden="1" x14ac:dyDescent="0.3">
      <c r="A47" t="s">
        <v>30</v>
      </c>
      <c r="B47" t="s">
        <v>22</v>
      </c>
      <c r="C47" s="1">
        <f>HYPERLINK("https://cao.dolgi.msk.ru/account/1011380592/", 1011380592)</f>
        <v>1011380592</v>
      </c>
      <c r="D47">
        <v>0</v>
      </c>
    </row>
    <row r="48" spans="1:4" hidden="1" x14ac:dyDescent="0.3">
      <c r="A48" t="s">
        <v>30</v>
      </c>
      <c r="B48" t="s">
        <v>24</v>
      </c>
      <c r="C48" s="1">
        <f>HYPERLINK("https://cao.dolgi.msk.ru/account/1011380533/", 1011380533)</f>
        <v>1011380533</v>
      </c>
      <c r="D48">
        <v>-17945.509999999998</v>
      </c>
    </row>
    <row r="49" spans="1:4" hidden="1" x14ac:dyDescent="0.3">
      <c r="A49" t="s">
        <v>30</v>
      </c>
      <c r="B49" t="s">
        <v>25</v>
      </c>
      <c r="C49" s="1">
        <f>HYPERLINK("https://cao.dolgi.msk.ru/account/1011380568/", 1011380568)</f>
        <v>1011380568</v>
      </c>
      <c r="D49">
        <v>-94.27</v>
      </c>
    </row>
    <row r="50" spans="1:4" hidden="1" x14ac:dyDescent="0.3">
      <c r="A50" t="s">
        <v>34</v>
      </c>
      <c r="B50" t="s">
        <v>6</v>
      </c>
      <c r="C50" s="1">
        <f>HYPERLINK("https://cao.dolgi.msk.ru/account/1019003337/", 1019003337)</f>
        <v>1019003337</v>
      </c>
      <c r="D50">
        <v>0</v>
      </c>
    </row>
    <row r="51" spans="1:4" x14ac:dyDescent="0.3">
      <c r="A51" t="s">
        <v>34</v>
      </c>
      <c r="B51" t="s">
        <v>28</v>
      </c>
      <c r="C51" s="1">
        <f>HYPERLINK("https://cao.dolgi.msk.ru/account/1011541368/", 1011541368)</f>
        <v>1011541368</v>
      </c>
      <c r="D51">
        <v>1576</v>
      </c>
    </row>
    <row r="52" spans="1:4" hidden="1" x14ac:dyDescent="0.3">
      <c r="A52" t="s">
        <v>34</v>
      </c>
      <c r="B52" t="s">
        <v>28</v>
      </c>
      <c r="C52" s="1">
        <f>HYPERLINK("https://cao.dolgi.msk.ru/account/1019003345/", 1019003345)</f>
        <v>1019003345</v>
      </c>
      <c r="D52">
        <v>0</v>
      </c>
    </row>
    <row r="53" spans="1:4" hidden="1" x14ac:dyDescent="0.3">
      <c r="A53" t="s">
        <v>34</v>
      </c>
      <c r="B53" t="s">
        <v>28</v>
      </c>
      <c r="C53" s="1">
        <f>HYPERLINK("https://cao.dolgi.msk.ru/account/1019003353/", 1019003353)</f>
        <v>1019003353</v>
      </c>
      <c r="D53">
        <v>0</v>
      </c>
    </row>
    <row r="54" spans="1:4" hidden="1" x14ac:dyDescent="0.3">
      <c r="A54" t="s">
        <v>34</v>
      </c>
      <c r="B54" t="s">
        <v>35</v>
      </c>
      <c r="C54" s="1">
        <f>HYPERLINK("https://cao.dolgi.msk.ru/account/1011531645/", 1011531645)</f>
        <v>1011531645</v>
      </c>
      <c r="D54">
        <v>-1225.75</v>
      </c>
    </row>
    <row r="55" spans="1:4" hidden="1" x14ac:dyDescent="0.3">
      <c r="A55" t="s">
        <v>34</v>
      </c>
      <c r="B55" t="s">
        <v>35</v>
      </c>
      <c r="C55" s="1">
        <f>HYPERLINK("https://cao.dolgi.msk.ru/account/1019003134/", 1019003134)</f>
        <v>1019003134</v>
      </c>
      <c r="D55">
        <v>-3577.7</v>
      </c>
    </row>
    <row r="56" spans="1:4" x14ac:dyDescent="0.3">
      <c r="A56" t="s">
        <v>34</v>
      </c>
      <c r="B56" t="s">
        <v>35</v>
      </c>
      <c r="C56" s="1">
        <f>HYPERLINK("https://cao.dolgi.msk.ru/account/1019003388/", 1019003388)</f>
        <v>1019003388</v>
      </c>
      <c r="D56">
        <v>436.64</v>
      </c>
    </row>
    <row r="57" spans="1:4" x14ac:dyDescent="0.3">
      <c r="A57" t="s">
        <v>34</v>
      </c>
      <c r="B57" t="s">
        <v>35</v>
      </c>
      <c r="C57" s="1">
        <f>HYPERLINK("https://cao.dolgi.msk.ru/account/1019004284/", 1019004284)</f>
        <v>1019004284</v>
      </c>
      <c r="D57">
        <v>802.36</v>
      </c>
    </row>
    <row r="58" spans="1:4" hidden="1" x14ac:dyDescent="0.3">
      <c r="A58" t="s">
        <v>34</v>
      </c>
      <c r="B58" t="s">
        <v>5</v>
      </c>
      <c r="C58" s="1">
        <f>HYPERLINK("https://cao.dolgi.msk.ru/account/1019003142/", 1019003142)</f>
        <v>1019003142</v>
      </c>
      <c r="D58">
        <v>-715.97</v>
      </c>
    </row>
    <row r="59" spans="1:4" hidden="1" x14ac:dyDescent="0.3">
      <c r="A59" t="s">
        <v>34</v>
      </c>
      <c r="B59" t="s">
        <v>5</v>
      </c>
      <c r="C59" s="1">
        <f>HYPERLINK("https://cao.dolgi.msk.ru/account/1019004292/", 1019004292)</f>
        <v>1019004292</v>
      </c>
      <c r="D59">
        <v>-7060.31</v>
      </c>
    </row>
    <row r="60" spans="1:4" x14ac:dyDescent="0.3">
      <c r="A60" t="s">
        <v>34</v>
      </c>
      <c r="B60" t="s">
        <v>7</v>
      </c>
      <c r="C60" s="1">
        <f>HYPERLINK("https://cao.dolgi.msk.ru/account/1019003169/", 1019003169)</f>
        <v>1019003169</v>
      </c>
      <c r="D60">
        <v>8059.06</v>
      </c>
    </row>
    <row r="61" spans="1:4" hidden="1" x14ac:dyDescent="0.3">
      <c r="A61" t="s">
        <v>34</v>
      </c>
      <c r="B61" t="s">
        <v>8</v>
      </c>
      <c r="C61" s="1">
        <f>HYPERLINK("https://cao.dolgi.msk.ru/account/1019003177/", 1019003177)</f>
        <v>1019003177</v>
      </c>
      <c r="D61">
        <v>0</v>
      </c>
    </row>
    <row r="62" spans="1:4" hidden="1" x14ac:dyDescent="0.3">
      <c r="A62" t="s">
        <v>34</v>
      </c>
      <c r="B62" t="s">
        <v>8</v>
      </c>
      <c r="C62" s="1">
        <f>HYPERLINK("https://cao.dolgi.msk.ru/account/1019003396/", 1019003396)</f>
        <v>1019003396</v>
      </c>
      <c r="D62">
        <v>-25.49</v>
      </c>
    </row>
    <row r="63" spans="1:4" hidden="1" x14ac:dyDescent="0.3">
      <c r="A63" t="s">
        <v>34</v>
      </c>
      <c r="B63" t="s">
        <v>8</v>
      </c>
      <c r="C63" s="1">
        <f>HYPERLINK("https://cao.dolgi.msk.ru/account/1019003409/", 1019003409)</f>
        <v>1019003409</v>
      </c>
      <c r="D63">
        <v>0</v>
      </c>
    </row>
    <row r="64" spans="1:4" hidden="1" x14ac:dyDescent="0.3">
      <c r="A64" t="s">
        <v>34</v>
      </c>
      <c r="B64" t="s">
        <v>8</v>
      </c>
      <c r="C64" s="1">
        <f>HYPERLINK("https://cao.dolgi.msk.ru/account/1019004452/", 1019004452)</f>
        <v>1019004452</v>
      </c>
      <c r="D64">
        <v>0</v>
      </c>
    </row>
    <row r="65" spans="1:4" hidden="1" x14ac:dyDescent="0.3">
      <c r="A65" t="s">
        <v>34</v>
      </c>
      <c r="B65" t="s">
        <v>8</v>
      </c>
      <c r="C65" s="1">
        <f>HYPERLINK("https://cao.dolgi.msk.ru/account/1019004866/", 1019004866)</f>
        <v>1019004866</v>
      </c>
      <c r="D65">
        <v>-1115.83</v>
      </c>
    </row>
    <row r="66" spans="1:4" hidden="1" x14ac:dyDescent="0.3">
      <c r="A66" t="s">
        <v>36</v>
      </c>
      <c r="B66" t="s">
        <v>5</v>
      </c>
      <c r="C66" s="1">
        <f>HYPERLINK("https://cao.dolgi.msk.ru/account/1011511062/", 1011511062)</f>
        <v>1011511062</v>
      </c>
      <c r="D66">
        <v>0</v>
      </c>
    </row>
    <row r="67" spans="1:4" hidden="1" x14ac:dyDescent="0.3">
      <c r="A67" t="s">
        <v>36</v>
      </c>
      <c r="B67" t="s">
        <v>7</v>
      </c>
      <c r="C67" s="1">
        <f>HYPERLINK("https://cao.dolgi.msk.ru/account/1011511169/", 1011511169)</f>
        <v>1011511169</v>
      </c>
      <c r="D67">
        <v>0</v>
      </c>
    </row>
    <row r="68" spans="1:4" hidden="1" x14ac:dyDescent="0.3">
      <c r="A68" t="s">
        <v>36</v>
      </c>
      <c r="B68" t="s">
        <v>8</v>
      </c>
      <c r="C68" s="1">
        <f>HYPERLINK("https://cao.dolgi.msk.ru/account/1011511185/", 1011511185)</f>
        <v>1011511185</v>
      </c>
      <c r="D68">
        <v>-6038.35</v>
      </c>
    </row>
    <row r="69" spans="1:4" x14ac:dyDescent="0.3">
      <c r="A69" t="s">
        <v>36</v>
      </c>
      <c r="B69" t="s">
        <v>31</v>
      </c>
      <c r="C69" s="1">
        <f>HYPERLINK("https://cao.dolgi.msk.ru/account/1011511222/", 1011511222)</f>
        <v>1011511222</v>
      </c>
      <c r="D69">
        <v>933.12</v>
      </c>
    </row>
    <row r="70" spans="1:4" hidden="1" x14ac:dyDescent="0.3">
      <c r="A70" t="s">
        <v>36</v>
      </c>
      <c r="B70" t="s">
        <v>9</v>
      </c>
      <c r="C70" s="1">
        <f>HYPERLINK("https://cao.dolgi.msk.ru/account/1011511281/", 1011511281)</f>
        <v>1011511281</v>
      </c>
      <c r="D70">
        <v>0</v>
      </c>
    </row>
    <row r="71" spans="1:4" hidden="1" x14ac:dyDescent="0.3">
      <c r="A71" t="s">
        <v>36</v>
      </c>
      <c r="B71" t="s">
        <v>10</v>
      </c>
      <c r="C71" s="1">
        <f>HYPERLINK("https://cao.dolgi.msk.ru/account/1011511193/", 1011511193)</f>
        <v>1011511193</v>
      </c>
      <c r="D71">
        <v>-9691.77</v>
      </c>
    </row>
    <row r="72" spans="1:4" hidden="1" x14ac:dyDescent="0.3">
      <c r="A72" t="s">
        <v>36</v>
      </c>
      <c r="B72" t="s">
        <v>11</v>
      </c>
      <c r="C72" s="1">
        <f>HYPERLINK("https://cao.dolgi.msk.ru/account/1011514431/", 1011514431)</f>
        <v>1011514431</v>
      </c>
      <c r="D72">
        <v>-8137.01</v>
      </c>
    </row>
    <row r="73" spans="1:4" x14ac:dyDescent="0.3">
      <c r="A73" t="s">
        <v>36</v>
      </c>
      <c r="B73" t="s">
        <v>23</v>
      </c>
      <c r="C73" s="1">
        <f>HYPERLINK("https://cao.dolgi.msk.ru/account/1011511134/", 1011511134)</f>
        <v>1011511134</v>
      </c>
      <c r="D73">
        <v>5636.56</v>
      </c>
    </row>
    <row r="74" spans="1:4" x14ac:dyDescent="0.3">
      <c r="A74" t="s">
        <v>36</v>
      </c>
      <c r="B74" t="s">
        <v>13</v>
      </c>
      <c r="C74" s="1">
        <f>HYPERLINK("https://cao.dolgi.msk.ru/account/1011511361/", 1011511361)</f>
        <v>1011511361</v>
      </c>
      <c r="D74">
        <v>75872.17</v>
      </c>
    </row>
    <row r="75" spans="1:4" hidden="1" x14ac:dyDescent="0.3">
      <c r="A75" t="s">
        <v>36</v>
      </c>
      <c r="B75" t="s">
        <v>14</v>
      </c>
      <c r="C75" s="1">
        <f>HYPERLINK("https://cao.dolgi.msk.ru/account/1011511177/", 1011511177)</f>
        <v>1011511177</v>
      </c>
      <c r="D75">
        <v>-31411.27</v>
      </c>
    </row>
    <row r="76" spans="1:4" x14ac:dyDescent="0.3">
      <c r="A76" t="s">
        <v>36</v>
      </c>
      <c r="B76" t="s">
        <v>16</v>
      </c>
      <c r="C76" s="1">
        <f>HYPERLINK("https://cao.dolgi.msk.ru/account/1011510967/", 1011510967)</f>
        <v>1011510967</v>
      </c>
      <c r="D76">
        <v>15983.21</v>
      </c>
    </row>
    <row r="77" spans="1:4" x14ac:dyDescent="0.3">
      <c r="A77" t="s">
        <v>36</v>
      </c>
      <c r="B77" t="s">
        <v>17</v>
      </c>
      <c r="C77" s="1">
        <f>HYPERLINK("https://cao.dolgi.msk.ru/account/1011511257/", 1011511257)</f>
        <v>1011511257</v>
      </c>
      <c r="D77">
        <v>7428.37</v>
      </c>
    </row>
    <row r="78" spans="1:4" hidden="1" x14ac:dyDescent="0.3">
      <c r="A78" t="s">
        <v>36</v>
      </c>
      <c r="B78" t="s">
        <v>18</v>
      </c>
      <c r="C78" s="1">
        <f>HYPERLINK("https://cao.dolgi.msk.ru/account/1011511206/", 1011511206)</f>
        <v>1011511206</v>
      </c>
      <c r="D78">
        <v>-24252.95</v>
      </c>
    </row>
    <row r="79" spans="1:4" x14ac:dyDescent="0.3">
      <c r="A79" t="s">
        <v>36</v>
      </c>
      <c r="B79" t="s">
        <v>19</v>
      </c>
      <c r="C79" s="1">
        <f>HYPERLINK("https://cao.dolgi.msk.ru/account/1011534117/", 1011534117)</f>
        <v>1011534117</v>
      </c>
      <c r="D79">
        <v>15119.76</v>
      </c>
    </row>
    <row r="80" spans="1:4" hidden="1" x14ac:dyDescent="0.3">
      <c r="A80" t="s">
        <v>36</v>
      </c>
      <c r="B80" t="s">
        <v>22</v>
      </c>
      <c r="C80" s="1">
        <f>HYPERLINK("https://cao.dolgi.msk.ru/account/1011511142/", 1011511142)</f>
        <v>1011511142</v>
      </c>
      <c r="D80">
        <v>0</v>
      </c>
    </row>
    <row r="81" spans="1:4" hidden="1" x14ac:dyDescent="0.3">
      <c r="A81" t="s">
        <v>36</v>
      </c>
      <c r="B81" t="s">
        <v>22</v>
      </c>
      <c r="C81" s="1">
        <f>HYPERLINK("https://cao.dolgi.msk.ru/account/1011511329/", 1011511329)</f>
        <v>1011511329</v>
      </c>
      <c r="D81">
        <v>0</v>
      </c>
    </row>
    <row r="82" spans="1:4" x14ac:dyDescent="0.3">
      <c r="A82" t="s">
        <v>36</v>
      </c>
      <c r="B82" t="s">
        <v>25</v>
      </c>
      <c r="C82" s="1">
        <f>HYPERLINK("https://cao.dolgi.msk.ru/account/1011511388/", 1011511388)</f>
        <v>1011511388</v>
      </c>
      <c r="D82">
        <v>6597.21</v>
      </c>
    </row>
    <row r="83" spans="1:4" x14ac:dyDescent="0.3">
      <c r="A83" t="s">
        <v>36</v>
      </c>
      <c r="B83" t="s">
        <v>37</v>
      </c>
      <c r="C83" s="1">
        <f>HYPERLINK("https://cao.dolgi.msk.ru/account/1011511353/", 1011511353)</f>
        <v>1011511353</v>
      </c>
      <c r="D83">
        <v>3011.86</v>
      </c>
    </row>
    <row r="84" spans="1:4" hidden="1" x14ac:dyDescent="0.3">
      <c r="A84" t="s">
        <v>36</v>
      </c>
      <c r="B84" t="s">
        <v>26</v>
      </c>
      <c r="C84" s="1">
        <f>HYPERLINK("https://cao.dolgi.msk.ru/account/1011511337/", 1011511337)</f>
        <v>1011511337</v>
      </c>
      <c r="D84">
        <v>0</v>
      </c>
    </row>
    <row r="85" spans="1:4" hidden="1" x14ac:dyDescent="0.3">
      <c r="A85" t="s">
        <v>36</v>
      </c>
      <c r="B85" t="s">
        <v>29</v>
      </c>
      <c r="C85" s="1">
        <f>HYPERLINK("https://cao.dolgi.msk.ru/account/1011511097/", 1011511097)</f>
        <v>1011511097</v>
      </c>
      <c r="D85">
        <v>0</v>
      </c>
    </row>
    <row r="86" spans="1:4" hidden="1" x14ac:dyDescent="0.3">
      <c r="A86" t="s">
        <v>36</v>
      </c>
      <c r="B86" t="s">
        <v>38</v>
      </c>
      <c r="C86" s="1">
        <f>HYPERLINK("https://cao.dolgi.msk.ru/account/1011511118/", 1011511118)</f>
        <v>1011511118</v>
      </c>
      <c r="D86">
        <v>0</v>
      </c>
    </row>
    <row r="87" spans="1:4" hidden="1" x14ac:dyDescent="0.3">
      <c r="A87" t="s">
        <v>36</v>
      </c>
      <c r="B87" t="s">
        <v>38</v>
      </c>
      <c r="C87" s="1">
        <f>HYPERLINK("https://cao.dolgi.msk.ru/account/1011511265/", 1011511265)</f>
        <v>1011511265</v>
      </c>
      <c r="D87">
        <v>0</v>
      </c>
    </row>
    <row r="88" spans="1:4" hidden="1" x14ac:dyDescent="0.3">
      <c r="A88" t="s">
        <v>36</v>
      </c>
      <c r="B88" t="s">
        <v>38</v>
      </c>
      <c r="C88" s="1">
        <f>HYPERLINK("https://cao.dolgi.msk.ru/account/1011511273/", 1011511273)</f>
        <v>1011511273</v>
      </c>
      <c r="D88">
        <v>0</v>
      </c>
    </row>
    <row r="89" spans="1:4" hidden="1" x14ac:dyDescent="0.3">
      <c r="A89" t="s">
        <v>36</v>
      </c>
      <c r="B89" t="s">
        <v>39</v>
      </c>
      <c r="C89" s="1">
        <f>HYPERLINK("https://cao.dolgi.msk.ru/account/1011511345/", 1011511345)</f>
        <v>1011511345</v>
      </c>
      <c r="D89">
        <v>0</v>
      </c>
    </row>
    <row r="90" spans="1:4" hidden="1" x14ac:dyDescent="0.3">
      <c r="A90" t="s">
        <v>36</v>
      </c>
      <c r="B90" t="s">
        <v>40</v>
      </c>
      <c r="C90" s="1">
        <f>HYPERLINK("https://cao.dolgi.msk.ru/account/1011511126/", 1011511126)</f>
        <v>1011511126</v>
      </c>
      <c r="D90">
        <v>-8176.03</v>
      </c>
    </row>
    <row r="91" spans="1:4" hidden="1" x14ac:dyDescent="0.3">
      <c r="A91" t="s">
        <v>36</v>
      </c>
      <c r="B91" t="s">
        <v>41</v>
      </c>
      <c r="C91" s="1">
        <f>HYPERLINK("https://cao.dolgi.msk.ru/account/1011511214/", 1011511214)</f>
        <v>1011511214</v>
      </c>
      <c r="D91">
        <v>0</v>
      </c>
    </row>
    <row r="92" spans="1:4" x14ac:dyDescent="0.3">
      <c r="A92" t="s">
        <v>42</v>
      </c>
      <c r="B92" t="s">
        <v>6</v>
      </c>
      <c r="C92" s="1">
        <f>HYPERLINK("https://cao.dolgi.msk.ru/account/1011061903/", 1011061903)</f>
        <v>1011061903</v>
      </c>
      <c r="D92">
        <v>20380.72</v>
      </c>
    </row>
    <row r="93" spans="1:4" hidden="1" x14ac:dyDescent="0.3">
      <c r="A93" t="s">
        <v>42</v>
      </c>
      <c r="B93" t="s">
        <v>7</v>
      </c>
      <c r="C93" s="1">
        <f>HYPERLINK("https://cao.dolgi.msk.ru/account/1011061882/", 1011061882)</f>
        <v>1011061882</v>
      </c>
      <c r="D93">
        <v>0</v>
      </c>
    </row>
    <row r="94" spans="1:4" hidden="1" x14ac:dyDescent="0.3">
      <c r="A94" t="s">
        <v>43</v>
      </c>
      <c r="B94" t="s">
        <v>8</v>
      </c>
      <c r="C94" s="1">
        <f>HYPERLINK("https://cao.dolgi.msk.ru/account/1011507901/", 1011507901)</f>
        <v>1011507901</v>
      </c>
      <c r="D94">
        <v>-18168.5</v>
      </c>
    </row>
    <row r="95" spans="1:4" hidden="1" x14ac:dyDescent="0.3">
      <c r="A95" t="s">
        <v>43</v>
      </c>
      <c r="B95" t="s">
        <v>31</v>
      </c>
      <c r="C95" s="1">
        <f>HYPERLINK("https://cao.dolgi.msk.ru/account/1011385713/", 1011385713)</f>
        <v>1011385713</v>
      </c>
      <c r="D95">
        <v>-230</v>
      </c>
    </row>
    <row r="96" spans="1:4" hidden="1" x14ac:dyDescent="0.3">
      <c r="A96" t="s">
        <v>43</v>
      </c>
      <c r="B96" t="s">
        <v>9</v>
      </c>
      <c r="C96" s="1">
        <f>HYPERLINK("https://cao.dolgi.msk.ru/account/1011385895/", 1011385895)</f>
        <v>1011385895</v>
      </c>
      <c r="D96">
        <v>-563.96</v>
      </c>
    </row>
    <row r="97" spans="1:4" hidden="1" x14ac:dyDescent="0.3">
      <c r="A97" t="s">
        <v>43</v>
      </c>
      <c r="B97" t="s">
        <v>10</v>
      </c>
      <c r="C97" s="1">
        <f>HYPERLINK("https://cao.dolgi.msk.ru/account/1011385844/", 1011385844)</f>
        <v>1011385844</v>
      </c>
      <c r="D97">
        <v>0</v>
      </c>
    </row>
    <row r="98" spans="1:4" hidden="1" x14ac:dyDescent="0.3">
      <c r="A98" t="s">
        <v>43</v>
      </c>
      <c r="B98" t="s">
        <v>11</v>
      </c>
      <c r="C98" s="1">
        <f>HYPERLINK("https://cao.dolgi.msk.ru/account/1011385801/", 1011385801)</f>
        <v>1011385801</v>
      </c>
      <c r="D98">
        <v>0</v>
      </c>
    </row>
    <row r="99" spans="1:4" hidden="1" x14ac:dyDescent="0.3">
      <c r="A99" t="s">
        <v>43</v>
      </c>
      <c r="B99" t="s">
        <v>12</v>
      </c>
      <c r="C99" s="1">
        <f>HYPERLINK("https://cao.dolgi.msk.ru/account/1011385879/", 1011385879)</f>
        <v>1011385879</v>
      </c>
      <c r="D99">
        <v>0</v>
      </c>
    </row>
    <row r="100" spans="1:4" hidden="1" x14ac:dyDescent="0.3">
      <c r="A100" t="s">
        <v>43</v>
      </c>
      <c r="B100" t="s">
        <v>23</v>
      </c>
      <c r="C100" s="1">
        <f>HYPERLINK("https://cao.dolgi.msk.ru/account/1011385748/", 1011385748)</f>
        <v>1011385748</v>
      </c>
      <c r="D100">
        <v>0</v>
      </c>
    </row>
    <row r="101" spans="1:4" hidden="1" x14ac:dyDescent="0.3">
      <c r="A101" t="s">
        <v>43</v>
      </c>
      <c r="B101" t="s">
        <v>23</v>
      </c>
      <c r="C101" s="1">
        <f>HYPERLINK("https://cao.dolgi.msk.ru/account/1011385756/", 1011385756)</f>
        <v>1011385756</v>
      </c>
      <c r="D101">
        <v>0</v>
      </c>
    </row>
    <row r="102" spans="1:4" hidden="1" x14ac:dyDescent="0.3">
      <c r="A102" t="s">
        <v>43</v>
      </c>
      <c r="B102" t="s">
        <v>23</v>
      </c>
      <c r="C102" s="1">
        <f>HYPERLINK("https://cao.dolgi.msk.ru/account/1011385772/", 1011385772)</f>
        <v>1011385772</v>
      </c>
      <c r="D102">
        <v>0</v>
      </c>
    </row>
    <row r="103" spans="1:4" hidden="1" x14ac:dyDescent="0.3">
      <c r="A103" t="s">
        <v>43</v>
      </c>
      <c r="B103" t="s">
        <v>23</v>
      </c>
      <c r="C103" s="1">
        <f>HYPERLINK("https://cao.dolgi.msk.ru/account/1011385828/", 1011385828)</f>
        <v>1011385828</v>
      </c>
      <c r="D103">
        <v>-5260.11</v>
      </c>
    </row>
    <row r="104" spans="1:4" hidden="1" x14ac:dyDescent="0.3">
      <c r="A104" t="s">
        <v>43</v>
      </c>
      <c r="B104" t="s">
        <v>23</v>
      </c>
      <c r="C104" s="1">
        <f>HYPERLINK("https://cao.dolgi.msk.ru/account/1011385852/", 1011385852)</f>
        <v>1011385852</v>
      </c>
      <c r="D104">
        <v>0</v>
      </c>
    </row>
    <row r="105" spans="1:4" hidden="1" x14ac:dyDescent="0.3">
      <c r="A105" t="s">
        <v>43</v>
      </c>
      <c r="B105" t="s">
        <v>23</v>
      </c>
      <c r="C105" s="1">
        <f>HYPERLINK("https://cao.dolgi.msk.ru/account/1011385887/", 1011385887)</f>
        <v>1011385887</v>
      </c>
      <c r="D105">
        <v>-5248.68</v>
      </c>
    </row>
    <row r="106" spans="1:4" hidden="1" x14ac:dyDescent="0.3">
      <c r="A106" t="s">
        <v>43</v>
      </c>
      <c r="B106" t="s">
        <v>13</v>
      </c>
      <c r="C106" s="1">
        <f>HYPERLINK("https://cao.dolgi.msk.ru/account/1011385764/", 1011385764)</f>
        <v>1011385764</v>
      </c>
      <c r="D106">
        <v>0</v>
      </c>
    </row>
    <row r="107" spans="1:4" x14ac:dyDescent="0.3">
      <c r="A107" t="s">
        <v>43</v>
      </c>
      <c r="B107" t="s">
        <v>14</v>
      </c>
      <c r="C107" s="1">
        <f>HYPERLINK("https://cao.dolgi.msk.ru/account/1011385799/", 1011385799)</f>
        <v>1011385799</v>
      </c>
      <c r="D107">
        <v>18410.419999999998</v>
      </c>
    </row>
    <row r="108" spans="1:4" hidden="1" x14ac:dyDescent="0.3">
      <c r="A108" t="s">
        <v>43</v>
      </c>
      <c r="B108" t="s">
        <v>16</v>
      </c>
      <c r="C108" s="1">
        <f>HYPERLINK("https://cao.dolgi.msk.ru/account/1011385705/", 1011385705)</f>
        <v>1011385705</v>
      </c>
      <c r="D108">
        <v>-174.81</v>
      </c>
    </row>
    <row r="109" spans="1:4" hidden="1" x14ac:dyDescent="0.3">
      <c r="A109" t="s">
        <v>43</v>
      </c>
      <c r="B109" t="s">
        <v>17</v>
      </c>
      <c r="C109" s="1">
        <f>HYPERLINK("https://cao.dolgi.msk.ru/account/1011385721/", 1011385721)</f>
        <v>1011385721</v>
      </c>
      <c r="D109">
        <v>0</v>
      </c>
    </row>
    <row r="110" spans="1:4" x14ac:dyDescent="0.3">
      <c r="A110" t="s">
        <v>43</v>
      </c>
      <c r="B110" t="s">
        <v>18</v>
      </c>
      <c r="C110" s="1">
        <f>HYPERLINK("https://cao.dolgi.msk.ru/account/1011385692/", 1011385692)</f>
        <v>1011385692</v>
      </c>
      <c r="D110">
        <v>301735.03999999998</v>
      </c>
    </row>
    <row r="111" spans="1:4" hidden="1" x14ac:dyDescent="0.3">
      <c r="A111" t="s">
        <v>43</v>
      </c>
      <c r="B111" t="s">
        <v>19</v>
      </c>
      <c r="C111" s="1">
        <f>HYPERLINK("https://cao.dolgi.msk.ru/account/1011385684/", 1011385684)</f>
        <v>1011385684</v>
      </c>
      <c r="D111">
        <v>-23962.32</v>
      </c>
    </row>
    <row r="112" spans="1:4" x14ac:dyDescent="0.3">
      <c r="A112" t="s">
        <v>44</v>
      </c>
      <c r="B112" t="s">
        <v>11</v>
      </c>
      <c r="C112" s="1">
        <f>HYPERLINK("https://cao.dolgi.msk.ru/account/1010015577/", 1010015577)</f>
        <v>1010015577</v>
      </c>
      <c r="D112">
        <v>10043.36</v>
      </c>
    </row>
    <row r="113" spans="1:4" hidden="1" x14ac:dyDescent="0.3">
      <c r="A113" t="s">
        <v>45</v>
      </c>
      <c r="B113" t="s">
        <v>16</v>
      </c>
      <c r="C113" s="1">
        <f>HYPERLINK("https://cao.dolgi.msk.ru/account/1011496085/", 1011496085)</f>
        <v>1011496085</v>
      </c>
      <c r="D113">
        <v>0</v>
      </c>
    </row>
    <row r="114" spans="1:4" hidden="1" x14ac:dyDescent="0.3">
      <c r="A114" t="s">
        <v>45</v>
      </c>
      <c r="B114" t="s">
        <v>17</v>
      </c>
      <c r="C114" s="1">
        <f>HYPERLINK("https://cao.dolgi.msk.ru/account/1011496114/", 1011496114)</f>
        <v>1011496114</v>
      </c>
      <c r="D114">
        <v>0</v>
      </c>
    </row>
    <row r="115" spans="1:4" hidden="1" x14ac:dyDescent="0.3">
      <c r="A115" t="s">
        <v>45</v>
      </c>
      <c r="B115" t="s">
        <v>25</v>
      </c>
      <c r="C115" s="1">
        <f>HYPERLINK("https://cao.dolgi.msk.ru/account/1011496106/", 1011496106)</f>
        <v>1011496106</v>
      </c>
      <c r="D115">
        <v>0</v>
      </c>
    </row>
    <row r="116" spans="1:4" hidden="1" x14ac:dyDescent="0.3">
      <c r="A116" t="s">
        <v>45</v>
      </c>
      <c r="B116" t="s">
        <v>26</v>
      </c>
      <c r="C116" s="1">
        <f>HYPERLINK("https://cao.dolgi.msk.ru/account/1011496093/", 1011496093)</f>
        <v>1011496093</v>
      </c>
      <c r="D116">
        <v>0</v>
      </c>
    </row>
    <row r="117" spans="1:4" hidden="1" x14ac:dyDescent="0.3">
      <c r="A117" t="s">
        <v>45</v>
      </c>
      <c r="B117" t="s">
        <v>27</v>
      </c>
      <c r="C117" s="1">
        <f>HYPERLINK("https://cao.dolgi.msk.ru/account/1011496077/", 1011496077)</f>
        <v>1011496077</v>
      </c>
      <c r="D117">
        <v>0</v>
      </c>
    </row>
    <row r="118" spans="1:4" hidden="1" x14ac:dyDescent="0.3">
      <c r="A118" t="s">
        <v>45</v>
      </c>
      <c r="B118" t="s">
        <v>29</v>
      </c>
      <c r="C118" s="1">
        <f>HYPERLINK("https://cao.dolgi.msk.ru/account/1011496069/", 1011496069)</f>
        <v>1011496069</v>
      </c>
      <c r="D118">
        <v>0</v>
      </c>
    </row>
    <row r="119" spans="1:4" hidden="1" x14ac:dyDescent="0.3">
      <c r="A119" t="s">
        <v>46</v>
      </c>
      <c r="B119" t="s">
        <v>13</v>
      </c>
      <c r="C119" s="1">
        <f>HYPERLINK("https://cao.dolgi.msk.ru/account/1011496149/", 1011496149)</f>
        <v>1011496149</v>
      </c>
      <c r="D119">
        <v>0</v>
      </c>
    </row>
    <row r="120" spans="1:4" hidden="1" x14ac:dyDescent="0.3">
      <c r="A120" t="s">
        <v>46</v>
      </c>
      <c r="B120" t="s">
        <v>14</v>
      </c>
      <c r="C120" s="1">
        <f>HYPERLINK("https://cao.dolgi.msk.ru/account/1011496122/", 1011496122)</f>
        <v>1011496122</v>
      </c>
      <c r="D120">
        <v>0</v>
      </c>
    </row>
    <row r="121" spans="1:4" hidden="1" x14ac:dyDescent="0.3">
      <c r="A121" t="s">
        <v>47</v>
      </c>
      <c r="B121" t="s">
        <v>35</v>
      </c>
      <c r="C121" s="1">
        <f>HYPERLINK("https://cao.dolgi.msk.ru/account/1011385991/", 1011385991)</f>
        <v>1011385991</v>
      </c>
      <c r="D121">
        <v>0</v>
      </c>
    </row>
    <row r="122" spans="1:4" hidden="1" x14ac:dyDescent="0.3">
      <c r="A122" t="s">
        <v>47</v>
      </c>
      <c r="B122" t="s">
        <v>8</v>
      </c>
      <c r="C122" s="1">
        <f>HYPERLINK("https://cao.dolgi.msk.ru/account/1011386089/", 1011386089)</f>
        <v>1011386089</v>
      </c>
      <c r="D122">
        <v>-3638.1</v>
      </c>
    </row>
    <row r="123" spans="1:4" hidden="1" x14ac:dyDescent="0.3">
      <c r="A123" t="s">
        <v>47</v>
      </c>
      <c r="B123" t="s">
        <v>31</v>
      </c>
      <c r="C123" s="1">
        <f>HYPERLINK("https://cao.dolgi.msk.ru/account/1011385924/", 1011385924)</f>
        <v>1011385924</v>
      </c>
      <c r="D123">
        <v>0</v>
      </c>
    </row>
    <row r="124" spans="1:4" hidden="1" x14ac:dyDescent="0.3">
      <c r="A124" t="s">
        <v>47</v>
      </c>
      <c r="B124" t="s">
        <v>9</v>
      </c>
      <c r="C124" s="1">
        <f>HYPERLINK("https://cao.dolgi.msk.ru/account/1011385975/", 1011385975)</f>
        <v>1011385975</v>
      </c>
      <c r="D124">
        <v>0</v>
      </c>
    </row>
    <row r="125" spans="1:4" hidden="1" x14ac:dyDescent="0.3">
      <c r="A125" t="s">
        <v>47</v>
      </c>
      <c r="B125" t="s">
        <v>10</v>
      </c>
      <c r="C125" s="1">
        <f>HYPERLINK("https://cao.dolgi.msk.ru/account/1011385959/", 1011385959)</f>
        <v>1011385959</v>
      </c>
      <c r="D125">
        <v>-12958.89</v>
      </c>
    </row>
    <row r="126" spans="1:4" hidden="1" x14ac:dyDescent="0.3">
      <c r="A126" t="s">
        <v>47</v>
      </c>
      <c r="B126" t="s">
        <v>11</v>
      </c>
      <c r="C126" s="1">
        <f>HYPERLINK("https://cao.dolgi.msk.ru/account/1011385983/", 1011385983)</f>
        <v>1011385983</v>
      </c>
      <c r="D126">
        <v>-699.21</v>
      </c>
    </row>
    <row r="127" spans="1:4" hidden="1" x14ac:dyDescent="0.3">
      <c r="A127" t="s">
        <v>47</v>
      </c>
      <c r="B127" t="s">
        <v>12</v>
      </c>
      <c r="C127" s="1">
        <f>HYPERLINK("https://cao.dolgi.msk.ru/account/1011385932/", 1011385932)</f>
        <v>1011385932</v>
      </c>
      <c r="D127">
        <v>-18414.28</v>
      </c>
    </row>
    <row r="128" spans="1:4" x14ac:dyDescent="0.3">
      <c r="A128" t="s">
        <v>47</v>
      </c>
      <c r="B128" t="s">
        <v>23</v>
      </c>
      <c r="C128" s="1">
        <f>HYPERLINK("https://cao.dolgi.msk.ru/account/1011385908/", 1011385908)</f>
        <v>1011385908</v>
      </c>
      <c r="D128">
        <v>6726.58</v>
      </c>
    </row>
    <row r="129" spans="1:4" hidden="1" x14ac:dyDescent="0.3">
      <c r="A129" t="s">
        <v>47</v>
      </c>
      <c r="B129" t="s">
        <v>13</v>
      </c>
      <c r="C129" s="1">
        <f>HYPERLINK("https://cao.dolgi.msk.ru/account/1011386011/", 1011386011)</f>
        <v>1011386011</v>
      </c>
      <c r="D129">
        <v>0</v>
      </c>
    </row>
    <row r="130" spans="1:4" hidden="1" x14ac:dyDescent="0.3">
      <c r="A130" t="s">
        <v>47</v>
      </c>
      <c r="B130" t="s">
        <v>14</v>
      </c>
      <c r="C130" s="1">
        <f>HYPERLINK("https://cao.dolgi.msk.ru/account/1011386054/", 1011386054)</f>
        <v>1011386054</v>
      </c>
      <c r="D130">
        <v>-12886.91</v>
      </c>
    </row>
    <row r="131" spans="1:4" hidden="1" x14ac:dyDescent="0.3">
      <c r="A131" t="s">
        <v>47</v>
      </c>
      <c r="B131" t="s">
        <v>16</v>
      </c>
      <c r="C131" s="1">
        <f>HYPERLINK("https://cao.dolgi.msk.ru/account/1011386003/", 1011386003)</f>
        <v>1011386003</v>
      </c>
      <c r="D131">
        <v>-19302.330000000002</v>
      </c>
    </row>
    <row r="132" spans="1:4" hidden="1" x14ac:dyDescent="0.3">
      <c r="A132" t="s">
        <v>47</v>
      </c>
      <c r="B132" t="s">
        <v>17</v>
      </c>
      <c r="C132" s="1">
        <f>HYPERLINK("https://cao.dolgi.msk.ru/account/1011386046/", 1011386046)</f>
        <v>1011386046</v>
      </c>
      <c r="D132">
        <v>-2950.02</v>
      </c>
    </row>
    <row r="133" spans="1:4" hidden="1" x14ac:dyDescent="0.3">
      <c r="A133" t="s">
        <v>47</v>
      </c>
      <c r="B133" t="s">
        <v>18</v>
      </c>
      <c r="C133" s="1">
        <f>HYPERLINK("https://cao.dolgi.msk.ru/account/1011385967/", 1011385967)</f>
        <v>1011385967</v>
      </c>
      <c r="D133">
        <v>0</v>
      </c>
    </row>
    <row r="134" spans="1:4" hidden="1" x14ac:dyDescent="0.3">
      <c r="A134" t="s">
        <v>47</v>
      </c>
      <c r="B134" t="s">
        <v>19</v>
      </c>
      <c r="C134" s="1">
        <f>HYPERLINK("https://cao.dolgi.msk.ru/account/1011386062/", 1011386062)</f>
        <v>1011386062</v>
      </c>
      <c r="D134">
        <v>-22560.89</v>
      </c>
    </row>
    <row r="135" spans="1:4" x14ac:dyDescent="0.3">
      <c r="A135" t="s">
        <v>47</v>
      </c>
      <c r="B135" t="s">
        <v>20</v>
      </c>
      <c r="C135" s="1">
        <f>HYPERLINK("https://cao.dolgi.msk.ru/account/1011386038/", 1011386038)</f>
        <v>1011386038</v>
      </c>
      <c r="D135">
        <v>54424.27</v>
      </c>
    </row>
    <row r="136" spans="1:4" hidden="1" x14ac:dyDescent="0.3">
      <c r="A136" t="s">
        <v>47</v>
      </c>
      <c r="B136" t="s">
        <v>21</v>
      </c>
      <c r="C136" s="1">
        <f>HYPERLINK("https://cao.dolgi.msk.ru/account/1011385916/", 1011385916)</f>
        <v>1011385916</v>
      </c>
      <c r="D136">
        <v>-18581.88</v>
      </c>
    </row>
    <row r="137" spans="1:4" hidden="1" x14ac:dyDescent="0.3">
      <c r="A137" t="s">
        <v>48</v>
      </c>
      <c r="B137" t="s">
        <v>28</v>
      </c>
      <c r="C137" s="1">
        <f>HYPERLINK("https://cao.dolgi.msk.ru/account/1011012853/", 1011012853)</f>
        <v>1011012853</v>
      </c>
      <c r="D137">
        <v>-202.58</v>
      </c>
    </row>
    <row r="138" spans="1:4" hidden="1" x14ac:dyDescent="0.3">
      <c r="A138" t="s">
        <v>48</v>
      </c>
      <c r="B138" t="s">
        <v>35</v>
      </c>
      <c r="C138" s="1">
        <f>HYPERLINK("https://cao.dolgi.msk.ru/account/1010014451/", 1010014451)</f>
        <v>1010014451</v>
      </c>
      <c r="D138">
        <v>-3690.31</v>
      </c>
    </row>
    <row r="139" spans="1:4" hidden="1" x14ac:dyDescent="0.3">
      <c r="A139" t="s">
        <v>48</v>
      </c>
      <c r="B139" t="s">
        <v>35</v>
      </c>
      <c r="C139" s="1">
        <f>HYPERLINK("https://cao.dolgi.msk.ru/account/1010014478/", 1010014478)</f>
        <v>1010014478</v>
      </c>
      <c r="D139">
        <v>0</v>
      </c>
    </row>
    <row r="140" spans="1:4" x14ac:dyDescent="0.3">
      <c r="A140" t="s">
        <v>48</v>
      </c>
      <c r="B140" t="s">
        <v>35</v>
      </c>
      <c r="C140" s="1">
        <f>HYPERLINK("https://cao.dolgi.msk.ru/account/1010014486/", 1010014486)</f>
        <v>1010014486</v>
      </c>
      <c r="D140">
        <v>3262.84</v>
      </c>
    </row>
    <row r="141" spans="1:4" hidden="1" x14ac:dyDescent="0.3">
      <c r="A141" t="s">
        <v>48</v>
      </c>
      <c r="B141" t="s">
        <v>5</v>
      </c>
      <c r="C141" s="1">
        <f>HYPERLINK("https://cao.dolgi.msk.ru/account/1010014507/", 1010014507)</f>
        <v>1010014507</v>
      </c>
      <c r="D141">
        <v>-6863.21</v>
      </c>
    </row>
    <row r="142" spans="1:4" hidden="1" x14ac:dyDescent="0.3">
      <c r="A142" t="s">
        <v>48</v>
      </c>
      <c r="B142" t="s">
        <v>7</v>
      </c>
      <c r="C142" s="1">
        <f>HYPERLINK("https://cao.dolgi.msk.ru/account/1010014515/", 1010014515)</f>
        <v>1010014515</v>
      </c>
      <c r="D142">
        <v>0</v>
      </c>
    </row>
    <row r="143" spans="1:4" hidden="1" x14ac:dyDescent="0.3">
      <c r="A143" t="s">
        <v>48</v>
      </c>
      <c r="B143" t="s">
        <v>8</v>
      </c>
      <c r="C143" s="1">
        <f>HYPERLINK("https://cao.dolgi.msk.ru/account/1010014523/", 1010014523)</f>
        <v>1010014523</v>
      </c>
      <c r="D143">
        <v>-11038.46</v>
      </c>
    </row>
    <row r="144" spans="1:4" x14ac:dyDescent="0.3">
      <c r="A144" t="s">
        <v>48</v>
      </c>
      <c r="B144" t="s">
        <v>31</v>
      </c>
      <c r="C144" s="1">
        <f>HYPERLINK("https://cao.dolgi.msk.ru/account/1010014531/", 1010014531)</f>
        <v>1010014531</v>
      </c>
      <c r="D144">
        <v>8018.23</v>
      </c>
    </row>
    <row r="145" spans="1:4" hidden="1" x14ac:dyDescent="0.3">
      <c r="A145" t="s">
        <v>48</v>
      </c>
      <c r="B145" t="s">
        <v>9</v>
      </c>
      <c r="C145" s="1">
        <f>HYPERLINK("https://cao.dolgi.msk.ru/account/1010014558/", 1010014558)</f>
        <v>1010014558</v>
      </c>
      <c r="D145">
        <v>-294.95</v>
      </c>
    </row>
    <row r="146" spans="1:4" x14ac:dyDescent="0.3">
      <c r="A146" t="s">
        <v>48</v>
      </c>
      <c r="B146" t="s">
        <v>10</v>
      </c>
      <c r="C146" s="1">
        <f>HYPERLINK("https://cao.dolgi.msk.ru/account/1010014566/", 1010014566)</f>
        <v>1010014566</v>
      </c>
      <c r="D146">
        <v>23417.31</v>
      </c>
    </row>
    <row r="147" spans="1:4" hidden="1" x14ac:dyDescent="0.3">
      <c r="A147" t="s">
        <v>48</v>
      </c>
      <c r="B147" t="s">
        <v>11</v>
      </c>
      <c r="C147" s="1">
        <f>HYPERLINK("https://cao.dolgi.msk.ru/account/1010014574/", 1010014574)</f>
        <v>1010014574</v>
      </c>
      <c r="D147">
        <v>0</v>
      </c>
    </row>
    <row r="148" spans="1:4" x14ac:dyDescent="0.3">
      <c r="A148" t="s">
        <v>48</v>
      </c>
      <c r="B148" t="s">
        <v>12</v>
      </c>
      <c r="C148" s="1">
        <f>HYPERLINK("https://cao.dolgi.msk.ru/account/1010014582/", 1010014582)</f>
        <v>1010014582</v>
      </c>
      <c r="D148">
        <v>22334.799999999999</v>
      </c>
    </row>
    <row r="149" spans="1:4" hidden="1" x14ac:dyDescent="0.3">
      <c r="A149" t="s">
        <v>48</v>
      </c>
      <c r="B149" t="s">
        <v>23</v>
      </c>
      <c r="C149" s="1">
        <f>HYPERLINK("https://cao.dolgi.msk.ru/account/1010014603/", 1010014603)</f>
        <v>1010014603</v>
      </c>
      <c r="D149">
        <v>-5503.61</v>
      </c>
    </row>
    <row r="150" spans="1:4" hidden="1" x14ac:dyDescent="0.3">
      <c r="A150" t="s">
        <v>48</v>
      </c>
      <c r="B150" t="s">
        <v>13</v>
      </c>
      <c r="C150" s="1">
        <f>HYPERLINK("https://cao.dolgi.msk.ru/account/1010014611/", 1010014611)</f>
        <v>1010014611</v>
      </c>
      <c r="D150">
        <v>0</v>
      </c>
    </row>
    <row r="151" spans="1:4" hidden="1" x14ac:dyDescent="0.3">
      <c r="A151" t="s">
        <v>48</v>
      </c>
      <c r="B151" t="s">
        <v>14</v>
      </c>
      <c r="C151" s="1">
        <f>HYPERLINK("https://cao.dolgi.msk.ru/account/1010014638/", 1010014638)</f>
        <v>1010014638</v>
      </c>
      <c r="D151">
        <v>-1577.34</v>
      </c>
    </row>
    <row r="152" spans="1:4" hidden="1" x14ac:dyDescent="0.3">
      <c r="A152" t="s">
        <v>48</v>
      </c>
      <c r="B152" t="s">
        <v>16</v>
      </c>
      <c r="C152" s="1">
        <f>HYPERLINK("https://cao.dolgi.msk.ru/account/1010014646/", 1010014646)</f>
        <v>1010014646</v>
      </c>
      <c r="D152">
        <v>-1048.4000000000001</v>
      </c>
    </row>
    <row r="153" spans="1:4" hidden="1" x14ac:dyDescent="0.3">
      <c r="A153" t="s">
        <v>48</v>
      </c>
      <c r="B153" t="s">
        <v>17</v>
      </c>
      <c r="C153" s="1">
        <f>HYPERLINK("https://cao.dolgi.msk.ru/account/1010014654/", 1010014654)</f>
        <v>1010014654</v>
      </c>
      <c r="D153">
        <v>0</v>
      </c>
    </row>
    <row r="154" spans="1:4" hidden="1" x14ac:dyDescent="0.3">
      <c r="A154" t="s">
        <v>48</v>
      </c>
      <c r="B154" t="s">
        <v>49</v>
      </c>
      <c r="C154" s="1">
        <f>HYPERLINK("https://cao.dolgi.msk.ru/account/1010014662/", 1010014662)</f>
        <v>1010014662</v>
      </c>
      <c r="D154">
        <v>-26677.25</v>
      </c>
    </row>
    <row r="155" spans="1:4" hidden="1" x14ac:dyDescent="0.3">
      <c r="A155" t="s">
        <v>48</v>
      </c>
      <c r="B155" t="s">
        <v>18</v>
      </c>
      <c r="C155" s="1">
        <f>HYPERLINK("https://cao.dolgi.msk.ru/account/1010014689/", 1010014689)</f>
        <v>1010014689</v>
      </c>
      <c r="D155">
        <v>0</v>
      </c>
    </row>
    <row r="156" spans="1:4" x14ac:dyDescent="0.3">
      <c r="A156" t="s">
        <v>48</v>
      </c>
      <c r="B156" t="s">
        <v>50</v>
      </c>
      <c r="C156" s="1">
        <f>HYPERLINK("https://cao.dolgi.msk.ru/account/1010014697/", 1010014697)</f>
        <v>1010014697</v>
      </c>
      <c r="D156">
        <v>1775.16</v>
      </c>
    </row>
    <row r="157" spans="1:4" hidden="1" x14ac:dyDescent="0.3">
      <c r="A157" t="s">
        <v>48</v>
      </c>
      <c r="B157" t="s">
        <v>21</v>
      </c>
      <c r="C157" s="1">
        <f>HYPERLINK("https://cao.dolgi.msk.ru/account/1010014718/", 1010014718)</f>
        <v>1010014718</v>
      </c>
      <c r="D157">
        <v>-21.33</v>
      </c>
    </row>
    <row r="158" spans="1:4" hidden="1" x14ac:dyDescent="0.3">
      <c r="A158" t="s">
        <v>48</v>
      </c>
      <c r="B158" t="s">
        <v>21</v>
      </c>
      <c r="C158" s="1">
        <f>HYPERLINK("https://cao.dolgi.msk.ru/account/1010014726/", 1010014726)</f>
        <v>1010014726</v>
      </c>
      <c r="D158">
        <v>-2850.96</v>
      </c>
    </row>
    <row r="159" spans="1:4" hidden="1" x14ac:dyDescent="0.3">
      <c r="A159" t="s">
        <v>48</v>
      </c>
      <c r="B159" t="s">
        <v>21</v>
      </c>
      <c r="C159" s="1">
        <f>HYPERLINK("https://cao.dolgi.msk.ru/account/1010014734/", 1010014734)</f>
        <v>1010014734</v>
      </c>
      <c r="D159">
        <v>-21.33</v>
      </c>
    </row>
    <row r="160" spans="1:4" x14ac:dyDescent="0.3">
      <c r="A160" t="s">
        <v>48</v>
      </c>
      <c r="B160" t="s">
        <v>22</v>
      </c>
      <c r="C160" s="1">
        <f>HYPERLINK("https://cao.dolgi.msk.ru/account/1010014742/", 1010014742)</f>
        <v>1010014742</v>
      </c>
      <c r="D160">
        <v>9058.92</v>
      </c>
    </row>
    <row r="161" spans="1:4" hidden="1" x14ac:dyDescent="0.3">
      <c r="A161" t="s">
        <v>48</v>
      </c>
      <c r="B161" t="s">
        <v>24</v>
      </c>
      <c r="C161" s="1">
        <f>HYPERLINK("https://cao.dolgi.msk.ru/account/1010014769/", 1010014769)</f>
        <v>1010014769</v>
      </c>
      <c r="D161">
        <v>-64</v>
      </c>
    </row>
    <row r="162" spans="1:4" hidden="1" x14ac:dyDescent="0.3">
      <c r="A162" t="s">
        <v>48</v>
      </c>
      <c r="B162" t="s">
        <v>25</v>
      </c>
      <c r="C162" s="1">
        <f>HYPERLINK("https://cao.dolgi.msk.ru/account/1010014777/", 1010014777)</f>
        <v>1010014777</v>
      </c>
      <c r="D162">
        <v>0</v>
      </c>
    </row>
    <row r="163" spans="1:4" hidden="1" x14ac:dyDescent="0.3">
      <c r="A163" t="s">
        <v>48</v>
      </c>
      <c r="B163" t="s">
        <v>26</v>
      </c>
      <c r="C163" s="1">
        <f>HYPERLINK("https://cao.dolgi.msk.ru/account/1010014785/", 1010014785)</f>
        <v>1010014785</v>
      </c>
      <c r="D163">
        <v>-482.14</v>
      </c>
    </row>
    <row r="164" spans="1:4" hidden="1" x14ac:dyDescent="0.3">
      <c r="A164" t="s">
        <v>48</v>
      </c>
      <c r="B164" t="s">
        <v>27</v>
      </c>
      <c r="C164" s="1">
        <f>HYPERLINK("https://cao.dolgi.msk.ru/account/1010014793/", 1010014793)</f>
        <v>1010014793</v>
      </c>
      <c r="D164">
        <v>-16931.580000000002</v>
      </c>
    </row>
    <row r="165" spans="1:4" hidden="1" x14ac:dyDescent="0.3">
      <c r="A165" t="s">
        <v>48</v>
      </c>
      <c r="B165" t="s">
        <v>29</v>
      </c>
      <c r="C165" s="1">
        <f>HYPERLINK("https://cao.dolgi.msk.ru/account/1010014814/", 1010014814)</f>
        <v>1010014814</v>
      </c>
      <c r="D165">
        <v>-104.12</v>
      </c>
    </row>
    <row r="166" spans="1:4" hidden="1" x14ac:dyDescent="0.3">
      <c r="A166" t="s">
        <v>48</v>
      </c>
      <c r="B166" t="s">
        <v>38</v>
      </c>
      <c r="C166" s="1">
        <f>HYPERLINK("https://cao.dolgi.msk.ru/account/1010014822/", 1010014822)</f>
        <v>1010014822</v>
      </c>
      <c r="D166">
        <v>-231.82</v>
      </c>
    </row>
    <row r="167" spans="1:4" hidden="1" x14ac:dyDescent="0.3">
      <c r="A167" t="s">
        <v>48</v>
      </c>
      <c r="B167" t="s">
        <v>39</v>
      </c>
      <c r="C167" s="1">
        <f>HYPERLINK("https://cao.dolgi.msk.ru/account/1010014849/", 1010014849)</f>
        <v>1010014849</v>
      </c>
      <c r="D167">
        <v>0</v>
      </c>
    </row>
    <row r="168" spans="1:4" hidden="1" x14ac:dyDescent="0.3">
      <c r="A168" t="s">
        <v>48</v>
      </c>
      <c r="B168" t="s">
        <v>40</v>
      </c>
      <c r="C168" s="1">
        <f>HYPERLINK("https://cao.dolgi.msk.ru/account/1010014857/", 1010014857)</f>
        <v>1010014857</v>
      </c>
      <c r="D168">
        <v>0</v>
      </c>
    </row>
    <row r="169" spans="1:4" hidden="1" x14ac:dyDescent="0.3">
      <c r="A169" t="s">
        <v>48</v>
      </c>
      <c r="B169" t="s">
        <v>41</v>
      </c>
      <c r="C169" s="1">
        <f>HYPERLINK("https://cao.dolgi.msk.ru/account/1010014865/", 1010014865)</f>
        <v>1010014865</v>
      </c>
      <c r="D169">
        <v>-9344.7000000000007</v>
      </c>
    </row>
    <row r="170" spans="1:4" hidden="1" x14ac:dyDescent="0.3">
      <c r="A170" t="s">
        <v>48</v>
      </c>
      <c r="B170" t="s">
        <v>51</v>
      </c>
      <c r="C170" s="1">
        <f>HYPERLINK("https://cao.dolgi.msk.ru/account/1010014873/", 1010014873)</f>
        <v>1010014873</v>
      </c>
      <c r="D170">
        <v>-343.5</v>
      </c>
    </row>
    <row r="171" spans="1:4" x14ac:dyDescent="0.3">
      <c r="A171" t="s">
        <v>48</v>
      </c>
      <c r="B171" t="s">
        <v>52</v>
      </c>
      <c r="C171" s="1">
        <f>HYPERLINK("https://cao.dolgi.msk.ru/account/1010014881/", 1010014881)</f>
        <v>1010014881</v>
      </c>
      <c r="D171">
        <v>2332.9899999999998</v>
      </c>
    </row>
    <row r="172" spans="1:4" hidden="1" x14ac:dyDescent="0.3">
      <c r="A172" t="s">
        <v>48</v>
      </c>
      <c r="B172" t="s">
        <v>53</v>
      </c>
      <c r="C172" s="1">
        <f>HYPERLINK("https://cao.dolgi.msk.ru/account/1010014902/", 1010014902)</f>
        <v>1010014902</v>
      </c>
      <c r="D172">
        <v>0</v>
      </c>
    </row>
    <row r="173" spans="1:4" hidden="1" x14ac:dyDescent="0.3">
      <c r="A173" t="s">
        <v>48</v>
      </c>
      <c r="B173" t="s">
        <v>54</v>
      </c>
      <c r="C173" s="1">
        <f>HYPERLINK("https://cao.dolgi.msk.ru/account/1010014929/", 1010014929)</f>
        <v>1010014929</v>
      </c>
      <c r="D173">
        <v>-700.87</v>
      </c>
    </row>
    <row r="174" spans="1:4" hidden="1" x14ac:dyDescent="0.3">
      <c r="A174" t="s">
        <v>48</v>
      </c>
      <c r="B174" t="s">
        <v>55</v>
      </c>
      <c r="C174" s="1">
        <f>HYPERLINK("https://cao.dolgi.msk.ru/account/1010014937/", 1010014937)</f>
        <v>1010014937</v>
      </c>
      <c r="D174">
        <v>-12088.34</v>
      </c>
    </row>
    <row r="175" spans="1:4" hidden="1" x14ac:dyDescent="0.3">
      <c r="A175" t="s">
        <v>48</v>
      </c>
      <c r="B175" t="s">
        <v>56</v>
      </c>
      <c r="C175" s="1">
        <f>HYPERLINK("https://cao.dolgi.msk.ru/account/1010014945/", 1010014945)</f>
        <v>1010014945</v>
      </c>
      <c r="D175">
        <v>-7329.48</v>
      </c>
    </row>
    <row r="176" spans="1:4" hidden="1" x14ac:dyDescent="0.3">
      <c r="A176" t="s">
        <v>57</v>
      </c>
      <c r="B176" t="s">
        <v>58</v>
      </c>
      <c r="C176" s="1">
        <f>HYPERLINK("https://cao.dolgi.msk.ru/account/1010014953/", 1010014953)</f>
        <v>1010014953</v>
      </c>
      <c r="D176">
        <v>-5584.49</v>
      </c>
    </row>
    <row r="177" spans="1:4" x14ac:dyDescent="0.3">
      <c r="A177" t="s">
        <v>57</v>
      </c>
      <c r="B177" t="s">
        <v>59</v>
      </c>
      <c r="C177" s="1">
        <f>HYPERLINK("https://cao.dolgi.msk.ru/account/1010014961/", 1010014961)</f>
        <v>1010014961</v>
      </c>
      <c r="D177">
        <v>6480.26</v>
      </c>
    </row>
    <row r="178" spans="1:4" hidden="1" x14ac:dyDescent="0.3">
      <c r="A178" t="s">
        <v>57</v>
      </c>
      <c r="B178" t="s">
        <v>60</v>
      </c>
      <c r="C178" s="1">
        <f>HYPERLINK("https://cao.dolgi.msk.ru/account/1010014996/", 1010014996)</f>
        <v>1010014996</v>
      </c>
      <c r="D178">
        <v>0</v>
      </c>
    </row>
    <row r="179" spans="1:4" hidden="1" x14ac:dyDescent="0.3">
      <c r="A179" t="s">
        <v>57</v>
      </c>
      <c r="B179" t="s">
        <v>61</v>
      </c>
      <c r="C179" s="1">
        <f>HYPERLINK("https://cao.dolgi.msk.ru/account/1010015008/", 1010015008)</f>
        <v>1010015008</v>
      </c>
      <c r="D179">
        <v>0</v>
      </c>
    </row>
    <row r="180" spans="1:4" hidden="1" x14ac:dyDescent="0.3">
      <c r="A180" t="s">
        <v>57</v>
      </c>
      <c r="B180" t="s">
        <v>62</v>
      </c>
      <c r="C180" s="1">
        <f>HYPERLINK("https://cao.dolgi.msk.ru/account/1010015016/", 1010015016)</f>
        <v>1010015016</v>
      </c>
      <c r="D180">
        <v>0</v>
      </c>
    </row>
    <row r="181" spans="1:4" hidden="1" x14ac:dyDescent="0.3">
      <c r="A181" t="s">
        <v>57</v>
      </c>
      <c r="B181" t="s">
        <v>62</v>
      </c>
      <c r="C181" s="1">
        <f>HYPERLINK("https://cao.dolgi.msk.ru/account/1010015024/", 1010015024)</f>
        <v>1010015024</v>
      </c>
      <c r="D181">
        <v>-74.67</v>
      </c>
    </row>
    <row r="182" spans="1:4" hidden="1" x14ac:dyDescent="0.3">
      <c r="A182" t="s">
        <v>57</v>
      </c>
      <c r="B182" t="s">
        <v>62</v>
      </c>
      <c r="C182" s="1">
        <f>HYPERLINK("https://cao.dolgi.msk.ru/account/1010015032/", 1010015032)</f>
        <v>1010015032</v>
      </c>
      <c r="D182">
        <v>0</v>
      </c>
    </row>
    <row r="183" spans="1:4" hidden="1" x14ac:dyDescent="0.3">
      <c r="A183" t="s">
        <v>57</v>
      </c>
      <c r="B183" t="s">
        <v>62</v>
      </c>
      <c r="C183" s="1">
        <f>HYPERLINK("https://cao.dolgi.msk.ru/account/1010015059/", 1010015059)</f>
        <v>1010015059</v>
      </c>
      <c r="D183">
        <v>-4510.33</v>
      </c>
    </row>
    <row r="184" spans="1:4" hidden="1" x14ac:dyDescent="0.3">
      <c r="A184" t="s">
        <v>57</v>
      </c>
      <c r="B184" t="s">
        <v>63</v>
      </c>
      <c r="C184" s="1">
        <f>HYPERLINK("https://cao.dolgi.msk.ru/account/1010015067/", 1010015067)</f>
        <v>1010015067</v>
      </c>
      <c r="D184">
        <v>-168.36</v>
      </c>
    </row>
    <row r="185" spans="1:4" x14ac:dyDescent="0.3">
      <c r="A185" t="s">
        <v>57</v>
      </c>
      <c r="B185" t="s">
        <v>64</v>
      </c>
      <c r="C185" s="1">
        <f>HYPERLINK("https://cao.dolgi.msk.ru/account/1010015075/", 1010015075)</f>
        <v>1010015075</v>
      </c>
      <c r="D185">
        <v>6.29</v>
      </c>
    </row>
    <row r="186" spans="1:4" hidden="1" x14ac:dyDescent="0.3">
      <c r="A186" t="s">
        <v>57</v>
      </c>
      <c r="B186" t="s">
        <v>64</v>
      </c>
      <c r="C186" s="1">
        <f>HYPERLINK("https://cao.dolgi.msk.ru/account/1010015083/", 1010015083)</f>
        <v>1010015083</v>
      </c>
      <c r="D186">
        <v>-25337.58</v>
      </c>
    </row>
    <row r="187" spans="1:4" x14ac:dyDescent="0.3">
      <c r="A187" t="s">
        <v>57</v>
      </c>
      <c r="B187" t="s">
        <v>64</v>
      </c>
      <c r="C187" s="1">
        <f>HYPERLINK("https://cao.dolgi.msk.ru/account/1010015091/", 1010015091)</f>
        <v>1010015091</v>
      </c>
      <c r="D187">
        <v>186318.91</v>
      </c>
    </row>
    <row r="188" spans="1:4" hidden="1" x14ac:dyDescent="0.3">
      <c r="A188" t="s">
        <v>57</v>
      </c>
      <c r="B188" t="s">
        <v>65</v>
      </c>
      <c r="C188" s="1">
        <f>HYPERLINK("https://cao.dolgi.msk.ru/account/1010015104/", 1010015104)</f>
        <v>1010015104</v>
      </c>
      <c r="D188">
        <v>-209.54</v>
      </c>
    </row>
    <row r="189" spans="1:4" hidden="1" x14ac:dyDescent="0.3">
      <c r="A189" t="s">
        <v>57</v>
      </c>
      <c r="B189" t="s">
        <v>66</v>
      </c>
      <c r="C189" s="1">
        <f>HYPERLINK("https://cao.dolgi.msk.ru/account/1010015112/", 1010015112)</f>
        <v>1010015112</v>
      </c>
      <c r="D189">
        <v>0</v>
      </c>
    </row>
    <row r="190" spans="1:4" hidden="1" x14ac:dyDescent="0.3">
      <c r="A190" t="s">
        <v>57</v>
      </c>
      <c r="B190" t="s">
        <v>67</v>
      </c>
      <c r="C190" s="1">
        <f>HYPERLINK("https://cao.dolgi.msk.ru/account/1010015139/", 1010015139)</f>
        <v>1010015139</v>
      </c>
      <c r="D190">
        <v>-26.04</v>
      </c>
    </row>
    <row r="191" spans="1:4" x14ac:dyDescent="0.3">
      <c r="A191" t="s">
        <v>57</v>
      </c>
      <c r="B191" t="s">
        <v>68</v>
      </c>
      <c r="C191" s="1">
        <f>HYPERLINK("https://cao.dolgi.msk.ru/account/1010015147/", 1010015147)</f>
        <v>1010015147</v>
      </c>
      <c r="D191">
        <v>10151.41</v>
      </c>
    </row>
    <row r="192" spans="1:4" hidden="1" x14ac:dyDescent="0.3">
      <c r="A192" t="s">
        <v>57</v>
      </c>
      <c r="B192" t="s">
        <v>69</v>
      </c>
      <c r="C192" s="1">
        <f>HYPERLINK("https://cao.dolgi.msk.ru/account/1010015163/", 1010015163)</f>
        <v>1010015163</v>
      </c>
      <c r="D192">
        <v>-6625.41</v>
      </c>
    </row>
    <row r="193" spans="1:4" hidden="1" x14ac:dyDescent="0.3">
      <c r="A193" t="s">
        <v>57</v>
      </c>
      <c r="B193" t="s">
        <v>70</v>
      </c>
      <c r="C193" s="1">
        <f>HYPERLINK("https://cao.dolgi.msk.ru/account/1010015198/", 1010015198)</f>
        <v>1010015198</v>
      </c>
      <c r="D193">
        <v>-189.01</v>
      </c>
    </row>
    <row r="194" spans="1:4" hidden="1" x14ac:dyDescent="0.3">
      <c r="A194" t="s">
        <v>57</v>
      </c>
      <c r="B194" t="s">
        <v>71</v>
      </c>
      <c r="C194" s="1">
        <f>HYPERLINK("https://cao.dolgi.msk.ru/account/1011129701/", 1011129701)</f>
        <v>1011129701</v>
      </c>
      <c r="D194">
        <v>0</v>
      </c>
    </row>
    <row r="195" spans="1:4" hidden="1" x14ac:dyDescent="0.3">
      <c r="A195" t="s">
        <v>57</v>
      </c>
      <c r="B195" t="s">
        <v>72</v>
      </c>
      <c r="C195" s="1">
        <f>HYPERLINK("https://cao.dolgi.msk.ru/account/1010015235/", 1010015235)</f>
        <v>1010015235</v>
      </c>
      <c r="D195">
        <v>-64</v>
      </c>
    </row>
    <row r="196" spans="1:4" hidden="1" x14ac:dyDescent="0.3">
      <c r="A196" t="s">
        <v>57</v>
      </c>
      <c r="B196" t="s">
        <v>73</v>
      </c>
      <c r="C196" s="1">
        <f>HYPERLINK("https://cao.dolgi.msk.ru/account/1010015243/", 1010015243)</f>
        <v>1010015243</v>
      </c>
      <c r="D196">
        <v>-31.78</v>
      </c>
    </row>
    <row r="197" spans="1:4" hidden="1" x14ac:dyDescent="0.3">
      <c r="A197" t="s">
        <v>57</v>
      </c>
      <c r="B197" t="s">
        <v>74</v>
      </c>
      <c r="C197" s="1">
        <f>HYPERLINK("https://cao.dolgi.msk.ru/account/1010015251/", 1010015251)</f>
        <v>1010015251</v>
      </c>
      <c r="D197">
        <v>-64</v>
      </c>
    </row>
    <row r="198" spans="1:4" hidden="1" x14ac:dyDescent="0.3">
      <c r="A198" t="s">
        <v>57</v>
      </c>
      <c r="B198" t="s">
        <v>75</v>
      </c>
      <c r="C198" s="1">
        <f>HYPERLINK("https://cao.dolgi.msk.ru/account/1010015278/", 1010015278)</f>
        <v>1010015278</v>
      </c>
      <c r="D198">
        <v>-64</v>
      </c>
    </row>
    <row r="199" spans="1:4" hidden="1" x14ac:dyDescent="0.3">
      <c r="A199" t="s">
        <v>57</v>
      </c>
      <c r="B199" t="s">
        <v>76</v>
      </c>
      <c r="C199" s="1">
        <f>HYPERLINK("https://cao.dolgi.msk.ru/account/1010015286/", 1010015286)</f>
        <v>1010015286</v>
      </c>
      <c r="D199">
        <v>-80.63</v>
      </c>
    </row>
    <row r="200" spans="1:4" hidden="1" x14ac:dyDescent="0.3">
      <c r="A200" t="s">
        <v>57</v>
      </c>
      <c r="B200" t="s">
        <v>77</v>
      </c>
      <c r="C200" s="1">
        <f>HYPERLINK("https://cao.dolgi.msk.ru/account/1010015294/", 1010015294)</f>
        <v>1010015294</v>
      </c>
      <c r="D200">
        <v>-7736.13</v>
      </c>
    </row>
    <row r="201" spans="1:4" hidden="1" x14ac:dyDescent="0.3">
      <c r="A201" t="s">
        <v>57</v>
      </c>
      <c r="B201" t="s">
        <v>78</v>
      </c>
      <c r="C201" s="1">
        <f>HYPERLINK("https://cao.dolgi.msk.ru/account/1010015307/", 1010015307)</f>
        <v>1010015307</v>
      </c>
      <c r="D201">
        <v>-420.7</v>
      </c>
    </row>
    <row r="202" spans="1:4" hidden="1" x14ac:dyDescent="0.3">
      <c r="A202" t="s">
        <v>57</v>
      </c>
      <c r="B202" t="s">
        <v>79</v>
      </c>
      <c r="C202" s="1">
        <f>HYPERLINK("https://cao.dolgi.msk.ru/account/1010015315/", 1010015315)</f>
        <v>1010015315</v>
      </c>
      <c r="D202">
        <v>-3632.11</v>
      </c>
    </row>
    <row r="203" spans="1:4" hidden="1" x14ac:dyDescent="0.3">
      <c r="A203" t="s">
        <v>57</v>
      </c>
      <c r="B203" t="s">
        <v>80</v>
      </c>
      <c r="C203" s="1">
        <f>HYPERLINK("https://cao.dolgi.msk.ru/account/1010015323/", 1010015323)</f>
        <v>1010015323</v>
      </c>
      <c r="D203">
        <v>-81.430000000000007</v>
      </c>
    </row>
    <row r="204" spans="1:4" hidden="1" x14ac:dyDescent="0.3">
      <c r="A204" t="s">
        <v>57</v>
      </c>
      <c r="B204" t="s">
        <v>81</v>
      </c>
      <c r="C204" s="1">
        <f>HYPERLINK("https://cao.dolgi.msk.ru/account/1010015331/", 1010015331)</f>
        <v>1010015331</v>
      </c>
      <c r="D204">
        <v>-6228.42</v>
      </c>
    </row>
    <row r="205" spans="1:4" hidden="1" x14ac:dyDescent="0.3">
      <c r="A205" t="s">
        <v>57</v>
      </c>
      <c r="B205" t="s">
        <v>82</v>
      </c>
      <c r="C205" s="1">
        <f>HYPERLINK("https://cao.dolgi.msk.ru/account/1010015366/", 1010015366)</f>
        <v>1010015366</v>
      </c>
      <c r="D205">
        <v>0</v>
      </c>
    </row>
    <row r="206" spans="1:4" hidden="1" x14ac:dyDescent="0.3">
      <c r="A206" t="s">
        <v>57</v>
      </c>
      <c r="B206" t="s">
        <v>83</v>
      </c>
      <c r="C206" s="1">
        <f>HYPERLINK("https://cao.dolgi.msk.ru/account/1010015374/", 1010015374)</f>
        <v>1010015374</v>
      </c>
      <c r="D206">
        <v>-64</v>
      </c>
    </row>
    <row r="207" spans="1:4" hidden="1" x14ac:dyDescent="0.3">
      <c r="A207" t="s">
        <v>57</v>
      </c>
      <c r="B207" t="s">
        <v>84</v>
      </c>
      <c r="C207" s="1">
        <f>HYPERLINK("https://cao.dolgi.msk.ru/account/1010015403/", 1010015403)</f>
        <v>1010015403</v>
      </c>
      <c r="D207">
        <v>-64</v>
      </c>
    </row>
    <row r="208" spans="1:4" hidden="1" x14ac:dyDescent="0.3">
      <c r="A208" t="s">
        <v>57</v>
      </c>
      <c r="B208" t="s">
        <v>85</v>
      </c>
      <c r="C208" s="1">
        <f>HYPERLINK("https://cao.dolgi.msk.ru/account/1010015382/", 1010015382)</f>
        <v>1010015382</v>
      </c>
      <c r="D208">
        <v>-35.200000000000003</v>
      </c>
    </row>
    <row r="209" spans="1:4" x14ac:dyDescent="0.3">
      <c r="A209" t="s">
        <v>86</v>
      </c>
      <c r="B209" t="s">
        <v>6</v>
      </c>
      <c r="C209" s="1">
        <f>HYPERLINK("https://cao.dolgi.msk.ru/account/1010361322/", 1010361322)</f>
        <v>1010361322</v>
      </c>
      <c r="D209">
        <v>8742.4699999999993</v>
      </c>
    </row>
    <row r="210" spans="1:4" hidden="1" x14ac:dyDescent="0.3">
      <c r="A210" t="s">
        <v>86</v>
      </c>
      <c r="B210" t="s">
        <v>28</v>
      </c>
      <c r="C210" s="1">
        <f>HYPERLINK("https://cao.dolgi.msk.ru/account/1010361349/", 1010361349)</f>
        <v>1010361349</v>
      </c>
      <c r="D210">
        <v>-3259.31</v>
      </c>
    </row>
    <row r="211" spans="1:4" hidden="1" x14ac:dyDescent="0.3">
      <c r="A211" t="s">
        <v>86</v>
      </c>
      <c r="B211" t="s">
        <v>28</v>
      </c>
      <c r="C211" s="1">
        <f>HYPERLINK("https://cao.dolgi.msk.ru/account/1010361357/", 1010361357)</f>
        <v>1010361357</v>
      </c>
      <c r="D211">
        <v>0</v>
      </c>
    </row>
    <row r="212" spans="1:4" hidden="1" x14ac:dyDescent="0.3">
      <c r="A212" t="s">
        <v>86</v>
      </c>
      <c r="B212" t="s">
        <v>35</v>
      </c>
      <c r="C212" s="1">
        <f>HYPERLINK("https://cao.dolgi.msk.ru/account/1010361365/", 1010361365)</f>
        <v>1010361365</v>
      </c>
      <c r="D212">
        <v>0</v>
      </c>
    </row>
    <row r="213" spans="1:4" hidden="1" x14ac:dyDescent="0.3">
      <c r="A213" t="s">
        <v>86</v>
      </c>
      <c r="B213" t="s">
        <v>35</v>
      </c>
      <c r="C213" s="1">
        <f>HYPERLINK("https://cao.dolgi.msk.ru/account/1010363731/", 1010363731)</f>
        <v>1010363731</v>
      </c>
      <c r="D213">
        <v>0</v>
      </c>
    </row>
    <row r="214" spans="1:4" x14ac:dyDescent="0.3">
      <c r="A214" t="s">
        <v>86</v>
      </c>
      <c r="B214" t="s">
        <v>35</v>
      </c>
      <c r="C214" s="1">
        <f>HYPERLINK("https://cao.dolgi.msk.ru/account/1010364814/", 1010364814)</f>
        <v>1010364814</v>
      </c>
      <c r="D214">
        <v>432.09</v>
      </c>
    </row>
    <row r="215" spans="1:4" hidden="1" x14ac:dyDescent="0.3">
      <c r="A215" t="s">
        <v>86</v>
      </c>
      <c r="B215" t="s">
        <v>5</v>
      </c>
      <c r="C215" s="1">
        <f>HYPERLINK("https://cao.dolgi.msk.ru/account/1010361373/", 1010361373)</f>
        <v>1010361373</v>
      </c>
      <c r="D215">
        <v>-6639.28</v>
      </c>
    </row>
    <row r="216" spans="1:4" hidden="1" x14ac:dyDescent="0.3">
      <c r="A216" t="s">
        <v>86</v>
      </c>
      <c r="B216" t="s">
        <v>5</v>
      </c>
      <c r="C216" s="1">
        <f>HYPERLINK("https://cao.dolgi.msk.ru/account/1010361381/", 1010361381)</f>
        <v>1010361381</v>
      </c>
      <c r="D216">
        <v>-6978.49</v>
      </c>
    </row>
    <row r="217" spans="1:4" hidden="1" x14ac:dyDescent="0.3">
      <c r="A217" t="s">
        <v>86</v>
      </c>
      <c r="B217" t="s">
        <v>5</v>
      </c>
      <c r="C217" s="1">
        <f>HYPERLINK("https://cao.dolgi.msk.ru/account/1011512663/", 1011512663)</f>
        <v>1011512663</v>
      </c>
      <c r="D217">
        <v>-2733.99</v>
      </c>
    </row>
    <row r="218" spans="1:4" hidden="1" x14ac:dyDescent="0.3">
      <c r="A218" t="s">
        <v>86</v>
      </c>
      <c r="B218" t="s">
        <v>5</v>
      </c>
      <c r="C218" s="1">
        <f>HYPERLINK("https://cao.dolgi.msk.ru/account/1011512671/", 1011512671)</f>
        <v>1011512671</v>
      </c>
      <c r="D218">
        <v>-49.25</v>
      </c>
    </row>
    <row r="219" spans="1:4" hidden="1" x14ac:dyDescent="0.3">
      <c r="A219" t="s">
        <v>86</v>
      </c>
      <c r="B219" t="s">
        <v>7</v>
      </c>
      <c r="C219" s="1">
        <f>HYPERLINK("https://cao.dolgi.msk.ru/account/1010361429/", 1010361429)</f>
        <v>1010361429</v>
      </c>
      <c r="D219">
        <v>-2938.46</v>
      </c>
    </row>
    <row r="220" spans="1:4" hidden="1" x14ac:dyDescent="0.3">
      <c r="A220" t="s">
        <v>86</v>
      </c>
      <c r="B220" t="s">
        <v>7</v>
      </c>
      <c r="C220" s="1">
        <f>HYPERLINK("https://cao.dolgi.msk.ru/account/1010361437/", 1010361437)</f>
        <v>1010361437</v>
      </c>
      <c r="D220">
        <v>-0.37</v>
      </c>
    </row>
    <row r="221" spans="1:4" hidden="1" x14ac:dyDescent="0.3">
      <c r="A221" t="s">
        <v>86</v>
      </c>
      <c r="B221" t="s">
        <v>7</v>
      </c>
      <c r="C221" s="1">
        <f>HYPERLINK("https://cao.dolgi.msk.ru/account/1019024218/", 1019024218)</f>
        <v>1019024218</v>
      </c>
      <c r="D221">
        <v>-958.95</v>
      </c>
    </row>
    <row r="222" spans="1:4" hidden="1" x14ac:dyDescent="0.3">
      <c r="A222" t="s">
        <v>86</v>
      </c>
      <c r="B222" t="s">
        <v>8</v>
      </c>
      <c r="C222" s="1">
        <f>HYPERLINK("https://cao.dolgi.msk.ru/account/1010361453/", 1010361453)</f>
        <v>1010361453</v>
      </c>
      <c r="D222">
        <v>0</v>
      </c>
    </row>
    <row r="223" spans="1:4" hidden="1" x14ac:dyDescent="0.3">
      <c r="A223" t="s">
        <v>86</v>
      </c>
      <c r="B223" t="s">
        <v>31</v>
      </c>
      <c r="C223" s="1">
        <f>HYPERLINK("https://cao.dolgi.msk.ru/account/1010361488/", 1010361488)</f>
        <v>1010361488</v>
      </c>
      <c r="D223">
        <v>-4028.86</v>
      </c>
    </row>
    <row r="224" spans="1:4" hidden="1" x14ac:dyDescent="0.3">
      <c r="A224" t="s">
        <v>86</v>
      </c>
      <c r="B224" t="s">
        <v>9</v>
      </c>
      <c r="C224" s="1">
        <f>HYPERLINK("https://cao.dolgi.msk.ru/account/1010361496/", 1010361496)</f>
        <v>1010361496</v>
      </c>
      <c r="D224">
        <v>-56013.47</v>
      </c>
    </row>
    <row r="225" spans="1:4" x14ac:dyDescent="0.3">
      <c r="A225" t="s">
        <v>86</v>
      </c>
      <c r="B225" t="s">
        <v>10</v>
      </c>
      <c r="C225" s="1">
        <f>HYPERLINK("https://cao.dolgi.msk.ru/account/1010361509/", 1010361509)</f>
        <v>1010361509</v>
      </c>
      <c r="D225">
        <v>6062.91</v>
      </c>
    </row>
    <row r="226" spans="1:4" hidden="1" x14ac:dyDescent="0.3">
      <c r="A226" t="s">
        <v>86</v>
      </c>
      <c r="B226" t="s">
        <v>11</v>
      </c>
      <c r="C226" s="1">
        <f>HYPERLINK("https://cao.dolgi.msk.ru/account/1010361517/", 1010361517)</f>
        <v>1010361517</v>
      </c>
      <c r="D226">
        <v>-10.59</v>
      </c>
    </row>
    <row r="227" spans="1:4" hidden="1" x14ac:dyDescent="0.3">
      <c r="A227" t="s">
        <v>86</v>
      </c>
      <c r="B227" t="s">
        <v>12</v>
      </c>
      <c r="C227" s="1">
        <f>HYPERLINK("https://cao.dolgi.msk.ru/account/1010361525/", 1010361525)</f>
        <v>1010361525</v>
      </c>
      <c r="D227">
        <v>-3852.38</v>
      </c>
    </row>
    <row r="228" spans="1:4" hidden="1" x14ac:dyDescent="0.3">
      <c r="A228" t="s">
        <v>86</v>
      </c>
      <c r="B228" t="s">
        <v>12</v>
      </c>
      <c r="C228" s="1">
        <f>HYPERLINK("https://cao.dolgi.msk.ru/account/1010361533/", 1010361533)</f>
        <v>1010361533</v>
      </c>
      <c r="D228">
        <v>0</v>
      </c>
    </row>
    <row r="229" spans="1:4" x14ac:dyDescent="0.3">
      <c r="A229" t="s">
        <v>86</v>
      </c>
      <c r="B229" t="s">
        <v>23</v>
      </c>
      <c r="C229" s="1">
        <f>HYPERLINK("https://cao.dolgi.msk.ru/account/1010361541/", 1010361541)</f>
        <v>1010361541</v>
      </c>
      <c r="D229">
        <v>11.16</v>
      </c>
    </row>
    <row r="230" spans="1:4" hidden="1" x14ac:dyDescent="0.3">
      <c r="A230" t="s">
        <v>86</v>
      </c>
      <c r="B230" t="s">
        <v>23</v>
      </c>
      <c r="C230" s="1">
        <f>HYPERLINK("https://cao.dolgi.msk.ru/account/1011015392/", 1011015392)</f>
        <v>1011015392</v>
      </c>
      <c r="D230">
        <v>0</v>
      </c>
    </row>
    <row r="231" spans="1:4" x14ac:dyDescent="0.3">
      <c r="A231" t="s">
        <v>86</v>
      </c>
      <c r="B231" t="s">
        <v>13</v>
      </c>
      <c r="C231" s="1">
        <f>HYPERLINK("https://cao.dolgi.msk.ru/account/1010361576/", 1010361576)</f>
        <v>1010361576</v>
      </c>
      <c r="D231">
        <v>8468.94</v>
      </c>
    </row>
    <row r="232" spans="1:4" hidden="1" x14ac:dyDescent="0.3">
      <c r="A232" t="s">
        <v>86</v>
      </c>
      <c r="B232" t="s">
        <v>14</v>
      </c>
      <c r="C232" s="1">
        <f>HYPERLINK("https://cao.dolgi.msk.ru/account/1010361584/", 1010361584)</f>
        <v>1010361584</v>
      </c>
      <c r="D232">
        <v>-6150.24</v>
      </c>
    </row>
    <row r="233" spans="1:4" hidden="1" x14ac:dyDescent="0.3">
      <c r="A233" t="s">
        <v>86</v>
      </c>
      <c r="B233" t="s">
        <v>16</v>
      </c>
      <c r="C233" s="1">
        <f>HYPERLINK("https://cao.dolgi.msk.ru/account/1010361592/", 1010361592)</f>
        <v>1010361592</v>
      </c>
      <c r="D233">
        <v>-398.9</v>
      </c>
    </row>
    <row r="234" spans="1:4" hidden="1" x14ac:dyDescent="0.3">
      <c r="A234" t="s">
        <v>86</v>
      </c>
      <c r="B234" t="s">
        <v>16</v>
      </c>
      <c r="C234" s="1">
        <f>HYPERLINK("https://cao.dolgi.msk.ru/account/1010361605/", 1010361605)</f>
        <v>1010361605</v>
      </c>
      <c r="D234">
        <v>0</v>
      </c>
    </row>
    <row r="235" spans="1:4" hidden="1" x14ac:dyDescent="0.3">
      <c r="A235" t="s">
        <v>86</v>
      </c>
      <c r="B235" t="s">
        <v>16</v>
      </c>
      <c r="C235" s="1">
        <f>HYPERLINK("https://cao.dolgi.msk.ru/account/1010363782/", 1010363782)</f>
        <v>1010363782</v>
      </c>
      <c r="D235">
        <v>0</v>
      </c>
    </row>
    <row r="236" spans="1:4" hidden="1" x14ac:dyDescent="0.3">
      <c r="A236" t="s">
        <v>86</v>
      </c>
      <c r="B236" t="s">
        <v>17</v>
      </c>
      <c r="C236" s="1">
        <f>HYPERLINK("https://cao.dolgi.msk.ru/account/1010361613/", 1010361613)</f>
        <v>1010361613</v>
      </c>
      <c r="D236">
        <v>0</v>
      </c>
    </row>
    <row r="237" spans="1:4" hidden="1" x14ac:dyDescent="0.3">
      <c r="A237" t="s">
        <v>86</v>
      </c>
      <c r="B237" t="s">
        <v>17</v>
      </c>
      <c r="C237" s="1">
        <f>HYPERLINK("https://cao.dolgi.msk.ru/account/1010361621/", 1010361621)</f>
        <v>1010361621</v>
      </c>
      <c r="D237">
        <v>-5.46</v>
      </c>
    </row>
    <row r="238" spans="1:4" x14ac:dyDescent="0.3">
      <c r="A238" t="s">
        <v>86</v>
      </c>
      <c r="B238" t="s">
        <v>17</v>
      </c>
      <c r="C238" s="1">
        <f>HYPERLINK("https://cao.dolgi.msk.ru/account/1011110509/", 1011110509)</f>
        <v>1011110509</v>
      </c>
      <c r="D238">
        <v>2724.29</v>
      </c>
    </row>
    <row r="239" spans="1:4" x14ac:dyDescent="0.3">
      <c r="A239" t="s">
        <v>86</v>
      </c>
      <c r="B239" t="s">
        <v>18</v>
      </c>
      <c r="C239" s="1">
        <f>HYPERLINK("https://cao.dolgi.msk.ru/account/1010361648/", 1010361648)</f>
        <v>1010361648</v>
      </c>
      <c r="D239">
        <v>451.42</v>
      </c>
    </row>
    <row r="240" spans="1:4" hidden="1" x14ac:dyDescent="0.3">
      <c r="A240" t="s">
        <v>86</v>
      </c>
      <c r="B240" t="s">
        <v>18</v>
      </c>
      <c r="C240" s="1">
        <f>HYPERLINK("https://cao.dolgi.msk.ru/account/1010361656/", 1010361656)</f>
        <v>1010361656</v>
      </c>
      <c r="D240">
        <v>0</v>
      </c>
    </row>
    <row r="241" spans="1:4" x14ac:dyDescent="0.3">
      <c r="A241" t="s">
        <v>86</v>
      </c>
      <c r="B241" t="s">
        <v>18</v>
      </c>
      <c r="C241" s="1">
        <f>HYPERLINK("https://cao.dolgi.msk.ru/account/1010361664/", 1010361664)</f>
        <v>1010361664</v>
      </c>
      <c r="D241">
        <v>3652.79</v>
      </c>
    </row>
    <row r="242" spans="1:4" x14ac:dyDescent="0.3">
      <c r="A242" t="s">
        <v>86</v>
      </c>
      <c r="B242" t="s">
        <v>19</v>
      </c>
      <c r="C242" s="1">
        <f>HYPERLINK("https://cao.dolgi.msk.ru/account/1010361672/", 1010361672)</f>
        <v>1010361672</v>
      </c>
      <c r="D242">
        <v>8415.1</v>
      </c>
    </row>
    <row r="243" spans="1:4" x14ac:dyDescent="0.3">
      <c r="A243" t="s">
        <v>86</v>
      </c>
      <c r="B243" t="s">
        <v>19</v>
      </c>
      <c r="C243" s="1">
        <f>HYPERLINK("https://cao.dolgi.msk.ru/account/1010363985/", 1010363985)</f>
        <v>1010363985</v>
      </c>
      <c r="D243">
        <v>4359.6000000000004</v>
      </c>
    </row>
    <row r="244" spans="1:4" x14ac:dyDescent="0.3">
      <c r="A244" t="s">
        <v>86</v>
      </c>
      <c r="B244" t="s">
        <v>19</v>
      </c>
      <c r="C244" s="1">
        <f>HYPERLINK("https://cao.dolgi.msk.ru/account/1011019318/", 1011019318)</f>
        <v>1011019318</v>
      </c>
      <c r="D244">
        <v>2791.13</v>
      </c>
    </row>
    <row r="245" spans="1:4" hidden="1" x14ac:dyDescent="0.3">
      <c r="A245" t="s">
        <v>86</v>
      </c>
      <c r="B245" t="s">
        <v>20</v>
      </c>
      <c r="C245" s="1">
        <f>HYPERLINK("https://cao.dolgi.msk.ru/account/1010361699/", 1010361699)</f>
        <v>1010361699</v>
      </c>
      <c r="D245">
        <v>0</v>
      </c>
    </row>
    <row r="246" spans="1:4" hidden="1" x14ac:dyDescent="0.3">
      <c r="A246" t="s">
        <v>86</v>
      </c>
      <c r="B246" t="s">
        <v>21</v>
      </c>
      <c r="C246" s="1">
        <f>HYPERLINK("https://cao.dolgi.msk.ru/account/1010361701/", 1010361701)</f>
        <v>1010361701</v>
      </c>
      <c r="D246">
        <v>0</v>
      </c>
    </row>
    <row r="247" spans="1:4" x14ac:dyDescent="0.3">
      <c r="A247" t="s">
        <v>86</v>
      </c>
      <c r="B247" t="s">
        <v>22</v>
      </c>
      <c r="C247" s="1">
        <f>HYPERLINK("https://cao.dolgi.msk.ru/account/1010361728/", 1010361728)</f>
        <v>1010361728</v>
      </c>
      <c r="D247">
        <v>2092.77</v>
      </c>
    </row>
    <row r="248" spans="1:4" hidden="1" x14ac:dyDescent="0.3">
      <c r="A248" t="s">
        <v>86</v>
      </c>
      <c r="B248" t="s">
        <v>24</v>
      </c>
      <c r="C248" s="1">
        <f>HYPERLINK("https://cao.dolgi.msk.ru/account/1010361744/", 1010361744)</f>
        <v>1010361744</v>
      </c>
      <c r="D248">
        <v>-64</v>
      </c>
    </row>
    <row r="249" spans="1:4" hidden="1" x14ac:dyDescent="0.3">
      <c r="A249" t="s">
        <v>86</v>
      </c>
      <c r="B249" t="s">
        <v>25</v>
      </c>
      <c r="C249" s="1">
        <f>HYPERLINK("https://cao.dolgi.msk.ru/account/1010361779/", 1010361779)</f>
        <v>1010361779</v>
      </c>
      <c r="D249">
        <v>-769.56</v>
      </c>
    </row>
    <row r="250" spans="1:4" x14ac:dyDescent="0.3">
      <c r="A250" t="s">
        <v>86</v>
      </c>
      <c r="B250" t="s">
        <v>25</v>
      </c>
      <c r="C250" s="1">
        <f>HYPERLINK("https://cao.dolgi.msk.ru/account/1011091803/", 1011091803)</f>
        <v>1011091803</v>
      </c>
      <c r="D250">
        <v>2074.5500000000002</v>
      </c>
    </row>
    <row r="251" spans="1:4" x14ac:dyDescent="0.3">
      <c r="A251" t="s">
        <v>86</v>
      </c>
      <c r="B251" t="s">
        <v>25</v>
      </c>
      <c r="C251" s="1">
        <f>HYPERLINK("https://cao.dolgi.msk.ru/account/1011091918/", 1011091918)</f>
        <v>1011091918</v>
      </c>
      <c r="D251">
        <v>2563.83</v>
      </c>
    </row>
    <row r="252" spans="1:4" x14ac:dyDescent="0.3">
      <c r="A252" t="s">
        <v>86</v>
      </c>
      <c r="B252" t="s">
        <v>25</v>
      </c>
      <c r="C252" s="1">
        <f>HYPERLINK("https://cao.dolgi.msk.ru/account/1011486303/", 1011486303)</f>
        <v>1011486303</v>
      </c>
      <c r="D252">
        <v>1124.8499999999999</v>
      </c>
    </row>
    <row r="253" spans="1:4" x14ac:dyDescent="0.3">
      <c r="A253" t="s">
        <v>86</v>
      </c>
      <c r="B253" t="s">
        <v>26</v>
      </c>
      <c r="C253" s="1">
        <f>HYPERLINK("https://cao.dolgi.msk.ru/account/1010361787/", 1010361787)</f>
        <v>1010361787</v>
      </c>
      <c r="D253">
        <v>8006.91</v>
      </c>
    </row>
    <row r="254" spans="1:4" x14ac:dyDescent="0.3">
      <c r="A254" t="s">
        <v>86</v>
      </c>
      <c r="B254" t="s">
        <v>26</v>
      </c>
      <c r="C254" s="1">
        <f>HYPERLINK("https://cao.dolgi.msk.ru/account/1010361795/", 1010361795)</f>
        <v>1010361795</v>
      </c>
      <c r="D254">
        <v>43391.44</v>
      </c>
    </row>
    <row r="255" spans="1:4" hidden="1" x14ac:dyDescent="0.3">
      <c r="A255" t="s">
        <v>86</v>
      </c>
      <c r="B255" t="s">
        <v>26</v>
      </c>
      <c r="C255" s="1">
        <f>HYPERLINK("https://cao.dolgi.msk.ru/account/1010361808/", 1010361808)</f>
        <v>1010361808</v>
      </c>
      <c r="D255">
        <v>-21.33</v>
      </c>
    </row>
    <row r="256" spans="1:4" x14ac:dyDescent="0.3">
      <c r="A256" t="s">
        <v>86</v>
      </c>
      <c r="B256" t="s">
        <v>27</v>
      </c>
      <c r="C256" s="1">
        <f>HYPERLINK("https://cao.dolgi.msk.ru/account/1010361816/", 1010361816)</f>
        <v>1010361816</v>
      </c>
      <c r="D256">
        <v>2922.3</v>
      </c>
    </row>
    <row r="257" spans="1:4" hidden="1" x14ac:dyDescent="0.3">
      <c r="A257" t="s">
        <v>86</v>
      </c>
      <c r="B257" t="s">
        <v>27</v>
      </c>
      <c r="C257" s="1">
        <f>HYPERLINK("https://cao.dolgi.msk.ru/account/1010361824/", 1010361824)</f>
        <v>1010361824</v>
      </c>
      <c r="D257">
        <v>-176</v>
      </c>
    </row>
    <row r="258" spans="1:4" hidden="1" x14ac:dyDescent="0.3">
      <c r="A258" t="s">
        <v>86</v>
      </c>
      <c r="B258" t="s">
        <v>29</v>
      </c>
      <c r="C258" s="1">
        <f>HYPERLINK("https://cao.dolgi.msk.ru/account/1010361832/", 1010361832)</f>
        <v>1010361832</v>
      </c>
      <c r="D258">
        <v>-64</v>
      </c>
    </row>
    <row r="259" spans="1:4" hidden="1" x14ac:dyDescent="0.3">
      <c r="A259" t="s">
        <v>86</v>
      </c>
      <c r="B259" t="s">
        <v>38</v>
      </c>
      <c r="C259" s="1">
        <f>HYPERLINK("https://cao.dolgi.msk.ru/account/1010361859/", 1010361859)</f>
        <v>1010361859</v>
      </c>
      <c r="D259">
        <v>-64</v>
      </c>
    </row>
    <row r="260" spans="1:4" x14ac:dyDescent="0.3">
      <c r="A260" t="s">
        <v>86</v>
      </c>
      <c r="B260" t="s">
        <v>39</v>
      </c>
      <c r="C260" s="1">
        <f>HYPERLINK("https://cao.dolgi.msk.ru/account/1010361875/", 1010361875)</f>
        <v>1010361875</v>
      </c>
      <c r="D260">
        <v>10721.96</v>
      </c>
    </row>
    <row r="261" spans="1:4" x14ac:dyDescent="0.3">
      <c r="A261" t="s">
        <v>86</v>
      </c>
      <c r="B261" t="s">
        <v>39</v>
      </c>
      <c r="C261" s="1">
        <f>HYPERLINK("https://cao.dolgi.msk.ru/account/1011094211/", 1011094211)</f>
        <v>1011094211</v>
      </c>
      <c r="D261">
        <v>13402.52</v>
      </c>
    </row>
    <row r="262" spans="1:4" x14ac:dyDescent="0.3">
      <c r="A262" t="s">
        <v>86</v>
      </c>
      <c r="B262" t="s">
        <v>39</v>
      </c>
      <c r="C262" s="1">
        <f>HYPERLINK("https://cao.dolgi.msk.ru/account/1011130067/", 1011130067)</f>
        <v>1011130067</v>
      </c>
      <c r="D262">
        <v>7877.63</v>
      </c>
    </row>
    <row r="263" spans="1:4" hidden="1" x14ac:dyDescent="0.3">
      <c r="A263" t="s">
        <v>86</v>
      </c>
      <c r="B263" t="s">
        <v>40</v>
      </c>
      <c r="C263" s="1">
        <f>HYPERLINK("https://cao.dolgi.msk.ru/account/1010361891/", 1010361891)</f>
        <v>1010361891</v>
      </c>
      <c r="D263">
        <v>-7290.44</v>
      </c>
    </row>
    <row r="264" spans="1:4" hidden="1" x14ac:dyDescent="0.3">
      <c r="A264" t="s">
        <v>86</v>
      </c>
      <c r="B264" t="s">
        <v>41</v>
      </c>
      <c r="C264" s="1">
        <f>HYPERLINK("https://cao.dolgi.msk.ru/account/1010361912/", 1010361912)</f>
        <v>1010361912</v>
      </c>
      <c r="D264">
        <v>-6623.49</v>
      </c>
    </row>
    <row r="265" spans="1:4" hidden="1" x14ac:dyDescent="0.3">
      <c r="A265" t="s">
        <v>86</v>
      </c>
      <c r="B265" t="s">
        <v>51</v>
      </c>
      <c r="C265" s="1">
        <f>HYPERLINK("https://cao.dolgi.msk.ru/account/1010361939/", 1010361939)</f>
        <v>1010361939</v>
      </c>
      <c r="D265">
        <v>0</v>
      </c>
    </row>
    <row r="266" spans="1:4" hidden="1" x14ac:dyDescent="0.3">
      <c r="A266" t="s">
        <v>86</v>
      </c>
      <c r="B266" t="s">
        <v>52</v>
      </c>
      <c r="C266" s="1">
        <f>HYPERLINK("https://cao.dolgi.msk.ru/account/1011074632/", 1011074632)</f>
        <v>1011074632</v>
      </c>
      <c r="D266">
        <v>-289.5</v>
      </c>
    </row>
    <row r="267" spans="1:4" hidden="1" x14ac:dyDescent="0.3">
      <c r="A267" t="s">
        <v>86</v>
      </c>
      <c r="B267" t="s">
        <v>53</v>
      </c>
      <c r="C267" s="1">
        <f>HYPERLINK("https://cao.dolgi.msk.ru/account/1010361963/", 1010361963)</f>
        <v>1010361963</v>
      </c>
      <c r="D267">
        <v>0</v>
      </c>
    </row>
    <row r="268" spans="1:4" hidden="1" x14ac:dyDescent="0.3">
      <c r="A268" t="s">
        <v>86</v>
      </c>
      <c r="B268" t="s">
        <v>54</v>
      </c>
      <c r="C268" s="1">
        <f>HYPERLINK("https://cao.dolgi.msk.ru/account/1010361998/", 1010361998)</f>
        <v>1010361998</v>
      </c>
      <c r="D268">
        <v>0</v>
      </c>
    </row>
    <row r="269" spans="1:4" hidden="1" x14ac:dyDescent="0.3">
      <c r="A269" t="s">
        <v>86</v>
      </c>
      <c r="B269" t="s">
        <v>55</v>
      </c>
      <c r="C269" s="1">
        <f>HYPERLINK("https://cao.dolgi.msk.ru/account/1010362026/", 1010362026)</f>
        <v>1010362026</v>
      </c>
      <c r="D269">
        <v>-5178.32</v>
      </c>
    </row>
    <row r="270" spans="1:4" hidden="1" x14ac:dyDescent="0.3">
      <c r="A270" t="s">
        <v>86</v>
      </c>
      <c r="B270" t="s">
        <v>55</v>
      </c>
      <c r="C270" s="1">
        <f>HYPERLINK("https://cao.dolgi.msk.ru/account/1010364822/", 1010364822)</f>
        <v>1010364822</v>
      </c>
      <c r="D270">
        <v>-1136.71</v>
      </c>
    </row>
    <row r="271" spans="1:4" hidden="1" x14ac:dyDescent="0.3">
      <c r="A271" t="s">
        <v>86</v>
      </c>
      <c r="B271" t="s">
        <v>55</v>
      </c>
      <c r="C271" s="1">
        <f>HYPERLINK("https://cao.dolgi.msk.ru/account/1011065533/", 1011065533)</f>
        <v>1011065533</v>
      </c>
      <c r="D271">
        <v>-2291.1999999999998</v>
      </c>
    </row>
    <row r="272" spans="1:4" hidden="1" x14ac:dyDescent="0.3">
      <c r="A272" t="s">
        <v>86</v>
      </c>
      <c r="B272" t="s">
        <v>56</v>
      </c>
      <c r="C272" s="1">
        <f>HYPERLINK("https://cao.dolgi.msk.ru/account/1010362034/", 1010362034)</f>
        <v>1010362034</v>
      </c>
      <c r="D272">
        <v>0</v>
      </c>
    </row>
    <row r="273" spans="1:4" hidden="1" x14ac:dyDescent="0.3">
      <c r="A273" t="s">
        <v>86</v>
      </c>
      <c r="B273" t="s">
        <v>87</v>
      </c>
      <c r="C273" s="1">
        <f>HYPERLINK("https://cao.dolgi.msk.ru/account/1010362042/", 1010362042)</f>
        <v>1010362042</v>
      </c>
      <c r="D273">
        <v>0</v>
      </c>
    </row>
    <row r="274" spans="1:4" hidden="1" x14ac:dyDescent="0.3">
      <c r="A274" t="s">
        <v>86</v>
      </c>
      <c r="B274" t="s">
        <v>88</v>
      </c>
      <c r="C274" s="1">
        <f>HYPERLINK("https://cao.dolgi.msk.ru/account/1010362069/", 1010362069)</f>
        <v>1010362069</v>
      </c>
      <c r="D274">
        <v>-4553.87</v>
      </c>
    </row>
    <row r="275" spans="1:4" hidden="1" x14ac:dyDescent="0.3">
      <c r="A275" t="s">
        <v>86</v>
      </c>
      <c r="B275" t="s">
        <v>89</v>
      </c>
      <c r="C275" s="1">
        <f>HYPERLINK("https://cao.dolgi.msk.ru/account/1010362077/", 1010362077)</f>
        <v>1010362077</v>
      </c>
      <c r="D275">
        <v>0</v>
      </c>
    </row>
    <row r="276" spans="1:4" hidden="1" x14ac:dyDescent="0.3">
      <c r="A276" t="s">
        <v>86</v>
      </c>
      <c r="B276" t="s">
        <v>90</v>
      </c>
      <c r="C276" s="1">
        <f>HYPERLINK("https://cao.dolgi.msk.ru/account/1010362085/", 1010362085)</f>
        <v>1010362085</v>
      </c>
      <c r="D276">
        <v>-6679.81</v>
      </c>
    </row>
    <row r="277" spans="1:4" hidden="1" x14ac:dyDescent="0.3">
      <c r="A277" t="s">
        <v>91</v>
      </c>
      <c r="B277" t="s">
        <v>6</v>
      </c>
      <c r="C277" s="1">
        <f>HYPERLINK("https://cao.dolgi.msk.ru/account/1010509286/", 1010509286)</f>
        <v>1010509286</v>
      </c>
      <c r="D277">
        <v>-2494.86</v>
      </c>
    </row>
    <row r="278" spans="1:4" x14ac:dyDescent="0.3">
      <c r="A278" t="s">
        <v>91</v>
      </c>
      <c r="B278" t="s">
        <v>28</v>
      </c>
      <c r="C278" s="1">
        <f>HYPERLINK("https://cao.dolgi.msk.ru/account/1010509294/", 1010509294)</f>
        <v>1010509294</v>
      </c>
      <c r="D278">
        <v>2596.15</v>
      </c>
    </row>
    <row r="279" spans="1:4" x14ac:dyDescent="0.3">
      <c r="A279" t="s">
        <v>91</v>
      </c>
      <c r="B279" t="s">
        <v>35</v>
      </c>
      <c r="C279" s="1">
        <f>HYPERLINK("https://cao.dolgi.msk.ru/account/1010509307/", 1010509307)</f>
        <v>1010509307</v>
      </c>
      <c r="D279">
        <v>907.35</v>
      </c>
    </row>
    <row r="280" spans="1:4" hidden="1" x14ac:dyDescent="0.3">
      <c r="A280" t="s">
        <v>91</v>
      </c>
      <c r="B280" t="s">
        <v>35</v>
      </c>
      <c r="C280" s="1">
        <f>HYPERLINK("https://cao.dolgi.msk.ru/account/1011068187/", 1011068187)</f>
        <v>1011068187</v>
      </c>
      <c r="D280">
        <v>0</v>
      </c>
    </row>
    <row r="281" spans="1:4" x14ac:dyDescent="0.3">
      <c r="A281" t="s">
        <v>91</v>
      </c>
      <c r="B281" t="s">
        <v>35</v>
      </c>
      <c r="C281" s="1">
        <f>HYPERLINK("https://cao.dolgi.msk.ru/account/1011124046/", 1011124046)</f>
        <v>1011124046</v>
      </c>
      <c r="D281">
        <v>27475.3</v>
      </c>
    </row>
    <row r="282" spans="1:4" hidden="1" x14ac:dyDescent="0.3">
      <c r="A282" t="s">
        <v>91</v>
      </c>
      <c r="B282" t="s">
        <v>5</v>
      </c>
      <c r="C282" s="1">
        <f>HYPERLINK("https://cao.dolgi.msk.ru/account/1010509374/", 1010509374)</f>
        <v>1010509374</v>
      </c>
      <c r="D282">
        <v>-43.2</v>
      </c>
    </row>
    <row r="283" spans="1:4" hidden="1" x14ac:dyDescent="0.3">
      <c r="A283" t="s">
        <v>91</v>
      </c>
      <c r="B283" t="s">
        <v>8</v>
      </c>
      <c r="C283" s="1">
        <f>HYPERLINK("https://cao.dolgi.msk.ru/account/1010509315/", 1010509315)</f>
        <v>1010509315</v>
      </c>
      <c r="D283">
        <v>0</v>
      </c>
    </row>
    <row r="284" spans="1:4" hidden="1" x14ac:dyDescent="0.3">
      <c r="A284" t="s">
        <v>91</v>
      </c>
      <c r="B284" t="s">
        <v>9</v>
      </c>
      <c r="C284" s="1">
        <f>HYPERLINK("https://cao.dolgi.msk.ru/account/1010509323/", 1010509323)</f>
        <v>1010509323</v>
      </c>
      <c r="D284">
        <v>-38.49</v>
      </c>
    </row>
    <row r="285" spans="1:4" hidden="1" x14ac:dyDescent="0.3">
      <c r="A285" t="s">
        <v>91</v>
      </c>
      <c r="B285" t="s">
        <v>9</v>
      </c>
      <c r="C285" s="1">
        <f>HYPERLINK("https://cao.dolgi.msk.ru/account/1011027617/", 1011027617)</f>
        <v>1011027617</v>
      </c>
      <c r="D285">
        <v>0</v>
      </c>
    </row>
    <row r="286" spans="1:4" hidden="1" x14ac:dyDescent="0.3">
      <c r="A286" t="s">
        <v>91</v>
      </c>
      <c r="B286" t="s">
        <v>11</v>
      </c>
      <c r="C286" s="1">
        <f>HYPERLINK("https://cao.dolgi.msk.ru/account/1011013397/", 1011013397)</f>
        <v>1011013397</v>
      </c>
      <c r="D286">
        <v>-735</v>
      </c>
    </row>
    <row r="287" spans="1:4" hidden="1" x14ac:dyDescent="0.3">
      <c r="A287" t="s">
        <v>91</v>
      </c>
      <c r="B287" t="s">
        <v>12</v>
      </c>
      <c r="C287" s="1">
        <f>HYPERLINK("https://cao.dolgi.msk.ru/account/1011013418/", 1011013418)</f>
        <v>1011013418</v>
      </c>
      <c r="D287">
        <v>0</v>
      </c>
    </row>
    <row r="288" spans="1:4" hidden="1" x14ac:dyDescent="0.3">
      <c r="A288" t="s">
        <v>91</v>
      </c>
      <c r="B288" t="s">
        <v>23</v>
      </c>
      <c r="C288" s="1">
        <f>HYPERLINK("https://cao.dolgi.msk.ru/account/1010567443/", 1010567443)</f>
        <v>1010567443</v>
      </c>
      <c r="D288">
        <v>-29.48</v>
      </c>
    </row>
    <row r="289" spans="1:4" x14ac:dyDescent="0.3">
      <c r="A289" t="s">
        <v>91</v>
      </c>
      <c r="B289" t="s">
        <v>14</v>
      </c>
      <c r="C289" s="1">
        <f>HYPERLINK("https://cao.dolgi.msk.ru/account/1010509331/", 1010509331)</f>
        <v>1010509331</v>
      </c>
      <c r="D289">
        <v>50446.080000000002</v>
      </c>
    </row>
    <row r="290" spans="1:4" x14ac:dyDescent="0.3">
      <c r="A290" t="s">
        <v>91</v>
      </c>
      <c r="B290" t="s">
        <v>17</v>
      </c>
      <c r="C290" s="1">
        <f>HYPERLINK("https://cao.dolgi.msk.ru/account/1010509358/", 1010509358)</f>
        <v>1010509358</v>
      </c>
      <c r="D290">
        <v>3605.52</v>
      </c>
    </row>
    <row r="291" spans="1:4" hidden="1" x14ac:dyDescent="0.3">
      <c r="A291" t="s">
        <v>91</v>
      </c>
      <c r="B291" t="s">
        <v>19</v>
      </c>
      <c r="C291" s="1">
        <f>HYPERLINK("https://cao.dolgi.msk.ru/account/1010509366/", 1010509366)</f>
        <v>1010509366</v>
      </c>
      <c r="D291">
        <v>0</v>
      </c>
    </row>
    <row r="292" spans="1:4" hidden="1" x14ac:dyDescent="0.3">
      <c r="A292" t="s">
        <v>91</v>
      </c>
      <c r="B292" t="s">
        <v>20</v>
      </c>
      <c r="C292" s="1">
        <f>HYPERLINK("https://cao.dolgi.msk.ru/account/1011013426/", 1011013426)</f>
        <v>1011013426</v>
      </c>
      <c r="D292">
        <v>-2731.73</v>
      </c>
    </row>
    <row r="293" spans="1:4" x14ac:dyDescent="0.3">
      <c r="A293" t="s">
        <v>92</v>
      </c>
      <c r="B293" t="s">
        <v>18</v>
      </c>
      <c r="C293" s="1">
        <f>HYPERLINK("https://cao.dolgi.msk.ru/account/1010415001/", 1010415001)</f>
        <v>1010415001</v>
      </c>
      <c r="D293">
        <v>165.13</v>
      </c>
    </row>
    <row r="294" spans="1:4" hidden="1" x14ac:dyDescent="0.3">
      <c r="A294" t="s">
        <v>92</v>
      </c>
      <c r="B294" t="s">
        <v>18</v>
      </c>
      <c r="C294" s="1">
        <f>HYPERLINK("https://cao.dolgi.msk.ru/account/1011015552/", 1011015552)</f>
        <v>1011015552</v>
      </c>
      <c r="D294">
        <v>0</v>
      </c>
    </row>
    <row r="295" spans="1:4" hidden="1" x14ac:dyDescent="0.3">
      <c r="A295" t="s">
        <v>92</v>
      </c>
      <c r="B295" t="s">
        <v>18</v>
      </c>
      <c r="C295" s="1">
        <f>HYPERLINK("https://cao.dolgi.msk.ru/account/1011015579/", 1011015579)</f>
        <v>1011015579</v>
      </c>
      <c r="D295">
        <v>0</v>
      </c>
    </row>
    <row r="296" spans="1:4" hidden="1" x14ac:dyDescent="0.3">
      <c r="A296" t="s">
        <v>92</v>
      </c>
      <c r="B296" t="s">
        <v>18</v>
      </c>
      <c r="C296" s="1">
        <f>HYPERLINK("https://cao.dolgi.msk.ru/account/1011021477/", 1011021477)</f>
        <v>1011021477</v>
      </c>
      <c r="D296">
        <v>0</v>
      </c>
    </row>
    <row r="297" spans="1:4" hidden="1" x14ac:dyDescent="0.3">
      <c r="A297" t="s">
        <v>92</v>
      </c>
      <c r="B297" t="s">
        <v>18</v>
      </c>
      <c r="C297" s="1">
        <f>HYPERLINK("https://cao.dolgi.msk.ru/account/1011097383/", 1011097383)</f>
        <v>1011097383</v>
      </c>
      <c r="D297">
        <v>0</v>
      </c>
    </row>
    <row r="298" spans="1:4" hidden="1" x14ac:dyDescent="0.3">
      <c r="A298" t="s">
        <v>92</v>
      </c>
      <c r="B298" t="s">
        <v>19</v>
      </c>
      <c r="C298" s="1">
        <f>HYPERLINK("https://cao.dolgi.msk.ru/account/1010840593/", 1010840593)</f>
        <v>1010840593</v>
      </c>
      <c r="D298">
        <v>-10503.1</v>
      </c>
    </row>
    <row r="299" spans="1:4" hidden="1" x14ac:dyDescent="0.3">
      <c r="A299" t="s">
        <v>92</v>
      </c>
      <c r="B299" t="s">
        <v>20</v>
      </c>
      <c r="C299" s="1">
        <f>HYPERLINK("https://cao.dolgi.msk.ru/account/1011514263/", 1011514263)</f>
        <v>1011514263</v>
      </c>
      <c r="D299">
        <v>0</v>
      </c>
    </row>
    <row r="300" spans="1:4" x14ac:dyDescent="0.3">
      <c r="A300" t="s">
        <v>92</v>
      </c>
      <c r="B300" t="s">
        <v>20</v>
      </c>
      <c r="C300" s="1">
        <f>HYPERLINK("https://cao.dolgi.msk.ru/account/1011530722/", 1011530722)</f>
        <v>1011530722</v>
      </c>
      <c r="D300">
        <v>5001.6000000000004</v>
      </c>
    </row>
    <row r="301" spans="1:4" hidden="1" x14ac:dyDescent="0.3">
      <c r="A301" t="s">
        <v>92</v>
      </c>
      <c r="B301" t="s">
        <v>21</v>
      </c>
      <c r="C301" s="1">
        <f>HYPERLINK("https://cao.dolgi.msk.ru/account/1010415036/", 1010415036)</f>
        <v>1010415036</v>
      </c>
      <c r="D301">
        <v>-35.770000000000003</v>
      </c>
    </row>
    <row r="302" spans="1:4" x14ac:dyDescent="0.3">
      <c r="A302" t="s">
        <v>92</v>
      </c>
      <c r="B302" t="s">
        <v>93</v>
      </c>
      <c r="C302" s="1">
        <f>HYPERLINK("https://cao.dolgi.msk.ru/account/1010414981/", 1010414981)</f>
        <v>1010414981</v>
      </c>
      <c r="D302">
        <v>6677.92</v>
      </c>
    </row>
    <row r="303" spans="1:4" hidden="1" x14ac:dyDescent="0.3">
      <c r="A303" t="s">
        <v>92</v>
      </c>
      <c r="B303" t="s">
        <v>94</v>
      </c>
      <c r="C303" s="1">
        <f>HYPERLINK("https://cao.dolgi.msk.ru/account/1010841414/", 1010841414)</f>
        <v>1010841414</v>
      </c>
      <c r="D303">
        <v>0</v>
      </c>
    </row>
    <row r="304" spans="1:4" hidden="1" x14ac:dyDescent="0.3">
      <c r="A304" t="s">
        <v>92</v>
      </c>
      <c r="B304" t="s">
        <v>25</v>
      </c>
      <c r="C304" s="1">
        <f>HYPERLINK("https://cao.dolgi.msk.ru/account/1010415044/", 1010415044)</f>
        <v>1010415044</v>
      </c>
      <c r="D304">
        <v>-37.54</v>
      </c>
    </row>
    <row r="305" spans="1:4" hidden="1" x14ac:dyDescent="0.3">
      <c r="A305" t="s">
        <v>92</v>
      </c>
      <c r="B305" t="s">
        <v>26</v>
      </c>
      <c r="C305" s="1">
        <f>HYPERLINK("https://cao.dolgi.msk.ru/account/1010415052/", 1010415052)</f>
        <v>1010415052</v>
      </c>
      <c r="D305">
        <v>-3327.52</v>
      </c>
    </row>
    <row r="306" spans="1:4" hidden="1" x14ac:dyDescent="0.3">
      <c r="A306" t="s">
        <v>92</v>
      </c>
      <c r="B306" t="s">
        <v>27</v>
      </c>
      <c r="C306" s="1">
        <f>HYPERLINK("https://cao.dolgi.msk.ru/account/1011026403/", 1011026403)</f>
        <v>1011026403</v>
      </c>
      <c r="D306">
        <v>0</v>
      </c>
    </row>
    <row r="307" spans="1:4" hidden="1" x14ac:dyDescent="0.3">
      <c r="A307" t="s">
        <v>92</v>
      </c>
      <c r="B307" t="s">
        <v>29</v>
      </c>
      <c r="C307" s="1">
        <f>HYPERLINK("https://cao.dolgi.msk.ru/account/1010415095/", 1010415095)</f>
        <v>1010415095</v>
      </c>
      <c r="D307">
        <v>-1156.44</v>
      </c>
    </row>
    <row r="308" spans="1:4" hidden="1" x14ac:dyDescent="0.3">
      <c r="A308" t="s">
        <v>92</v>
      </c>
      <c r="B308" t="s">
        <v>38</v>
      </c>
      <c r="C308" s="1">
        <f>HYPERLINK("https://cao.dolgi.msk.ru/account/1010415108/", 1010415108)</f>
        <v>1010415108</v>
      </c>
      <c r="D308">
        <v>0</v>
      </c>
    </row>
    <row r="309" spans="1:4" x14ac:dyDescent="0.3">
      <c r="A309" t="s">
        <v>92</v>
      </c>
      <c r="B309" t="s">
        <v>39</v>
      </c>
      <c r="C309" s="1">
        <f>HYPERLINK("https://cao.dolgi.msk.ru/account/1010415124/", 1010415124)</f>
        <v>1010415124</v>
      </c>
      <c r="D309">
        <v>4083</v>
      </c>
    </row>
    <row r="310" spans="1:4" hidden="1" x14ac:dyDescent="0.3">
      <c r="A310" t="s">
        <v>92</v>
      </c>
      <c r="B310" t="s">
        <v>40</v>
      </c>
      <c r="C310" s="1">
        <f>HYPERLINK("https://cao.dolgi.msk.ru/account/1010415132/", 1010415132)</f>
        <v>1010415132</v>
      </c>
      <c r="D310">
        <v>-14519.99</v>
      </c>
    </row>
    <row r="311" spans="1:4" x14ac:dyDescent="0.3">
      <c r="A311" t="s">
        <v>92</v>
      </c>
      <c r="B311" t="s">
        <v>40</v>
      </c>
      <c r="C311" s="1">
        <f>HYPERLINK("https://cao.dolgi.msk.ru/account/1010415159/", 1010415159)</f>
        <v>1010415159</v>
      </c>
      <c r="D311">
        <v>59868.54</v>
      </c>
    </row>
    <row r="312" spans="1:4" x14ac:dyDescent="0.3">
      <c r="A312" t="s">
        <v>92</v>
      </c>
      <c r="B312" t="s">
        <v>41</v>
      </c>
      <c r="C312" s="1">
        <f>HYPERLINK("https://cao.dolgi.msk.ru/account/1010415167/", 1010415167)</f>
        <v>1010415167</v>
      </c>
      <c r="D312">
        <v>5748.91</v>
      </c>
    </row>
    <row r="313" spans="1:4" hidden="1" x14ac:dyDescent="0.3">
      <c r="A313" t="s">
        <v>92</v>
      </c>
      <c r="B313" t="s">
        <v>41</v>
      </c>
      <c r="C313" s="1">
        <f>HYPERLINK("https://cao.dolgi.msk.ru/account/1010415175/", 1010415175)</f>
        <v>1010415175</v>
      </c>
      <c r="D313">
        <v>0</v>
      </c>
    </row>
    <row r="314" spans="1:4" hidden="1" x14ac:dyDescent="0.3">
      <c r="A314" t="s">
        <v>95</v>
      </c>
      <c r="B314" t="s">
        <v>6</v>
      </c>
      <c r="C314" s="1">
        <f>HYPERLINK("https://cao.dolgi.msk.ru/account/1011131318/", 1011131318)</f>
        <v>1011131318</v>
      </c>
      <c r="D314">
        <v>0</v>
      </c>
    </row>
    <row r="315" spans="1:4" hidden="1" x14ac:dyDescent="0.3">
      <c r="A315" t="s">
        <v>95</v>
      </c>
      <c r="B315" t="s">
        <v>28</v>
      </c>
      <c r="C315" s="1">
        <f>HYPERLINK("https://cao.dolgi.msk.ru/account/1011132679/", 1011132679)</f>
        <v>1011132679</v>
      </c>
      <c r="D315">
        <v>0</v>
      </c>
    </row>
    <row r="316" spans="1:4" hidden="1" x14ac:dyDescent="0.3">
      <c r="A316" t="s">
        <v>95</v>
      </c>
      <c r="B316" t="s">
        <v>35</v>
      </c>
      <c r="C316" s="1">
        <f>HYPERLINK("https://cao.dolgi.msk.ru/account/1011133313/", 1011133313)</f>
        <v>1011133313</v>
      </c>
      <c r="D316">
        <v>-39.22</v>
      </c>
    </row>
    <row r="317" spans="1:4" hidden="1" x14ac:dyDescent="0.3">
      <c r="A317" t="s">
        <v>95</v>
      </c>
      <c r="B317" t="s">
        <v>5</v>
      </c>
      <c r="C317" s="1">
        <f>HYPERLINK("https://cao.dolgi.msk.ru/account/1011133604/", 1011133604)</f>
        <v>1011133604</v>
      </c>
      <c r="D317">
        <v>-422.02</v>
      </c>
    </row>
    <row r="318" spans="1:4" hidden="1" x14ac:dyDescent="0.3">
      <c r="A318" t="s">
        <v>95</v>
      </c>
      <c r="B318" t="s">
        <v>7</v>
      </c>
      <c r="C318" s="1">
        <f>HYPERLINK("https://cao.dolgi.msk.ru/account/1011133081/", 1011133081)</f>
        <v>1011133081</v>
      </c>
      <c r="D318">
        <v>0</v>
      </c>
    </row>
    <row r="319" spans="1:4" hidden="1" x14ac:dyDescent="0.3">
      <c r="A319" t="s">
        <v>95</v>
      </c>
      <c r="B319" t="s">
        <v>8</v>
      </c>
      <c r="C319" s="1">
        <f>HYPERLINK("https://cao.dolgi.msk.ru/account/1011133305/", 1011133305)</f>
        <v>1011133305</v>
      </c>
      <c r="D319">
        <v>0</v>
      </c>
    </row>
    <row r="320" spans="1:4" hidden="1" x14ac:dyDescent="0.3">
      <c r="A320" t="s">
        <v>95</v>
      </c>
      <c r="B320" t="s">
        <v>31</v>
      </c>
      <c r="C320" s="1">
        <f>HYPERLINK("https://cao.dolgi.msk.ru/account/1011132409/", 1011132409)</f>
        <v>1011132409</v>
      </c>
      <c r="D320">
        <v>0</v>
      </c>
    </row>
    <row r="321" spans="1:4" hidden="1" x14ac:dyDescent="0.3">
      <c r="A321" t="s">
        <v>95</v>
      </c>
      <c r="B321" t="s">
        <v>9</v>
      </c>
      <c r="C321" s="1">
        <f>HYPERLINK("https://cao.dolgi.msk.ru/account/1011131879/", 1011131879)</f>
        <v>1011131879</v>
      </c>
      <c r="D321">
        <v>-193.4</v>
      </c>
    </row>
    <row r="322" spans="1:4" hidden="1" x14ac:dyDescent="0.3">
      <c r="A322" t="s">
        <v>95</v>
      </c>
      <c r="B322" t="s">
        <v>10</v>
      </c>
      <c r="C322" s="1">
        <f>HYPERLINK("https://cao.dolgi.msk.ru/account/1011131932/", 1011131932)</f>
        <v>1011131932</v>
      </c>
      <c r="D322">
        <v>0</v>
      </c>
    </row>
    <row r="323" spans="1:4" hidden="1" x14ac:dyDescent="0.3">
      <c r="A323" t="s">
        <v>95</v>
      </c>
      <c r="B323" t="s">
        <v>11</v>
      </c>
      <c r="C323" s="1">
        <f>HYPERLINK("https://cao.dolgi.msk.ru/account/1011132249/", 1011132249)</f>
        <v>1011132249</v>
      </c>
      <c r="D323">
        <v>-15836.6</v>
      </c>
    </row>
    <row r="324" spans="1:4" x14ac:dyDescent="0.3">
      <c r="A324" t="s">
        <v>95</v>
      </c>
      <c r="B324" t="s">
        <v>12</v>
      </c>
      <c r="C324" s="1">
        <f>HYPERLINK("https://cao.dolgi.msk.ru/account/1011133655/", 1011133655)</f>
        <v>1011133655</v>
      </c>
      <c r="D324">
        <v>42671.8</v>
      </c>
    </row>
    <row r="325" spans="1:4" hidden="1" x14ac:dyDescent="0.3">
      <c r="A325" t="s">
        <v>95</v>
      </c>
      <c r="B325" t="s">
        <v>23</v>
      </c>
      <c r="C325" s="1">
        <f>HYPERLINK("https://cao.dolgi.msk.ru/account/1011131641/", 1011131641)</f>
        <v>1011131641</v>
      </c>
      <c r="D325">
        <v>0</v>
      </c>
    </row>
    <row r="326" spans="1:4" hidden="1" x14ac:dyDescent="0.3">
      <c r="A326" t="s">
        <v>95</v>
      </c>
      <c r="B326" t="s">
        <v>13</v>
      </c>
      <c r="C326" s="1">
        <f>HYPERLINK("https://cao.dolgi.msk.ru/account/1011132986/", 1011132986)</f>
        <v>1011132986</v>
      </c>
      <c r="D326">
        <v>0</v>
      </c>
    </row>
    <row r="327" spans="1:4" hidden="1" x14ac:dyDescent="0.3">
      <c r="A327" t="s">
        <v>95</v>
      </c>
      <c r="B327" t="s">
        <v>14</v>
      </c>
      <c r="C327" s="1">
        <f>HYPERLINK("https://cao.dolgi.msk.ru/account/1011131561/", 1011131561)</f>
        <v>1011131561</v>
      </c>
      <c r="D327">
        <v>0</v>
      </c>
    </row>
    <row r="328" spans="1:4" x14ac:dyDescent="0.3">
      <c r="A328" t="s">
        <v>95</v>
      </c>
      <c r="B328" t="s">
        <v>17</v>
      </c>
      <c r="C328" s="1">
        <f>HYPERLINK("https://cao.dolgi.msk.ru/account/1011132273/", 1011132273)</f>
        <v>1011132273</v>
      </c>
      <c r="D328">
        <v>96</v>
      </c>
    </row>
    <row r="329" spans="1:4" hidden="1" x14ac:dyDescent="0.3">
      <c r="A329" t="s">
        <v>95</v>
      </c>
      <c r="B329" t="s">
        <v>18</v>
      </c>
      <c r="C329" s="1">
        <f>HYPERLINK("https://cao.dolgi.msk.ru/account/1011133583/", 1011133583)</f>
        <v>1011133583</v>
      </c>
      <c r="D329">
        <v>-128.63</v>
      </c>
    </row>
    <row r="330" spans="1:4" hidden="1" x14ac:dyDescent="0.3">
      <c r="A330" t="s">
        <v>95</v>
      </c>
      <c r="B330" t="s">
        <v>19</v>
      </c>
      <c r="C330" s="1">
        <f>HYPERLINK("https://cao.dolgi.msk.ru/account/1011132775/", 1011132775)</f>
        <v>1011132775</v>
      </c>
      <c r="D330">
        <v>0</v>
      </c>
    </row>
    <row r="331" spans="1:4" x14ac:dyDescent="0.3">
      <c r="A331" t="s">
        <v>95</v>
      </c>
      <c r="B331" t="s">
        <v>20</v>
      </c>
      <c r="C331" s="1">
        <f>HYPERLINK("https://cao.dolgi.msk.ru/account/1011133284/", 1011133284)</f>
        <v>1011133284</v>
      </c>
      <c r="D331">
        <v>14196.04</v>
      </c>
    </row>
    <row r="332" spans="1:4" hidden="1" x14ac:dyDescent="0.3">
      <c r="A332" t="s">
        <v>95</v>
      </c>
      <c r="B332" t="s">
        <v>21</v>
      </c>
      <c r="C332" s="1">
        <f>HYPERLINK("https://cao.dolgi.msk.ru/account/1011132812/", 1011132812)</f>
        <v>1011132812</v>
      </c>
      <c r="D332">
        <v>-4078.4</v>
      </c>
    </row>
    <row r="333" spans="1:4" x14ac:dyDescent="0.3">
      <c r="A333" t="s">
        <v>95</v>
      </c>
      <c r="B333" t="s">
        <v>22</v>
      </c>
      <c r="C333" s="1">
        <f>HYPERLINK("https://cao.dolgi.msk.ru/account/1011133612/", 1011133612)</f>
        <v>1011133612</v>
      </c>
      <c r="D333">
        <v>7250.96</v>
      </c>
    </row>
    <row r="334" spans="1:4" x14ac:dyDescent="0.3">
      <c r="A334" t="s">
        <v>95</v>
      </c>
      <c r="B334" t="s">
        <v>24</v>
      </c>
      <c r="C334" s="1">
        <f>HYPERLINK("https://cao.dolgi.msk.ru/account/1011131254/", 1011131254)</f>
        <v>1011131254</v>
      </c>
      <c r="D334">
        <v>11069.68</v>
      </c>
    </row>
    <row r="335" spans="1:4" hidden="1" x14ac:dyDescent="0.3">
      <c r="A335" t="s">
        <v>95</v>
      </c>
      <c r="B335" t="s">
        <v>25</v>
      </c>
      <c r="C335" s="1">
        <f>HYPERLINK("https://cao.dolgi.msk.ru/account/1011131393/", 1011131393)</f>
        <v>1011131393</v>
      </c>
      <c r="D335">
        <v>0</v>
      </c>
    </row>
    <row r="336" spans="1:4" hidden="1" x14ac:dyDescent="0.3">
      <c r="A336" t="s">
        <v>95</v>
      </c>
      <c r="B336" t="s">
        <v>26</v>
      </c>
      <c r="C336" s="1">
        <f>HYPERLINK("https://cao.dolgi.msk.ru/account/1011132652/", 1011132652)</f>
        <v>1011132652</v>
      </c>
      <c r="D336">
        <v>0</v>
      </c>
    </row>
    <row r="337" spans="1:4" hidden="1" x14ac:dyDescent="0.3">
      <c r="A337" t="s">
        <v>95</v>
      </c>
      <c r="B337" t="s">
        <v>27</v>
      </c>
      <c r="C337" s="1">
        <f>HYPERLINK("https://cao.dolgi.msk.ru/account/1011132951/", 1011132951)</f>
        <v>1011132951</v>
      </c>
      <c r="D337">
        <v>-10792.78</v>
      </c>
    </row>
    <row r="338" spans="1:4" hidden="1" x14ac:dyDescent="0.3">
      <c r="A338" t="s">
        <v>95</v>
      </c>
      <c r="B338" t="s">
        <v>29</v>
      </c>
      <c r="C338" s="1">
        <f>HYPERLINK("https://cao.dolgi.msk.ru/account/1011132847/", 1011132847)</f>
        <v>1011132847</v>
      </c>
      <c r="D338">
        <v>0</v>
      </c>
    </row>
    <row r="339" spans="1:4" x14ac:dyDescent="0.3">
      <c r="A339" t="s">
        <v>95</v>
      </c>
      <c r="B339" t="s">
        <v>38</v>
      </c>
      <c r="C339" s="1">
        <f>HYPERLINK("https://cao.dolgi.msk.ru/account/1011132628/", 1011132628)</f>
        <v>1011132628</v>
      </c>
      <c r="D339">
        <v>14169.59</v>
      </c>
    </row>
    <row r="340" spans="1:4" x14ac:dyDescent="0.3">
      <c r="A340" t="s">
        <v>95</v>
      </c>
      <c r="B340" t="s">
        <v>39</v>
      </c>
      <c r="C340" s="1">
        <f>HYPERLINK("https://cao.dolgi.msk.ru/account/1011132169/", 1011132169)</f>
        <v>1011132169</v>
      </c>
      <c r="D340">
        <v>18838.25</v>
      </c>
    </row>
    <row r="341" spans="1:4" x14ac:dyDescent="0.3">
      <c r="A341" t="s">
        <v>95</v>
      </c>
      <c r="B341" t="s">
        <v>40</v>
      </c>
      <c r="C341" s="1">
        <f>HYPERLINK("https://cao.dolgi.msk.ru/account/1011131772/", 1011131772)</f>
        <v>1011131772</v>
      </c>
      <c r="D341">
        <v>4944.41</v>
      </c>
    </row>
    <row r="342" spans="1:4" x14ac:dyDescent="0.3">
      <c r="A342" t="s">
        <v>95</v>
      </c>
      <c r="B342" t="s">
        <v>41</v>
      </c>
      <c r="C342" s="1">
        <f>HYPERLINK("https://cao.dolgi.msk.ru/account/1011131924/", 1011131924)</f>
        <v>1011131924</v>
      </c>
      <c r="D342">
        <v>7490.35</v>
      </c>
    </row>
    <row r="343" spans="1:4" hidden="1" x14ac:dyDescent="0.3">
      <c r="A343" t="s">
        <v>95</v>
      </c>
      <c r="B343" t="s">
        <v>51</v>
      </c>
      <c r="C343" s="1">
        <f>HYPERLINK("https://cao.dolgi.msk.ru/account/1011131844/", 1011131844)</f>
        <v>1011131844</v>
      </c>
      <c r="D343">
        <v>0</v>
      </c>
    </row>
    <row r="344" spans="1:4" x14ac:dyDescent="0.3">
      <c r="A344" t="s">
        <v>95</v>
      </c>
      <c r="B344" t="s">
        <v>52</v>
      </c>
      <c r="C344" s="1">
        <f>HYPERLINK("https://cao.dolgi.msk.ru/account/1011131836/", 1011131836)</f>
        <v>1011131836</v>
      </c>
      <c r="D344">
        <v>21732.33</v>
      </c>
    </row>
    <row r="345" spans="1:4" hidden="1" x14ac:dyDescent="0.3">
      <c r="A345" t="s">
        <v>95</v>
      </c>
      <c r="B345" t="s">
        <v>53</v>
      </c>
      <c r="C345" s="1">
        <f>HYPERLINK("https://cao.dolgi.msk.ru/account/1011131676/", 1011131676)</f>
        <v>1011131676</v>
      </c>
      <c r="D345">
        <v>0</v>
      </c>
    </row>
    <row r="346" spans="1:4" hidden="1" x14ac:dyDescent="0.3">
      <c r="A346" t="s">
        <v>95</v>
      </c>
      <c r="B346" t="s">
        <v>54</v>
      </c>
      <c r="C346" s="1">
        <f>HYPERLINK("https://cao.dolgi.msk.ru/account/1011132214/", 1011132214)</f>
        <v>1011132214</v>
      </c>
      <c r="D346">
        <v>0</v>
      </c>
    </row>
    <row r="347" spans="1:4" hidden="1" x14ac:dyDescent="0.3">
      <c r="A347" t="s">
        <v>95</v>
      </c>
      <c r="B347" t="s">
        <v>55</v>
      </c>
      <c r="C347" s="1">
        <f>HYPERLINK("https://cao.dolgi.msk.ru/account/1011131238/", 1011131238)</f>
        <v>1011131238</v>
      </c>
      <c r="D347">
        <v>0</v>
      </c>
    </row>
    <row r="348" spans="1:4" hidden="1" x14ac:dyDescent="0.3">
      <c r="A348" t="s">
        <v>95</v>
      </c>
      <c r="B348" t="s">
        <v>87</v>
      </c>
      <c r="C348" s="1">
        <f>HYPERLINK("https://cao.dolgi.msk.ru/account/1011133575/", 1011133575)</f>
        <v>1011133575</v>
      </c>
      <c r="D348">
        <v>0</v>
      </c>
    </row>
    <row r="349" spans="1:4" hidden="1" x14ac:dyDescent="0.3">
      <c r="A349" t="s">
        <v>95</v>
      </c>
      <c r="B349" t="s">
        <v>88</v>
      </c>
      <c r="C349" s="1">
        <f>HYPERLINK("https://cao.dolgi.msk.ru/account/1011132281/", 1011132281)</f>
        <v>1011132281</v>
      </c>
      <c r="D349">
        <v>-45441.61</v>
      </c>
    </row>
    <row r="350" spans="1:4" hidden="1" x14ac:dyDescent="0.3">
      <c r="A350" t="s">
        <v>95</v>
      </c>
      <c r="B350" t="s">
        <v>89</v>
      </c>
      <c r="C350" s="1">
        <f>HYPERLINK("https://cao.dolgi.msk.ru/account/1011132708/", 1011132708)</f>
        <v>1011132708</v>
      </c>
      <c r="D350">
        <v>0</v>
      </c>
    </row>
    <row r="351" spans="1:4" hidden="1" x14ac:dyDescent="0.3">
      <c r="A351" t="s">
        <v>95</v>
      </c>
      <c r="B351" t="s">
        <v>90</v>
      </c>
      <c r="C351" s="1">
        <f>HYPERLINK("https://cao.dolgi.msk.ru/account/1011133217/", 1011133217)</f>
        <v>1011133217</v>
      </c>
      <c r="D351">
        <v>0</v>
      </c>
    </row>
    <row r="352" spans="1:4" hidden="1" x14ac:dyDescent="0.3">
      <c r="A352" t="s">
        <v>95</v>
      </c>
      <c r="B352" t="s">
        <v>96</v>
      </c>
      <c r="C352" s="1">
        <f>HYPERLINK("https://cao.dolgi.msk.ru/account/1011131801/", 1011131801)</f>
        <v>1011131801</v>
      </c>
      <c r="D352">
        <v>0</v>
      </c>
    </row>
    <row r="353" spans="1:4" hidden="1" x14ac:dyDescent="0.3">
      <c r="A353" t="s">
        <v>95</v>
      </c>
      <c r="B353" t="s">
        <v>97</v>
      </c>
      <c r="C353" s="1">
        <f>HYPERLINK("https://cao.dolgi.msk.ru/account/1011132484/", 1011132484)</f>
        <v>1011132484</v>
      </c>
      <c r="D353">
        <v>0</v>
      </c>
    </row>
    <row r="354" spans="1:4" hidden="1" x14ac:dyDescent="0.3">
      <c r="A354" t="s">
        <v>95</v>
      </c>
      <c r="B354" t="s">
        <v>98</v>
      </c>
      <c r="C354" s="1">
        <f>HYPERLINK("https://cao.dolgi.msk.ru/account/1011132767/", 1011132767)</f>
        <v>1011132767</v>
      </c>
      <c r="D354">
        <v>0</v>
      </c>
    </row>
    <row r="355" spans="1:4" hidden="1" x14ac:dyDescent="0.3">
      <c r="A355" t="s">
        <v>95</v>
      </c>
      <c r="B355" t="s">
        <v>58</v>
      </c>
      <c r="C355" s="1">
        <f>HYPERLINK("https://cao.dolgi.msk.ru/account/1011133057/", 1011133057)</f>
        <v>1011133057</v>
      </c>
      <c r="D355">
        <v>0</v>
      </c>
    </row>
    <row r="356" spans="1:4" x14ac:dyDescent="0.3">
      <c r="A356" t="s">
        <v>95</v>
      </c>
      <c r="B356" t="s">
        <v>59</v>
      </c>
      <c r="C356" s="1">
        <f>HYPERLINK("https://cao.dolgi.msk.ru/account/1011132783/", 1011132783)</f>
        <v>1011132783</v>
      </c>
      <c r="D356">
        <v>133658.20000000001</v>
      </c>
    </row>
    <row r="357" spans="1:4" hidden="1" x14ac:dyDescent="0.3">
      <c r="A357" t="s">
        <v>95</v>
      </c>
      <c r="B357" t="s">
        <v>60</v>
      </c>
      <c r="C357" s="1">
        <f>HYPERLINK("https://cao.dolgi.msk.ru/account/1011131959/", 1011131959)</f>
        <v>1011131959</v>
      </c>
      <c r="D357">
        <v>0</v>
      </c>
    </row>
    <row r="358" spans="1:4" hidden="1" x14ac:dyDescent="0.3">
      <c r="A358" t="s">
        <v>95</v>
      </c>
      <c r="B358" t="s">
        <v>61</v>
      </c>
      <c r="C358" s="1">
        <f>HYPERLINK("https://cao.dolgi.msk.ru/account/1011133292/", 1011133292)</f>
        <v>1011133292</v>
      </c>
      <c r="D358">
        <v>0</v>
      </c>
    </row>
    <row r="359" spans="1:4" hidden="1" x14ac:dyDescent="0.3">
      <c r="A359" t="s">
        <v>95</v>
      </c>
      <c r="B359" t="s">
        <v>62</v>
      </c>
      <c r="C359" s="1">
        <f>HYPERLINK("https://cao.dolgi.msk.ru/account/1011133663/", 1011133663)</f>
        <v>1011133663</v>
      </c>
      <c r="D359">
        <v>0</v>
      </c>
    </row>
    <row r="360" spans="1:4" hidden="1" x14ac:dyDescent="0.3">
      <c r="A360" t="s">
        <v>95</v>
      </c>
      <c r="B360" t="s">
        <v>63</v>
      </c>
      <c r="C360" s="1">
        <f>HYPERLINK("https://cao.dolgi.msk.ru/account/1011132441/", 1011132441)</f>
        <v>1011132441</v>
      </c>
      <c r="D360">
        <v>0</v>
      </c>
    </row>
    <row r="361" spans="1:4" hidden="1" x14ac:dyDescent="0.3">
      <c r="A361" t="s">
        <v>95</v>
      </c>
      <c r="B361" t="s">
        <v>64</v>
      </c>
      <c r="C361" s="1">
        <f>HYPERLINK("https://cao.dolgi.msk.ru/account/1011131983/", 1011131983)</f>
        <v>1011131983</v>
      </c>
      <c r="D361">
        <v>0</v>
      </c>
    </row>
    <row r="362" spans="1:4" hidden="1" x14ac:dyDescent="0.3">
      <c r="A362" t="s">
        <v>95</v>
      </c>
      <c r="B362" t="s">
        <v>65</v>
      </c>
      <c r="C362" s="1">
        <f>HYPERLINK("https://cao.dolgi.msk.ru/account/1011131465/", 1011131465)</f>
        <v>1011131465</v>
      </c>
      <c r="D362">
        <v>-10382.69</v>
      </c>
    </row>
    <row r="363" spans="1:4" x14ac:dyDescent="0.3">
      <c r="A363" t="s">
        <v>95</v>
      </c>
      <c r="B363" t="s">
        <v>66</v>
      </c>
      <c r="C363" s="1">
        <f>HYPERLINK("https://cao.dolgi.msk.ru/account/1011132572/", 1011132572)</f>
        <v>1011132572</v>
      </c>
      <c r="D363">
        <v>1038</v>
      </c>
    </row>
    <row r="364" spans="1:4" hidden="1" x14ac:dyDescent="0.3">
      <c r="A364" t="s">
        <v>95</v>
      </c>
      <c r="B364" t="s">
        <v>67</v>
      </c>
      <c r="C364" s="1">
        <f>HYPERLINK("https://cao.dolgi.msk.ru/account/1011132687/", 1011132687)</f>
        <v>1011132687</v>
      </c>
      <c r="D364">
        <v>0</v>
      </c>
    </row>
    <row r="365" spans="1:4" hidden="1" x14ac:dyDescent="0.3">
      <c r="A365" t="s">
        <v>95</v>
      </c>
      <c r="B365" t="s">
        <v>68</v>
      </c>
      <c r="C365" s="1">
        <f>HYPERLINK("https://cao.dolgi.msk.ru/account/1011133508/", 1011133508)</f>
        <v>1011133508</v>
      </c>
      <c r="D365">
        <v>-10677.41</v>
      </c>
    </row>
    <row r="366" spans="1:4" hidden="1" x14ac:dyDescent="0.3">
      <c r="A366" t="s">
        <v>95</v>
      </c>
      <c r="B366" t="s">
        <v>69</v>
      </c>
      <c r="C366" s="1">
        <f>HYPERLINK("https://cao.dolgi.msk.ru/account/1011133196/", 1011133196)</f>
        <v>1011133196</v>
      </c>
      <c r="D366">
        <v>0</v>
      </c>
    </row>
    <row r="367" spans="1:4" hidden="1" x14ac:dyDescent="0.3">
      <c r="A367" t="s">
        <v>95</v>
      </c>
      <c r="B367" t="s">
        <v>99</v>
      </c>
      <c r="C367" s="1">
        <f>HYPERLINK("https://cao.dolgi.msk.ru/account/1011132329/", 1011132329)</f>
        <v>1011132329</v>
      </c>
      <c r="D367">
        <v>0</v>
      </c>
    </row>
    <row r="368" spans="1:4" hidden="1" x14ac:dyDescent="0.3">
      <c r="A368" t="s">
        <v>95</v>
      </c>
      <c r="B368" t="s">
        <v>100</v>
      </c>
      <c r="C368" s="1">
        <f>HYPERLINK("https://cao.dolgi.msk.ru/account/1011131799/", 1011131799)</f>
        <v>1011131799</v>
      </c>
      <c r="D368">
        <v>-640.4</v>
      </c>
    </row>
    <row r="369" spans="1:4" x14ac:dyDescent="0.3">
      <c r="A369" t="s">
        <v>95</v>
      </c>
      <c r="B369" t="s">
        <v>72</v>
      </c>
      <c r="C369" s="1">
        <f>HYPERLINK("https://cao.dolgi.msk.ru/account/1011131967/", 1011131967)</f>
        <v>1011131967</v>
      </c>
      <c r="D369">
        <v>5551.65</v>
      </c>
    </row>
    <row r="370" spans="1:4" hidden="1" x14ac:dyDescent="0.3">
      <c r="A370" t="s">
        <v>95</v>
      </c>
      <c r="B370" t="s">
        <v>73</v>
      </c>
      <c r="C370" s="1">
        <f>HYPERLINK("https://cao.dolgi.msk.ru/account/1011133372/", 1011133372)</f>
        <v>1011133372</v>
      </c>
      <c r="D370">
        <v>0</v>
      </c>
    </row>
    <row r="371" spans="1:4" hidden="1" x14ac:dyDescent="0.3">
      <c r="A371" t="s">
        <v>95</v>
      </c>
      <c r="B371" t="s">
        <v>74</v>
      </c>
      <c r="C371" s="1">
        <f>HYPERLINK("https://cao.dolgi.msk.ru/account/1011133794/", 1011133794)</f>
        <v>1011133794</v>
      </c>
      <c r="D371">
        <v>0</v>
      </c>
    </row>
    <row r="372" spans="1:4" hidden="1" x14ac:dyDescent="0.3">
      <c r="A372" t="s">
        <v>95</v>
      </c>
      <c r="B372" t="s">
        <v>75</v>
      </c>
      <c r="C372" s="1">
        <f>HYPERLINK("https://cao.dolgi.msk.ru/account/1011133743/", 1011133743)</f>
        <v>1011133743</v>
      </c>
      <c r="D372">
        <v>0</v>
      </c>
    </row>
    <row r="373" spans="1:4" hidden="1" x14ac:dyDescent="0.3">
      <c r="A373" t="s">
        <v>95</v>
      </c>
      <c r="B373" t="s">
        <v>76</v>
      </c>
      <c r="C373" s="1">
        <f>HYPERLINK("https://cao.dolgi.msk.ru/account/1011131035/", 1011131035)</f>
        <v>1011131035</v>
      </c>
      <c r="D373">
        <v>0</v>
      </c>
    </row>
    <row r="374" spans="1:4" x14ac:dyDescent="0.3">
      <c r="A374" t="s">
        <v>95</v>
      </c>
      <c r="B374" t="s">
        <v>77</v>
      </c>
      <c r="C374" s="1">
        <f>HYPERLINK("https://cao.dolgi.msk.ru/account/1011133014/", 1011133014)</f>
        <v>1011133014</v>
      </c>
      <c r="D374">
        <v>19093.060000000001</v>
      </c>
    </row>
    <row r="375" spans="1:4" x14ac:dyDescent="0.3">
      <c r="A375" t="s">
        <v>95</v>
      </c>
      <c r="B375" t="s">
        <v>78</v>
      </c>
      <c r="C375" s="1">
        <f>HYPERLINK("https://cao.dolgi.msk.ru/account/1011131756/", 1011131756)</f>
        <v>1011131756</v>
      </c>
      <c r="D375">
        <v>4059.7</v>
      </c>
    </row>
    <row r="376" spans="1:4" x14ac:dyDescent="0.3">
      <c r="A376" t="s">
        <v>95</v>
      </c>
      <c r="B376" t="s">
        <v>79</v>
      </c>
      <c r="C376" s="1">
        <f>HYPERLINK("https://cao.dolgi.msk.ru/account/1011131027/", 1011131027)</f>
        <v>1011131027</v>
      </c>
      <c r="D376">
        <v>6279.08</v>
      </c>
    </row>
    <row r="377" spans="1:4" hidden="1" x14ac:dyDescent="0.3">
      <c r="A377" t="s">
        <v>95</v>
      </c>
      <c r="B377" t="s">
        <v>80</v>
      </c>
      <c r="C377" s="1">
        <f>HYPERLINK("https://cao.dolgi.msk.ru/account/1011131123/", 1011131123)</f>
        <v>1011131123</v>
      </c>
      <c r="D377">
        <v>0</v>
      </c>
    </row>
    <row r="378" spans="1:4" hidden="1" x14ac:dyDescent="0.3">
      <c r="A378" t="s">
        <v>95</v>
      </c>
      <c r="B378" t="s">
        <v>81</v>
      </c>
      <c r="C378" s="1">
        <f>HYPERLINK("https://cao.dolgi.msk.ru/account/1011132492/", 1011132492)</f>
        <v>1011132492</v>
      </c>
      <c r="D378">
        <v>0</v>
      </c>
    </row>
    <row r="379" spans="1:4" hidden="1" x14ac:dyDescent="0.3">
      <c r="A379" t="s">
        <v>95</v>
      </c>
      <c r="B379" t="s">
        <v>101</v>
      </c>
      <c r="C379" s="1">
        <f>HYPERLINK("https://cao.dolgi.msk.ru/account/1011132097/", 1011132097)</f>
        <v>1011132097</v>
      </c>
      <c r="D379">
        <v>0</v>
      </c>
    </row>
    <row r="380" spans="1:4" hidden="1" x14ac:dyDescent="0.3">
      <c r="A380" t="s">
        <v>95</v>
      </c>
      <c r="B380" t="s">
        <v>82</v>
      </c>
      <c r="C380" s="1">
        <f>HYPERLINK("https://cao.dolgi.msk.ru/account/1011132206/", 1011132206)</f>
        <v>1011132206</v>
      </c>
      <c r="D380">
        <v>0</v>
      </c>
    </row>
    <row r="381" spans="1:4" x14ac:dyDescent="0.3">
      <c r="A381" t="s">
        <v>95</v>
      </c>
      <c r="B381" t="s">
        <v>83</v>
      </c>
      <c r="C381" s="1">
        <f>HYPERLINK("https://cao.dolgi.msk.ru/account/1011131852/", 1011131852)</f>
        <v>1011131852</v>
      </c>
      <c r="D381">
        <v>17238.5</v>
      </c>
    </row>
    <row r="382" spans="1:4" x14ac:dyDescent="0.3">
      <c r="A382" t="s">
        <v>95</v>
      </c>
      <c r="B382" t="s">
        <v>84</v>
      </c>
      <c r="C382" s="1">
        <f>HYPERLINK("https://cao.dolgi.msk.ru/account/1011133532/", 1011133532)</f>
        <v>1011133532</v>
      </c>
      <c r="D382">
        <v>27054.65</v>
      </c>
    </row>
    <row r="383" spans="1:4" x14ac:dyDescent="0.3">
      <c r="A383" t="s">
        <v>95</v>
      </c>
      <c r="B383" t="s">
        <v>85</v>
      </c>
      <c r="C383" s="1">
        <f>HYPERLINK("https://cao.dolgi.msk.ru/account/1011133751/", 1011133751)</f>
        <v>1011133751</v>
      </c>
      <c r="D383">
        <v>101072</v>
      </c>
    </row>
    <row r="384" spans="1:4" hidden="1" x14ac:dyDescent="0.3">
      <c r="A384" t="s">
        <v>95</v>
      </c>
      <c r="B384" t="s">
        <v>102</v>
      </c>
      <c r="C384" s="1">
        <f>HYPERLINK("https://cao.dolgi.msk.ru/account/1011132863/", 1011132863)</f>
        <v>1011132863</v>
      </c>
      <c r="D384">
        <v>-19.34</v>
      </c>
    </row>
    <row r="385" spans="1:4" hidden="1" x14ac:dyDescent="0.3">
      <c r="A385" t="s">
        <v>95</v>
      </c>
      <c r="B385" t="s">
        <v>103</v>
      </c>
      <c r="C385" s="1">
        <f>HYPERLINK("https://cao.dolgi.msk.ru/account/1011132142/", 1011132142)</f>
        <v>1011132142</v>
      </c>
      <c r="D385">
        <v>0</v>
      </c>
    </row>
    <row r="386" spans="1:4" hidden="1" x14ac:dyDescent="0.3">
      <c r="A386" t="s">
        <v>95</v>
      </c>
      <c r="B386" t="s">
        <v>104</v>
      </c>
      <c r="C386" s="1">
        <f>HYPERLINK("https://cao.dolgi.msk.ru/account/1011131668/", 1011131668)</f>
        <v>1011131668</v>
      </c>
      <c r="D386">
        <v>0</v>
      </c>
    </row>
    <row r="387" spans="1:4" hidden="1" x14ac:dyDescent="0.3">
      <c r="A387" t="s">
        <v>95</v>
      </c>
      <c r="B387" t="s">
        <v>105</v>
      </c>
      <c r="C387" s="1">
        <f>HYPERLINK("https://cao.dolgi.msk.ru/account/1011131748/", 1011131748)</f>
        <v>1011131748</v>
      </c>
      <c r="D387">
        <v>-9690.0300000000007</v>
      </c>
    </row>
    <row r="388" spans="1:4" hidden="1" x14ac:dyDescent="0.3">
      <c r="A388" t="s">
        <v>95</v>
      </c>
      <c r="B388" t="s">
        <v>106</v>
      </c>
      <c r="C388" s="1">
        <f>HYPERLINK("https://cao.dolgi.msk.ru/account/1011132564/", 1011132564)</f>
        <v>1011132564</v>
      </c>
      <c r="D388">
        <v>0</v>
      </c>
    </row>
    <row r="389" spans="1:4" hidden="1" x14ac:dyDescent="0.3">
      <c r="A389" t="s">
        <v>95</v>
      </c>
      <c r="B389" t="s">
        <v>107</v>
      </c>
      <c r="C389" s="1">
        <f>HYPERLINK("https://cao.dolgi.msk.ru/account/1011132919/", 1011132919)</f>
        <v>1011132919</v>
      </c>
      <c r="D389">
        <v>-6321.77</v>
      </c>
    </row>
    <row r="390" spans="1:4" hidden="1" x14ac:dyDescent="0.3">
      <c r="A390" t="s">
        <v>95</v>
      </c>
      <c r="B390" t="s">
        <v>108</v>
      </c>
      <c r="C390" s="1">
        <f>HYPERLINK("https://cao.dolgi.msk.ru/account/1011132265/", 1011132265)</f>
        <v>1011132265</v>
      </c>
      <c r="D390">
        <v>0</v>
      </c>
    </row>
    <row r="391" spans="1:4" x14ac:dyDescent="0.3">
      <c r="A391" t="s">
        <v>95</v>
      </c>
      <c r="B391" t="s">
        <v>109</v>
      </c>
      <c r="C391" s="1">
        <f>HYPERLINK("https://cao.dolgi.msk.ru/account/1011132556/", 1011132556)</f>
        <v>1011132556</v>
      </c>
      <c r="D391">
        <v>13362.94</v>
      </c>
    </row>
    <row r="392" spans="1:4" hidden="1" x14ac:dyDescent="0.3">
      <c r="A392" t="s">
        <v>95</v>
      </c>
      <c r="B392" t="s">
        <v>110</v>
      </c>
      <c r="C392" s="1">
        <f>HYPERLINK("https://cao.dolgi.msk.ru/account/1011133671/", 1011133671)</f>
        <v>1011133671</v>
      </c>
      <c r="D392">
        <v>0</v>
      </c>
    </row>
    <row r="393" spans="1:4" hidden="1" x14ac:dyDescent="0.3">
      <c r="A393" t="s">
        <v>95</v>
      </c>
      <c r="B393" t="s">
        <v>111</v>
      </c>
      <c r="C393" s="1">
        <f>HYPERLINK("https://cao.dolgi.msk.ru/account/1011131211/", 1011131211)</f>
        <v>1011131211</v>
      </c>
      <c r="D393">
        <v>0</v>
      </c>
    </row>
    <row r="394" spans="1:4" hidden="1" x14ac:dyDescent="0.3">
      <c r="A394" t="s">
        <v>95</v>
      </c>
      <c r="B394" t="s">
        <v>112</v>
      </c>
      <c r="C394" s="1">
        <f>HYPERLINK("https://cao.dolgi.msk.ru/account/1011132871/", 1011132871)</f>
        <v>1011132871</v>
      </c>
      <c r="D394">
        <v>0</v>
      </c>
    </row>
    <row r="395" spans="1:4" hidden="1" x14ac:dyDescent="0.3">
      <c r="A395" t="s">
        <v>95</v>
      </c>
      <c r="B395" t="s">
        <v>113</v>
      </c>
      <c r="C395" s="1">
        <f>HYPERLINK("https://cao.dolgi.msk.ru/account/1011133436/", 1011133436)</f>
        <v>1011133436</v>
      </c>
      <c r="D395">
        <v>0</v>
      </c>
    </row>
    <row r="396" spans="1:4" hidden="1" x14ac:dyDescent="0.3">
      <c r="A396" t="s">
        <v>95</v>
      </c>
      <c r="B396" t="s">
        <v>114</v>
      </c>
      <c r="C396" s="1">
        <f>HYPERLINK("https://cao.dolgi.msk.ru/account/1011131764/", 1011131764)</f>
        <v>1011131764</v>
      </c>
      <c r="D396">
        <v>0</v>
      </c>
    </row>
    <row r="397" spans="1:4" hidden="1" x14ac:dyDescent="0.3">
      <c r="A397" t="s">
        <v>95</v>
      </c>
      <c r="B397" t="s">
        <v>115</v>
      </c>
      <c r="C397" s="1">
        <f>HYPERLINK("https://cao.dolgi.msk.ru/account/1011131502/", 1011131502)</f>
        <v>1011131502</v>
      </c>
      <c r="D397">
        <v>0</v>
      </c>
    </row>
    <row r="398" spans="1:4" x14ac:dyDescent="0.3">
      <c r="A398" t="s">
        <v>95</v>
      </c>
      <c r="B398" t="s">
        <v>116</v>
      </c>
      <c r="C398" s="1">
        <f>HYPERLINK("https://cao.dolgi.msk.ru/account/1011131991/", 1011131991)</f>
        <v>1011131991</v>
      </c>
      <c r="D398">
        <v>17916.13</v>
      </c>
    </row>
    <row r="399" spans="1:4" hidden="1" x14ac:dyDescent="0.3">
      <c r="A399" t="s">
        <v>95</v>
      </c>
      <c r="B399" t="s">
        <v>117</v>
      </c>
      <c r="C399" s="1">
        <f>HYPERLINK("https://cao.dolgi.msk.ru/account/1011133786/", 1011133786)</f>
        <v>1011133786</v>
      </c>
      <c r="D399">
        <v>-10036.99</v>
      </c>
    </row>
    <row r="400" spans="1:4" hidden="1" x14ac:dyDescent="0.3">
      <c r="A400" t="s">
        <v>95</v>
      </c>
      <c r="B400" t="s">
        <v>118</v>
      </c>
      <c r="C400" s="1">
        <f>HYPERLINK("https://cao.dolgi.msk.ru/account/1011133145/", 1011133145)</f>
        <v>1011133145</v>
      </c>
      <c r="D400">
        <v>0</v>
      </c>
    </row>
    <row r="401" spans="1:4" hidden="1" x14ac:dyDescent="0.3">
      <c r="A401" t="s">
        <v>95</v>
      </c>
      <c r="B401" t="s">
        <v>119</v>
      </c>
      <c r="C401" s="1">
        <f>HYPERLINK("https://cao.dolgi.msk.ru/account/1011132695/", 1011132695)</f>
        <v>1011132695</v>
      </c>
      <c r="D401">
        <v>0</v>
      </c>
    </row>
    <row r="402" spans="1:4" hidden="1" x14ac:dyDescent="0.3">
      <c r="A402" t="s">
        <v>95</v>
      </c>
      <c r="B402" t="s">
        <v>120</v>
      </c>
      <c r="C402" s="1">
        <f>HYPERLINK("https://cao.dolgi.msk.ru/account/1011132046/", 1011132046)</f>
        <v>1011132046</v>
      </c>
      <c r="D402">
        <v>0</v>
      </c>
    </row>
    <row r="403" spans="1:4" hidden="1" x14ac:dyDescent="0.3">
      <c r="A403" t="s">
        <v>95</v>
      </c>
      <c r="B403" t="s">
        <v>121</v>
      </c>
      <c r="C403" s="1">
        <f>HYPERLINK("https://cao.dolgi.msk.ru/account/1011133241/", 1011133241)</f>
        <v>1011133241</v>
      </c>
      <c r="D403">
        <v>0</v>
      </c>
    </row>
    <row r="404" spans="1:4" hidden="1" x14ac:dyDescent="0.3">
      <c r="A404" t="s">
        <v>95</v>
      </c>
      <c r="B404" t="s">
        <v>122</v>
      </c>
      <c r="C404" s="1">
        <f>HYPERLINK("https://cao.dolgi.msk.ru/account/1011133022/", 1011133022)</f>
        <v>1011133022</v>
      </c>
      <c r="D404">
        <v>0</v>
      </c>
    </row>
    <row r="405" spans="1:4" hidden="1" x14ac:dyDescent="0.3">
      <c r="A405" t="s">
        <v>95</v>
      </c>
      <c r="B405" t="s">
        <v>123</v>
      </c>
      <c r="C405" s="1">
        <f>HYPERLINK("https://cao.dolgi.msk.ru/account/1011132302/", 1011132302)</f>
        <v>1011132302</v>
      </c>
      <c r="D405">
        <v>0</v>
      </c>
    </row>
    <row r="406" spans="1:4" hidden="1" x14ac:dyDescent="0.3">
      <c r="A406" t="s">
        <v>95</v>
      </c>
      <c r="B406" t="s">
        <v>124</v>
      </c>
      <c r="C406" s="1">
        <f>HYPERLINK("https://cao.dolgi.msk.ru/account/1011132003/", 1011132003)</f>
        <v>1011132003</v>
      </c>
      <c r="D406">
        <v>0</v>
      </c>
    </row>
    <row r="407" spans="1:4" hidden="1" x14ac:dyDescent="0.3">
      <c r="A407" t="s">
        <v>95</v>
      </c>
      <c r="B407" t="s">
        <v>125</v>
      </c>
      <c r="C407" s="1">
        <f>HYPERLINK("https://cao.dolgi.msk.ru/account/1011133735/", 1011133735)</f>
        <v>1011133735</v>
      </c>
      <c r="D407">
        <v>0</v>
      </c>
    </row>
    <row r="408" spans="1:4" hidden="1" x14ac:dyDescent="0.3">
      <c r="A408" t="s">
        <v>95</v>
      </c>
      <c r="B408" t="s">
        <v>126</v>
      </c>
      <c r="C408" s="1">
        <f>HYPERLINK("https://cao.dolgi.msk.ru/account/1011132898/", 1011132898)</f>
        <v>1011132898</v>
      </c>
      <c r="D408">
        <v>0</v>
      </c>
    </row>
    <row r="409" spans="1:4" x14ac:dyDescent="0.3">
      <c r="A409" t="s">
        <v>95</v>
      </c>
      <c r="B409" t="s">
        <v>127</v>
      </c>
      <c r="C409" s="1">
        <f>HYPERLINK("https://cao.dolgi.msk.ru/account/1011133719/", 1011133719)</f>
        <v>1011133719</v>
      </c>
      <c r="D409">
        <v>27007.46</v>
      </c>
    </row>
    <row r="410" spans="1:4" hidden="1" x14ac:dyDescent="0.3">
      <c r="A410" t="s">
        <v>95</v>
      </c>
      <c r="B410" t="s">
        <v>128</v>
      </c>
      <c r="C410" s="1">
        <f>HYPERLINK("https://cao.dolgi.msk.ru/account/1011131553/", 1011131553)</f>
        <v>1011131553</v>
      </c>
      <c r="D410">
        <v>-1425.77</v>
      </c>
    </row>
    <row r="411" spans="1:4" hidden="1" x14ac:dyDescent="0.3">
      <c r="A411" t="s">
        <v>95</v>
      </c>
      <c r="B411" t="s">
        <v>129</v>
      </c>
      <c r="C411" s="1">
        <f>HYPERLINK("https://cao.dolgi.msk.ru/account/1011131203/", 1011131203)</f>
        <v>1011131203</v>
      </c>
      <c r="D411">
        <v>-1066.1300000000001</v>
      </c>
    </row>
    <row r="412" spans="1:4" x14ac:dyDescent="0.3">
      <c r="A412" t="s">
        <v>95</v>
      </c>
      <c r="B412" t="s">
        <v>130</v>
      </c>
      <c r="C412" s="1">
        <f>HYPERLINK("https://cao.dolgi.msk.ru/account/1011133639/", 1011133639)</f>
        <v>1011133639</v>
      </c>
      <c r="D412">
        <v>13933.49</v>
      </c>
    </row>
    <row r="413" spans="1:4" hidden="1" x14ac:dyDescent="0.3">
      <c r="A413" t="s">
        <v>95</v>
      </c>
      <c r="B413" t="s">
        <v>131</v>
      </c>
      <c r="C413" s="1">
        <f>HYPERLINK("https://cao.dolgi.msk.ru/account/1011133006/", 1011133006)</f>
        <v>1011133006</v>
      </c>
      <c r="D413">
        <v>-9364.7900000000009</v>
      </c>
    </row>
    <row r="414" spans="1:4" hidden="1" x14ac:dyDescent="0.3">
      <c r="A414" t="s">
        <v>95</v>
      </c>
      <c r="B414" t="s">
        <v>132</v>
      </c>
      <c r="C414" s="1">
        <f>HYPERLINK("https://cao.dolgi.msk.ru/account/1011131705/", 1011131705)</f>
        <v>1011131705</v>
      </c>
      <c r="D414">
        <v>-15699.39</v>
      </c>
    </row>
    <row r="415" spans="1:4" hidden="1" x14ac:dyDescent="0.3">
      <c r="A415" t="s">
        <v>95</v>
      </c>
      <c r="B415" t="s">
        <v>133</v>
      </c>
      <c r="C415" s="1">
        <f>HYPERLINK("https://cao.dolgi.msk.ru/account/1011131633/", 1011131633)</f>
        <v>1011131633</v>
      </c>
      <c r="D415">
        <v>0</v>
      </c>
    </row>
    <row r="416" spans="1:4" hidden="1" x14ac:dyDescent="0.3">
      <c r="A416" t="s">
        <v>95</v>
      </c>
      <c r="B416" t="s">
        <v>134</v>
      </c>
      <c r="C416" s="1">
        <f>HYPERLINK("https://cao.dolgi.msk.ru/account/1011132935/", 1011132935)</f>
        <v>1011132935</v>
      </c>
      <c r="D416">
        <v>0</v>
      </c>
    </row>
    <row r="417" spans="1:4" hidden="1" x14ac:dyDescent="0.3">
      <c r="A417" t="s">
        <v>95</v>
      </c>
      <c r="B417" t="s">
        <v>135</v>
      </c>
      <c r="C417" s="1">
        <f>HYPERLINK("https://cao.dolgi.msk.ru/account/1011132468/", 1011132468)</f>
        <v>1011132468</v>
      </c>
      <c r="D417">
        <v>0</v>
      </c>
    </row>
    <row r="418" spans="1:4" hidden="1" x14ac:dyDescent="0.3">
      <c r="A418" t="s">
        <v>95</v>
      </c>
      <c r="B418" t="s">
        <v>136</v>
      </c>
      <c r="C418" s="1">
        <f>HYPERLINK("https://cao.dolgi.msk.ru/account/1011133356/", 1011133356)</f>
        <v>1011133356</v>
      </c>
      <c r="D418">
        <v>0</v>
      </c>
    </row>
    <row r="419" spans="1:4" hidden="1" x14ac:dyDescent="0.3">
      <c r="A419" t="s">
        <v>95</v>
      </c>
      <c r="B419" t="s">
        <v>137</v>
      </c>
      <c r="C419" s="1">
        <f>HYPERLINK("https://cao.dolgi.msk.ru/account/1011133073/", 1011133073)</f>
        <v>1011133073</v>
      </c>
      <c r="D419">
        <v>0</v>
      </c>
    </row>
    <row r="420" spans="1:4" hidden="1" x14ac:dyDescent="0.3">
      <c r="A420" t="s">
        <v>95</v>
      </c>
      <c r="B420" t="s">
        <v>138</v>
      </c>
      <c r="C420" s="1">
        <f>HYPERLINK("https://cao.dolgi.msk.ru/account/1011132417/", 1011132417)</f>
        <v>1011132417</v>
      </c>
      <c r="D420">
        <v>0</v>
      </c>
    </row>
    <row r="421" spans="1:4" hidden="1" x14ac:dyDescent="0.3">
      <c r="A421" t="s">
        <v>95</v>
      </c>
      <c r="B421" t="s">
        <v>139</v>
      </c>
      <c r="C421" s="1">
        <f>HYPERLINK("https://cao.dolgi.msk.ru/account/1011131385/", 1011131385)</f>
        <v>1011131385</v>
      </c>
      <c r="D421">
        <v>0</v>
      </c>
    </row>
    <row r="422" spans="1:4" hidden="1" x14ac:dyDescent="0.3">
      <c r="A422" t="s">
        <v>95</v>
      </c>
      <c r="B422" t="s">
        <v>140</v>
      </c>
      <c r="C422" s="1">
        <f>HYPERLINK("https://cao.dolgi.msk.ru/account/1011133188/", 1011133188)</f>
        <v>1011133188</v>
      </c>
      <c r="D422">
        <v>0</v>
      </c>
    </row>
    <row r="423" spans="1:4" hidden="1" x14ac:dyDescent="0.3">
      <c r="A423" t="s">
        <v>95</v>
      </c>
      <c r="B423" t="s">
        <v>141</v>
      </c>
      <c r="C423" s="1">
        <f>HYPERLINK("https://cao.dolgi.msk.ru/account/1011133567/", 1011133567)</f>
        <v>1011133567</v>
      </c>
      <c r="D423">
        <v>-8518.27</v>
      </c>
    </row>
    <row r="424" spans="1:4" hidden="1" x14ac:dyDescent="0.3">
      <c r="A424" t="s">
        <v>95</v>
      </c>
      <c r="B424" t="s">
        <v>142</v>
      </c>
      <c r="C424" s="1">
        <f>HYPERLINK("https://cao.dolgi.msk.ru/account/1011132433/", 1011132433)</f>
        <v>1011132433</v>
      </c>
      <c r="D424">
        <v>-7948.88</v>
      </c>
    </row>
    <row r="425" spans="1:4" hidden="1" x14ac:dyDescent="0.3">
      <c r="A425" t="s">
        <v>95</v>
      </c>
      <c r="B425" t="s">
        <v>143</v>
      </c>
      <c r="C425" s="1">
        <f>HYPERLINK("https://cao.dolgi.msk.ru/account/1011131895/", 1011131895)</f>
        <v>1011131895</v>
      </c>
      <c r="D425">
        <v>0</v>
      </c>
    </row>
    <row r="426" spans="1:4" hidden="1" x14ac:dyDescent="0.3">
      <c r="A426" t="s">
        <v>95</v>
      </c>
      <c r="B426" t="s">
        <v>144</v>
      </c>
      <c r="C426" s="1">
        <f>HYPERLINK("https://cao.dolgi.msk.ru/account/1011131182/", 1011131182)</f>
        <v>1011131182</v>
      </c>
      <c r="D426">
        <v>0</v>
      </c>
    </row>
    <row r="427" spans="1:4" hidden="1" x14ac:dyDescent="0.3">
      <c r="A427" t="s">
        <v>95</v>
      </c>
      <c r="B427" t="s">
        <v>145</v>
      </c>
      <c r="C427" s="1">
        <f>HYPERLINK("https://cao.dolgi.msk.ru/account/1011131684/", 1011131684)</f>
        <v>1011131684</v>
      </c>
      <c r="D427">
        <v>-10488.91</v>
      </c>
    </row>
    <row r="428" spans="1:4" hidden="1" x14ac:dyDescent="0.3">
      <c r="A428" t="s">
        <v>95</v>
      </c>
      <c r="B428" t="s">
        <v>146</v>
      </c>
      <c r="C428" s="1">
        <f>HYPERLINK("https://cao.dolgi.msk.ru/account/1011132927/", 1011132927)</f>
        <v>1011132927</v>
      </c>
      <c r="D428">
        <v>0</v>
      </c>
    </row>
    <row r="429" spans="1:4" hidden="1" x14ac:dyDescent="0.3">
      <c r="A429" t="s">
        <v>95</v>
      </c>
      <c r="B429" t="s">
        <v>147</v>
      </c>
      <c r="C429" s="1">
        <f>HYPERLINK("https://cao.dolgi.msk.ru/account/1011131078/", 1011131078)</f>
        <v>1011131078</v>
      </c>
      <c r="D429">
        <v>0</v>
      </c>
    </row>
    <row r="430" spans="1:4" hidden="1" x14ac:dyDescent="0.3">
      <c r="A430" t="s">
        <v>95</v>
      </c>
      <c r="B430" t="s">
        <v>148</v>
      </c>
      <c r="C430" s="1">
        <f>HYPERLINK("https://cao.dolgi.msk.ru/account/1011132505/", 1011132505)</f>
        <v>1011132505</v>
      </c>
      <c r="D430">
        <v>0</v>
      </c>
    </row>
    <row r="431" spans="1:4" hidden="1" x14ac:dyDescent="0.3">
      <c r="A431" t="s">
        <v>95</v>
      </c>
      <c r="B431" t="s">
        <v>149</v>
      </c>
      <c r="C431" s="1">
        <f>HYPERLINK("https://cao.dolgi.msk.ru/account/1011132185/", 1011132185)</f>
        <v>1011132185</v>
      </c>
      <c r="D431">
        <v>-8732.64</v>
      </c>
    </row>
    <row r="432" spans="1:4" hidden="1" x14ac:dyDescent="0.3">
      <c r="A432" t="s">
        <v>95</v>
      </c>
      <c r="B432" t="s">
        <v>150</v>
      </c>
      <c r="C432" s="1">
        <f>HYPERLINK("https://cao.dolgi.msk.ru/account/1011131115/", 1011131115)</f>
        <v>1011131115</v>
      </c>
      <c r="D432">
        <v>-5716.44</v>
      </c>
    </row>
    <row r="433" spans="1:4" x14ac:dyDescent="0.3">
      <c r="A433" t="s">
        <v>95</v>
      </c>
      <c r="B433" t="s">
        <v>151</v>
      </c>
      <c r="C433" s="1">
        <f>HYPERLINK("https://cao.dolgi.msk.ru/account/1011133065/", 1011133065)</f>
        <v>1011133065</v>
      </c>
      <c r="D433">
        <v>8968.76</v>
      </c>
    </row>
    <row r="434" spans="1:4" hidden="1" x14ac:dyDescent="0.3">
      <c r="A434" t="s">
        <v>95</v>
      </c>
      <c r="B434" t="s">
        <v>152</v>
      </c>
      <c r="C434" s="1">
        <f>HYPERLINK("https://cao.dolgi.msk.ru/account/1011132804/", 1011132804)</f>
        <v>1011132804</v>
      </c>
      <c r="D434">
        <v>0</v>
      </c>
    </row>
    <row r="435" spans="1:4" hidden="1" x14ac:dyDescent="0.3">
      <c r="A435" t="s">
        <v>95</v>
      </c>
      <c r="B435" t="s">
        <v>153</v>
      </c>
      <c r="C435" s="1">
        <f>HYPERLINK("https://cao.dolgi.msk.ru/account/1011132353/", 1011132353)</f>
        <v>1011132353</v>
      </c>
      <c r="D435">
        <v>-391.5</v>
      </c>
    </row>
    <row r="436" spans="1:4" hidden="1" x14ac:dyDescent="0.3">
      <c r="A436" t="s">
        <v>95</v>
      </c>
      <c r="B436" t="s">
        <v>154</v>
      </c>
      <c r="C436" s="1">
        <f>HYPERLINK("https://cao.dolgi.msk.ru/account/1011133401/", 1011133401)</f>
        <v>1011133401</v>
      </c>
      <c r="D436">
        <v>0</v>
      </c>
    </row>
    <row r="437" spans="1:4" hidden="1" x14ac:dyDescent="0.3">
      <c r="A437" t="s">
        <v>95</v>
      </c>
      <c r="B437" t="s">
        <v>155</v>
      </c>
      <c r="C437" s="1">
        <f>HYPERLINK("https://cao.dolgi.msk.ru/account/1011132644/", 1011132644)</f>
        <v>1011132644</v>
      </c>
      <c r="D437">
        <v>0</v>
      </c>
    </row>
    <row r="438" spans="1:4" x14ac:dyDescent="0.3">
      <c r="A438" t="s">
        <v>95</v>
      </c>
      <c r="B438" t="s">
        <v>156</v>
      </c>
      <c r="C438" s="1">
        <f>HYPERLINK("https://cao.dolgi.msk.ru/account/1011131158/", 1011131158)</f>
        <v>1011131158</v>
      </c>
      <c r="D438">
        <v>4464.7299999999996</v>
      </c>
    </row>
    <row r="439" spans="1:4" hidden="1" x14ac:dyDescent="0.3">
      <c r="A439" t="s">
        <v>95</v>
      </c>
      <c r="B439" t="s">
        <v>157</v>
      </c>
      <c r="C439" s="1">
        <f>HYPERLINK("https://cao.dolgi.msk.ru/account/1011131617/", 1011131617)</f>
        <v>1011131617</v>
      </c>
      <c r="D439">
        <v>0</v>
      </c>
    </row>
    <row r="440" spans="1:4" x14ac:dyDescent="0.3">
      <c r="A440" t="s">
        <v>95</v>
      </c>
      <c r="B440" t="s">
        <v>158</v>
      </c>
      <c r="C440" s="1">
        <f>HYPERLINK("https://cao.dolgi.msk.ru/account/1011132791/", 1011132791)</f>
        <v>1011132791</v>
      </c>
      <c r="D440">
        <v>9667.9</v>
      </c>
    </row>
    <row r="441" spans="1:4" hidden="1" x14ac:dyDescent="0.3">
      <c r="A441" t="s">
        <v>95</v>
      </c>
      <c r="B441" t="s">
        <v>159</v>
      </c>
      <c r="C441" s="1">
        <f>HYPERLINK("https://cao.dolgi.msk.ru/account/1011133495/", 1011133495)</f>
        <v>1011133495</v>
      </c>
      <c r="D441">
        <v>-3306.13</v>
      </c>
    </row>
    <row r="442" spans="1:4" hidden="1" x14ac:dyDescent="0.3">
      <c r="A442" t="s">
        <v>95</v>
      </c>
      <c r="B442" t="s">
        <v>160</v>
      </c>
      <c r="C442" s="1">
        <f>HYPERLINK("https://cao.dolgi.msk.ru/account/1011132126/", 1011132126)</f>
        <v>1011132126</v>
      </c>
      <c r="D442">
        <v>0</v>
      </c>
    </row>
    <row r="443" spans="1:4" hidden="1" x14ac:dyDescent="0.3">
      <c r="A443" t="s">
        <v>95</v>
      </c>
      <c r="B443" t="s">
        <v>161</v>
      </c>
      <c r="C443" s="1">
        <f>HYPERLINK("https://cao.dolgi.msk.ru/account/1011131289/", 1011131289)</f>
        <v>1011131289</v>
      </c>
      <c r="D443">
        <v>0</v>
      </c>
    </row>
    <row r="444" spans="1:4" hidden="1" x14ac:dyDescent="0.3">
      <c r="A444" t="s">
        <v>95</v>
      </c>
      <c r="B444" t="s">
        <v>162</v>
      </c>
      <c r="C444" s="1">
        <f>HYPERLINK("https://cao.dolgi.msk.ru/account/1011132513/", 1011132513)</f>
        <v>1011132513</v>
      </c>
      <c r="D444">
        <v>-580</v>
      </c>
    </row>
    <row r="445" spans="1:4" hidden="1" x14ac:dyDescent="0.3">
      <c r="A445" t="s">
        <v>95</v>
      </c>
      <c r="B445" t="s">
        <v>163</v>
      </c>
      <c r="C445" s="1">
        <f>HYPERLINK("https://cao.dolgi.msk.ru/account/1011133129/", 1011133129)</f>
        <v>1011133129</v>
      </c>
      <c r="D445">
        <v>0</v>
      </c>
    </row>
    <row r="446" spans="1:4" hidden="1" x14ac:dyDescent="0.3">
      <c r="A446" t="s">
        <v>95</v>
      </c>
      <c r="B446" t="s">
        <v>164</v>
      </c>
      <c r="C446" s="1">
        <f>HYPERLINK("https://cao.dolgi.msk.ru/account/1011132118/", 1011132118)</f>
        <v>1011132118</v>
      </c>
      <c r="D446">
        <v>0</v>
      </c>
    </row>
    <row r="447" spans="1:4" x14ac:dyDescent="0.3">
      <c r="A447" t="s">
        <v>95</v>
      </c>
      <c r="B447" t="s">
        <v>165</v>
      </c>
      <c r="C447" s="1">
        <f>HYPERLINK("https://cao.dolgi.msk.ru/account/1011133364/", 1011133364)</f>
        <v>1011133364</v>
      </c>
      <c r="D447">
        <v>1417.26</v>
      </c>
    </row>
    <row r="448" spans="1:4" hidden="1" x14ac:dyDescent="0.3">
      <c r="A448" t="s">
        <v>95</v>
      </c>
      <c r="B448" t="s">
        <v>166</v>
      </c>
      <c r="C448" s="1">
        <f>HYPERLINK("https://cao.dolgi.msk.ru/account/1011131094/", 1011131094)</f>
        <v>1011131094</v>
      </c>
      <c r="D448">
        <v>-379.23</v>
      </c>
    </row>
    <row r="449" spans="1:4" hidden="1" x14ac:dyDescent="0.3">
      <c r="A449" t="s">
        <v>95</v>
      </c>
      <c r="B449" t="s">
        <v>167</v>
      </c>
      <c r="C449" s="1">
        <f>HYPERLINK("https://cao.dolgi.msk.ru/account/1011133487/", 1011133487)</f>
        <v>1011133487</v>
      </c>
      <c r="D449">
        <v>0</v>
      </c>
    </row>
    <row r="450" spans="1:4" hidden="1" x14ac:dyDescent="0.3">
      <c r="A450" t="s">
        <v>95</v>
      </c>
      <c r="B450" t="s">
        <v>168</v>
      </c>
      <c r="C450" s="1">
        <f>HYPERLINK("https://cao.dolgi.msk.ru/account/1011133276/", 1011133276)</f>
        <v>1011133276</v>
      </c>
      <c r="D450">
        <v>0</v>
      </c>
    </row>
    <row r="451" spans="1:4" hidden="1" x14ac:dyDescent="0.3">
      <c r="A451" t="s">
        <v>95</v>
      </c>
      <c r="B451" t="s">
        <v>169</v>
      </c>
      <c r="C451" s="1">
        <f>HYPERLINK("https://cao.dolgi.msk.ru/account/1011131107/", 1011131107)</f>
        <v>1011131107</v>
      </c>
      <c r="D451">
        <v>0</v>
      </c>
    </row>
    <row r="452" spans="1:4" hidden="1" x14ac:dyDescent="0.3">
      <c r="A452" t="s">
        <v>95</v>
      </c>
      <c r="B452" t="s">
        <v>170</v>
      </c>
      <c r="C452" s="1">
        <f>HYPERLINK("https://cao.dolgi.msk.ru/account/1011132177/", 1011132177)</f>
        <v>1011132177</v>
      </c>
      <c r="D452">
        <v>-130.71</v>
      </c>
    </row>
    <row r="453" spans="1:4" hidden="1" x14ac:dyDescent="0.3">
      <c r="A453" t="s">
        <v>95</v>
      </c>
      <c r="B453" t="s">
        <v>171</v>
      </c>
      <c r="C453" s="1">
        <f>HYPERLINK("https://cao.dolgi.msk.ru/account/1011133209/", 1011133209)</f>
        <v>1011133209</v>
      </c>
      <c r="D453">
        <v>-4173.54</v>
      </c>
    </row>
    <row r="454" spans="1:4" hidden="1" x14ac:dyDescent="0.3">
      <c r="A454" t="s">
        <v>95</v>
      </c>
      <c r="B454" t="s">
        <v>172</v>
      </c>
      <c r="C454" s="1">
        <f>HYPERLINK("https://cao.dolgi.msk.ru/account/1011131625/", 1011131625)</f>
        <v>1011131625</v>
      </c>
      <c r="D454">
        <v>0</v>
      </c>
    </row>
    <row r="455" spans="1:4" hidden="1" x14ac:dyDescent="0.3">
      <c r="A455" t="s">
        <v>95</v>
      </c>
      <c r="B455" t="s">
        <v>173</v>
      </c>
      <c r="C455" s="1">
        <f>HYPERLINK("https://cao.dolgi.msk.ru/account/1011132038/", 1011132038)</f>
        <v>1011132038</v>
      </c>
      <c r="D455">
        <v>-4797.05</v>
      </c>
    </row>
    <row r="456" spans="1:4" hidden="1" x14ac:dyDescent="0.3">
      <c r="A456" t="s">
        <v>95</v>
      </c>
      <c r="B456" t="s">
        <v>174</v>
      </c>
      <c r="C456" s="1">
        <f>HYPERLINK("https://cao.dolgi.msk.ru/account/1011131481/", 1011131481)</f>
        <v>1011131481</v>
      </c>
      <c r="D456">
        <v>0</v>
      </c>
    </row>
    <row r="457" spans="1:4" x14ac:dyDescent="0.3">
      <c r="A457" t="s">
        <v>95</v>
      </c>
      <c r="B457" t="s">
        <v>175</v>
      </c>
      <c r="C457" s="1">
        <f>HYPERLINK("https://cao.dolgi.msk.ru/account/1011131174/", 1011131174)</f>
        <v>1011131174</v>
      </c>
      <c r="D457">
        <v>50571.96</v>
      </c>
    </row>
    <row r="458" spans="1:4" hidden="1" x14ac:dyDescent="0.3">
      <c r="A458" t="s">
        <v>95</v>
      </c>
      <c r="B458" t="s">
        <v>176</v>
      </c>
      <c r="C458" s="1">
        <f>HYPERLINK("https://cao.dolgi.msk.ru/account/1011133348/", 1011133348)</f>
        <v>1011133348</v>
      </c>
      <c r="D458">
        <v>0</v>
      </c>
    </row>
    <row r="459" spans="1:4" hidden="1" x14ac:dyDescent="0.3">
      <c r="A459" t="s">
        <v>95</v>
      </c>
      <c r="B459" t="s">
        <v>177</v>
      </c>
      <c r="C459" s="1">
        <f>HYPERLINK("https://cao.dolgi.msk.ru/account/1011131692/", 1011131692)</f>
        <v>1011131692</v>
      </c>
      <c r="D459">
        <v>-26903.65</v>
      </c>
    </row>
    <row r="460" spans="1:4" x14ac:dyDescent="0.3">
      <c r="A460" t="s">
        <v>95</v>
      </c>
      <c r="B460" t="s">
        <v>178</v>
      </c>
      <c r="C460" s="1">
        <f>HYPERLINK("https://cao.dolgi.msk.ru/account/1011132054/", 1011132054)</f>
        <v>1011132054</v>
      </c>
      <c r="D460">
        <v>8820.08</v>
      </c>
    </row>
    <row r="461" spans="1:4" hidden="1" x14ac:dyDescent="0.3">
      <c r="A461" t="s">
        <v>95</v>
      </c>
      <c r="B461" t="s">
        <v>179</v>
      </c>
      <c r="C461" s="1">
        <f>HYPERLINK("https://cao.dolgi.msk.ru/account/1011131609/", 1011131609)</f>
        <v>1011131609</v>
      </c>
      <c r="D461">
        <v>0</v>
      </c>
    </row>
    <row r="462" spans="1:4" x14ac:dyDescent="0.3">
      <c r="A462" t="s">
        <v>95</v>
      </c>
      <c r="B462" t="s">
        <v>180</v>
      </c>
      <c r="C462" s="1">
        <f>HYPERLINK("https://cao.dolgi.msk.ru/account/1011133137/", 1011133137)</f>
        <v>1011133137</v>
      </c>
      <c r="D462">
        <v>8338.76</v>
      </c>
    </row>
    <row r="463" spans="1:4" hidden="1" x14ac:dyDescent="0.3">
      <c r="A463" t="s">
        <v>95</v>
      </c>
      <c r="B463" t="s">
        <v>181</v>
      </c>
      <c r="C463" s="1">
        <f>HYPERLINK("https://cao.dolgi.msk.ru/account/1011133698/", 1011133698)</f>
        <v>1011133698</v>
      </c>
      <c r="D463">
        <v>-7004.71</v>
      </c>
    </row>
    <row r="464" spans="1:4" hidden="1" x14ac:dyDescent="0.3">
      <c r="A464" t="s">
        <v>95</v>
      </c>
      <c r="B464" t="s">
        <v>182</v>
      </c>
      <c r="C464" s="1">
        <f>HYPERLINK("https://cao.dolgi.msk.ru/account/1011132548/", 1011132548)</f>
        <v>1011132548</v>
      </c>
      <c r="D464">
        <v>0</v>
      </c>
    </row>
    <row r="465" spans="1:4" x14ac:dyDescent="0.3">
      <c r="A465" t="s">
        <v>95</v>
      </c>
      <c r="B465" t="s">
        <v>183</v>
      </c>
      <c r="C465" s="1">
        <f>HYPERLINK("https://cao.dolgi.msk.ru/account/1011133233/", 1011133233)</f>
        <v>1011133233</v>
      </c>
      <c r="D465">
        <v>737.63</v>
      </c>
    </row>
    <row r="466" spans="1:4" hidden="1" x14ac:dyDescent="0.3">
      <c r="A466" t="s">
        <v>95</v>
      </c>
      <c r="B466" t="s">
        <v>184</v>
      </c>
      <c r="C466" s="1">
        <f>HYPERLINK("https://cao.dolgi.msk.ru/account/1011131342/", 1011131342)</f>
        <v>1011131342</v>
      </c>
      <c r="D466">
        <v>-8025.64</v>
      </c>
    </row>
    <row r="467" spans="1:4" hidden="1" x14ac:dyDescent="0.3">
      <c r="A467" t="s">
        <v>95</v>
      </c>
      <c r="B467" t="s">
        <v>185</v>
      </c>
      <c r="C467" s="1">
        <f>HYPERLINK("https://cao.dolgi.msk.ru/account/1011131131/", 1011131131)</f>
        <v>1011131131</v>
      </c>
      <c r="D467">
        <v>-26557.91</v>
      </c>
    </row>
    <row r="468" spans="1:4" hidden="1" x14ac:dyDescent="0.3">
      <c r="A468" t="s">
        <v>95</v>
      </c>
      <c r="B468" t="s">
        <v>186</v>
      </c>
      <c r="C468" s="1">
        <f>HYPERLINK("https://cao.dolgi.msk.ru/account/1011131326/", 1011131326)</f>
        <v>1011131326</v>
      </c>
      <c r="D468">
        <v>-1016.15</v>
      </c>
    </row>
    <row r="469" spans="1:4" hidden="1" x14ac:dyDescent="0.3">
      <c r="A469" t="s">
        <v>95</v>
      </c>
      <c r="B469" t="s">
        <v>187</v>
      </c>
      <c r="C469" s="1">
        <f>HYPERLINK("https://cao.dolgi.msk.ru/account/1011131043/", 1011131043)</f>
        <v>1011131043</v>
      </c>
      <c r="D469">
        <v>-4238.76</v>
      </c>
    </row>
    <row r="470" spans="1:4" hidden="1" x14ac:dyDescent="0.3">
      <c r="A470" t="s">
        <v>95</v>
      </c>
      <c r="B470" t="s">
        <v>188</v>
      </c>
      <c r="C470" s="1">
        <f>HYPERLINK("https://cao.dolgi.msk.ru/account/1011132388/", 1011132388)</f>
        <v>1011132388</v>
      </c>
      <c r="D470">
        <v>-8591.42</v>
      </c>
    </row>
    <row r="471" spans="1:4" hidden="1" x14ac:dyDescent="0.3">
      <c r="A471" t="s">
        <v>95</v>
      </c>
      <c r="B471" t="s">
        <v>189</v>
      </c>
      <c r="C471" s="1">
        <f>HYPERLINK("https://cao.dolgi.msk.ru/account/1011133049/", 1011133049)</f>
        <v>1011133049</v>
      </c>
      <c r="D471">
        <v>-10894.52</v>
      </c>
    </row>
    <row r="472" spans="1:4" hidden="1" x14ac:dyDescent="0.3">
      <c r="A472" t="s">
        <v>95</v>
      </c>
      <c r="B472" t="s">
        <v>190</v>
      </c>
      <c r="C472" s="1">
        <f>HYPERLINK("https://cao.dolgi.msk.ru/account/1011131019/", 1011131019)</f>
        <v>1011131019</v>
      </c>
      <c r="D472">
        <v>0</v>
      </c>
    </row>
    <row r="473" spans="1:4" x14ac:dyDescent="0.3">
      <c r="A473" t="s">
        <v>95</v>
      </c>
      <c r="B473" t="s">
        <v>191</v>
      </c>
      <c r="C473" s="1">
        <f>HYPERLINK("https://cao.dolgi.msk.ru/account/1011132476/", 1011132476)</f>
        <v>1011132476</v>
      </c>
      <c r="D473">
        <v>93864.2</v>
      </c>
    </row>
    <row r="474" spans="1:4" hidden="1" x14ac:dyDescent="0.3">
      <c r="A474" t="s">
        <v>95</v>
      </c>
      <c r="B474" t="s">
        <v>192</v>
      </c>
      <c r="C474" s="1">
        <f>HYPERLINK("https://cao.dolgi.msk.ru/account/1011133444/", 1011133444)</f>
        <v>1011133444</v>
      </c>
      <c r="D474">
        <v>-6791.35</v>
      </c>
    </row>
    <row r="475" spans="1:4" x14ac:dyDescent="0.3">
      <c r="A475" t="s">
        <v>95</v>
      </c>
      <c r="B475" t="s">
        <v>193</v>
      </c>
      <c r="C475" s="1">
        <f>HYPERLINK("https://cao.dolgi.msk.ru/account/1011514837/", 1011514837)</f>
        <v>1011514837</v>
      </c>
      <c r="D475">
        <v>10607.13</v>
      </c>
    </row>
    <row r="476" spans="1:4" hidden="1" x14ac:dyDescent="0.3">
      <c r="A476" t="s">
        <v>95</v>
      </c>
      <c r="B476" t="s">
        <v>194</v>
      </c>
      <c r="C476" s="1">
        <f>HYPERLINK("https://cao.dolgi.msk.ru/account/1011131887/", 1011131887)</f>
        <v>1011131887</v>
      </c>
      <c r="D476">
        <v>0</v>
      </c>
    </row>
    <row r="477" spans="1:4" hidden="1" x14ac:dyDescent="0.3">
      <c r="A477" t="s">
        <v>95</v>
      </c>
      <c r="B477" t="s">
        <v>195</v>
      </c>
      <c r="C477" s="1">
        <f>HYPERLINK("https://cao.dolgi.msk.ru/account/1011133268/", 1011133268)</f>
        <v>1011133268</v>
      </c>
      <c r="D477">
        <v>-2527.5700000000002</v>
      </c>
    </row>
    <row r="478" spans="1:4" hidden="1" x14ac:dyDescent="0.3">
      <c r="A478" t="s">
        <v>95</v>
      </c>
      <c r="B478" t="s">
        <v>196</v>
      </c>
      <c r="C478" s="1">
        <f>HYPERLINK("https://cao.dolgi.msk.ru/account/1011131406/", 1011131406)</f>
        <v>1011131406</v>
      </c>
      <c r="D478">
        <v>0</v>
      </c>
    </row>
    <row r="479" spans="1:4" hidden="1" x14ac:dyDescent="0.3">
      <c r="A479" t="s">
        <v>95</v>
      </c>
      <c r="B479" t="s">
        <v>197</v>
      </c>
      <c r="C479" s="1">
        <f>HYPERLINK("https://cao.dolgi.msk.ru/account/1011132134/", 1011132134)</f>
        <v>1011132134</v>
      </c>
      <c r="D479">
        <v>0</v>
      </c>
    </row>
    <row r="480" spans="1:4" hidden="1" x14ac:dyDescent="0.3">
      <c r="A480" t="s">
        <v>95</v>
      </c>
      <c r="B480" t="s">
        <v>198</v>
      </c>
      <c r="C480" s="1">
        <f>HYPERLINK("https://cao.dolgi.msk.ru/account/1011132716/", 1011132716)</f>
        <v>1011132716</v>
      </c>
      <c r="D480">
        <v>0</v>
      </c>
    </row>
    <row r="481" spans="1:4" hidden="1" x14ac:dyDescent="0.3">
      <c r="A481" t="s">
        <v>95</v>
      </c>
      <c r="B481" t="s">
        <v>199</v>
      </c>
      <c r="C481" s="1">
        <f>HYPERLINK("https://cao.dolgi.msk.ru/account/1011133102/", 1011133102)</f>
        <v>1011133102</v>
      </c>
      <c r="D481">
        <v>0</v>
      </c>
    </row>
    <row r="482" spans="1:4" hidden="1" x14ac:dyDescent="0.3">
      <c r="A482" t="s">
        <v>95</v>
      </c>
      <c r="B482" t="s">
        <v>200</v>
      </c>
      <c r="C482" s="1">
        <f>HYPERLINK("https://cao.dolgi.msk.ru/account/1011132062/", 1011132062)</f>
        <v>1011132062</v>
      </c>
      <c r="D482">
        <v>-9643.4599999999991</v>
      </c>
    </row>
    <row r="483" spans="1:4" hidden="1" x14ac:dyDescent="0.3">
      <c r="A483" t="s">
        <v>95</v>
      </c>
      <c r="B483" t="s">
        <v>201</v>
      </c>
      <c r="C483" s="1">
        <f>HYPERLINK("https://cao.dolgi.msk.ru/account/1011133647/", 1011133647)</f>
        <v>1011133647</v>
      </c>
      <c r="D483">
        <v>0</v>
      </c>
    </row>
    <row r="484" spans="1:4" hidden="1" x14ac:dyDescent="0.3">
      <c r="A484" t="s">
        <v>95</v>
      </c>
      <c r="B484" t="s">
        <v>202</v>
      </c>
      <c r="C484" s="1">
        <f>HYPERLINK("https://cao.dolgi.msk.ru/account/1011132361/", 1011132361)</f>
        <v>1011132361</v>
      </c>
      <c r="D484">
        <v>-689.15</v>
      </c>
    </row>
    <row r="485" spans="1:4" hidden="1" x14ac:dyDescent="0.3">
      <c r="A485" t="s">
        <v>95</v>
      </c>
      <c r="B485" t="s">
        <v>203</v>
      </c>
      <c r="C485" s="1">
        <f>HYPERLINK("https://cao.dolgi.msk.ru/account/1011131908/", 1011131908)</f>
        <v>1011131908</v>
      </c>
      <c r="D485">
        <v>-24.08</v>
      </c>
    </row>
    <row r="486" spans="1:4" hidden="1" x14ac:dyDescent="0.3">
      <c r="A486" t="s">
        <v>95</v>
      </c>
      <c r="B486" t="s">
        <v>204</v>
      </c>
      <c r="C486" s="1">
        <f>HYPERLINK("https://cao.dolgi.msk.ru/account/1011133479/", 1011133479)</f>
        <v>1011133479</v>
      </c>
      <c r="D486">
        <v>0</v>
      </c>
    </row>
    <row r="487" spans="1:4" hidden="1" x14ac:dyDescent="0.3">
      <c r="A487" t="s">
        <v>95</v>
      </c>
      <c r="B487" t="s">
        <v>205</v>
      </c>
      <c r="C487" s="1">
        <f>HYPERLINK("https://cao.dolgi.msk.ru/account/1011133516/", 1011133516)</f>
        <v>1011133516</v>
      </c>
      <c r="D487">
        <v>-16042.42</v>
      </c>
    </row>
    <row r="488" spans="1:4" hidden="1" x14ac:dyDescent="0.3">
      <c r="A488" t="s">
        <v>95</v>
      </c>
      <c r="B488" t="s">
        <v>206</v>
      </c>
      <c r="C488" s="1">
        <f>HYPERLINK("https://cao.dolgi.msk.ru/account/1011133778/", 1011133778)</f>
        <v>1011133778</v>
      </c>
      <c r="D488">
        <v>-40.53</v>
      </c>
    </row>
    <row r="489" spans="1:4" hidden="1" x14ac:dyDescent="0.3">
      <c r="A489" t="s">
        <v>95</v>
      </c>
      <c r="B489" t="s">
        <v>207</v>
      </c>
      <c r="C489" s="1">
        <f>HYPERLINK("https://cao.dolgi.msk.ru/account/1011131545/", 1011131545)</f>
        <v>1011131545</v>
      </c>
      <c r="D489">
        <v>0</v>
      </c>
    </row>
    <row r="490" spans="1:4" hidden="1" x14ac:dyDescent="0.3">
      <c r="A490" t="s">
        <v>95</v>
      </c>
      <c r="B490" t="s">
        <v>208</v>
      </c>
      <c r="C490" s="1">
        <f>HYPERLINK("https://cao.dolgi.msk.ru/account/1011132839/", 1011132839)</f>
        <v>1011132839</v>
      </c>
      <c r="D490">
        <v>0</v>
      </c>
    </row>
    <row r="491" spans="1:4" hidden="1" x14ac:dyDescent="0.3">
      <c r="A491" t="s">
        <v>95</v>
      </c>
      <c r="B491" t="s">
        <v>209</v>
      </c>
      <c r="C491" s="1">
        <f>HYPERLINK("https://cao.dolgi.msk.ru/account/1011132089/", 1011132089)</f>
        <v>1011132089</v>
      </c>
      <c r="D491">
        <v>-899.98</v>
      </c>
    </row>
    <row r="492" spans="1:4" hidden="1" x14ac:dyDescent="0.3">
      <c r="A492" t="s">
        <v>95</v>
      </c>
      <c r="B492" t="s">
        <v>210</v>
      </c>
      <c r="C492" s="1">
        <f>HYPERLINK("https://cao.dolgi.msk.ru/account/1011507979/", 1011507979)</f>
        <v>1011507979</v>
      </c>
      <c r="D492">
        <v>0</v>
      </c>
    </row>
    <row r="493" spans="1:4" hidden="1" x14ac:dyDescent="0.3">
      <c r="A493" t="s">
        <v>95</v>
      </c>
      <c r="B493" t="s">
        <v>211</v>
      </c>
      <c r="C493" s="1">
        <f>HYPERLINK("https://cao.dolgi.msk.ru/account/1011507987/", 1011507987)</f>
        <v>1011507987</v>
      </c>
      <c r="D493">
        <v>0</v>
      </c>
    </row>
    <row r="494" spans="1:4" hidden="1" x14ac:dyDescent="0.3">
      <c r="A494" t="s">
        <v>95</v>
      </c>
      <c r="B494" t="s">
        <v>212</v>
      </c>
      <c r="C494" s="1">
        <f>HYPERLINK("https://cao.dolgi.msk.ru/account/1011132011/", 1011132011)</f>
        <v>1011132011</v>
      </c>
      <c r="D494">
        <v>0</v>
      </c>
    </row>
    <row r="495" spans="1:4" hidden="1" x14ac:dyDescent="0.3">
      <c r="A495" t="s">
        <v>95</v>
      </c>
      <c r="B495" t="s">
        <v>213</v>
      </c>
      <c r="C495" s="1">
        <f>HYPERLINK("https://cao.dolgi.msk.ru/account/1011131916/", 1011131916)</f>
        <v>1011131916</v>
      </c>
      <c r="D495">
        <v>0</v>
      </c>
    </row>
    <row r="496" spans="1:4" x14ac:dyDescent="0.3">
      <c r="A496" t="s">
        <v>95</v>
      </c>
      <c r="B496" t="s">
        <v>214</v>
      </c>
      <c r="C496" s="1">
        <f>HYPERLINK("https://cao.dolgi.msk.ru/account/1011131262/", 1011131262)</f>
        <v>1011131262</v>
      </c>
      <c r="D496">
        <v>7297.64</v>
      </c>
    </row>
    <row r="497" spans="1:4" hidden="1" x14ac:dyDescent="0.3">
      <c r="A497" t="s">
        <v>95</v>
      </c>
      <c r="B497" t="s">
        <v>215</v>
      </c>
      <c r="C497" s="1">
        <f>HYPERLINK("https://cao.dolgi.msk.ru/account/1011132521/", 1011132521)</f>
        <v>1011132521</v>
      </c>
      <c r="D497">
        <v>0</v>
      </c>
    </row>
    <row r="498" spans="1:4" hidden="1" x14ac:dyDescent="0.3">
      <c r="A498" t="s">
        <v>95</v>
      </c>
      <c r="B498" t="s">
        <v>216</v>
      </c>
      <c r="C498" s="1">
        <f>HYPERLINK("https://cao.dolgi.msk.ru/account/1011132994/", 1011132994)</f>
        <v>1011132994</v>
      </c>
      <c r="D498">
        <v>-958.63</v>
      </c>
    </row>
    <row r="499" spans="1:4" x14ac:dyDescent="0.3">
      <c r="A499" t="s">
        <v>95</v>
      </c>
      <c r="B499" t="s">
        <v>217</v>
      </c>
      <c r="C499" s="1">
        <f>HYPERLINK("https://cao.dolgi.msk.ru/account/1011132257/", 1011132257)</f>
        <v>1011132257</v>
      </c>
      <c r="D499">
        <v>7801.27</v>
      </c>
    </row>
    <row r="500" spans="1:4" hidden="1" x14ac:dyDescent="0.3">
      <c r="A500" t="s">
        <v>95</v>
      </c>
      <c r="B500" t="s">
        <v>218</v>
      </c>
      <c r="C500" s="1">
        <f>HYPERLINK("https://cao.dolgi.msk.ru/account/1011131828/", 1011131828)</f>
        <v>1011131828</v>
      </c>
      <c r="D500">
        <v>0</v>
      </c>
    </row>
    <row r="501" spans="1:4" hidden="1" x14ac:dyDescent="0.3">
      <c r="A501" t="s">
        <v>95</v>
      </c>
      <c r="B501" t="s">
        <v>219</v>
      </c>
      <c r="C501" s="1">
        <f>HYPERLINK("https://cao.dolgi.msk.ru/account/1011131975/", 1011131975)</f>
        <v>1011131975</v>
      </c>
      <c r="D501">
        <v>0</v>
      </c>
    </row>
    <row r="502" spans="1:4" hidden="1" x14ac:dyDescent="0.3">
      <c r="A502" t="s">
        <v>95</v>
      </c>
      <c r="B502" t="s">
        <v>220</v>
      </c>
      <c r="C502" s="1">
        <f>HYPERLINK("https://cao.dolgi.msk.ru/account/1011131369/", 1011131369)</f>
        <v>1011131369</v>
      </c>
      <c r="D502">
        <v>-5322.72</v>
      </c>
    </row>
    <row r="503" spans="1:4" x14ac:dyDescent="0.3">
      <c r="A503" t="s">
        <v>95</v>
      </c>
      <c r="B503" t="s">
        <v>221</v>
      </c>
      <c r="C503" s="1">
        <f>HYPERLINK("https://cao.dolgi.msk.ru/account/1011133225/", 1011133225)</f>
        <v>1011133225</v>
      </c>
      <c r="D503">
        <v>5459.4</v>
      </c>
    </row>
    <row r="504" spans="1:4" hidden="1" x14ac:dyDescent="0.3">
      <c r="A504" t="s">
        <v>95</v>
      </c>
      <c r="B504" t="s">
        <v>222</v>
      </c>
      <c r="C504" s="1">
        <f>HYPERLINK("https://cao.dolgi.msk.ru/account/1011132425/", 1011132425)</f>
        <v>1011132425</v>
      </c>
      <c r="D504">
        <v>0</v>
      </c>
    </row>
    <row r="505" spans="1:4" hidden="1" x14ac:dyDescent="0.3">
      <c r="A505" t="s">
        <v>95</v>
      </c>
      <c r="B505" t="s">
        <v>223</v>
      </c>
      <c r="C505" s="1">
        <f>HYPERLINK("https://cao.dolgi.msk.ru/account/1011131529/", 1011131529)</f>
        <v>1011131529</v>
      </c>
      <c r="D505">
        <v>0</v>
      </c>
    </row>
    <row r="506" spans="1:4" hidden="1" x14ac:dyDescent="0.3">
      <c r="A506" t="s">
        <v>95</v>
      </c>
      <c r="B506" t="s">
        <v>224</v>
      </c>
      <c r="C506" s="1">
        <f>HYPERLINK("https://cao.dolgi.msk.ru/account/1011131246/", 1011131246)</f>
        <v>1011131246</v>
      </c>
      <c r="D506">
        <v>0</v>
      </c>
    </row>
    <row r="507" spans="1:4" hidden="1" x14ac:dyDescent="0.3">
      <c r="A507" t="s">
        <v>95</v>
      </c>
      <c r="B507" t="s">
        <v>225</v>
      </c>
      <c r="C507" s="1">
        <f>HYPERLINK("https://cao.dolgi.msk.ru/account/1011131377/", 1011131377)</f>
        <v>1011131377</v>
      </c>
      <c r="D507">
        <v>0</v>
      </c>
    </row>
    <row r="508" spans="1:4" hidden="1" x14ac:dyDescent="0.3">
      <c r="A508" t="s">
        <v>95</v>
      </c>
      <c r="B508" t="s">
        <v>226</v>
      </c>
      <c r="C508" s="1">
        <f>HYPERLINK("https://cao.dolgi.msk.ru/account/1011133815/", 1011133815)</f>
        <v>1011133815</v>
      </c>
      <c r="D508">
        <v>-70.56</v>
      </c>
    </row>
    <row r="509" spans="1:4" x14ac:dyDescent="0.3">
      <c r="A509" t="s">
        <v>95</v>
      </c>
      <c r="B509" t="s">
        <v>227</v>
      </c>
      <c r="C509" s="1">
        <f>HYPERLINK("https://cao.dolgi.msk.ru/account/1011133153/", 1011133153)</f>
        <v>1011133153</v>
      </c>
      <c r="D509">
        <v>8773.4</v>
      </c>
    </row>
    <row r="510" spans="1:4" hidden="1" x14ac:dyDescent="0.3">
      <c r="A510" t="s">
        <v>95</v>
      </c>
      <c r="B510" t="s">
        <v>228</v>
      </c>
      <c r="C510" s="1">
        <f>HYPERLINK("https://cao.dolgi.msk.ru/account/1011131166/", 1011131166)</f>
        <v>1011131166</v>
      </c>
      <c r="D510">
        <v>-6750.59</v>
      </c>
    </row>
    <row r="511" spans="1:4" hidden="1" x14ac:dyDescent="0.3">
      <c r="A511" t="s">
        <v>95</v>
      </c>
      <c r="B511" t="s">
        <v>229</v>
      </c>
      <c r="C511" s="1">
        <f>HYPERLINK("https://cao.dolgi.msk.ru/account/1011132599/", 1011132599)</f>
        <v>1011132599</v>
      </c>
      <c r="D511">
        <v>0</v>
      </c>
    </row>
    <row r="512" spans="1:4" hidden="1" x14ac:dyDescent="0.3">
      <c r="A512" t="s">
        <v>95</v>
      </c>
      <c r="B512" t="s">
        <v>230</v>
      </c>
      <c r="C512" s="1">
        <f>HYPERLINK("https://cao.dolgi.msk.ru/account/1011131414/", 1011131414)</f>
        <v>1011131414</v>
      </c>
      <c r="D512">
        <v>0</v>
      </c>
    </row>
    <row r="513" spans="1:4" x14ac:dyDescent="0.3">
      <c r="A513" t="s">
        <v>95</v>
      </c>
      <c r="B513" t="s">
        <v>231</v>
      </c>
      <c r="C513" s="1">
        <f>HYPERLINK("https://cao.dolgi.msk.ru/account/1011132222/", 1011132222)</f>
        <v>1011132222</v>
      </c>
      <c r="D513">
        <v>194809.44</v>
      </c>
    </row>
    <row r="514" spans="1:4" hidden="1" x14ac:dyDescent="0.3">
      <c r="A514" t="s">
        <v>95</v>
      </c>
      <c r="B514" t="s">
        <v>232</v>
      </c>
      <c r="C514" s="1">
        <f>HYPERLINK("https://cao.dolgi.msk.ru/account/1011132724/", 1011132724)</f>
        <v>1011132724</v>
      </c>
      <c r="D514">
        <v>-6570.37</v>
      </c>
    </row>
    <row r="515" spans="1:4" hidden="1" x14ac:dyDescent="0.3">
      <c r="A515" t="s">
        <v>95</v>
      </c>
      <c r="B515" t="s">
        <v>233</v>
      </c>
      <c r="C515" s="1">
        <f>HYPERLINK("https://cao.dolgi.msk.ru/account/1011133399/", 1011133399)</f>
        <v>1011133399</v>
      </c>
      <c r="D515">
        <v>-801.69</v>
      </c>
    </row>
    <row r="516" spans="1:4" x14ac:dyDescent="0.3">
      <c r="A516" t="s">
        <v>95</v>
      </c>
      <c r="B516" t="s">
        <v>234</v>
      </c>
      <c r="C516" s="1">
        <f>HYPERLINK("https://cao.dolgi.msk.ru/account/1011131457/", 1011131457)</f>
        <v>1011131457</v>
      </c>
      <c r="D516">
        <v>417.75</v>
      </c>
    </row>
    <row r="517" spans="1:4" hidden="1" x14ac:dyDescent="0.3">
      <c r="A517" t="s">
        <v>95</v>
      </c>
      <c r="B517" t="s">
        <v>235</v>
      </c>
      <c r="C517" s="1">
        <f>HYPERLINK("https://cao.dolgi.msk.ru/account/1011133161/", 1011133161)</f>
        <v>1011133161</v>
      </c>
      <c r="D517">
        <v>-1519.48</v>
      </c>
    </row>
    <row r="518" spans="1:4" hidden="1" x14ac:dyDescent="0.3">
      <c r="A518" t="s">
        <v>95</v>
      </c>
      <c r="B518" t="s">
        <v>236</v>
      </c>
      <c r="C518" s="1">
        <f>HYPERLINK("https://cao.dolgi.msk.ru/account/1011132345/", 1011132345)</f>
        <v>1011132345</v>
      </c>
      <c r="D518">
        <v>0</v>
      </c>
    </row>
    <row r="519" spans="1:4" hidden="1" x14ac:dyDescent="0.3">
      <c r="A519" t="s">
        <v>95</v>
      </c>
      <c r="B519" t="s">
        <v>237</v>
      </c>
      <c r="C519" s="1">
        <f>HYPERLINK("https://cao.dolgi.msk.ru/account/1011133591/", 1011133591)</f>
        <v>1011133591</v>
      </c>
      <c r="D519">
        <v>0</v>
      </c>
    </row>
    <row r="520" spans="1:4" x14ac:dyDescent="0.3">
      <c r="A520" t="s">
        <v>95</v>
      </c>
      <c r="B520" t="s">
        <v>238</v>
      </c>
      <c r="C520" s="1">
        <f>HYPERLINK("https://cao.dolgi.msk.ru/account/1011131588/", 1011131588)</f>
        <v>1011131588</v>
      </c>
      <c r="D520">
        <v>5007.3</v>
      </c>
    </row>
    <row r="521" spans="1:4" hidden="1" x14ac:dyDescent="0.3">
      <c r="A521" t="s">
        <v>95</v>
      </c>
      <c r="B521" t="s">
        <v>239</v>
      </c>
      <c r="C521" s="1">
        <f>HYPERLINK("https://cao.dolgi.msk.ru/account/1011131086/", 1011131086)</f>
        <v>1011131086</v>
      </c>
      <c r="D521">
        <v>-317.29000000000002</v>
      </c>
    </row>
    <row r="522" spans="1:4" hidden="1" x14ac:dyDescent="0.3">
      <c r="A522" t="s">
        <v>95</v>
      </c>
      <c r="B522" t="s">
        <v>240</v>
      </c>
      <c r="C522" s="1">
        <f>HYPERLINK("https://cao.dolgi.msk.ru/account/1011131473/", 1011131473)</f>
        <v>1011131473</v>
      </c>
      <c r="D522">
        <v>0</v>
      </c>
    </row>
    <row r="523" spans="1:4" x14ac:dyDescent="0.3">
      <c r="A523" t="s">
        <v>95</v>
      </c>
      <c r="B523" t="s">
        <v>241</v>
      </c>
      <c r="C523" s="1">
        <f>HYPERLINK("https://cao.dolgi.msk.ru/account/1011131713/", 1011131713)</f>
        <v>1011131713</v>
      </c>
      <c r="D523">
        <v>6815.41</v>
      </c>
    </row>
    <row r="524" spans="1:4" x14ac:dyDescent="0.3">
      <c r="A524" t="s">
        <v>95</v>
      </c>
      <c r="B524" t="s">
        <v>242</v>
      </c>
      <c r="C524" s="1">
        <f>HYPERLINK("https://cao.dolgi.msk.ru/account/1011132396/", 1011132396)</f>
        <v>1011132396</v>
      </c>
      <c r="D524">
        <v>52390.9</v>
      </c>
    </row>
    <row r="525" spans="1:4" hidden="1" x14ac:dyDescent="0.3">
      <c r="A525" t="s">
        <v>95</v>
      </c>
      <c r="B525" t="s">
        <v>243</v>
      </c>
      <c r="C525" s="1">
        <f>HYPERLINK("https://cao.dolgi.msk.ru/account/1011132337/", 1011132337)</f>
        <v>1011132337</v>
      </c>
      <c r="D525">
        <v>-9479.67</v>
      </c>
    </row>
    <row r="526" spans="1:4" hidden="1" x14ac:dyDescent="0.3">
      <c r="A526" t="s">
        <v>95</v>
      </c>
      <c r="B526" t="s">
        <v>244</v>
      </c>
      <c r="C526" s="1">
        <f>HYPERLINK("https://cao.dolgi.msk.ru/account/1011131537/", 1011131537)</f>
        <v>1011131537</v>
      </c>
      <c r="D526">
        <v>-243.84</v>
      </c>
    </row>
    <row r="527" spans="1:4" hidden="1" x14ac:dyDescent="0.3">
      <c r="A527" t="s">
        <v>95</v>
      </c>
      <c r="B527" t="s">
        <v>245</v>
      </c>
      <c r="C527" s="1">
        <f>HYPERLINK("https://cao.dolgi.msk.ru/account/1011131297/", 1011131297)</f>
        <v>1011131297</v>
      </c>
      <c r="D527">
        <v>0</v>
      </c>
    </row>
    <row r="528" spans="1:4" hidden="1" x14ac:dyDescent="0.3">
      <c r="A528" t="s">
        <v>95</v>
      </c>
      <c r="B528" t="s">
        <v>246</v>
      </c>
      <c r="C528" s="1">
        <f>HYPERLINK("https://cao.dolgi.msk.ru/account/1011133807/", 1011133807)</f>
        <v>1011133807</v>
      </c>
      <c r="D528">
        <v>0</v>
      </c>
    </row>
    <row r="529" spans="1:4" x14ac:dyDescent="0.3">
      <c r="A529" t="s">
        <v>95</v>
      </c>
      <c r="B529" t="s">
        <v>247</v>
      </c>
      <c r="C529" s="1">
        <f>HYPERLINK("https://cao.dolgi.msk.ru/account/1011132193/", 1011132193)</f>
        <v>1011132193</v>
      </c>
      <c r="D529">
        <v>5457.42</v>
      </c>
    </row>
    <row r="530" spans="1:4" hidden="1" x14ac:dyDescent="0.3">
      <c r="A530" t="s">
        <v>95</v>
      </c>
      <c r="B530" t="s">
        <v>248</v>
      </c>
      <c r="C530" s="1">
        <f>HYPERLINK("https://cao.dolgi.msk.ru/account/1011133727/", 1011133727)</f>
        <v>1011133727</v>
      </c>
      <c r="D530">
        <v>0</v>
      </c>
    </row>
    <row r="531" spans="1:4" hidden="1" x14ac:dyDescent="0.3">
      <c r="A531" t="s">
        <v>95</v>
      </c>
      <c r="B531" t="s">
        <v>249</v>
      </c>
      <c r="C531" s="1">
        <f>HYPERLINK("https://cao.dolgi.msk.ru/account/1011132855/", 1011132855)</f>
        <v>1011132855</v>
      </c>
      <c r="D531">
        <v>-12316.11</v>
      </c>
    </row>
    <row r="532" spans="1:4" hidden="1" x14ac:dyDescent="0.3">
      <c r="A532" t="s">
        <v>95</v>
      </c>
      <c r="B532" t="s">
        <v>250</v>
      </c>
      <c r="C532" s="1">
        <f>HYPERLINK("https://cao.dolgi.msk.ru/account/1011132943/", 1011132943)</f>
        <v>1011132943</v>
      </c>
      <c r="D532">
        <v>0</v>
      </c>
    </row>
    <row r="533" spans="1:4" x14ac:dyDescent="0.3">
      <c r="A533" t="s">
        <v>95</v>
      </c>
      <c r="B533" t="s">
        <v>251</v>
      </c>
      <c r="C533" s="1">
        <f>HYPERLINK("https://cao.dolgi.msk.ru/account/1011132636/", 1011132636)</f>
        <v>1011132636</v>
      </c>
      <c r="D533">
        <v>47365.27</v>
      </c>
    </row>
    <row r="534" spans="1:4" hidden="1" x14ac:dyDescent="0.3">
      <c r="A534" t="s">
        <v>95</v>
      </c>
      <c r="B534" t="s">
        <v>252</v>
      </c>
      <c r="C534" s="1">
        <f>HYPERLINK("https://cao.dolgi.msk.ru/account/1011133428/", 1011133428)</f>
        <v>1011133428</v>
      </c>
      <c r="D534">
        <v>0</v>
      </c>
    </row>
    <row r="535" spans="1:4" hidden="1" x14ac:dyDescent="0.3">
      <c r="A535" t="s">
        <v>95</v>
      </c>
      <c r="B535" t="s">
        <v>253</v>
      </c>
      <c r="C535" s="1">
        <f>HYPERLINK("https://cao.dolgi.msk.ru/account/1011131422/", 1011131422)</f>
        <v>1011131422</v>
      </c>
      <c r="D535">
        <v>0</v>
      </c>
    </row>
    <row r="536" spans="1:4" hidden="1" x14ac:dyDescent="0.3">
      <c r="A536" t="s">
        <v>95</v>
      </c>
      <c r="B536" t="s">
        <v>254</v>
      </c>
      <c r="C536" s="1">
        <f>HYPERLINK("https://cao.dolgi.msk.ru/account/1011132759/", 1011132759)</f>
        <v>1011132759</v>
      </c>
      <c r="D536">
        <v>0</v>
      </c>
    </row>
    <row r="537" spans="1:4" hidden="1" x14ac:dyDescent="0.3">
      <c r="A537" t="s">
        <v>95</v>
      </c>
      <c r="B537" t="s">
        <v>255</v>
      </c>
      <c r="C537" s="1">
        <f>HYPERLINK("https://cao.dolgi.msk.ru/account/1011132978/", 1011132978)</f>
        <v>1011132978</v>
      </c>
      <c r="D537">
        <v>0</v>
      </c>
    </row>
    <row r="538" spans="1:4" x14ac:dyDescent="0.3">
      <c r="A538" t="s">
        <v>95</v>
      </c>
      <c r="B538" t="s">
        <v>256</v>
      </c>
      <c r="C538" s="1">
        <f>HYPERLINK("https://cao.dolgi.msk.ru/account/1011131721/", 1011131721)</f>
        <v>1011131721</v>
      </c>
      <c r="D538">
        <v>71804.91</v>
      </c>
    </row>
    <row r="539" spans="1:4" hidden="1" x14ac:dyDescent="0.3">
      <c r="A539" t="s">
        <v>95</v>
      </c>
      <c r="B539" t="s">
        <v>257</v>
      </c>
      <c r="C539" s="1">
        <f>HYPERLINK("https://cao.dolgi.msk.ru/account/1011526926/", 1011526926)</f>
        <v>1011526926</v>
      </c>
      <c r="D539">
        <v>0</v>
      </c>
    </row>
    <row r="540" spans="1:4" hidden="1" x14ac:dyDescent="0.3">
      <c r="A540" t="s">
        <v>258</v>
      </c>
      <c r="B540" t="s">
        <v>6</v>
      </c>
      <c r="C540" s="1">
        <f>HYPERLINK("https://cao.dolgi.msk.ru/account/1011190377/", 1011190377)</f>
        <v>1011190377</v>
      </c>
      <c r="D540">
        <v>-159.57</v>
      </c>
    </row>
    <row r="541" spans="1:4" hidden="1" x14ac:dyDescent="0.3">
      <c r="A541" t="s">
        <v>258</v>
      </c>
      <c r="B541" t="s">
        <v>28</v>
      </c>
      <c r="C541" s="1">
        <f>HYPERLINK("https://cao.dolgi.msk.ru/account/1011190852/", 1011190852)</f>
        <v>1011190852</v>
      </c>
      <c r="D541">
        <v>-186.56</v>
      </c>
    </row>
    <row r="542" spans="1:4" hidden="1" x14ac:dyDescent="0.3">
      <c r="A542" t="s">
        <v>258</v>
      </c>
      <c r="B542" t="s">
        <v>35</v>
      </c>
      <c r="C542" s="1">
        <f>HYPERLINK("https://cao.dolgi.msk.ru/account/1011190641/", 1011190641)</f>
        <v>1011190641</v>
      </c>
      <c r="D542">
        <v>-12761.54</v>
      </c>
    </row>
    <row r="543" spans="1:4" hidden="1" x14ac:dyDescent="0.3">
      <c r="A543" t="s">
        <v>258</v>
      </c>
      <c r="B543" t="s">
        <v>5</v>
      </c>
      <c r="C543" s="1">
        <f>HYPERLINK("https://cao.dolgi.msk.ru/account/1011190182/", 1011190182)</f>
        <v>1011190182</v>
      </c>
      <c r="D543">
        <v>-10221.57</v>
      </c>
    </row>
    <row r="544" spans="1:4" hidden="1" x14ac:dyDescent="0.3">
      <c r="A544" t="s">
        <v>258</v>
      </c>
      <c r="B544" t="s">
        <v>7</v>
      </c>
      <c r="C544" s="1">
        <f>HYPERLINK("https://cao.dolgi.msk.ru/account/1011190668/", 1011190668)</f>
        <v>1011190668</v>
      </c>
      <c r="D544">
        <v>0</v>
      </c>
    </row>
    <row r="545" spans="1:4" hidden="1" x14ac:dyDescent="0.3">
      <c r="A545" t="s">
        <v>258</v>
      </c>
      <c r="B545" t="s">
        <v>8</v>
      </c>
      <c r="C545" s="1">
        <f>HYPERLINK("https://cao.dolgi.msk.ru/account/1011190027/", 1011190027)</f>
        <v>1011190027</v>
      </c>
      <c r="D545">
        <v>-8804.59</v>
      </c>
    </row>
    <row r="546" spans="1:4" hidden="1" x14ac:dyDescent="0.3">
      <c r="A546" t="s">
        <v>258</v>
      </c>
      <c r="B546" t="s">
        <v>31</v>
      </c>
      <c r="C546" s="1">
        <f>HYPERLINK("https://cao.dolgi.msk.ru/account/1011190385/", 1011190385)</f>
        <v>1011190385</v>
      </c>
      <c r="D546">
        <v>-108.54</v>
      </c>
    </row>
    <row r="547" spans="1:4" x14ac:dyDescent="0.3">
      <c r="A547" t="s">
        <v>258</v>
      </c>
      <c r="B547" t="s">
        <v>9</v>
      </c>
      <c r="C547" s="1">
        <f>HYPERLINK("https://cao.dolgi.msk.ru/account/1011190393/", 1011190393)</f>
        <v>1011190393</v>
      </c>
      <c r="D547">
        <v>114267.3</v>
      </c>
    </row>
    <row r="548" spans="1:4" hidden="1" x14ac:dyDescent="0.3">
      <c r="A548" t="s">
        <v>258</v>
      </c>
      <c r="B548" t="s">
        <v>10</v>
      </c>
      <c r="C548" s="1">
        <f>HYPERLINK("https://cao.dolgi.msk.ru/account/1011190406/", 1011190406)</f>
        <v>1011190406</v>
      </c>
      <c r="D548">
        <v>-179.18</v>
      </c>
    </row>
    <row r="549" spans="1:4" hidden="1" x14ac:dyDescent="0.3">
      <c r="A549" t="s">
        <v>258</v>
      </c>
      <c r="B549" t="s">
        <v>11</v>
      </c>
      <c r="C549" s="1">
        <f>HYPERLINK("https://cao.dolgi.msk.ru/account/1011190414/", 1011190414)</f>
        <v>1011190414</v>
      </c>
      <c r="D549">
        <v>-547.12</v>
      </c>
    </row>
    <row r="550" spans="1:4" hidden="1" x14ac:dyDescent="0.3">
      <c r="A550" t="s">
        <v>258</v>
      </c>
      <c r="B550" t="s">
        <v>12</v>
      </c>
      <c r="C550" s="1">
        <f>HYPERLINK("https://cao.dolgi.msk.ru/account/1011190203/", 1011190203)</f>
        <v>1011190203</v>
      </c>
      <c r="D550">
        <v>0</v>
      </c>
    </row>
    <row r="551" spans="1:4" hidden="1" x14ac:dyDescent="0.3">
      <c r="A551" t="s">
        <v>258</v>
      </c>
      <c r="B551" t="s">
        <v>23</v>
      </c>
      <c r="C551" s="1">
        <f>HYPERLINK("https://cao.dolgi.msk.ru/account/1011189827/", 1011189827)</f>
        <v>1011189827</v>
      </c>
      <c r="D551">
        <v>0</v>
      </c>
    </row>
    <row r="552" spans="1:4" hidden="1" x14ac:dyDescent="0.3">
      <c r="A552" t="s">
        <v>258</v>
      </c>
      <c r="B552" t="s">
        <v>13</v>
      </c>
      <c r="C552" s="1">
        <f>HYPERLINK("https://cao.dolgi.msk.ru/account/1011190035/", 1011190035)</f>
        <v>1011190035</v>
      </c>
      <c r="D552">
        <v>-9711.31</v>
      </c>
    </row>
    <row r="553" spans="1:4" hidden="1" x14ac:dyDescent="0.3">
      <c r="A553" t="s">
        <v>258</v>
      </c>
      <c r="B553" t="s">
        <v>14</v>
      </c>
      <c r="C553" s="1">
        <f>HYPERLINK("https://cao.dolgi.msk.ru/account/1011189472/", 1011189472)</f>
        <v>1011189472</v>
      </c>
      <c r="D553">
        <v>0</v>
      </c>
    </row>
    <row r="554" spans="1:4" hidden="1" x14ac:dyDescent="0.3">
      <c r="A554" t="s">
        <v>258</v>
      </c>
      <c r="B554" t="s">
        <v>16</v>
      </c>
      <c r="C554" s="1">
        <f>HYPERLINK("https://cao.dolgi.msk.ru/account/1011190879/", 1011190879)</f>
        <v>1011190879</v>
      </c>
      <c r="D554">
        <v>-10252.549999999999</v>
      </c>
    </row>
    <row r="555" spans="1:4" hidden="1" x14ac:dyDescent="0.3">
      <c r="A555" t="s">
        <v>258</v>
      </c>
      <c r="B555" t="s">
        <v>17</v>
      </c>
      <c r="C555" s="1">
        <f>HYPERLINK("https://cao.dolgi.msk.ru/account/1011507653/", 1011507653)</f>
        <v>1011507653</v>
      </c>
      <c r="D555">
        <v>-46779.08</v>
      </c>
    </row>
    <row r="556" spans="1:4" hidden="1" x14ac:dyDescent="0.3">
      <c r="A556" t="s">
        <v>258</v>
      </c>
      <c r="B556" t="s">
        <v>18</v>
      </c>
      <c r="C556" s="1">
        <f>HYPERLINK("https://cao.dolgi.msk.ru/account/1011190422/", 1011190422)</f>
        <v>1011190422</v>
      </c>
      <c r="D556">
        <v>-6970.38</v>
      </c>
    </row>
    <row r="557" spans="1:4" hidden="1" x14ac:dyDescent="0.3">
      <c r="A557" t="s">
        <v>258</v>
      </c>
      <c r="B557" t="s">
        <v>19</v>
      </c>
      <c r="C557" s="1">
        <f>HYPERLINK("https://cao.dolgi.msk.ru/account/1011190895/", 1011190895)</f>
        <v>1011190895</v>
      </c>
      <c r="D557">
        <v>-6058.93</v>
      </c>
    </row>
    <row r="558" spans="1:4" hidden="1" x14ac:dyDescent="0.3">
      <c r="A558" t="s">
        <v>258</v>
      </c>
      <c r="B558" t="s">
        <v>20</v>
      </c>
      <c r="C558" s="1">
        <f>HYPERLINK("https://cao.dolgi.msk.ru/account/1011189499/", 1011189499)</f>
        <v>1011189499</v>
      </c>
      <c r="D558">
        <v>-28.83</v>
      </c>
    </row>
    <row r="559" spans="1:4" hidden="1" x14ac:dyDescent="0.3">
      <c r="A559" t="s">
        <v>258</v>
      </c>
      <c r="B559" t="s">
        <v>20</v>
      </c>
      <c r="C559" s="1">
        <f>HYPERLINK("https://cao.dolgi.msk.ru/account/1011190174/", 1011190174)</f>
        <v>1011190174</v>
      </c>
      <c r="D559">
        <v>0</v>
      </c>
    </row>
    <row r="560" spans="1:4" hidden="1" x14ac:dyDescent="0.3">
      <c r="A560" t="s">
        <v>258</v>
      </c>
      <c r="B560" t="s">
        <v>21</v>
      </c>
      <c r="C560" s="1">
        <f>HYPERLINK("https://cao.dolgi.msk.ru/account/1011190908/", 1011190908)</f>
        <v>1011190908</v>
      </c>
      <c r="D560">
        <v>0</v>
      </c>
    </row>
    <row r="561" spans="1:4" hidden="1" x14ac:dyDescent="0.3">
      <c r="A561" t="s">
        <v>258</v>
      </c>
      <c r="B561" t="s">
        <v>22</v>
      </c>
      <c r="C561" s="1">
        <f>HYPERLINK("https://cao.dolgi.msk.ru/account/1011190676/", 1011190676)</f>
        <v>1011190676</v>
      </c>
      <c r="D561">
        <v>-6835.34</v>
      </c>
    </row>
    <row r="562" spans="1:4" hidden="1" x14ac:dyDescent="0.3">
      <c r="A562" t="s">
        <v>258</v>
      </c>
      <c r="B562" t="s">
        <v>24</v>
      </c>
      <c r="C562" s="1">
        <f>HYPERLINK("https://cao.dolgi.msk.ru/account/1011190684/", 1011190684)</f>
        <v>1011190684</v>
      </c>
      <c r="D562">
        <v>0</v>
      </c>
    </row>
    <row r="563" spans="1:4" hidden="1" x14ac:dyDescent="0.3">
      <c r="A563" t="s">
        <v>258</v>
      </c>
      <c r="B563" t="s">
        <v>25</v>
      </c>
      <c r="C563" s="1">
        <f>HYPERLINK("https://cao.dolgi.msk.ru/account/1011190916/", 1011190916)</f>
        <v>1011190916</v>
      </c>
      <c r="D563">
        <v>-1034.8699999999999</v>
      </c>
    </row>
    <row r="564" spans="1:4" hidden="1" x14ac:dyDescent="0.3">
      <c r="A564" t="s">
        <v>258</v>
      </c>
      <c r="B564" t="s">
        <v>26</v>
      </c>
      <c r="C564" s="1">
        <f>HYPERLINK("https://cao.dolgi.msk.ru/account/1011189704/", 1011189704)</f>
        <v>1011189704</v>
      </c>
      <c r="D564">
        <v>-15193.23</v>
      </c>
    </row>
    <row r="565" spans="1:4" hidden="1" x14ac:dyDescent="0.3">
      <c r="A565" t="s">
        <v>258</v>
      </c>
      <c r="B565" t="s">
        <v>27</v>
      </c>
      <c r="C565" s="1">
        <f>HYPERLINK("https://cao.dolgi.msk.ru/account/1011190692/", 1011190692)</f>
        <v>1011190692</v>
      </c>
      <c r="D565">
        <v>-746.6</v>
      </c>
    </row>
    <row r="566" spans="1:4" hidden="1" x14ac:dyDescent="0.3">
      <c r="A566" t="s">
        <v>258</v>
      </c>
      <c r="B566" t="s">
        <v>29</v>
      </c>
      <c r="C566" s="1">
        <f>HYPERLINK("https://cao.dolgi.msk.ru/account/1011190449/", 1011190449)</f>
        <v>1011190449</v>
      </c>
      <c r="D566">
        <v>0</v>
      </c>
    </row>
    <row r="567" spans="1:4" hidden="1" x14ac:dyDescent="0.3">
      <c r="A567" t="s">
        <v>258</v>
      </c>
      <c r="B567" t="s">
        <v>38</v>
      </c>
      <c r="C567" s="1">
        <f>HYPERLINK("https://cao.dolgi.msk.ru/account/1011190211/", 1011190211)</f>
        <v>1011190211</v>
      </c>
      <c r="D567">
        <v>0</v>
      </c>
    </row>
    <row r="568" spans="1:4" hidden="1" x14ac:dyDescent="0.3">
      <c r="A568" t="s">
        <v>258</v>
      </c>
      <c r="B568" t="s">
        <v>39</v>
      </c>
      <c r="C568" s="1">
        <f>HYPERLINK("https://cao.dolgi.msk.ru/account/1011189712/", 1011189712)</f>
        <v>1011189712</v>
      </c>
      <c r="D568">
        <v>-408.35</v>
      </c>
    </row>
    <row r="569" spans="1:4" hidden="1" x14ac:dyDescent="0.3">
      <c r="A569" t="s">
        <v>258</v>
      </c>
      <c r="B569" t="s">
        <v>40</v>
      </c>
      <c r="C569" s="1">
        <f>HYPERLINK("https://cao.dolgi.msk.ru/account/1011190457/", 1011190457)</f>
        <v>1011190457</v>
      </c>
      <c r="D569">
        <v>-1706.67</v>
      </c>
    </row>
    <row r="570" spans="1:4" x14ac:dyDescent="0.3">
      <c r="A570" t="s">
        <v>258</v>
      </c>
      <c r="B570" t="s">
        <v>41</v>
      </c>
      <c r="C570" s="1">
        <f>HYPERLINK("https://cao.dolgi.msk.ru/account/1011190465/", 1011190465)</f>
        <v>1011190465</v>
      </c>
      <c r="D570">
        <v>5882.47</v>
      </c>
    </row>
    <row r="571" spans="1:4" hidden="1" x14ac:dyDescent="0.3">
      <c r="A571" t="s">
        <v>258</v>
      </c>
      <c r="B571" t="s">
        <v>51</v>
      </c>
      <c r="C571" s="1">
        <f>HYPERLINK("https://cao.dolgi.msk.ru/account/1011190473/", 1011190473)</f>
        <v>1011190473</v>
      </c>
      <c r="D571">
        <v>0</v>
      </c>
    </row>
    <row r="572" spans="1:4" hidden="1" x14ac:dyDescent="0.3">
      <c r="A572" t="s">
        <v>258</v>
      </c>
      <c r="B572" t="s">
        <v>52</v>
      </c>
      <c r="C572" s="1">
        <f>HYPERLINK("https://cao.dolgi.msk.ru/account/1011190924/", 1011190924)</f>
        <v>1011190924</v>
      </c>
      <c r="D572">
        <v>0</v>
      </c>
    </row>
    <row r="573" spans="1:4" hidden="1" x14ac:dyDescent="0.3">
      <c r="A573" t="s">
        <v>258</v>
      </c>
      <c r="B573" t="s">
        <v>53</v>
      </c>
      <c r="C573" s="1">
        <f>HYPERLINK("https://cao.dolgi.msk.ru/account/1011190705/", 1011190705)</f>
        <v>1011190705</v>
      </c>
      <c r="D573">
        <v>-836.67</v>
      </c>
    </row>
    <row r="574" spans="1:4" x14ac:dyDescent="0.3">
      <c r="A574" t="s">
        <v>258</v>
      </c>
      <c r="B574" t="s">
        <v>54</v>
      </c>
      <c r="C574" s="1">
        <f>HYPERLINK("https://cao.dolgi.msk.ru/account/1011190481/", 1011190481)</f>
        <v>1011190481</v>
      </c>
      <c r="D574">
        <v>91956.94</v>
      </c>
    </row>
    <row r="575" spans="1:4" x14ac:dyDescent="0.3">
      <c r="A575" t="s">
        <v>258</v>
      </c>
      <c r="B575" t="s">
        <v>55</v>
      </c>
      <c r="C575" s="1">
        <f>HYPERLINK("https://cao.dolgi.msk.ru/account/1011190238/", 1011190238)</f>
        <v>1011190238</v>
      </c>
      <c r="D575">
        <v>6279.48</v>
      </c>
    </row>
    <row r="576" spans="1:4" hidden="1" x14ac:dyDescent="0.3">
      <c r="A576" t="s">
        <v>258</v>
      </c>
      <c r="B576" t="s">
        <v>56</v>
      </c>
      <c r="C576" s="1">
        <f>HYPERLINK("https://cao.dolgi.msk.ru/account/1011190932/", 1011190932)</f>
        <v>1011190932</v>
      </c>
      <c r="D576">
        <v>-24719.040000000001</v>
      </c>
    </row>
    <row r="577" spans="1:4" hidden="1" x14ac:dyDescent="0.3">
      <c r="A577" t="s">
        <v>258</v>
      </c>
      <c r="B577" t="s">
        <v>87</v>
      </c>
      <c r="C577" s="1">
        <f>HYPERLINK("https://cao.dolgi.msk.ru/account/1011190043/", 1011190043)</f>
        <v>1011190043</v>
      </c>
      <c r="D577">
        <v>-3985.27</v>
      </c>
    </row>
    <row r="578" spans="1:4" hidden="1" x14ac:dyDescent="0.3">
      <c r="A578" t="s">
        <v>258</v>
      </c>
      <c r="B578" t="s">
        <v>88</v>
      </c>
      <c r="C578" s="1">
        <f>HYPERLINK("https://cao.dolgi.msk.ru/account/1011190502/", 1011190502)</f>
        <v>1011190502</v>
      </c>
      <c r="D578">
        <v>-33.590000000000003</v>
      </c>
    </row>
    <row r="579" spans="1:4" hidden="1" x14ac:dyDescent="0.3">
      <c r="A579" t="s">
        <v>258</v>
      </c>
      <c r="B579" t="s">
        <v>89</v>
      </c>
      <c r="C579" s="1">
        <f>HYPERLINK("https://cao.dolgi.msk.ru/account/1011190959/", 1011190959)</f>
        <v>1011190959</v>
      </c>
      <c r="D579">
        <v>0</v>
      </c>
    </row>
    <row r="580" spans="1:4" hidden="1" x14ac:dyDescent="0.3">
      <c r="A580" t="s">
        <v>258</v>
      </c>
      <c r="B580" t="s">
        <v>90</v>
      </c>
      <c r="C580" s="1">
        <f>HYPERLINK("https://cao.dolgi.msk.ru/account/1011190529/", 1011190529)</f>
        <v>1011190529</v>
      </c>
      <c r="D580">
        <v>0</v>
      </c>
    </row>
    <row r="581" spans="1:4" hidden="1" x14ac:dyDescent="0.3">
      <c r="A581" t="s">
        <v>258</v>
      </c>
      <c r="B581" t="s">
        <v>96</v>
      </c>
      <c r="C581" s="1">
        <f>HYPERLINK("https://cao.dolgi.msk.ru/account/1011190967/", 1011190967)</f>
        <v>1011190967</v>
      </c>
      <c r="D581">
        <v>0</v>
      </c>
    </row>
    <row r="582" spans="1:4" hidden="1" x14ac:dyDescent="0.3">
      <c r="A582" t="s">
        <v>258</v>
      </c>
      <c r="B582" t="s">
        <v>97</v>
      </c>
      <c r="C582" s="1">
        <f>HYPERLINK("https://cao.dolgi.msk.ru/account/1011190051/", 1011190051)</f>
        <v>1011190051</v>
      </c>
      <c r="D582">
        <v>0</v>
      </c>
    </row>
    <row r="583" spans="1:4" hidden="1" x14ac:dyDescent="0.3">
      <c r="A583" t="s">
        <v>258</v>
      </c>
      <c r="B583" t="s">
        <v>98</v>
      </c>
      <c r="C583" s="1">
        <f>HYPERLINK("https://cao.dolgi.msk.ru/account/1011190537/", 1011190537)</f>
        <v>1011190537</v>
      </c>
      <c r="D583">
        <v>-690.08</v>
      </c>
    </row>
    <row r="584" spans="1:4" hidden="1" x14ac:dyDescent="0.3">
      <c r="A584" t="s">
        <v>258</v>
      </c>
      <c r="B584" t="s">
        <v>58</v>
      </c>
      <c r="C584" s="1">
        <f>HYPERLINK("https://cao.dolgi.msk.ru/account/1011189501/", 1011189501)</f>
        <v>1011189501</v>
      </c>
      <c r="D584">
        <v>-188.25</v>
      </c>
    </row>
    <row r="585" spans="1:4" hidden="1" x14ac:dyDescent="0.3">
      <c r="A585" t="s">
        <v>258</v>
      </c>
      <c r="B585" t="s">
        <v>59</v>
      </c>
      <c r="C585" s="1">
        <f>HYPERLINK("https://cao.dolgi.msk.ru/account/1011190246/", 1011190246)</f>
        <v>1011190246</v>
      </c>
      <c r="D585">
        <v>-8798.7000000000007</v>
      </c>
    </row>
    <row r="586" spans="1:4" hidden="1" x14ac:dyDescent="0.3">
      <c r="A586" t="s">
        <v>258</v>
      </c>
      <c r="B586" t="s">
        <v>60</v>
      </c>
      <c r="C586" s="1">
        <f>HYPERLINK("https://cao.dolgi.msk.ru/account/1011189739/", 1011189739)</f>
        <v>1011189739</v>
      </c>
      <c r="D586">
        <v>-1042.26</v>
      </c>
    </row>
    <row r="587" spans="1:4" hidden="1" x14ac:dyDescent="0.3">
      <c r="A587" t="s">
        <v>258</v>
      </c>
      <c r="B587" t="s">
        <v>61</v>
      </c>
      <c r="C587" s="1">
        <f>HYPERLINK("https://cao.dolgi.msk.ru/account/1011189982/", 1011189982)</f>
        <v>1011189982</v>
      </c>
      <c r="D587">
        <v>0</v>
      </c>
    </row>
    <row r="588" spans="1:4" hidden="1" x14ac:dyDescent="0.3">
      <c r="A588" t="s">
        <v>258</v>
      </c>
      <c r="B588" t="s">
        <v>61</v>
      </c>
      <c r="C588" s="1">
        <f>HYPERLINK("https://cao.dolgi.msk.ru/account/1011190713/", 1011190713)</f>
        <v>1011190713</v>
      </c>
      <c r="D588">
        <v>-289.13</v>
      </c>
    </row>
    <row r="589" spans="1:4" hidden="1" x14ac:dyDescent="0.3">
      <c r="A589" t="s">
        <v>258</v>
      </c>
      <c r="B589" t="s">
        <v>62</v>
      </c>
      <c r="C589" s="1">
        <f>HYPERLINK("https://cao.dolgi.msk.ru/account/1011189747/", 1011189747)</f>
        <v>1011189747</v>
      </c>
      <c r="D589">
        <v>-84.34</v>
      </c>
    </row>
    <row r="590" spans="1:4" hidden="1" x14ac:dyDescent="0.3">
      <c r="A590" t="s">
        <v>258</v>
      </c>
      <c r="B590" t="s">
        <v>63</v>
      </c>
      <c r="C590" s="1">
        <f>HYPERLINK("https://cao.dolgi.msk.ru/account/1011190078/", 1011190078)</f>
        <v>1011190078</v>
      </c>
      <c r="D590">
        <v>0</v>
      </c>
    </row>
    <row r="591" spans="1:4" hidden="1" x14ac:dyDescent="0.3">
      <c r="A591" t="s">
        <v>258</v>
      </c>
      <c r="B591" t="s">
        <v>64</v>
      </c>
      <c r="C591" s="1">
        <f>HYPERLINK("https://cao.dolgi.msk.ru/account/1011189755/", 1011189755)</f>
        <v>1011189755</v>
      </c>
      <c r="D591">
        <v>-5708.47</v>
      </c>
    </row>
    <row r="592" spans="1:4" hidden="1" x14ac:dyDescent="0.3">
      <c r="A592" t="s">
        <v>258</v>
      </c>
      <c r="B592" t="s">
        <v>65</v>
      </c>
      <c r="C592" s="1">
        <f>HYPERLINK("https://cao.dolgi.msk.ru/account/1011189835/", 1011189835)</f>
        <v>1011189835</v>
      </c>
      <c r="D592">
        <v>-269.83</v>
      </c>
    </row>
    <row r="593" spans="1:4" hidden="1" x14ac:dyDescent="0.3">
      <c r="A593" t="s">
        <v>258</v>
      </c>
      <c r="B593" t="s">
        <v>66</v>
      </c>
      <c r="C593" s="1">
        <f>HYPERLINK("https://cao.dolgi.msk.ru/account/1011190254/", 1011190254)</f>
        <v>1011190254</v>
      </c>
      <c r="D593">
        <v>0</v>
      </c>
    </row>
    <row r="594" spans="1:4" hidden="1" x14ac:dyDescent="0.3">
      <c r="A594" t="s">
        <v>258</v>
      </c>
      <c r="B594" t="s">
        <v>67</v>
      </c>
      <c r="C594" s="1">
        <f>HYPERLINK("https://cao.dolgi.msk.ru/account/1011189528/", 1011189528)</f>
        <v>1011189528</v>
      </c>
      <c r="D594">
        <v>0</v>
      </c>
    </row>
    <row r="595" spans="1:4" hidden="1" x14ac:dyDescent="0.3">
      <c r="A595" t="s">
        <v>258</v>
      </c>
      <c r="B595" t="s">
        <v>68</v>
      </c>
      <c r="C595" s="1">
        <f>HYPERLINK("https://cao.dolgi.msk.ru/account/1011505017/", 1011505017)</f>
        <v>1011505017</v>
      </c>
      <c r="D595">
        <v>-9606.5499999999993</v>
      </c>
    </row>
    <row r="596" spans="1:4" hidden="1" x14ac:dyDescent="0.3">
      <c r="A596" t="s">
        <v>258</v>
      </c>
      <c r="B596" t="s">
        <v>69</v>
      </c>
      <c r="C596" s="1">
        <f>HYPERLINK("https://cao.dolgi.msk.ru/account/1011189763/", 1011189763)</f>
        <v>1011189763</v>
      </c>
      <c r="D596">
        <v>0</v>
      </c>
    </row>
    <row r="597" spans="1:4" hidden="1" x14ac:dyDescent="0.3">
      <c r="A597" t="s">
        <v>258</v>
      </c>
      <c r="B597" t="s">
        <v>70</v>
      </c>
      <c r="C597" s="1">
        <f>HYPERLINK("https://cao.dolgi.msk.ru/account/1011190086/", 1011190086)</f>
        <v>1011190086</v>
      </c>
      <c r="D597">
        <v>-4873.1400000000003</v>
      </c>
    </row>
    <row r="598" spans="1:4" hidden="1" x14ac:dyDescent="0.3">
      <c r="A598" t="s">
        <v>258</v>
      </c>
      <c r="B598" t="s">
        <v>259</v>
      </c>
      <c r="C598" s="1">
        <f>HYPERLINK("https://cao.dolgi.msk.ru/account/1011189843/", 1011189843)</f>
        <v>1011189843</v>
      </c>
      <c r="D598">
        <v>0</v>
      </c>
    </row>
    <row r="599" spans="1:4" hidden="1" x14ac:dyDescent="0.3">
      <c r="A599" t="s">
        <v>258</v>
      </c>
      <c r="B599" t="s">
        <v>100</v>
      </c>
      <c r="C599" s="1">
        <f>HYPERLINK("https://cao.dolgi.msk.ru/account/1011190262/", 1011190262)</f>
        <v>1011190262</v>
      </c>
      <c r="D599">
        <v>-270.31</v>
      </c>
    </row>
    <row r="600" spans="1:4" hidden="1" x14ac:dyDescent="0.3">
      <c r="A600" t="s">
        <v>258</v>
      </c>
      <c r="B600" t="s">
        <v>72</v>
      </c>
      <c r="C600" s="1">
        <f>HYPERLINK("https://cao.dolgi.msk.ru/account/1011190983/", 1011190983)</f>
        <v>1011190983</v>
      </c>
      <c r="D600">
        <v>0</v>
      </c>
    </row>
    <row r="601" spans="1:4" hidden="1" x14ac:dyDescent="0.3">
      <c r="A601" t="s">
        <v>258</v>
      </c>
      <c r="B601" t="s">
        <v>73</v>
      </c>
      <c r="C601" s="1">
        <f>HYPERLINK("https://cao.dolgi.msk.ru/account/1011189851/", 1011189851)</f>
        <v>1011189851</v>
      </c>
      <c r="D601">
        <v>-226.31</v>
      </c>
    </row>
    <row r="602" spans="1:4" hidden="1" x14ac:dyDescent="0.3">
      <c r="A602" t="s">
        <v>258</v>
      </c>
      <c r="B602" t="s">
        <v>74</v>
      </c>
      <c r="C602" s="1">
        <f>HYPERLINK("https://cao.dolgi.msk.ru/account/1011190721/", 1011190721)</f>
        <v>1011190721</v>
      </c>
      <c r="D602">
        <v>0</v>
      </c>
    </row>
    <row r="603" spans="1:4" hidden="1" x14ac:dyDescent="0.3">
      <c r="A603" t="s">
        <v>258</v>
      </c>
      <c r="B603" t="s">
        <v>75</v>
      </c>
      <c r="C603" s="1">
        <f>HYPERLINK("https://cao.dolgi.msk.ru/account/1011189878/", 1011189878)</f>
        <v>1011189878</v>
      </c>
      <c r="D603">
        <v>0</v>
      </c>
    </row>
    <row r="604" spans="1:4" hidden="1" x14ac:dyDescent="0.3">
      <c r="A604" t="s">
        <v>258</v>
      </c>
      <c r="B604" t="s">
        <v>76</v>
      </c>
      <c r="C604" s="1">
        <f>HYPERLINK("https://cao.dolgi.msk.ru/account/1011191003/", 1011191003)</f>
        <v>1011191003</v>
      </c>
      <c r="D604">
        <v>-9244.59</v>
      </c>
    </row>
    <row r="605" spans="1:4" hidden="1" x14ac:dyDescent="0.3">
      <c r="A605" t="s">
        <v>258</v>
      </c>
      <c r="B605" t="s">
        <v>77</v>
      </c>
      <c r="C605" s="1">
        <f>HYPERLINK("https://cao.dolgi.msk.ru/account/1011190991/", 1011190991)</f>
        <v>1011190991</v>
      </c>
      <c r="D605">
        <v>-14106.57</v>
      </c>
    </row>
    <row r="606" spans="1:4" hidden="1" x14ac:dyDescent="0.3">
      <c r="A606" t="s">
        <v>258</v>
      </c>
      <c r="B606" t="s">
        <v>78</v>
      </c>
      <c r="C606" s="1">
        <f>HYPERLINK("https://cao.dolgi.msk.ru/account/1011191011/", 1011191011)</f>
        <v>1011191011</v>
      </c>
      <c r="D606">
        <v>0</v>
      </c>
    </row>
    <row r="607" spans="1:4" hidden="1" x14ac:dyDescent="0.3">
      <c r="A607" t="s">
        <v>258</v>
      </c>
      <c r="B607" t="s">
        <v>79</v>
      </c>
      <c r="C607" s="1">
        <f>HYPERLINK("https://cao.dolgi.msk.ru/account/1011189886/", 1011189886)</f>
        <v>1011189886</v>
      </c>
      <c r="D607">
        <v>-1611.97</v>
      </c>
    </row>
    <row r="608" spans="1:4" hidden="1" x14ac:dyDescent="0.3">
      <c r="A608" t="s">
        <v>258</v>
      </c>
      <c r="B608" t="s">
        <v>80</v>
      </c>
      <c r="C608" s="1">
        <f>HYPERLINK("https://cao.dolgi.msk.ru/account/1011189536/", 1011189536)</f>
        <v>1011189536</v>
      </c>
      <c r="D608">
        <v>-39950.76</v>
      </c>
    </row>
    <row r="609" spans="1:4" hidden="1" x14ac:dyDescent="0.3">
      <c r="A609" t="s">
        <v>258</v>
      </c>
      <c r="B609" t="s">
        <v>81</v>
      </c>
      <c r="C609" s="1">
        <f>HYPERLINK("https://cao.dolgi.msk.ru/account/1011190748/", 1011190748)</f>
        <v>1011190748</v>
      </c>
      <c r="D609">
        <v>-447.4</v>
      </c>
    </row>
    <row r="610" spans="1:4" hidden="1" x14ac:dyDescent="0.3">
      <c r="A610" t="s">
        <v>258</v>
      </c>
      <c r="B610" t="s">
        <v>101</v>
      </c>
      <c r="C610" s="1">
        <f>HYPERLINK("https://cao.dolgi.msk.ru/account/1011190289/", 1011190289)</f>
        <v>1011190289</v>
      </c>
      <c r="D610">
        <v>-202.79</v>
      </c>
    </row>
    <row r="611" spans="1:4" x14ac:dyDescent="0.3">
      <c r="A611" t="s">
        <v>258</v>
      </c>
      <c r="B611" t="s">
        <v>260</v>
      </c>
      <c r="C611" s="1">
        <f>HYPERLINK("https://cao.dolgi.msk.ru/account/1011189544/", 1011189544)</f>
        <v>1011189544</v>
      </c>
      <c r="D611">
        <v>18301.93</v>
      </c>
    </row>
    <row r="612" spans="1:4" hidden="1" x14ac:dyDescent="0.3">
      <c r="A612" t="s">
        <v>258</v>
      </c>
      <c r="B612" t="s">
        <v>84</v>
      </c>
      <c r="C612" s="1">
        <f>HYPERLINK("https://cao.dolgi.msk.ru/account/1011189771/", 1011189771)</f>
        <v>1011189771</v>
      </c>
      <c r="D612">
        <v>0</v>
      </c>
    </row>
    <row r="613" spans="1:4" hidden="1" x14ac:dyDescent="0.3">
      <c r="A613" t="s">
        <v>258</v>
      </c>
      <c r="B613" t="s">
        <v>85</v>
      </c>
      <c r="C613" s="1">
        <f>HYPERLINK("https://cao.dolgi.msk.ru/account/1011190545/", 1011190545)</f>
        <v>1011190545</v>
      </c>
      <c r="D613">
        <v>-7216.1</v>
      </c>
    </row>
    <row r="614" spans="1:4" hidden="1" x14ac:dyDescent="0.3">
      <c r="A614" t="s">
        <v>258</v>
      </c>
      <c r="B614" t="s">
        <v>102</v>
      </c>
      <c r="C614" s="1">
        <f>HYPERLINK("https://cao.dolgi.msk.ru/account/1011190019/", 1011190019)</f>
        <v>1011190019</v>
      </c>
      <c r="D614">
        <v>0</v>
      </c>
    </row>
    <row r="615" spans="1:4" hidden="1" x14ac:dyDescent="0.3">
      <c r="A615" t="s">
        <v>258</v>
      </c>
      <c r="B615" t="s">
        <v>102</v>
      </c>
      <c r="C615" s="1">
        <f>HYPERLINK("https://cao.dolgi.msk.ru/account/1011190094/", 1011190094)</f>
        <v>1011190094</v>
      </c>
      <c r="D615">
        <v>0</v>
      </c>
    </row>
    <row r="616" spans="1:4" hidden="1" x14ac:dyDescent="0.3">
      <c r="A616" t="s">
        <v>258</v>
      </c>
      <c r="B616" t="s">
        <v>103</v>
      </c>
      <c r="C616" s="1">
        <f>HYPERLINK("https://cao.dolgi.msk.ru/account/1011190553/", 1011190553)</f>
        <v>1011190553</v>
      </c>
      <c r="D616">
        <v>0</v>
      </c>
    </row>
    <row r="617" spans="1:4" hidden="1" x14ac:dyDescent="0.3">
      <c r="A617" t="s">
        <v>258</v>
      </c>
      <c r="B617" t="s">
        <v>104</v>
      </c>
      <c r="C617" s="1">
        <f>HYPERLINK("https://cao.dolgi.msk.ru/account/1011189894/", 1011189894)</f>
        <v>1011189894</v>
      </c>
      <c r="D617">
        <v>-26999.18</v>
      </c>
    </row>
    <row r="618" spans="1:4" x14ac:dyDescent="0.3">
      <c r="A618" t="s">
        <v>258</v>
      </c>
      <c r="B618" t="s">
        <v>105</v>
      </c>
      <c r="C618" s="1">
        <f>HYPERLINK("https://cao.dolgi.msk.ru/account/1011191038/", 1011191038)</f>
        <v>1011191038</v>
      </c>
      <c r="D618">
        <v>26936.44</v>
      </c>
    </row>
    <row r="619" spans="1:4" hidden="1" x14ac:dyDescent="0.3">
      <c r="A619" t="s">
        <v>258</v>
      </c>
      <c r="B619" t="s">
        <v>106</v>
      </c>
      <c r="C619" s="1">
        <f>HYPERLINK("https://cao.dolgi.msk.ru/account/1011189552/", 1011189552)</f>
        <v>1011189552</v>
      </c>
      <c r="D619">
        <v>0</v>
      </c>
    </row>
    <row r="620" spans="1:4" hidden="1" x14ac:dyDescent="0.3">
      <c r="A620" t="s">
        <v>258</v>
      </c>
      <c r="B620" t="s">
        <v>107</v>
      </c>
      <c r="C620" s="1">
        <f>HYPERLINK("https://cao.dolgi.msk.ru/account/1011189907/", 1011189907)</f>
        <v>1011189907</v>
      </c>
      <c r="D620">
        <v>-6617.81</v>
      </c>
    </row>
    <row r="621" spans="1:4" x14ac:dyDescent="0.3">
      <c r="A621" t="s">
        <v>258</v>
      </c>
      <c r="B621" t="s">
        <v>108</v>
      </c>
      <c r="C621" s="1">
        <f>HYPERLINK("https://cao.dolgi.msk.ru/account/1011190561/", 1011190561)</f>
        <v>1011190561</v>
      </c>
      <c r="D621">
        <v>10858.62</v>
      </c>
    </row>
    <row r="622" spans="1:4" hidden="1" x14ac:dyDescent="0.3">
      <c r="A622" t="s">
        <v>258</v>
      </c>
      <c r="B622" t="s">
        <v>109</v>
      </c>
      <c r="C622" s="1">
        <f>HYPERLINK("https://cao.dolgi.msk.ru/account/1011190297/", 1011190297)</f>
        <v>1011190297</v>
      </c>
      <c r="D622">
        <v>-70687.820000000007</v>
      </c>
    </row>
    <row r="623" spans="1:4" hidden="1" x14ac:dyDescent="0.3">
      <c r="A623" t="s">
        <v>258</v>
      </c>
      <c r="B623" t="s">
        <v>110</v>
      </c>
      <c r="C623" s="1">
        <f>HYPERLINK("https://cao.dolgi.msk.ru/account/1011190756/", 1011190756)</f>
        <v>1011190756</v>
      </c>
      <c r="D623">
        <v>-11192.47</v>
      </c>
    </row>
    <row r="624" spans="1:4" hidden="1" x14ac:dyDescent="0.3">
      <c r="A624" t="s">
        <v>258</v>
      </c>
      <c r="B624" t="s">
        <v>111</v>
      </c>
      <c r="C624" s="1">
        <f>HYPERLINK("https://cao.dolgi.msk.ru/account/1011190107/", 1011190107)</f>
        <v>1011190107</v>
      </c>
      <c r="D624">
        <v>-595.16999999999996</v>
      </c>
    </row>
    <row r="625" spans="1:4" hidden="1" x14ac:dyDescent="0.3">
      <c r="A625" t="s">
        <v>258</v>
      </c>
      <c r="B625" t="s">
        <v>112</v>
      </c>
      <c r="C625" s="1">
        <f>HYPERLINK("https://cao.dolgi.msk.ru/account/1011189798/", 1011189798)</f>
        <v>1011189798</v>
      </c>
      <c r="D625">
        <v>0</v>
      </c>
    </row>
    <row r="626" spans="1:4" x14ac:dyDescent="0.3">
      <c r="A626" t="s">
        <v>258</v>
      </c>
      <c r="B626" t="s">
        <v>113</v>
      </c>
      <c r="C626" s="1">
        <f>HYPERLINK("https://cao.dolgi.msk.ru/account/1011190115/", 1011190115)</f>
        <v>1011190115</v>
      </c>
      <c r="D626">
        <v>32925.58</v>
      </c>
    </row>
    <row r="627" spans="1:4" hidden="1" x14ac:dyDescent="0.3">
      <c r="A627" t="s">
        <v>258</v>
      </c>
      <c r="B627" t="s">
        <v>114</v>
      </c>
      <c r="C627" s="1">
        <f>HYPERLINK("https://cao.dolgi.msk.ru/account/1011189915/", 1011189915)</f>
        <v>1011189915</v>
      </c>
      <c r="D627">
        <v>0</v>
      </c>
    </row>
    <row r="628" spans="1:4" x14ac:dyDescent="0.3">
      <c r="A628" t="s">
        <v>258</v>
      </c>
      <c r="B628" t="s">
        <v>261</v>
      </c>
      <c r="C628" s="1">
        <f>HYPERLINK("https://cao.dolgi.msk.ru/account/1011190123/", 1011190123)</f>
        <v>1011190123</v>
      </c>
      <c r="D628">
        <v>56510.01</v>
      </c>
    </row>
    <row r="629" spans="1:4" hidden="1" x14ac:dyDescent="0.3">
      <c r="A629" t="s">
        <v>258</v>
      </c>
      <c r="B629" t="s">
        <v>116</v>
      </c>
      <c r="C629" s="1">
        <f>HYPERLINK("https://cao.dolgi.msk.ru/account/1011190764/", 1011190764)</f>
        <v>1011190764</v>
      </c>
      <c r="D629">
        <v>-6812.65</v>
      </c>
    </row>
    <row r="630" spans="1:4" hidden="1" x14ac:dyDescent="0.3">
      <c r="A630" t="s">
        <v>258</v>
      </c>
      <c r="B630" t="s">
        <v>117</v>
      </c>
      <c r="C630" s="1">
        <f>HYPERLINK("https://cao.dolgi.msk.ru/account/1011189974/", 1011189974)</f>
        <v>1011189974</v>
      </c>
      <c r="D630">
        <v>0</v>
      </c>
    </row>
    <row r="631" spans="1:4" hidden="1" x14ac:dyDescent="0.3">
      <c r="A631" t="s">
        <v>258</v>
      </c>
      <c r="B631" t="s">
        <v>118</v>
      </c>
      <c r="C631" s="1">
        <f>HYPERLINK("https://cao.dolgi.msk.ru/account/1011190369/", 1011190369)</f>
        <v>1011190369</v>
      </c>
      <c r="D631">
        <v>-266.99</v>
      </c>
    </row>
    <row r="632" spans="1:4" hidden="1" x14ac:dyDescent="0.3">
      <c r="A632" t="s">
        <v>258</v>
      </c>
      <c r="B632" t="s">
        <v>119</v>
      </c>
      <c r="C632" s="1">
        <f>HYPERLINK("https://cao.dolgi.msk.ru/account/1011190844/", 1011190844)</f>
        <v>1011190844</v>
      </c>
      <c r="D632">
        <v>-8696.66</v>
      </c>
    </row>
    <row r="633" spans="1:4" hidden="1" x14ac:dyDescent="0.3">
      <c r="A633" t="s">
        <v>258</v>
      </c>
      <c r="B633" t="s">
        <v>120</v>
      </c>
      <c r="C633" s="1">
        <f>HYPERLINK("https://cao.dolgi.msk.ru/account/1011190158/", 1011190158)</f>
        <v>1011190158</v>
      </c>
      <c r="D633">
        <v>0</v>
      </c>
    </row>
    <row r="634" spans="1:4" hidden="1" x14ac:dyDescent="0.3">
      <c r="A634" t="s">
        <v>258</v>
      </c>
      <c r="B634" t="s">
        <v>121</v>
      </c>
      <c r="C634" s="1">
        <f>HYPERLINK("https://cao.dolgi.msk.ru/account/1011191062/", 1011191062)</f>
        <v>1011191062</v>
      </c>
      <c r="D634">
        <v>0</v>
      </c>
    </row>
    <row r="635" spans="1:4" hidden="1" x14ac:dyDescent="0.3">
      <c r="A635" t="s">
        <v>258</v>
      </c>
      <c r="B635" t="s">
        <v>122</v>
      </c>
      <c r="C635" s="1">
        <f>HYPERLINK("https://cao.dolgi.msk.ru/account/1011189675/", 1011189675)</f>
        <v>1011189675</v>
      </c>
      <c r="D635">
        <v>0</v>
      </c>
    </row>
    <row r="636" spans="1:4" hidden="1" x14ac:dyDescent="0.3">
      <c r="A636" t="s">
        <v>258</v>
      </c>
      <c r="B636" t="s">
        <v>123</v>
      </c>
      <c r="C636" s="1">
        <f>HYPERLINK("https://cao.dolgi.msk.ru/account/1011189683/", 1011189683)</f>
        <v>1011189683</v>
      </c>
      <c r="D636">
        <v>0</v>
      </c>
    </row>
    <row r="637" spans="1:4" hidden="1" x14ac:dyDescent="0.3">
      <c r="A637" t="s">
        <v>258</v>
      </c>
      <c r="B637" t="s">
        <v>124</v>
      </c>
      <c r="C637" s="1">
        <f>HYPERLINK("https://cao.dolgi.msk.ru/account/1011189691/", 1011189691)</f>
        <v>1011189691</v>
      </c>
      <c r="D637">
        <v>-6619.75</v>
      </c>
    </row>
    <row r="638" spans="1:4" hidden="1" x14ac:dyDescent="0.3">
      <c r="A638" t="s">
        <v>258</v>
      </c>
      <c r="B638" t="s">
        <v>125</v>
      </c>
      <c r="C638" s="1">
        <f>HYPERLINK("https://cao.dolgi.msk.ru/account/1011190166/", 1011190166)</f>
        <v>1011190166</v>
      </c>
      <c r="D638">
        <v>0</v>
      </c>
    </row>
    <row r="639" spans="1:4" hidden="1" x14ac:dyDescent="0.3">
      <c r="A639" t="s">
        <v>258</v>
      </c>
      <c r="B639" t="s">
        <v>126</v>
      </c>
      <c r="C639" s="1">
        <f>HYPERLINK("https://cao.dolgi.msk.ru/account/1011190588/", 1011190588)</f>
        <v>1011190588</v>
      </c>
      <c r="D639">
        <v>-11912.52</v>
      </c>
    </row>
    <row r="640" spans="1:4" hidden="1" x14ac:dyDescent="0.3">
      <c r="A640" t="s">
        <v>258</v>
      </c>
      <c r="B640" t="s">
        <v>127</v>
      </c>
      <c r="C640" s="1">
        <f>HYPERLINK("https://cao.dolgi.msk.ru/account/1011189923/", 1011189923)</f>
        <v>1011189923</v>
      </c>
      <c r="D640">
        <v>-187.52</v>
      </c>
    </row>
    <row r="641" spans="1:4" hidden="1" x14ac:dyDescent="0.3">
      <c r="A641" t="s">
        <v>258</v>
      </c>
      <c r="B641" t="s">
        <v>262</v>
      </c>
      <c r="C641" s="1">
        <f>HYPERLINK("https://cao.dolgi.msk.ru/account/1011190596/", 1011190596)</f>
        <v>1011190596</v>
      </c>
      <c r="D641">
        <v>0</v>
      </c>
    </row>
    <row r="642" spans="1:4" hidden="1" x14ac:dyDescent="0.3">
      <c r="A642" t="s">
        <v>258</v>
      </c>
      <c r="B642" t="s">
        <v>128</v>
      </c>
      <c r="C642" s="1">
        <f>HYPERLINK("https://cao.dolgi.msk.ru/account/1011190609/", 1011190609)</f>
        <v>1011190609</v>
      </c>
      <c r="D642">
        <v>-17.809999999999999</v>
      </c>
    </row>
    <row r="643" spans="1:4" hidden="1" x14ac:dyDescent="0.3">
      <c r="A643" t="s">
        <v>258</v>
      </c>
      <c r="B643" t="s">
        <v>129</v>
      </c>
      <c r="C643" s="1">
        <f>HYPERLINK("https://cao.dolgi.msk.ru/account/1011190772/", 1011190772)</f>
        <v>1011190772</v>
      </c>
      <c r="D643">
        <v>0</v>
      </c>
    </row>
    <row r="644" spans="1:4" x14ac:dyDescent="0.3">
      <c r="A644" t="s">
        <v>258</v>
      </c>
      <c r="B644" t="s">
        <v>130</v>
      </c>
      <c r="C644" s="1">
        <f>HYPERLINK("https://cao.dolgi.msk.ru/account/1011190799/", 1011190799)</f>
        <v>1011190799</v>
      </c>
      <c r="D644">
        <v>11027.72</v>
      </c>
    </row>
    <row r="645" spans="1:4" x14ac:dyDescent="0.3">
      <c r="A645" t="s">
        <v>258</v>
      </c>
      <c r="B645" t="s">
        <v>131</v>
      </c>
      <c r="C645" s="1">
        <f>HYPERLINK("https://cao.dolgi.msk.ru/account/1011190801/", 1011190801)</f>
        <v>1011190801</v>
      </c>
      <c r="D645">
        <v>8700.4699999999993</v>
      </c>
    </row>
    <row r="646" spans="1:4" hidden="1" x14ac:dyDescent="0.3">
      <c r="A646" t="s">
        <v>258</v>
      </c>
      <c r="B646" t="s">
        <v>132</v>
      </c>
      <c r="C646" s="1">
        <f>HYPERLINK("https://cao.dolgi.msk.ru/account/1011190131/", 1011190131)</f>
        <v>1011190131</v>
      </c>
      <c r="D646">
        <v>0</v>
      </c>
    </row>
    <row r="647" spans="1:4" hidden="1" x14ac:dyDescent="0.3">
      <c r="A647" t="s">
        <v>258</v>
      </c>
      <c r="B647" t="s">
        <v>133</v>
      </c>
      <c r="C647" s="1">
        <f>HYPERLINK("https://cao.dolgi.msk.ru/account/1011190318/", 1011190318)</f>
        <v>1011190318</v>
      </c>
      <c r="D647">
        <v>0</v>
      </c>
    </row>
    <row r="648" spans="1:4" hidden="1" x14ac:dyDescent="0.3">
      <c r="A648" t="s">
        <v>258</v>
      </c>
      <c r="B648" t="s">
        <v>263</v>
      </c>
      <c r="C648" s="1">
        <f>HYPERLINK("https://cao.dolgi.msk.ru/account/1011191046/", 1011191046)</f>
        <v>1011191046</v>
      </c>
      <c r="D648">
        <v>-24.91</v>
      </c>
    </row>
    <row r="649" spans="1:4" hidden="1" x14ac:dyDescent="0.3">
      <c r="A649" t="s">
        <v>258</v>
      </c>
      <c r="B649" t="s">
        <v>264</v>
      </c>
      <c r="C649" s="1">
        <f>HYPERLINK("https://cao.dolgi.msk.ru/account/1011190617/", 1011190617)</f>
        <v>1011190617</v>
      </c>
      <c r="D649">
        <v>0</v>
      </c>
    </row>
    <row r="650" spans="1:4" x14ac:dyDescent="0.3">
      <c r="A650" t="s">
        <v>258</v>
      </c>
      <c r="B650" t="s">
        <v>136</v>
      </c>
      <c r="C650" s="1">
        <f>HYPERLINK("https://cao.dolgi.msk.ru/account/1011190326/", 1011190326)</f>
        <v>1011190326</v>
      </c>
      <c r="D650">
        <v>4231.54</v>
      </c>
    </row>
    <row r="651" spans="1:4" hidden="1" x14ac:dyDescent="0.3">
      <c r="A651" t="s">
        <v>258</v>
      </c>
      <c r="B651" t="s">
        <v>137</v>
      </c>
      <c r="C651" s="1">
        <f>HYPERLINK("https://cao.dolgi.msk.ru/account/1011190334/", 1011190334)</f>
        <v>1011190334</v>
      </c>
      <c r="D651">
        <v>-94.63</v>
      </c>
    </row>
    <row r="652" spans="1:4" hidden="1" x14ac:dyDescent="0.3">
      <c r="A652" t="s">
        <v>258</v>
      </c>
      <c r="B652" t="s">
        <v>138</v>
      </c>
      <c r="C652" s="1">
        <f>HYPERLINK("https://cao.dolgi.msk.ru/account/1011189667/", 1011189667)</f>
        <v>1011189667</v>
      </c>
      <c r="D652">
        <v>-2883.43</v>
      </c>
    </row>
    <row r="653" spans="1:4" hidden="1" x14ac:dyDescent="0.3">
      <c r="A653" t="s">
        <v>258</v>
      </c>
      <c r="B653" t="s">
        <v>139</v>
      </c>
      <c r="C653" s="1">
        <f>HYPERLINK("https://cao.dolgi.msk.ru/account/1011189579/", 1011189579)</f>
        <v>1011189579</v>
      </c>
      <c r="D653">
        <v>0</v>
      </c>
    </row>
    <row r="654" spans="1:4" hidden="1" x14ac:dyDescent="0.3">
      <c r="A654" t="s">
        <v>258</v>
      </c>
      <c r="B654" t="s">
        <v>140</v>
      </c>
      <c r="C654" s="1">
        <f>HYPERLINK("https://cao.dolgi.msk.ru/account/1011189587/", 1011189587)</f>
        <v>1011189587</v>
      </c>
      <c r="D654">
        <v>0</v>
      </c>
    </row>
    <row r="655" spans="1:4" hidden="1" x14ac:dyDescent="0.3">
      <c r="A655" t="s">
        <v>258</v>
      </c>
      <c r="B655" t="s">
        <v>141</v>
      </c>
      <c r="C655" s="1">
        <f>HYPERLINK("https://cao.dolgi.msk.ru/account/1011189595/", 1011189595)</f>
        <v>1011189595</v>
      </c>
      <c r="D655">
        <v>0</v>
      </c>
    </row>
    <row r="656" spans="1:4" x14ac:dyDescent="0.3">
      <c r="A656" t="s">
        <v>258</v>
      </c>
      <c r="B656" t="s">
        <v>142</v>
      </c>
      <c r="C656" s="1">
        <f>HYPERLINK("https://cao.dolgi.msk.ru/account/1011191054/", 1011191054)</f>
        <v>1011191054</v>
      </c>
      <c r="D656">
        <v>685.83</v>
      </c>
    </row>
    <row r="657" spans="1:4" hidden="1" x14ac:dyDescent="0.3">
      <c r="A657" t="s">
        <v>258</v>
      </c>
      <c r="B657" t="s">
        <v>143</v>
      </c>
      <c r="C657" s="1">
        <f>HYPERLINK("https://cao.dolgi.msk.ru/account/1011189966/", 1011189966)</f>
        <v>1011189966</v>
      </c>
      <c r="D657">
        <v>0</v>
      </c>
    </row>
    <row r="658" spans="1:4" hidden="1" x14ac:dyDescent="0.3">
      <c r="A658" t="s">
        <v>258</v>
      </c>
      <c r="B658" t="s">
        <v>144</v>
      </c>
      <c r="C658" s="1">
        <f>HYPERLINK("https://cao.dolgi.msk.ru/account/1011189608/", 1011189608)</f>
        <v>1011189608</v>
      </c>
      <c r="D658">
        <v>-35.86</v>
      </c>
    </row>
    <row r="659" spans="1:4" hidden="1" x14ac:dyDescent="0.3">
      <c r="A659" t="s">
        <v>258</v>
      </c>
      <c r="B659" t="s">
        <v>145</v>
      </c>
      <c r="C659" s="1">
        <f>HYPERLINK("https://cao.dolgi.msk.ru/account/1011189616/", 1011189616)</f>
        <v>1011189616</v>
      </c>
      <c r="D659">
        <v>-8983</v>
      </c>
    </row>
    <row r="660" spans="1:4" hidden="1" x14ac:dyDescent="0.3">
      <c r="A660" t="s">
        <v>258</v>
      </c>
      <c r="B660" t="s">
        <v>146</v>
      </c>
      <c r="C660" s="1">
        <f>HYPERLINK("https://cao.dolgi.msk.ru/account/1011189931/", 1011189931)</f>
        <v>1011189931</v>
      </c>
      <c r="D660">
        <v>0</v>
      </c>
    </row>
    <row r="661" spans="1:4" x14ac:dyDescent="0.3">
      <c r="A661" t="s">
        <v>258</v>
      </c>
      <c r="B661" t="s">
        <v>147</v>
      </c>
      <c r="C661" s="1">
        <f>HYPERLINK("https://cao.dolgi.msk.ru/account/1011190625/", 1011190625)</f>
        <v>1011190625</v>
      </c>
      <c r="D661">
        <v>352553.99</v>
      </c>
    </row>
    <row r="662" spans="1:4" hidden="1" x14ac:dyDescent="0.3">
      <c r="A662" t="s">
        <v>258</v>
      </c>
      <c r="B662" t="s">
        <v>148</v>
      </c>
      <c r="C662" s="1">
        <f>HYPERLINK("https://cao.dolgi.msk.ru/account/1011190828/", 1011190828)</f>
        <v>1011190828</v>
      </c>
      <c r="D662">
        <v>0</v>
      </c>
    </row>
    <row r="663" spans="1:4" hidden="1" x14ac:dyDescent="0.3">
      <c r="A663" t="s">
        <v>258</v>
      </c>
      <c r="B663" t="s">
        <v>149</v>
      </c>
      <c r="C663" s="1">
        <f>HYPERLINK("https://cao.dolgi.msk.ru/account/1011189624/", 1011189624)</f>
        <v>1011189624</v>
      </c>
      <c r="D663">
        <v>0</v>
      </c>
    </row>
    <row r="664" spans="1:4" hidden="1" x14ac:dyDescent="0.3">
      <c r="A664" t="s">
        <v>258</v>
      </c>
      <c r="B664" t="s">
        <v>150</v>
      </c>
      <c r="C664" s="1">
        <f>HYPERLINK("https://cao.dolgi.msk.ru/account/1011190836/", 1011190836)</f>
        <v>1011190836</v>
      </c>
      <c r="D664">
        <v>0</v>
      </c>
    </row>
    <row r="665" spans="1:4" hidden="1" x14ac:dyDescent="0.3">
      <c r="A665" t="s">
        <v>258</v>
      </c>
      <c r="B665" t="s">
        <v>151</v>
      </c>
      <c r="C665" s="1">
        <f>HYPERLINK("https://cao.dolgi.msk.ru/account/1011189819/", 1011189819)</f>
        <v>1011189819</v>
      </c>
      <c r="D665">
        <v>-9278.49</v>
      </c>
    </row>
    <row r="666" spans="1:4" hidden="1" x14ac:dyDescent="0.3">
      <c r="A666" t="s">
        <v>258</v>
      </c>
      <c r="B666" t="s">
        <v>152</v>
      </c>
      <c r="C666" s="1">
        <f>HYPERLINK("https://cao.dolgi.msk.ru/account/1011189958/", 1011189958)</f>
        <v>1011189958</v>
      </c>
      <c r="D666">
        <v>-25.94</v>
      </c>
    </row>
    <row r="667" spans="1:4" hidden="1" x14ac:dyDescent="0.3">
      <c r="A667" t="s">
        <v>258</v>
      </c>
      <c r="B667" t="s">
        <v>153</v>
      </c>
      <c r="C667" s="1">
        <f>HYPERLINK("https://cao.dolgi.msk.ru/account/1011190342/", 1011190342)</f>
        <v>1011190342</v>
      </c>
      <c r="D667">
        <v>0</v>
      </c>
    </row>
    <row r="668" spans="1:4" hidden="1" x14ac:dyDescent="0.3">
      <c r="A668" t="s">
        <v>258</v>
      </c>
      <c r="B668" t="s">
        <v>154</v>
      </c>
      <c r="C668" s="1">
        <f>HYPERLINK("https://cao.dolgi.msk.ru/account/1011189632/", 1011189632)</f>
        <v>1011189632</v>
      </c>
      <c r="D668">
        <v>-12917.18</v>
      </c>
    </row>
    <row r="669" spans="1:4" x14ac:dyDescent="0.3">
      <c r="A669" t="s">
        <v>258</v>
      </c>
      <c r="B669" t="s">
        <v>155</v>
      </c>
      <c r="C669" s="1">
        <f>HYPERLINK("https://cao.dolgi.msk.ru/account/1011190633/", 1011190633)</f>
        <v>1011190633</v>
      </c>
      <c r="D669">
        <v>5265</v>
      </c>
    </row>
    <row r="670" spans="1:4" hidden="1" x14ac:dyDescent="0.3">
      <c r="A670" t="s">
        <v>258</v>
      </c>
      <c r="B670" t="s">
        <v>156</v>
      </c>
      <c r="C670" s="1">
        <f>HYPERLINK("https://cao.dolgi.msk.ru/account/1011189659/", 1011189659)</f>
        <v>1011189659</v>
      </c>
      <c r="D670">
        <v>-142.78</v>
      </c>
    </row>
    <row r="671" spans="1:4" x14ac:dyDescent="0.3">
      <c r="A671" t="s">
        <v>265</v>
      </c>
      <c r="B671" t="s">
        <v>6</v>
      </c>
      <c r="C671" s="1">
        <f>HYPERLINK("https://cao.dolgi.msk.ru/account/1011462088/", 1011462088)</f>
        <v>1011462088</v>
      </c>
      <c r="D671">
        <v>225.99</v>
      </c>
    </row>
    <row r="672" spans="1:4" hidden="1" x14ac:dyDescent="0.3">
      <c r="A672" t="s">
        <v>265</v>
      </c>
      <c r="B672" t="s">
        <v>28</v>
      </c>
      <c r="C672" s="1">
        <f>HYPERLINK("https://cao.dolgi.msk.ru/account/1011461536/", 1011461536)</f>
        <v>1011461536</v>
      </c>
      <c r="D672">
        <v>-8621.8700000000008</v>
      </c>
    </row>
    <row r="673" spans="1:4" hidden="1" x14ac:dyDescent="0.3">
      <c r="A673" t="s">
        <v>265</v>
      </c>
      <c r="B673" t="s">
        <v>35</v>
      </c>
      <c r="C673" s="1">
        <f>HYPERLINK("https://cao.dolgi.msk.ru/account/1011461579/", 1011461579)</f>
        <v>1011461579</v>
      </c>
      <c r="D673">
        <v>0</v>
      </c>
    </row>
    <row r="674" spans="1:4" hidden="1" x14ac:dyDescent="0.3">
      <c r="A674" t="s">
        <v>265</v>
      </c>
      <c r="B674" t="s">
        <v>5</v>
      </c>
      <c r="C674" s="1">
        <f>HYPERLINK("https://cao.dolgi.msk.ru/account/1011461026/", 1011461026)</f>
        <v>1011461026</v>
      </c>
      <c r="D674">
        <v>-6033.31</v>
      </c>
    </row>
    <row r="675" spans="1:4" x14ac:dyDescent="0.3">
      <c r="A675" t="s">
        <v>265</v>
      </c>
      <c r="B675" t="s">
        <v>7</v>
      </c>
      <c r="C675" s="1">
        <f>HYPERLINK("https://cao.dolgi.msk.ru/account/1011461659/", 1011461659)</f>
        <v>1011461659</v>
      </c>
      <c r="D675">
        <v>411781.46</v>
      </c>
    </row>
    <row r="676" spans="1:4" x14ac:dyDescent="0.3">
      <c r="A676" t="s">
        <v>265</v>
      </c>
      <c r="B676" t="s">
        <v>8</v>
      </c>
      <c r="C676" s="1">
        <f>HYPERLINK("https://cao.dolgi.msk.ru/account/1011461843/", 1011461843)</f>
        <v>1011461843</v>
      </c>
      <c r="D676">
        <v>7143.4</v>
      </c>
    </row>
    <row r="677" spans="1:4" hidden="1" x14ac:dyDescent="0.3">
      <c r="A677" t="s">
        <v>265</v>
      </c>
      <c r="B677" t="s">
        <v>31</v>
      </c>
      <c r="C677" s="1">
        <f>HYPERLINK("https://cao.dolgi.msk.ru/account/1011461149/", 1011461149)</f>
        <v>1011461149</v>
      </c>
      <c r="D677">
        <v>0</v>
      </c>
    </row>
    <row r="678" spans="1:4" hidden="1" x14ac:dyDescent="0.3">
      <c r="A678" t="s">
        <v>265</v>
      </c>
      <c r="B678" t="s">
        <v>9</v>
      </c>
      <c r="C678" s="1">
        <f>HYPERLINK("https://cao.dolgi.msk.ru/account/1011461915/", 1011461915)</f>
        <v>1011461915</v>
      </c>
      <c r="D678">
        <v>0</v>
      </c>
    </row>
    <row r="679" spans="1:4" hidden="1" x14ac:dyDescent="0.3">
      <c r="A679" t="s">
        <v>265</v>
      </c>
      <c r="B679" t="s">
        <v>10</v>
      </c>
      <c r="C679" s="1">
        <f>HYPERLINK("https://cao.dolgi.msk.ru/account/1011461544/", 1011461544)</f>
        <v>1011461544</v>
      </c>
      <c r="D679">
        <v>-388.02</v>
      </c>
    </row>
    <row r="680" spans="1:4" hidden="1" x14ac:dyDescent="0.3">
      <c r="A680" t="s">
        <v>265</v>
      </c>
      <c r="B680" t="s">
        <v>11</v>
      </c>
      <c r="C680" s="1">
        <f>HYPERLINK("https://cao.dolgi.msk.ru/account/1011461173/", 1011461173)</f>
        <v>1011461173</v>
      </c>
      <c r="D680">
        <v>0</v>
      </c>
    </row>
    <row r="681" spans="1:4" hidden="1" x14ac:dyDescent="0.3">
      <c r="A681" t="s">
        <v>265</v>
      </c>
      <c r="B681" t="s">
        <v>12</v>
      </c>
      <c r="C681" s="1">
        <f>HYPERLINK("https://cao.dolgi.msk.ru/account/1011461157/", 1011461157)</f>
        <v>1011461157</v>
      </c>
      <c r="D681">
        <v>-6438.8</v>
      </c>
    </row>
    <row r="682" spans="1:4" hidden="1" x14ac:dyDescent="0.3">
      <c r="A682" t="s">
        <v>265</v>
      </c>
      <c r="B682" t="s">
        <v>23</v>
      </c>
      <c r="C682" s="1">
        <f>HYPERLINK("https://cao.dolgi.msk.ru/account/1011461552/", 1011461552)</f>
        <v>1011461552</v>
      </c>
      <c r="D682">
        <v>0</v>
      </c>
    </row>
    <row r="683" spans="1:4" hidden="1" x14ac:dyDescent="0.3">
      <c r="A683" t="s">
        <v>265</v>
      </c>
      <c r="B683" t="s">
        <v>13</v>
      </c>
      <c r="C683" s="1">
        <f>HYPERLINK("https://cao.dolgi.msk.ru/account/1011461595/", 1011461595)</f>
        <v>1011461595</v>
      </c>
      <c r="D683">
        <v>-649.54</v>
      </c>
    </row>
    <row r="684" spans="1:4" hidden="1" x14ac:dyDescent="0.3">
      <c r="A684" t="s">
        <v>265</v>
      </c>
      <c r="B684" t="s">
        <v>14</v>
      </c>
      <c r="C684" s="1">
        <f>HYPERLINK("https://cao.dolgi.msk.ru/account/1011460939/", 1011460939)</f>
        <v>1011460939</v>
      </c>
      <c r="D684">
        <v>-5183.45</v>
      </c>
    </row>
    <row r="685" spans="1:4" hidden="1" x14ac:dyDescent="0.3">
      <c r="A685" t="s">
        <v>265</v>
      </c>
      <c r="B685" t="s">
        <v>16</v>
      </c>
      <c r="C685" s="1">
        <f>HYPERLINK("https://cao.dolgi.msk.ru/account/1011461413/", 1011461413)</f>
        <v>1011461413</v>
      </c>
      <c r="D685">
        <v>0</v>
      </c>
    </row>
    <row r="686" spans="1:4" x14ac:dyDescent="0.3">
      <c r="A686" t="s">
        <v>265</v>
      </c>
      <c r="B686" t="s">
        <v>17</v>
      </c>
      <c r="C686" s="1">
        <f>HYPERLINK("https://cao.dolgi.msk.ru/account/1011461923/", 1011461923)</f>
        <v>1011461923</v>
      </c>
      <c r="D686">
        <v>11662.16</v>
      </c>
    </row>
    <row r="687" spans="1:4" x14ac:dyDescent="0.3">
      <c r="A687" t="s">
        <v>265</v>
      </c>
      <c r="B687" t="s">
        <v>18</v>
      </c>
      <c r="C687" s="1">
        <f>HYPERLINK("https://cao.dolgi.msk.ru/account/1011461261/", 1011461261)</f>
        <v>1011461261</v>
      </c>
      <c r="D687">
        <v>6052.79</v>
      </c>
    </row>
    <row r="688" spans="1:4" x14ac:dyDescent="0.3">
      <c r="A688" t="s">
        <v>265</v>
      </c>
      <c r="B688" t="s">
        <v>19</v>
      </c>
      <c r="C688" s="1">
        <f>HYPERLINK("https://cao.dolgi.msk.ru/account/1011461245/", 1011461245)</f>
        <v>1011461245</v>
      </c>
      <c r="D688">
        <v>8369.9599999999991</v>
      </c>
    </row>
    <row r="689" spans="1:4" hidden="1" x14ac:dyDescent="0.3">
      <c r="A689" t="s">
        <v>265</v>
      </c>
      <c r="B689" t="s">
        <v>20</v>
      </c>
      <c r="C689" s="1">
        <f>HYPERLINK("https://cao.dolgi.msk.ru/account/1011461309/", 1011461309)</f>
        <v>1011461309</v>
      </c>
      <c r="D689">
        <v>0</v>
      </c>
    </row>
    <row r="690" spans="1:4" hidden="1" x14ac:dyDescent="0.3">
      <c r="A690" t="s">
        <v>265</v>
      </c>
      <c r="B690" t="s">
        <v>21</v>
      </c>
      <c r="C690" s="1">
        <f>HYPERLINK("https://cao.dolgi.msk.ru/account/1011460832/", 1011460832)</f>
        <v>1011460832</v>
      </c>
      <c r="D690">
        <v>0</v>
      </c>
    </row>
    <row r="691" spans="1:4" hidden="1" x14ac:dyDescent="0.3">
      <c r="A691" t="s">
        <v>265</v>
      </c>
      <c r="B691" t="s">
        <v>22</v>
      </c>
      <c r="C691" s="1">
        <f>HYPERLINK("https://cao.dolgi.msk.ru/account/1011461931/", 1011461931)</f>
        <v>1011461931</v>
      </c>
      <c r="D691">
        <v>0</v>
      </c>
    </row>
    <row r="692" spans="1:4" x14ac:dyDescent="0.3">
      <c r="A692" t="s">
        <v>265</v>
      </c>
      <c r="B692" t="s">
        <v>24</v>
      </c>
      <c r="C692" s="1">
        <f>HYPERLINK("https://cao.dolgi.msk.ru/account/1011461341/", 1011461341)</f>
        <v>1011461341</v>
      </c>
      <c r="D692">
        <v>30355.46</v>
      </c>
    </row>
    <row r="693" spans="1:4" hidden="1" x14ac:dyDescent="0.3">
      <c r="A693" t="s">
        <v>265</v>
      </c>
      <c r="B693" t="s">
        <v>25</v>
      </c>
      <c r="C693" s="1">
        <f>HYPERLINK("https://cao.dolgi.msk.ru/account/1011461608/", 1011461608)</f>
        <v>1011461608</v>
      </c>
      <c r="D693">
        <v>0</v>
      </c>
    </row>
    <row r="694" spans="1:4" x14ac:dyDescent="0.3">
      <c r="A694" t="s">
        <v>265</v>
      </c>
      <c r="B694" t="s">
        <v>26</v>
      </c>
      <c r="C694" s="1">
        <f>HYPERLINK("https://cao.dolgi.msk.ru/account/1011461667/", 1011461667)</f>
        <v>1011461667</v>
      </c>
      <c r="D694">
        <v>7141.05</v>
      </c>
    </row>
    <row r="695" spans="1:4" hidden="1" x14ac:dyDescent="0.3">
      <c r="A695" t="s">
        <v>265</v>
      </c>
      <c r="B695" t="s">
        <v>27</v>
      </c>
      <c r="C695" s="1">
        <f>HYPERLINK("https://cao.dolgi.msk.ru/account/1011461886/", 1011461886)</f>
        <v>1011461886</v>
      </c>
      <c r="D695">
        <v>-9013.68</v>
      </c>
    </row>
    <row r="696" spans="1:4" hidden="1" x14ac:dyDescent="0.3">
      <c r="A696" t="s">
        <v>265</v>
      </c>
      <c r="B696" t="s">
        <v>29</v>
      </c>
      <c r="C696" s="1">
        <f>HYPERLINK("https://cao.dolgi.msk.ru/account/1011462109/", 1011462109)</f>
        <v>1011462109</v>
      </c>
      <c r="D696">
        <v>0</v>
      </c>
    </row>
    <row r="697" spans="1:4" x14ac:dyDescent="0.3">
      <c r="A697" t="s">
        <v>265</v>
      </c>
      <c r="B697" t="s">
        <v>38</v>
      </c>
      <c r="C697" s="1">
        <f>HYPERLINK("https://cao.dolgi.msk.ru/account/1011461771/", 1011461771)</f>
        <v>1011461771</v>
      </c>
      <c r="D697">
        <v>750.05</v>
      </c>
    </row>
    <row r="698" spans="1:4" hidden="1" x14ac:dyDescent="0.3">
      <c r="A698" t="s">
        <v>265</v>
      </c>
      <c r="B698" t="s">
        <v>39</v>
      </c>
      <c r="C698" s="1">
        <f>HYPERLINK("https://cao.dolgi.msk.ru/account/1011461384/", 1011461384)</f>
        <v>1011461384</v>
      </c>
      <c r="D698">
        <v>0</v>
      </c>
    </row>
    <row r="699" spans="1:4" x14ac:dyDescent="0.3">
      <c r="A699" t="s">
        <v>265</v>
      </c>
      <c r="B699" t="s">
        <v>40</v>
      </c>
      <c r="C699" s="1">
        <f>HYPERLINK("https://cao.dolgi.msk.ru/account/1011461675/", 1011461675)</f>
        <v>1011461675</v>
      </c>
      <c r="D699">
        <v>6167.09</v>
      </c>
    </row>
    <row r="700" spans="1:4" hidden="1" x14ac:dyDescent="0.3">
      <c r="A700" t="s">
        <v>265</v>
      </c>
      <c r="B700" t="s">
        <v>41</v>
      </c>
      <c r="C700" s="1">
        <f>HYPERLINK("https://cao.dolgi.msk.ru/account/1011461974/", 1011461974)</f>
        <v>1011461974</v>
      </c>
      <c r="D700">
        <v>-17620.89</v>
      </c>
    </row>
    <row r="701" spans="1:4" hidden="1" x14ac:dyDescent="0.3">
      <c r="A701" t="s">
        <v>265</v>
      </c>
      <c r="B701" t="s">
        <v>51</v>
      </c>
      <c r="C701" s="1">
        <f>HYPERLINK("https://cao.dolgi.msk.ru/account/1011461181/", 1011461181)</f>
        <v>1011461181</v>
      </c>
      <c r="D701">
        <v>-664.59</v>
      </c>
    </row>
    <row r="702" spans="1:4" hidden="1" x14ac:dyDescent="0.3">
      <c r="A702" t="s">
        <v>265</v>
      </c>
      <c r="B702" t="s">
        <v>52</v>
      </c>
      <c r="C702" s="1">
        <f>HYPERLINK("https://cao.dolgi.msk.ru/account/1011461894/", 1011461894)</f>
        <v>1011461894</v>
      </c>
      <c r="D702">
        <v>0</v>
      </c>
    </row>
    <row r="703" spans="1:4" hidden="1" x14ac:dyDescent="0.3">
      <c r="A703" t="s">
        <v>265</v>
      </c>
      <c r="B703" t="s">
        <v>53</v>
      </c>
      <c r="C703" s="1">
        <f>HYPERLINK("https://cao.dolgi.msk.ru/account/1011461077/", 1011461077)</f>
        <v>1011461077</v>
      </c>
      <c r="D703">
        <v>0</v>
      </c>
    </row>
    <row r="704" spans="1:4" hidden="1" x14ac:dyDescent="0.3">
      <c r="A704" t="s">
        <v>265</v>
      </c>
      <c r="B704" t="s">
        <v>53</v>
      </c>
      <c r="C704" s="1">
        <f>HYPERLINK("https://cao.dolgi.msk.ru/account/1011461827/", 1011461827)</f>
        <v>1011461827</v>
      </c>
      <c r="D704">
        <v>0</v>
      </c>
    </row>
    <row r="705" spans="1:4" hidden="1" x14ac:dyDescent="0.3">
      <c r="A705" t="s">
        <v>265</v>
      </c>
      <c r="B705" t="s">
        <v>54</v>
      </c>
      <c r="C705" s="1">
        <f>HYPERLINK("https://cao.dolgi.msk.ru/account/1011461747/", 1011461747)</f>
        <v>1011461747</v>
      </c>
      <c r="D705">
        <v>0</v>
      </c>
    </row>
    <row r="706" spans="1:4" hidden="1" x14ac:dyDescent="0.3">
      <c r="A706" t="s">
        <v>265</v>
      </c>
      <c r="B706" t="s">
        <v>55</v>
      </c>
      <c r="C706" s="1">
        <f>HYPERLINK("https://cao.dolgi.msk.ru/account/1011461587/", 1011461587)</f>
        <v>1011461587</v>
      </c>
      <c r="D706">
        <v>-4037.59</v>
      </c>
    </row>
    <row r="707" spans="1:4" hidden="1" x14ac:dyDescent="0.3">
      <c r="A707" t="s">
        <v>265</v>
      </c>
      <c r="B707" t="s">
        <v>56</v>
      </c>
      <c r="C707" s="1">
        <f>HYPERLINK("https://cao.dolgi.msk.ru/account/1011461448/", 1011461448)</f>
        <v>1011461448</v>
      </c>
      <c r="D707">
        <v>0</v>
      </c>
    </row>
    <row r="708" spans="1:4" x14ac:dyDescent="0.3">
      <c r="A708" t="s">
        <v>265</v>
      </c>
      <c r="B708" t="s">
        <v>87</v>
      </c>
      <c r="C708" s="1">
        <f>HYPERLINK("https://cao.dolgi.msk.ru/account/1011462125/", 1011462125)</f>
        <v>1011462125</v>
      </c>
      <c r="D708">
        <v>28904.31</v>
      </c>
    </row>
    <row r="709" spans="1:4" hidden="1" x14ac:dyDescent="0.3">
      <c r="A709" t="s">
        <v>265</v>
      </c>
      <c r="B709" t="s">
        <v>88</v>
      </c>
      <c r="C709" s="1">
        <f>HYPERLINK("https://cao.dolgi.msk.ru/account/1011461798/", 1011461798)</f>
        <v>1011461798</v>
      </c>
      <c r="D709">
        <v>-10064.52</v>
      </c>
    </row>
    <row r="710" spans="1:4" x14ac:dyDescent="0.3">
      <c r="A710" t="s">
        <v>265</v>
      </c>
      <c r="B710" t="s">
        <v>89</v>
      </c>
      <c r="C710" s="1">
        <f>HYPERLINK("https://cao.dolgi.msk.ru/account/1011461851/", 1011461851)</f>
        <v>1011461851</v>
      </c>
      <c r="D710">
        <v>11255.93</v>
      </c>
    </row>
    <row r="711" spans="1:4" hidden="1" x14ac:dyDescent="0.3">
      <c r="A711" t="s">
        <v>265</v>
      </c>
      <c r="B711" t="s">
        <v>90</v>
      </c>
      <c r="C711" s="1">
        <f>HYPERLINK("https://cao.dolgi.msk.ru/account/1011461296/", 1011461296)</f>
        <v>1011461296</v>
      </c>
      <c r="D711">
        <v>0</v>
      </c>
    </row>
    <row r="712" spans="1:4" hidden="1" x14ac:dyDescent="0.3">
      <c r="A712" t="s">
        <v>265</v>
      </c>
      <c r="B712" t="s">
        <v>96</v>
      </c>
      <c r="C712" s="1">
        <f>HYPERLINK("https://cao.dolgi.msk.ru/account/1011461616/", 1011461616)</f>
        <v>1011461616</v>
      </c>
      <c r="D712">
        <v>-170.6</v>
      </c>
    </row>
    <row r="713" spans="1:4" hidden="1" x14ac:dyDescent="0.3">
      <c r="A713" t="s">
        <v>265</v>
      </c>
      <c r="B713" t="s">
        <v>97</v>
      </c>
      <c r="C713" s="1">
        <f>HYPERLINK("https://cao.dolgi.msk.ru/account/1011461982/", 1011461982)</f>
        <v>1011461982</v>
      </c>
      <c r="D713">
        <v>0</v>
      </c>
    </row>
    <row r="714" spans="1:4" hidden="1" x14ac:dyDescent="0.3">
      <c r="A714" t="s">
        <v>265</v>
      </c>
      <c r="B714" t="s">
        <v>98</v>
      </c>
      <c r="C714" s="1">
        <f>HYPERLINK("https://cao.dolgi.msk.ru/account/1011461317/", 1011461317)</f>
        <v>1011461317</v>
      </c>
      <c r="D714">
        <v>-5613.87</v>
      </c>
    </row>
    <row r="715" spans="1:4" hidden="1" x14ac:dyDescent="0.3">
      <c r="A715" t="s">
        <v>265</v>
      </c>
      <c r="B715" t="s">
        <v>58</v>
      </c>
      <c r="C715" s="1">
        <f>HYPERLINK("https://cao.dolgi.msk.ru/account/1011461114/", 1011461114)</f>
        <v>1011461114</v>
      </c>
      <c r="D715">
        <v>0</v>
      </c>
    </row>
    <row r="716" spans="1:4" hidden="1" x14ac:dyDescent="0.3">
      <c r="A716" t="s">
        <v>265</v>
      </c>
      <c r="B716" t="s">
        <v>59</v>
      </c>
      <c r="C716" s="1">
        <f>HYPERLINK("https://cao.dolgi.msk.ru/account/1011460963/", 1011460963)</f>
        <v>1011460963</v>
      </c>
      <c r="D716">
        <v>0</v>
      </c>
    </row>
    <row r="717" spans="1:4" hidden="1" x14ac:dyDescent="0.3">
      <c r="A717" t="s">
        <v>265</v>
      </c>
      <c r="B717" t="s">
        <v>59</v>
      </c>
      <c r="C717" s="1">
        <f>HYPERLINK("https://cao.dolgi.msk.ru/account/1011461712/", 1011461712)</f>
        <v>1011461712</v>
      </c>
      <c r="D717">
        <v>0</v>
      </c>
    </row>
    <row r="718" spans="1:4" x14ac:dyDescent="0.3">
      <c r="A718" t="s">
        <v>265</v>
      </c>
      <c r="B718" t="s">
        <v>60</v>
      </c>
      <c r="C718" s="1">
        <f>HYPERLINK("https://cao.dolgi.msk.ru/account/1011461624/", 1011461624)</f>
        <v>1011461624</v>
      </c>
      <c r="D718">
        <v>16236.47</v>
      </c>
    </row>
    <row r="719" spans="1:4" hidden="1" x14ac:dyDescent="0.3">
      <c r="A719" t="s">
        <v>265</v>
      </c>
      <c r="B719" t="s">
        <v>61</v>
      </c>
      <c r="C719" s="1">
        <f>HYPERLINK("https://cao.dolgi.msk.ru/account/1011462045/", 1011462045)</f>
        <v>1011462045</v>
      </c>
      <c r="D719">
        <v>-76.27</v>
      </c>
    </row>
    <row r="720" spans="1:4" hidden="1" x14ac:dyDescent="0.3">
      <c r="A720" t="s">
        <v>265</v>
      </c>
      <c r="B720" t="s">
        <v>62</v>
      </c>
      <c r="C720" s="1">
        <f>HYPERLINK("https://cao.dolgi.msk.ru/account/1011461122/", 1011461122)</f>
        <v>1011461122</v>
      </c>
      <c r="D720">
        <v>0</v>
      </c>
    </row>
    <row r="721" spans="1:4" hidden="1" x14ac:dyDescent="0.3">
      <c r="A721" t="s">
        <v>265</v>
      </c>
      <c r="B721" t="s">
        <v>63</v>
      </c>
      <c r="C721" s="1">
        <f>HYPERLINK("https://cao.dolgi.msk.ru/account/1011461755/", 1011461755)</f>
        <v>1011461755</v>
      </c>
      <c r="D721">
        <v>0</v>
      </c>
    </row>
    <row r="722" spans="1:4" x14ac:dyDescent="0.3">
      <c r="A722" t="s">
        <v>265</v>
      </c>
      <c r="B722" t="s">
        <v>64</v>
      </c>
      <c r="C722" s="1">
        <f>HYPERLINK("https://cao.dolgi.msk.ru/account/1011460859/", 1011460859)</f>
        <v>1011460859</v>
      </c>
      <c r="D722">
        <v>195032.87</v>
      </c>
    </row>
    <row r="723" spans="1:4" hidden="1" x14ac:dyDescent="0.3">
      <c r="A723" t="s">
        <v>265</v>
      </c>
      <c r="B723" t="s">
        <v>65</v>
      </c>
      <c r="C723" s="1">
        <f>HYPERLINK("https://cao.dolgi.msk.ru/account/1011461819/", 1011461819)</f>
        <v>1011461819</v>
      </c>
      <c r="D723">
        <v>-75492.479999999996</v>
      </c>
    </row>
    <row r="724" spans="1:4" hidden="1" x14ac:dyDescent="0.3">
      <c r="A724" t="s">
        <v>265</v>
      </c>
      <c r="B724" t="s">
        <v>66</v>
      </c>
      <c r="C724" s="1">
        <f>HYPERLINK("https://cao.dolgi.msk.ru/account/1011461683/", 1011461683)</f>
        <v>1011461683</v>
      </c>
      <c r="D724">
        <v>0</v>
      </c>
    </row>
    <row r="725" spans="1:4" x14ac:dyDescent="0.3">
      <c r="A725" t="s">
        <v>265</v>
      </c>
      <c r="B725" t="s">
        <v>67</v>
      </c>
      <c r="C725" s="1">
        <f>HYPERLINK("https://cao.dolgi.msk.ru/account/1011461106/", 1011461106)</f>
        <v>1011461106</v>
      </c>
      <c r="D725">
        <v>15299.36</v>
      </c>
    </row>
    <row r="726" spans="1:4" hidden="1" x14ac:dyDescent="0.3">
      <c r="A726" t="s">
        <v>265</v>
      </c>
      <c r="B726" t="s">
        <v>68</v>
      </c>
      <c r="C726" s="1">
        <f>HYPERLINK("https://cao.dolgi.msk.ru/account/1011461632/", 1011461632)</f>
        <v>1011461632</v>
      </c>
      <c r="D726">
        <v>0</v>
      </c>
    </row>
    <row r="727" spans="1:4" hidden="1" x14ac:dyDescent="0.3">
      <c r="A727" t="s">
        <v>265</v>
      </c>
      <c r="B727" t="s">
        <v>69</v>
      </c>
      <c r="C727" s="1">
        <f>HYPERLINK("https://cao.dolgi.msk.ru/account/1011460947/", 1011460947)</f>
        <v>1011460947</v>
      </c>
      <c r="D727">
        <v>0</v>
      </c>
    </row>
    <row r="728" spans="1:4" hidden="1" x14ac:dyDescent="0.3">
      <c r="A728" t="s">
        <v>265</v>
      </c>
      <c r="B728" t="s">
        <v>70</v>
      </c>
      <c r="C728" s="1">
        <f>HYPERLINK("https://cao.dolgi.msk.ru/account/1011461085/", 1011461085)</f>
        <v>1011461085</v>
      </c>
      <c r="D728">
        <v>-6023.42</v>
      </c>
    </row>
    <row r="729" spans="1:4" x14ac:dyDescent="0.3">
      <c r="A729" t="s">
        <v>265</v>
      </c>
      <c r="B729" t="s">
        <v>259</v>
      </c>
      <c r="C729" s="1">
        <f>HYPERLINK("https://cao.dolgi.msk.ru/account/1011460971/", 1011460971)</f>
        <v>1011460971</v>
      </c>
      <c r="D729">
        <v>3223.6</v>
      </c>
    </row>
    <row r="730" spans="1:4" hidden="1" x14ac:dyDescent="0.3">
      <c r="A730" t="s">
        <v>265</v>
      </c>
      <c r="B730" t="s">
        <v>100</v>
      </c>
      <c r="C730" s="1">
        <f>HYPERLINK("https://cao.dolgi.msk.ru/account/1011462053/", 1011462053)</f>
        <v>1011462053</v>
      </c>
      <c r="D730">
        <v>0</v>
      </c>
    </row>
    <row r="731" spans="1:4" hidden="1" x14ac:dyDescent="0.3">
      <c r="A731" t="s">
        <v>265</v>
      </c>
      <c r="B731" t="s">
        <v>72</v>
      </c>
      <c r="C731" s="1">
        <f>HYPERLINK("https://cao.dolgi.msk.ru/account/1011460955/", 1011460955)</f>
        <v>1011460955</v>
      </c>
      <c r="D731">
        <v>-4918.8599999999997</v>
      </c>
    </row>
    <row r="732" spans="1:4" hidden="1" x14ac:dyDescent="0.3">
      <c r="A732" t="s">
        <v>265</v>
      </c>
      <c r="B732" t="s">
        <v>73</v>
      </c>
      <c r="C732" s="1">
        <f>HYPERLINK("https://cao.dolgi.msk.ru/account/1011460891/", 1011460891)</f>
        <v>1011460891</v>
      </c>
      <c r="D732">
        <v>0</v>
      </c>
    </row>
    <row r="733" spans="1:4" hidden="1" x14ac:dyDescent="0.3">
      <c r="A733" t="s">
        <v>265</v>
      </c>
      <c r="B733" t="s">
        <v>74</v>
      </c>
      <c r="C733" s="1">
        <f>HYPERLINK("https://cao.dolgi.msk.ru/account/1011461034/", 1011461034)</f>
        <v>1011461034</v>
      </c>
      <c r="D733">
        <v>-4587.5200000000004</v>
      </c>
    </row>
    <row r="734" spans="1:4" hidden="1" x14ac:dyDescent="0.3">
      <c r="A734" t="s">
        <v>265</v>
      </c>
      <c r="B734" t="s">
        <v>75</v>
      </c>
      <c r="C734" s="1">
        <f>HYPERLINK("https://cao.dolgi.msk.ru/account/1011461691/", 1011461691)</f>
        <v>1011461691</v>
      </c>
      <c r="D734">
        <v>-5252.22</v>
      </c>
    </row>
    <row r="735" spans="1:4" hidden="1" x14ac:dyDescent="0.3">
      <c r="A735" t="s">
        <v>265</v>
      </c>
      <c r="B735" t="s">
        <v>76</v>
      </c>
      <c r="C735" s="1">
        <f>HYPERLINK("https://cao.dolgi.msk.ru/account/1011460867/", 1011460867)</f>
        <v>1011460867</v>
      </c>
      <c r="D735">
        <v>-3349.47</v>
      </c>
    </row>
    <row r="736" spans="1:4" hidden="1" x14ac:dyDescent="0.3">
      <c r="A736" t="s">
        <v>265</v>
      </c>
      <c r="B736" t="s">
        <v>77</v>
      </c>
      <c r="C736" s="1">
        <f>HYPERLINK("https://cao.dolgi.msk.ru/account/1011461042/", 1011461042)</f>
        <v>1011461042</v>
      </c>
      <c r="D736">
        <v>-2699.15</v>
      </c>
    </row>
    <row r="737" spans="1:4" hidden="1" x14ac:dyDescent="0.3">
      <c r="A737" t="s">
        <v>265</v>
      </c>
      <c r="B737" t="s">
        <v>78</v>
      </c>
      <c r="C737" s="1">
        <f>HYPERLINK("https://cao.dolgi.msk.ru/account/1011462168/", 1011462168)</f>
        <v>1011462168</v>
      </c>
      <c r="D737">
        <v>0</v>
      </c>
    </row>
    <row r="738" spans="1:4" hidden="1" x14ac:dyDescent="0.3">
      <c r="A738" t="s">
        <v>265</v>
      </c>
      <c r="B738" t="s">
        <v>79</v>
      </c>
      <c r="C738" s="1">
        <f>HYPERLINK("https://cao.dolgi.msk.ru/account/1011462117/", 1011462117)</f>
        <v>1011462117</v>
      </c>
      <c r="D738">
        <v>-3676.7</v>
      </c>
    </row>
    <row r="739" spans="1:4" hidden="1" x14ac:dyDescent="0.3">
      <c r="A739" t="s">
        <v>265</v>
      </c>
      <c r="B739" t="s">
        <v>80</v>
      </c>
      <c r="C739" s="1">
        <f>HYPERLINK("https://cao.dolgi.msk.ru/account/1011461093/", 1011461093)</f>
        <v>1011461093</v>
      </c>
      <c r="D739">
        <v>0</v>
      </c>
    </row>
    <row r="740" spans="1:4" hidden="1" x14ac:dyDescent="0.3">
      <c r="A740" t="s">
        <v>265</v>
      </c>
      <c r="B740" t="s">
        <v>81</v>
      </c>
      <c r="C740" s="1">
        <f>HYPERLINK("https://cao.dolgi.msk.ru/account/1011460998/", 1011460998)</f>
        <v>1011460998</v>
      </c>
      <c r="D740">
        <v>0</v>
      </c>
    </row>
    <row r="741" spans="1:4" hidden="1" x14ac:dyDescent="0.3">
      <c r="A741" t="s">
        <v>265</v>
      </c>
      <c r="B741" t="s">
        <v>101</v>
      </c>
      <c r="C741" s="1">
        <f>HYPERLINK("https://cao.dolgi.msk.ru/account/1011461069/", 1011461069)</f>
        <v>1011461069</v>
      </c>
      <c r="D741">
        <v>0</v>
      </c>
    </row>
    <row r="742" spans="1:4" hidden="1" x14ac:dyDescent="0.3">
      <c r="A742" t="s">
        <v>265</v>
      </c>
      <c r="B742" t="s">
        <v>82</v>
      </c>
      <c r="C742" s="1">
        <f>HYPERLINK("https://cao.dolgi.msk.ru/account/1011460875/", 1011460875)</f>
        <v>1011460875</v>
      </c>
      <c r="D742">
        <v>0</v>
      </c>
    </row>
    <row r="743" spans="1:4" hidden="1" x14ac:dyDescent="0.3">
      <c r="A743" t="s">
        <v>265</v>
      </c>
      <c r="B743" t="s">
        <v>83</v>
      </c>
      <c r="C743" s="1">
        <f>HYPERLINK("https://cao.dolgi.msk.ru/account/1011462061/", 1011462061)</f>
        <v>1011462061</v>
      </c>
      <c r="D743">
        <v>0</v>
      </c>
    </row>
    <row r="744" spans="1:4" hidden="1" x14ac:dyDescent="0.3">
      <c r="A744" t="s">
        <v>265</v>
      </c>
      <c r="B744" t="s">
        <v>84</v>
      </c>
      <c r="C744" s="1">
        <f>HYPERLINK("https://cao.dolgi.msk.ru/account/1011461288/", 1011461288)</f>
        <v>1011461288</v>
      </c>
      <c r="D744">
        <v>0</v>
      </c>
    </row>
    <row r="745" spans="1:4" hidden="1" x14ac:dyDescent="0.3">
      <c r="A745" t="s">
        <v>265</v>
      </c>
      <c r="B745" t="s">
        <v>85</v>
      </c>
      <c r="C745" s="1">
        <f>HYPERLINK("https://cao.dolgi.msk.ru/account/1011462096/", 1011462096)</f>
        <v>1011462096</v>
      </c>
      <c r="D745">
        <v>-7226.58</v>
      </c>
    </row>
    <row r="746" spans="1:4" hidden="1" x14ac:dyDescent="0.3">
      <c r="A746" t="s">
        <v>265</v>
      </c>
      <c r="B746" t="s">
        <v>102</v>
      </c>
      <c r="C746" s="1">
        <f>HYPERLINK("https://cao.dolgi.msk.ru/account/1011461202/", 1011461202)</f>
        <v>1011461202</v>
      </c>
      <c r="D746">
        <v>0</v>
      </c>
    </row>
    <row r="747" spans="1:4" hidden="1" x14ac:dyDescent="0.3">
      <c r="A747" t="s">
        <v>265</v>
      </c>
      <c r="B747" t="s">
        <v>103</v>
      </c>
      <c r="C747" s="1">
        <f>HYPERLINK("https://cao.dolgi.msk.ru/account/1011461456/", 1011461456)</f>
        <v>1011461456</v>
      </c>
      <c r="D747">
        <v>0</v>
      </c>
    </row>
    <row r="748" spans="1:4" hidden="1" x14ac:dyDescent="0.3">
      <c r="A748" t="s">
        <v>265</v>
      </c>
      <c r="B748" t="s">
        <v>104</v>
      </c>
      <c r="C748" s="1">
        <f>HYPERLINK("https://cao.dolgi.msk.ru/account/1011461501/", 1011461501)</f>
        <v>1011461501</v>
      </c>
      <c r="D748">
        <v>0</v>
      </c>
    </row>
    <row r="749" spans="1:4" hidden="1" x14ac:dyDescent="0.3">
      <c r="A749" t="s">
        <v>265</v>
      </c>
      <c r="B749" t="s">
        <v>105</v>
      </c>
      <c r="C749" s="1">
        <f>HYPERLINK("https://cao.dolgi.msk.ru/account/1011462002/", 1011462002)</f>
        <v>1011462002</v>
      </c>
      <c r="D749">
        <v>0</v>
      </c>
    </row>
    <row r="750" spans="1:4" hidden="1" x14ac:dyDescent="0.3">
      <c r="A750" t="s">
        <v>265</v>
      </c>
      <c r="B750" t="s">
        <v>106</v>
      </c>
      <c r="C750" s="1">
        <f>HYPERLINK("https://cao.dolgi.msk.ru/account/1011461704/", 1011461704)</f>
        <v>1011461704</v>
      </c>
      <c r="D750">
        <v>0</v>
      </c>
    </row>
    <row r="751" spans="1:4" x14ac:dyDescent="0.3">
      <c r="A751" t="s">
        <v>265</v>
      </c>
      <c r="B751" t="s">
        <v>107</v>
      </c>
      <c r="C751" s="1">
        <f>HYPERLINK("https://cao.dolgi.msk.ru/account/1011462133/", 1011462133)</f>
        <v>1011462133</v>
      </c>
      <c r="D751">
        <v>8565.4500000000007</v>
      </c>
    </row>
    <row r="752" spans="1:4" hidden="1" x14ac:dyDescent="0.3">
      <c r="A752" t="s">
        <v>265</v>
      </c>
      <c r="B752" t="s">
        <v>108</v>
      </c>
      <c r="C752" s="1">
        <f>HYPERLINK("https://cao.dolgi.msk.ru/account/1011460904/", 1011460904)</f>
        <v>1011460904</v>
      </c>
      <c r="D752">
        <v>0</v>
      </c>
    </row>
    <row r="753" spans="1:4" hidden="1" x14ac:dyDescent="0.3">
      <c r="A753" t="s">
        <v>265</v>
      </c>
      <c r="B753" t="s">
        <v>109</v>
      </c>
      <c r="C753" s="1">
        <f>HYPERLINK("https://cao.dolgi.msk.ru/account/1011461325/", 1011461325)</f>
        <v>1011461325</v>
      </c>
      <c r="D753">
        <v>0</v>
      </c>
    </row>
    <row r="754" spans="1:4" hidden="1" x14ac:dyDescent="0.3">
      <c r="A754" t="s">
        <v>265</v>
      </c>
      <c r="B754" t="s">
        <v>110</v>
      </c>
      <c r="C754" s="1">
        <f>HYPERLINK("https://cao.dolgi.msk.ru/account/1011462176/", 1011462176)</f>
        <v>1011462176</v>
      </c>
      <c r="D754">
        <v>0</v>
      </c>
    </row>
    <row r="755" spans="1:4" hidden="1" x14ac:dyDescent="0.3">
      <c r="A755" t="s">
        <v>265</v>
      </c>
      <c r="B755" t="s">
        <v>111</v>
      </c>
      <c r="C755" s="1">
        <f>HYPERLINK("https://cao.dolgi.msk.ru/account/1011462037/", 1011462037)</f>
        <v>1011462037</v>
      </c>
      <c r="D755">
        <v>0</v>
      </c>
    </row>
    <row r="756" spans="1:4" hidden="1" x14ac:dyDescent="0.3">
      <c r="A756" t="s">
        <v>265</v>
      </c>
      <c r="B756" t="s">
        <v>112</v>
      </c>
      <c r="C756" s="1">
        <f>HYPERLINK("https://cao.dolgi.msk.ru/account/1011461739/", 1011461739)</f>
        <v>1011461739</v>
      </c>
      <c r="D756">
        <v>0</v>
      </c>
    </row>
    <row r="757" spans="1:4" hidden="1" x14ac:dyDescent="0.3">
      <c r="A757" t="s">
        <v>265</v>
      </c>
      <c r="B757" t="s">
        <v>113</v>
      </c>
      <c r="C757" s="1">
        <f>HYPERLINK("https://cao.dolgi.msk.ru/account/1011461878/", 1011461878)</f>
        <v>1011461878</v>
      </c>
      <c r="D757">
        <v>-251.88</v>
      </c>
    </row>
    <row r="758" spans="1:4" hidden="1" x14ac:dyDescent="0.3">
      <c r="A758" t="s">
        <v>265</v>
      </c>
      <c r="B758" t="s">
        <v>114</v>
      </c>
      <c r="C758" s="1">
        <f>HYPERLINK("https://cao.dolgi.msk.ru/account/1011462029/", 1011462029)</f>
        <v>1011462029</v>
      </c>
      <c r="D758">
        <v>-9195.17</v>
      </c>
    </row>
    <row r="759" spans="1:4" hidden="1" x14ac:dyDescent="0.3">
      <c r="A759" t="s">
        <v>265</v>
      </c>
      <c r="B759" t="s">
        <v>115</v>
      </c>
      <c r="C759" s="1">
        <f>HYPERLINK("https://cao.dolgi.msk.ru/account/1011461528/", 1011461528)</f>
        <v>1011461528</v>
      </c>
      <c r="D759">
        <v>-1895.84</v>
      </c>
    </row>
    <row r="760" spans="1:4" x14ac:dyDescent="0.3">
      <c r="A760" t="s">
        <v>265</v>
      </c>
      <c r="B760" t="s">
        <v>116</v>
      </c>
      <c r="C760" s="1">
        <f>HYPERLINK("https://cao.dolgi.msk.ru/account/1011461368/", 1011461368)</f>
        <v>1011461368</v>
      </c>
      <c r="D760">
        <v>6772.37</v>
      </c>
    </row>
    <row r="761" spans="1:4" hidden="1" x14ac:dyDescent="0.3">
      <c r="A761" t="s">
        <v>265</v>
      </c>
      <c r="B761" t="s">
        <v>266</v>
      </c>
      <c r="C761" s="1">
        <f>HYPERLINK("https://cao.dolgi.msk.ru/account/1011461464/", 1011461464)</f>
        <v>1011461464</v>
      </c>
      <c r="D761">
        <v>-789.65</v>
      </c>
    </row>
    <row r="762" spans="1:4" hidden="1" x14ac:dyDescent="0.3">
      <c r="A762" t="s">
        <v>265</v>
      </c>
      <c r="B762" t="s">
        <v>117</v>
      </c>
      <c r="C762" s="1">
        <f>HYPERLINK("https://cao.dolgi.msk.ru/account/1011461472/", 1011461472)</f>
        <v>1011461472</v>
      </c>
      <c r="D762">
        <v>-8322.11</v>
      </c>
    </row>
    <row r="763" spans="1:4" hidden="1" x14ac:dyDescent="0.3">
      <c r="A763" t="s">
        <v>265</v>
      </c>
      <c r="B763" t="s">
        <v>118</v>
      </c>
      <c r="C763" s="1">
        <f>HYPERLINK("https://cao.dolgi.msk.ru/account/1011461907/", 1011461907)</f>
        <v>1011461907</v>
      </c>
      <c r="D763">
        <v>0</v>
      </c>
    </row>
    <row r="764" spans="1:4" hidden="1" x14ac:dyDescent="0.3">
      <c r="A764" t="s">
        <v>265</v>
      </c>
      <c r="B764" t="s">
        <v>119</v>
      </c>
      <c r="C764" s="1">
        <f>HYPERLINK("https://cao.dolgi.msk.ru/account/1011460883/", 1011460883)</f>
        <v>1011460883</v>
      </c>
      <c r="D764">
        <v>0</v>
      </c>
    </row>
    <row r="765" spans="1:4" x14ac:dyDescent="0.3">
      <c r="A765" t="s">
        <v>265</v>
      </c>
      <c r="B765" t="s">
        <v>120</v>
      </c>
      <c r="C765" s="1">
        <f>HYPERLINK("https://cao.dolgi.msk.ru/account/1011461253/", 1011461253)</f>
        <v>1011461253</v>
      </c>
      <c r="D765">
        <v>3704.74</v>
      </c>
    </row>
    <row r="766" spans="1:4" x14ac:dyDescent="0.3">
      <c r="A766" t="s">
        <v>265</v>
      </c>
      <c r="B766" t="s">
        <v>121</v>
      </c>
      <c r="C766" s="1">
        <f>HYPERLINK("https://cao.dolgi.msk.ru/account/1011461333/", 1011461333)</f>
        <v>1011461333</v>
      </c>
      <c r="D766">
        <v>382895.22</v>
      </c>
    </row>
    <row r="767" spans="1:4" hidden="1" x14ac:dyDescent="0.3">
      <c r="A767" t="s">
        <v>265</v>
      </c>
      <c r="B767" t="s">
        <v>122</v>
      </c>
      <c r="C767" s="1">
        <f>HYPERLINK("https://cao.dolgi.msk.ru/account/1011461392/", 1011461392)</f>
        <v>1011461392</v>
      </c>
      <c r="D767">
        <v>0</v>
      </c>
    </row>
    <row r="768" spans="1:4" hidden="1" x14ac:dyDescent="0.3">
      <c r="A768" t="s">
        <v>265</v>
      </c>
      <c r="B768" t="s">
        <v>123</v>
      </c>
      <c r="C768" s="1">
        <f>HYPERLINK("https://cao.dolgi.msk.ru/account/1011461835/", 1011461835)</f>
        <v>1011461835</v>
      </c>
      <c r="D768">
        <v>0</v>
      </c>
    </row>
    <row r="769" spans="1:4" hidden="1" x14ac:dyDescent="0.3">
      <c r="A769" t="s">
        <v>265</v>
      </c>
      <c r="B769" t="s">
        <v>124</v>
      </c>
      <c r="C769" s="1">
        <f>HYPERLINK("https://cao.dolgi.msk.ru/account/1011514589/", 1011514589)</f>
        <v>1011514589</v>
      </c>
      <c r="D769">
        <v>0</v>
      </c>
    </row>
    <row r="770" spans="1:4" x14ac:dyDescent="0.3">
      <c r="A770" t="s">
        <v>265</v>
      </c>
      <c r="B770" t="s">
        <v>125</v>
      </c>
      <c r="C770" s="1">
        <f>HYPERLINK("https://cao.dolgi.msk.ru/account/1011461229/", 1011461229)</f>
        <v>1011461229</v>
      </c>
      <c r="D770">
        <v>148752.41</v>
      </c>
    </row>
    <row r="771" spans="1:4" hidden="1" x14ac:dyDescent="0.3">
      <c r="A771" t="s">
        <v>265</v>
      </c>
      <c r="B771" t="s">
        <v>126</v>
      </c>
      <c r="C771" s="1">
        <f>HYPERLINK("https://cao.dolgi.msk.ru/account/1011460912/", 1011460912)</f>
        <v>1011460912</v>
      </c>
      <c r="D771">
        <v>0</v>
      </c>
    </row>
    <row r="772" spans="1:4" hidden="1" x14ac:dyDescent="0.3">
      <c r="A772" t="s">
        <v>265</v>
      </c>
      <c r="B772" t="s">
        <v>127</v>
      </c>
      <c r="C772" s="1">
        <f>HYPERLINK("https://cao.dolgi.msk.ru/account/1011461499/", 1011461499)</f>
        <v>1011461499</v>
      </c>
      <c r="D772">
        <v>0</v>
      </c>
    </row>
    <row r="773" spans="1:4" hidden="1" x14ac:dyDescent="0.3">
      <c r="A773" t="s">
        <v>265</v>
      </c>
      <c r="B773" t="s">
        <v>262</v>
      </c>
      <c r="C773" s="1">
        <f>HYPERLINK("https://cao.dolgi.msk.ru/account/1011461165/", 1011461165)</f>
        <v>1011461165</v>
      </c>
      <c r="D773">
        <v>-1153.6500000000001</v>
      </c>
    </row>
    <row r="774" spans="1:4" hidden="1" x14ac:dyDescent="0.3">
      <c r="A774" t="s">
        <v>265</v>
      </c>
      <c r="B774" t="s">
        <v>128</v>
      </c>
      <c r="C774" s="1">
        <f>HYPERLINK("https://cao.dolgi.msk.ru/account/1011461958/", 1011461958)</f>
        <v>1011461958</v>
      </c>
      <c r="D774">
        <v>0</v>
      </c>
    </row>
    <row r="775" spans="1:4" hidden="1" x14ac:dyDescent="0.3">
      <c r="A775" t="s">
        <v>265</v>
      </c>
      <c r="B775" t="s">
        <v>129</v>
      </c>
      <c r="C775" s="1">
        <f>HYPERLINK("https://cao.dolgi.msk.ru/account/1011461237/", 1011461237)</f>
        <v>1011461237</v>
      </c>
      <c r="D775">
        <v>-8778.6200000000008</v>
      </c>
    </row>
    <row r="776" spans="1:4" hidden="1" x14ac:dyDescent="0.3">
      <c r="A776" t="s">
        <v>265</v>
      </c>
      <c r="B776" t="s">
        <v>130</v>
      </c>
      <c r="C776" s="1">
        <f>HYPERLINK("https://cao.dolgi.msk.ru/account/1011461966/", 1011461966)</f>
        <v>1011461966</v>
      </c>
      <c r="D776">
        <v>0</v>
      </c>
    </row>
    <row r="777" spans="1:4" hidden="1" x14ac:dyDescent="0.3">
      <c r="A777" t="s">
        <v>265</v>
      </c>
      <c r="B777" t="s">
        <v>131</v>
      </c>
      <c r="C777" s="1">
        <f>HYPERLINK("https://cao.dolgi.msk.ru/account/1011461763/", 1011461763)</f>
        <v>1011461763</v>
      </c>
      <c r="D777">
        <v>0</v>
      </c>
    </row>
    <row r="778" spans="1:4" hidden="1" x14ac:dyDescent="0.3">
      <c r="A778" t="s">
        <v>265</v>
      </c>
      <c r="B778" t="s">
        <v>132</v>
      </c>
      <c r="C778" s="1">
        <f>HYPERLINK("https://cao.dolgi.msk.ru/account/1011461376/", 1011461376)</f>
        <v>1011461376</v>
      </c>
      <c r="D778">
        <v>0</v>
      </c>
    </row>
    <row r="779" spans="1:4" hidden="1" x14ac:dyDescent="0.3">
      <c r="A779" t="s">
        <v>265</v>
      </c>
      <c r="B779" t="s">
        <v>133</v>
      </c>
      <c r="C779" s="1">
        <f>HYPERLINK("https://cao.dolgi.msk.ru/account/1011461405/", 1011461405)</f>
        <v>1011461405</v>
      </c>
      <c r="D779">
        <v>0</v>
      </c>
    </row>
    <row r="780" spans="1:4" hidden="1" x14ac:dyDescent="0.3">
      <c r="A780" t="s">
        <v>265</v>
      </c>
      <c r="B780" t="s">
        <v>134</v>
      </c>
      <c r="C780" s="1">
        <f>HYPERLINK("https://cao.dolgi.msk.ru/account/1011462141/", 1011462141)</f>
        <v>1011462141</v>
      </c>
      <c r="D780">
        <v>0</v>
      </c>
    </row>
    <row r="781" spans="1:4" x14ac:dyDescent="0.3">
      <c r="A781" t="s">
        <v>267</v>
      </c>
      <c r="B781" t="s">
        <v>6</v>
      </c>
      <c r="C781" s="1">
        <f>HYPERLINK("https://cao.dolgi.msk.ru/account/1011387532/", 1011387532)</f>
        <v>1011387532</v>
      </c>
      <c r="D781">
        <v>11853.6</v>
      </c>
    </row>
    <row r="782" spans="1:4" hidden="1" x14ac:dyDescent="0.3">
      <c r="A782" t="s">
        <v>267</v>
      </c>
      <c r="B782" t="s">
        <v>28</v>
      </c>
      <c r="C782" s="1">
        <f>HYPERLINK("https://cao.dolgi.msk.ru/account/1011386898/", 1011386898)</f>
        <v>1011386898</v>
      </c>
      <c r="D782">
        <v>0</v>
      </c>
    </row>
    <row r="783" spans="1:4" x14ac:dyDescent="0.3">
      <c r="A783" t="s">
        <v>267</v>
      </c>
      <c r="B783" t="s">
        <v>35</v>
      </c>
      <c r="C783" s="1">
        <f>HYPERLINK("https://cao.dolgi.msk.ru/account/1011387372/", 1011387372)</f>
        <v>1011387372</v>
      </c>
      <c r="D783">
        <v>5365.35</v>
      </c>
    </row>
    <row r="784" spans="1:4" hidden="1" x14ac:dyDescent="0.3">
      <c r="A784" t="s">
        <v>267</v>
      </c>
      <c r="B784" t="s">
        <v>5</v>
      </c>
      <c r="C784" s="1">
        <f>HYPERLINK("https://cao.dolgi.msk.ru/account/1011387081/", 1011387081)</f>
        <v>1011387081</v>
      </c>
      <c r="D784">
        <v>0</v>
      </c>
    </row>
    <row r="785" spans="1:4" hidden="1" x14ac:dyDescent="0.3">
      <c r="A785" t="s">
        <v>267</v>
      </c>
      <c r="B785" t="s">
        <v>7</v>
      </c>
      <c r="C785" s="1">
        <f>HYPERLINK("https://cao.dolgi.msk.ru/account/1011387364/", 1011387364)</f>
        <v>1011387364</v>
      </c>
      <c r="D785">
        <v>0</v>
      </c>
    </row>
    <row r="786" spans="1:4" hidden="1" x14ac:dyDescent="0.3">
      <c r="A786" t="s">
        <v>267</v>
      </c>
      <c r="B786" t="s">
        <v>8</v>
      </c>
      <c r="C786" s="1">
        <f>HYPERLINK("https://cao.dolgi.msk.ru/account/1011386281/", 1011386281)</f>
        <v>1011386281</v>
      </c>
      <c r="D786">
        <v>0</v>
      </c>
    </row>
    <row r="787" spans="1:4" hidden="1" x14ac:dyDescent="0.3">
      <c r="A787" t="s">
        <v>267</v>
      </c>
      <c r="B787" t="s">
        <v>8</v>
      </c>
      <c r="C787" s="1">
        <f>HYPERLINK("https://cao.dolgi.msk.ru/account/1011387217/", 1011387217)</f>
        <v>1011387217</v>
      </c>
      <c r="D787">
        <v>0</v>
      </c>
    </row>
    <row r="788" spans="1:4" hidden="1" x14ac:dyDescent="0.3">
      <c r="A788" t="s">
        <v>267</v>
      </c>
      <c r="B788" t="s">
        <v>31</v>
      </c>
      <c r="C788" s="1">
        <f>HYPERLINK("https://cao.dolgi.msk.ru/account/1011386644/", 1011386644)</f>
        <v>1011386644</v>
      </c>
      <c r="D788">
        <v>0</v>
      </c>
    </row>
    <row r="789" spans="1:4" hidden="1" x14ac:dyDescent="0.3">
      <c r="A789" t="s">
        <v>267</v>
      </c>
      <c r="B789" t="s">
        <v>9</v>
      </c>
      <c r="C789" s="1">
        <f>HYPERLINK("https://cao.dolgi.msk.ru/account/1011387102/", 1011387102)</f>
        <v>1011387102</v>
      </c>
      <c r="D789">
        <v>0</v>
      </c>
    </row>
    <row r="790" spans="1:4" hidden="1" x14ac:dyDescent="0.3">
      <c r="A790" t="s">
        <v>267</v>
      </c>
      <c r="B790" t="s">
        <v>10</v>
      </c>
      <c r="C790" s="1">
        <f>HYPERLINK("https://cao.dolgi.msk.ru/account/1011387006/", 1011387006)</f>
        <v>1011387006</v>
      </c>
      <c r="D790">
        <v>0</v>
      </c>
    </row>
    <row r="791" spans="1:4" hidden="1" x14ac:dyDescent="0.3">
      <c r="A791" t="s">
        <v>267</v>
      </c>
      <c r="B791" t="s">
        <v>11</v>
      </c>
      <c r="C791" s="1">
        <f>HYPERLINK("https://cao.dolgi.msk.ru/account/1011386345/", 1011386345)</f>
        <v>1011386345</v>
      </c>
      <c r="D791">
        <v>-7381.81</v>
      </c>
    </row>
    <row r="792" spans="1:4" hidden="1" x14ac:dyDescent="0.3">
      <c r="A792" t="s">
        <v>267</v>
      </c>
      <c r="B792" t="s">
        <v>12</v>
      </c>
      <c r="C792" s="1">
        <f>HYPERLINK("https://cao.dolgi.msk.ru/account/1011387559/", 1011387559)</f>
        <v>1011387559</v>
      </c>
      <c r="D792">
        <v>0</v>
      </c>
    </row>
    <row r="793" spans="1:4" hidden="1" x14ac:dyDescent="0.3">
      <c r="A793" t="s">
        <v>267</v>
      </c>
      <c r="B793" t="s">
        <v>23</v>
      </c>
      <c r="C793" s="1">
        <f>HYPERLINK("https://cao.dolgi.msk.ru/account/1011386249/", 1011386249)</f>
        <v>1011386249</v>
      </c>
      <c r="D793">
        <v>0</v>
      </c>
    </row>
    <row r="794" spans="1:4" hidden="1" x14ac:dyDescent="0.3">
      <c r="A794" t="s">
        <v>267</v>
      </c>
      <c r="B794" t="s">
        <v>23</v>
      </c>
      <c r="C794" s="1">
        <f>HYPERLINK("https://cao.dolgi.msk.ru/account/1011386716/", 1011386716)</f>
        <v>1011386716</v>
      </c>
      <c r="D794">
        <v>0</v>
      </c>
    </row>
    <row r="795" spans="1:4" hidden="1" x14ac:dyDescent="0.3">
      <c r="A795" t="s">
        <v>267</v>
      </c>
      <c r="B795" t="s">
        <v>13</v>
      </c>
      <c r="C795" s="1">
        <f>HYPERLINK("https://cao.dolgi.msk.ru/account/1011386361/", 1011386361)</f>
        <v>1011386361</v>
      </c>
      <c r="D795">
        <v>0</v>
      </c>
    </row>
    <row r="796" spans="1:4" hidden="1" x14ac:dyDescent="0.3">
      <c r="A796" t="s">
        <v>267</v>
      </c>
      <c r="B796" t="s">
        <v>14</v>
      </c>
      <c r="C796" s="1">
        <f>HYPERLINK("https://cao.dolgi.msk.ru/account/1011387962/", 1011387962)</f>
        <v>1011387962</v>
      </c>
      <c r="D796">
        <v>0</v>
      </c>
    </row>
    <row r="797" spans="1:4" hidden="1" x14ac:dyDescent="0.3">
      <c r="A797" t="s">
        <v>267</v>
      </c>
      <c r="B797" t="s">
        <v>16</v>
      </c>
      <c r="C797" s="1">
        <f>HYPERLINK("https://cao.dolgi.msk.ru/account/1011386206/", 1011386206)</f>
        <v>1011386206</v>
      </c>
      <c r="D797">
        <v>0</v>
      </c>
    </row>
    <row r="798" spans="1:4" hidden="1" x14ac:dyDescent="0.3">
      <c r="A798" t="s">
        <v>267</v>
      </c>
      <c r="B798" t="s">
        <v>17</v>
      </c>
      <c r="C798" s="1">
        <f>HYPERLINK("https://cao.dolgi.msk.ru/account/1011387591/", 1011387591)</f>
        <v>1011387591</v>
      </c>
      <c r="D798">
        <v>0</v>
      </c>
    </row>
    <row r="799" spans="1:4" hidden="1" x14ac:dyDescent="0.3">
      <c r="A799" t="s">
        <v>267</v>
      </c>
      <c r="B799" t="s">
        <v>18</v>
      </c>
      <c r="C799" s="1">
        <f>HYPERLINK("https://cao.dolgi.msk.ru/account/1011386492/", 1011386492)</f>
        <v>1011386492</v>
      </c>
      <c r="D799">
        <v>0</v>
      </c>
    </row>
    <row r="800" spans="1:4" x14ac:dyDescent="0.3">
      <c r="A800" t="s">
        <v>267</v>
      </c>
      <c r="B800" t="s">
        <v>19</v>
      </c>
      <c r="C800" s="1">
        <f>HYPERLINK("https://cao.dolgi.msk.ru/account/1011387508/", 1011387508)</f>
        <v>1011387508</v>
      </c>
      <c r="D800">
        <v>8629.2000000000007</v>
      </c>
    </row>
    <row r="801" spans="1:4" hidden="1" x14ac:dyDescent="0.3">
      <c r="A801" t="s">
        <v>267</v>
      </c>
      <c r="B801" t="s">
        <v>20</v>
      </c>
      <c r="C801" s="1">
        <f>HYPERLINK("https://cao.dolgi.msk.ru/account/1011386142/", 1011386142)</f>
        <v>1011386142</v>
      </c>
      <c r="D801">
        <v>0</v>
      </c>
    </row>
    <row r="802" spans="1:4" hidden="1" x14ac:dyDescent="0.3">
      <c r="A802" t="s">
        <v>267</v>
      </c>
      <c r="B802" t="s">
        <v>21</v>
      </c>
      <c r="C802" s="1">
        <f>HYPERLINK("https://cao.dolgi.msk.ru/account/1011386724/", 1011386724)</f>
        <v>1011386724</v>
      </c>
      <c r="D802">
        <v>0</v>
      </c>
    </row>
    <row r="803" spans="1:4" hidden="1" x14ac:dyDescent="0.3">
      <c r="A803" t="s">
        <v>267</v>
      </c>
      <c r="B803" t="s">
        <v>22</v>
      </c>
      <c r="C803" s="1">
        <f>HYPERLINK("https://cao.dolgi.msk.ru/account/1011387428/", 1011387428)</f>
        <v>1011387428</v>
      </c>
      <c r="D803">
        <v>-4193.1499999999996</v>
      </c>
    </row>
    <row r="804" spans="1:4" hidden="1" x14ac:dyDescent="0.3">
      <c r="A804" t="s">
        <v>267</v>
      </c>
      <c r="B804" t="s">
        <v>24</v>
      </c>
      <c r="C804" s="1">
        <f>HYPERLINK("https://cao.dolgi.msk.ru/account/1011516672/", 1011516672)</f>
        <v>1011516672</v>
      </c>
      <c r="D804">
        <v>0</v>
      </c>
    </row>
    <row r="805" spans="1:4" hidden="1" x14ac:dyDescent="0.3">
      <c r="A805" t="s">
        <v>267</v>
      </c>
      <c r="B805" t="s">
        <v>25</v>
      </c>
      <c r="C805" s="1">
        <f>HYPERLINK("https://cao.dolgi.msk.ru/account/1011386783/", 1011386783)</f>
        <v>1011386783</v>
      </c>
      <c r="D805">
        <v>-6567.25</v>
      </c>
    </row>
    <row r="806" spans="1:4" hidden="1" x14ac:dyDescent="0.3">
      <c r="A806" t="s">
        <v>267</v>
      </c>
      <c r="B806" t="s">
        <v>26</v>
      </c>
      <c r="C806" s="1">
        <f>HYPERLINK("https://cao.dolgi.msk.ru/account/1011386484/", 1011386484)</f>
        <v>1011386484</v>
      </c>
      <c r="D806">
        <v>-5838.23</v>
      </c>
    </row>
    <row r="807" spans="1:4" hidden="1" x14ac:dyDescent="0.3">
      <c r="A807" t="s">
        <v>267</v>
      </c>
      <c r="B807" t="s">
        <v>27</v>
      </c>
      <c r="C807" s="1">
        <f>HYPERLINK("https://cao.dolgi.msk.ru/account/1011386679/", 1011386679)</f>
        <v>1011386679</v>
      </c>
      <c r="D807">
        <v>0</v>
      </c>
    </row>
    <row r="808" spans="1:4" hidden="1" x14ac:dyDescent="0.3">
      <c r="A808" t="s">
        <v>267</v>
      </c>
      <c r="B808" t="s">
        <v>29</v>
      </c>
      <c r="C808" s="1">
        <f>HYPERLINK("https://cao.dolgi.msk.ru/account/1011386433/", 1011386433)</f>
        <v>1011386433</v>
      </c>
      <c r="D808">
        <v>0</v>
      </c>
    </row>
    <row r="809" spans="1:4" hidden="1" x14ac:dyDescent="0.3">
      <c r="A809" t="s">
        <v>267</v>
      </c>
      <c r="B809" t="s">
        <v>38</v>
      </c>
      <c r="C809" s="1">
        <f>HYPERLINK("https://cao.dolgi.msk.ru/account/1011386951/", 1011386951)</f>
        <v>1011386951</v>
      </c>
      <c r="D809">
        <v>0</v>
      </c>
    </row>
    <row r="810" spans="1:4" hidden="1" x14ac:dyDescent="0.3">
      <c r="A810" t="s">
        <v>267</v>
      </c>
      <c r="B810" t="s">
        <v>39</v>
      </c>
      <c r="C810" s="1">
        <f>HYPERLINK("https://cao.dolgi.msk.ru/account/1011387823/", 1011387823)</f>
        <v>1011387823</v>
      </c>
      <c r="D810">
        <v>-9965.68</v>
      </c>
    </row>
    <row r="811" spans="1:4" hidden="1" x14ac:dyDescent="0.3">
      <c r="A811" t="s">
        <v>267</v>
      </c>
      <c r="B811" t="s">
        <v>40</v>
      </c>
      <c r="C811" s="1">
        <f>HYPERLINK("https://cao.dolgi.msk.ru/account/1011387604/", 1011387604)</f>
        <v>1011387604</v>
      </c>
      <c r="D811">
        <v>-7784.72</v>
      </c>
    </row>
    <row r="812" spans="1:4" x14ac:dyDescent="0.3">
      <c r="A812" t="s">
        <v>267</v>
      </c>
      <c r="B812" t="s">
        <v>41</v>
      </c>
      <c r="C812" s="1">
        <f>HYPERLINK("https://cao.dolgi.msk.ru/account/1011387436/", 1011387436)</f>
        <v>1011387436</v>
      </c>
      <c r="D812">
        <v>13776.32</v>
      </c>
    </row>
    <row r="813" spans="1:4" hidden="1" x14ac:dyDescent="0.3">
      <c r="A813" t="s">
        <v>267</v>
      </c>
      <c r="B813" t="s">
        <v>51</v>
      </c>
      <c r="C813" s="1">
        <f>HYPERLINK("https://cao.dolgi.msk.ru/account/1011387639/", 1011387639)</f>
        <v>1011387639</v>
      </c>
      <c r="D813">
        <v>0</v>
      </c>
    </row>
    <row r="814" spans="1:4" hidden="1" x14ac:dyDescent="0.3">
      <c r="A814" t="s">
        <v>267</v>
      </c>
      <c r="B814" t="s">
        <v>52</v>
      </c>
      <c r="C814" s="1">
        <f>HYPERLINK("https://cao.dolgi.msk.ru/account/1011387313/", 1011387313)</f>
        <v>1011387313</v>
      </c>
      <c r="D814">
        <v>-1767.43</v>
      </c>
    </row>
    <row r="815" spans="1:4" hidden="1" x14ac:dyDescent="0.3">
      <c r="A815" t="s">
        <v>267</v>
      </c>
      <c r="B815" t="s">
        <v>53</v>
      </c>
      <c r="C815" s="1">
        <f>HYPERLINK("https://cao.dolgi.msk.ru/account/1011386505/", 1011386505)</f>
        <v>1011386505</v>
      </c>
      <c r="D815">
        <v>0</v>
      </c>
    </row>
    <row r="816" spans="1:4" hidden="1" x14ac:dyDescent="0.3">
      <c r="A816" t="s">
        <v>267</v>
      </c>
      <c r="B816" t="s">
        <v>54</v>
      </c>
      <c r="C816" s="1">
        <f>HYPERLINK("https://cao.dolgi.msk.ru/account/1011386441/", 1011386441)</f>
        <v>1011386441</v>
      </c>
      <c r="D816">
        <v>0</v>
      </c>
    </row>
    <row r="817" spans="1:4" hidden="1" x14ac:dyDescent="0.3">
      <c r="A817" t="s">
        <v>267</v>
      </c>
      <c r="B817" t="s">
        <v>55</v>
      </c>
      <c r="C817" s="1">
        <f>HYPERLINK("https://cao.dolgi.msk.ru/account/1011386169/", 1011386169)</f>
        <v>1011386169</v>
      </c>
      <c r="D817">
        <v>0</v>
      </c>
    </row>
    <row r="818" spans="1:4" hidden="1" x14ac:dyDescent="0.3">
      <c r="A818" t="s">
        <v>267</v>
      </c>
      <c r="B818" t="s">
        <v>56</v>
      </c>
      <c r="C818" s="1">
        <f>HYPERLINK("https://cao.dolgi.msk.ru/account/1011387014/", 1011387014)</f>
        <v>1011387014</v>
      </c>
      <c r="D818">
        <v>0</v>
      </c>
    </row>
    <row r="819" spans="1:4" hidden="1" x14ac:dyDescent="0.3">
      <c r="A819" t="s">
        <v>267</v>
      </c>
      <c r="B819" t="s">
        <v>87</v>
      </c>
      <c r="C819" s="1">
        <f>HYPERLINK("https://cao.dolgi.msk.ru/account/1011387129/", 1011387129)</f>
        <v>1011387129</v>
      </c>
      <c r="D819">
        <v>0</v>
      </c>
    </row>
    <row r="820" spans="1:4" hidden="1" x14ac:dyDescent="0.3">
      <c r="A820" t="s">
        <v>267</v>
      </c>
      <c r="B820" t="s">
        <v>88</v>
      </c>
      <c r="C820" s="1">
        <f>HYPERLINK("https://cao.dolgi.msk.ru/account/1011386687/", 1011386687)</f>
        <v>1011386687</v>
      </c>
      <c r="D820">
        <v>0</v>
      </c>
    </row>
    <row r="821" spans="1:4" hidden="1" x14ac:dyDescent="0.3">
      <c r="A821" t="s">
        <v>267</v>
      </c>
      <c r="B821" t="s">
        <v>89</v>
      </c>
      <c r="C821" s="1">
        <f>HYPERLINK("https://cao.dolgi.msk.ru/account/1011386302/", 1011386302)</f>
        <v>1011386302</v>
      </c>
      <c r="D821">
        <v>0</v>
      </c>
    </row>
    <row r="822" spans="1:4" x14ac:dyDescent="0.3">
      <c r="A822" t="s">
        <v>267</v>
      </c>
      <c r="B822" t="s">
        <v>90</v>
      </c>
      <c r="C822" s="1">
        <f>HYPERLINK("https://cao.dolgi.msk.ru/account/1011387831/", 1011387831)</f>
        <v>1011387831</v>
      </c>
      <c r="D822">
        <v>4869.01</v>
      </c>
    </row>
    <row r="823" spans="1:4" hidden="1" x14ac:dyDescent="0.3">
      <c r="A823" t="s">
        <v>267</v>
      </c>
      <c r="B823" t="s">
        <v>96</v>
      </c>
      <c r="C823" s="1">
        <f>HYPERLINK("https://cao.dolgi.msk.ru/account/1011387575/", 1011387575)</f>
        <v>1011387575</v>
      </c>
      <c r="D823">
        <v>0</v>
      </c>
    </row>
    <row r="824" spans="1:4" hidden="1" x14ac:dyDescent="0.3">
      <c r="A824" t="s">
        <v>267</v>
      </c>
      <c r="B824" t="s">
        <v>97</v>
      </c>
      <c r="C824" s="1">
        <f>HYPERLINK("https://cao.dolgi.msk.ru/account/1011387735/", 1011387735)</f>
        <v>1011387735</v>
      </c>
      <c r="D824">
        <v>0</v>
      </c>
    </row>
    <row r="825" spans="1:4" hidden="1" x14ac:dyDescent="0.3">
      <c r="A825" t="s">
        <v>267</v>
      </c>
      <c r="B825" t="s">
        <v>98</v>
      </c>
      <c r="C825" s="1">
        <f>HYPERLINK("https://cao.dolgi.msk.ru/account/1011386257/", 1011386257)</f>
        <v>1011386257</v>
      </c>
      <c r="D825">
        <v>-7430.64</v>
      </c>
    </row>
    <row r="826" spans="1:4" hidden="1" x14ac:dyDescent="0.3">
      <c r="A826" t="s">
        <v>267</v>
      </c>
      <c r="B826" t="s">
        <v>58</v>
      </c>
      <c r="C826" s="1">
        <f>HYPERLINK("https://cao.dolgi.msk.ru/account/1011386636/", 1011386636)</f>
        <v>1011386636</v>
      </c>
      <c r="D826">
        <v>-6182.76</v>
      </c>
    </row>
    <row r="827" spans="1:4" hidden="1" x14ac:dyDescent="0.3">
      <c r="A827" t="s">
        <v>267</v>
      </c>
      <c r="B827" t="s">
        <v>59</v>
      </c>
      <c r="C827" s="1">
        <f>HYPERLINK("https://cao.dolgi.msk.ru/account/1011387196/", 1011387196)</f>
        <v>1011387196</v>
      </c>
      <c r="D827">
        <v>0</v>
      </c>
    </row>
    <row r="828" spans="1:4" hidden="1" x14ac:dyDescent="0.3">
      <c r="A828" t="s">
        <v>267</v>
      </c>
      <c r="B828" t="s">
        <v>60</v>
      </c>
      <c r="C828" s="1">
        <f>HYPERLINK("https://cao.dolgi.msk.ru/account/1011386097/", 1011386097)</f>
        <v>1011386097</v>
      </c>
      <c r="D828">
        <v>-645.76</v>
      </c>
    </row>
    <row r="829" spans="1:4" hidden="1" x14ac:dyDescent="0.3">
      <c r="A829" t="s">
        <v>267</v>
      </c>
      <c r="B829" t="s">
        <v>61</v>
      </c>
      <c r="C829" s="1">
        <f>HYPERLINK("https://cao.dolgi.msk.ru/account/1011387145/", 1011387145)</f>
        <v>1011387145</v>
      </c>
      <c r="D829">
        <v>0</v>
      </c>
    </row>
    <row r="830" spans="1:4" hidden="1" x14ac:dyDescent="0.3">
      <c r="A830" t="s">
        <v>267</v>
      </c>
      <c r="B830" t="s">
        <v>62</v>
      </c>
      <c r="C830" s="1">
        <f>HYPERLINK("https://cao.dolgi.msk.ru/account/1011386118/", 1011386118)</f>
        <v>1011386118</v>
      </c>
      <c r="D830">
        <v>0</v>
      </c>
    </row>
    <row r="831" spans="1:4" hidden="1" x14ac:dyDescent="0.3">
      <c r="A831" t="s">
        <v>267</v>
      </c>
      <c r="B831" t="s">
        <v>63</v>
      </c>
      <c r="C831" s="1">
        <f>HYPERLINK("https://cao.dolgi.msk.ru/account/1011387946/", 1011387946)</f>
        <v>1011387946</v>
      </c>
      <c r="D831">
        <v>0</v>
      </c>
    </row>
    <row r="832" spans="1:4" hidden="1" x14ac:dyDescent="0.3">
      <c r="A832" t="s">
        <v>267</v>
      </c>
      <c r="B832" t="s">
        <v>64</v>
      </c>
      <c r="C832" s="1">
        <f>HYPERLINK("https://cao.dolgi.msk.ru/account/1011387284/", 1011387284)</f>
        <v>1011387284</v>
      </c>
      <c r="D832">
        <v>0</v>
      </c>
    </row>
    <row r="833" spans="1:4" hidden="1" x14ac:dyDescent="0.3">
      <c r="A833" t="s">
        <v>267</v>
      </c>
      <c r="B833" t="s">
        <v>65</v>
      </c>
      <c r="C833" s="1">
        <f>HYPERLINK("https://cao.dolgi.msk.ru/account/1011387065/", 1011387065)</f>
        <v>1011387065</v>
      </c>
      <c r="D833">
        <v>-6992.39</v>
      </c>
    </row>
    <row r="834" spans="1:4" hidden="1" x14ac:dyDescent="0.3">
      <c r="A834" t="s">
        <v>267</v>
      </c>
      <c r="B834" t="s">
        <v>66</v>
      </c>
      <c r="C834" s="1">
        <f>HYPERLINK("https://cao.dolgi.msk.ru/account/1011386214/", 1011386214)</f>
        <v>1011386214</v>
      </c>
      <c r="D834">
        <v>0</v>
      </c>
    </row>
    <row r="835" spans="1:4" hidden="1" x14ac:dyDescent="0.3">
      <c r="A835" t="s">
        <v>267</v>
      </c>
      <c r="B835" t="s">
        <v>67</v>
      </c>
      <c r="C835" s="1">
        <f>HYPERLINK("https://cao.dolgi.msk.ru/account/1011386759/", 1011386759)</f>
        <v>1011386759</v>
      </c>
      <c r="D835">
        <v>0</v>
      </c>
    </row>
    <row r="836" spans="1:4" hidden="1" x14ac:dyDescent="0.3">
      <c r="A836" t="s">
        <v>267</v>
      </c>
      <c r="B836" t="s">
        <v>68</v>
      </c>
      <c r="C836" s="1">
        <f>HYPERLINK("https://cao.dolgi.msk.ru/account/1011386978/", 1011386978)</f>
        <v>1011386978</v>
      </c>
      <c r="D836">
        <v>0</v>
      </c>
    </row>
    <row r="837" spans="1:4" hidden="1" x14ac:dyDescent="0.3">
      <c r="A837" t="s">
        <v>267</v>
      </c>
      <c r="B837" t="s">
        <v>69</v>
      </c>
      <c r="C837" s="1">
        <f>HYPERLINK("https://cao.dolgi.msk.ru/account/1011386513/", 1011386513)</f>
        <v>1011386513</v>
      </c>
      <c r="D837">
        <v>0</v>
      </c>
    </row>
    <row r="838" spans="1:4" hidden="1" x14ac:dyDescent="0.3">
      <c r="A838" t="s">
        <v>267</v>
      </c>
      <c r="B838" t="s">
        <v>69</v>
      </c>
      <c r="C838" s="1">
        <f>HYPERLINK("https://cao.dolgi.msk.ru/account/1011387188/", 1011387188)</f>
        <v>1011387188</v>
      </c>
      <c r="D838">
        <v>0</v>
      </c>
    </row>
    <row r="839" spans="1:4" hidden="1" x14ac:dyDescent="0.3">
      <c r="A839" t="s">
        <v>267</v>
      </c>
      <c r="B839" t="s">
        <v>70</v>
      </c>
      <c r="C839" s="1">
        <f>HYPERLINK("https://cao.dolgi.msk.ru/account/1011387241/", 1011387241)</f>
        <v>1011387241</v>
      </c>
      <c r="D839">
        <v>0</v>
      </c>
    </row>
    <row r="840" spans="1:4" hidden="1" x14ac:dyDescent="0.3">
      <c r="A840" t="s">
        <v>267</v>
      </c>
      <c r="B840" t="s">
        <v>259</v>
      </c>
      <c r="C840" s="1">
        <f>HYPERLINK("https://cao.dolgi.msk.ru/account/1011387903/", 1011387903)</f>
        <v>1011387903</v>
      </c>
      <c r="D840">
        <v>0</v>
      </c>
    </row>
    <row r="841" spans="1:4" x14ac:dyDescent="0.3">
      <c r="A841" t="s">
        <v>267</v>
      </c>
      <c r="B841" t="s">
        <v>100</v>
      </c>
      <c r="C841" s="1">
        <f>HYPERLINK("https://cao.dolgi.msk.ru/account/1011387647/", 1011387647)</f>
        <v>1011387647</v>
      </c>
      <c r="D841">
        <v>6132.45</v>
      </c>
    </row>
    <row r="842" spans="1:4" x14ac:dyDescent="0.3">
      <c r="A842" t="s">
        <v>267</v>
      </c>
      <c r="B842" t="s">
        <v>72</v>
      </c>
      <c r="C842" s="1">
        <f>HYPERLINK("https://cao.dolgi.msk.ru/account/1011387268/", 1011387268)</f>
        <v>1011387268</v>
      </c>
      <c r="D842">
        <v>5830.28</v>
      </c>
    </row>
    <row r="843" spans="1:4" hidden="1" x14ac:dyDescent="0.3">
      <c r="A843" t="s">
        <v>267</v>
      </c>
      <c r="B843" t="s">
        <v>73</v>
      </c>
      <c r="C843" s="1">
        <f>HYPERLINK("https://cao.dolgi.msk.ru/account/1011387225/", 1011387225)</f>
        <v>1011387225</v>
      </c>
      <c r="D843">
        <v>0</v>
      </c>
    </row>
    <row r="844" spans="1:4" hidden="1" x14ac:dyDescent="0.3">
      <c r="A844" t="s">
        <v>267</v>
      </c>
      <c r="B844" t="s">
        <v>74</v>
      </c>
      <c r="C844" s="1">
        <f>HYPERLINK("https://cao.dolgi.msk.ru/account/1011386329/", 1011386329)</f>
        <v>1011386329</v>
      </c>
      <c r="D844">
        <v>0</v>
      </c>
    </row>
    <row r="845" spans="1:4" hidden="1" x14ac:dyDescent="0.3">
      <c r="A845" t="s">
        <v>267</v>
      </c>
      <c r="B845" t="s">
        <v>75</v>
      </c>
      <c r="C845" s="1">
        <f>HYPERLINK("https://cao.dolgi.msk.ru/account/1011386812/", 1011386812)</f>
        <v>1011386812</v>
      </c>
      <c r="D845">
        <v>0</v>
      </c>
    </row>
    <row r="846" spans="1:4" hidden="1" x14ac:dyDescent="0.3">
      <c r="A846" t="s">
        <v>267</v>
      </c>
      <c r="B846" t="s">
        <v>76</v>
      </c>
      <c r="C846" s="1">
        <f>HYPERLINK("https://cao.dolgi.msk.ru/account/1011386468/", 1011386468)</f>
        <v>1011386468</v>
      </c>
      <c r="D846">
        <v>-6096.64</v>
      </c>
    </row>
    <row r="847" spans="1:4" hidden="1" x14ac:dyDescent="0.3">
      <c r="A847" t="s">
        <v>267</v>
      </c>
      <c r="B847" t="s">
        <v>77</v>
      </c>
      <c r="C847" s="1">
        <f>HYPERLINK("https://cao.dolgi.msk.ru/account/1011387612/", 1011387612)</f>
        <v>1011387612</v>
      </c>
      <c r="D847">
        <v>0</v>
      </c>
    </row>
    <row r="848" spans="1:4" hidden="1" x14ac:dyDescent="0.3">
      <c r="A848" t="s">
        <v>267</v>
      </c>
      <c r="B848" t="s">
        <v>78</v>
      </c>
      <c r="C848" s="1">
        <f>HYPERLINK("https://cao.dolgi.msk.ru/account/1011387858/", 1011387858)</f>
        <v>1011387858</v>
      </c>
      <c r="D848">
        <v>-7392.5</v>
      </c>
    </row>
    <row r="849" spans="1:4" hidden="1" x14ac:dyDescent="0.3">
      <c r="A849" t="s">
        <v>267</v>
      </c>
      <c r="B849" t="s">
        <v>79</v>
      </c>
      <c r="C849" s="1">
        <f>HYPERLINK("https://cao.dolgi.msk.ru/account/1011386564/", 1011386564)</f>
        <v>1011386564</v>
      </c>
      <c r="D849">
        <v>-8451.0400000000009</v>
      </c>
    </row>
    <row r="850" spans="1:4" x14ac:dyDescent="0.3">
      <c r="A850" t="s">
        <v>267</v>
      </c>
      <c r="B850" t="s">
        <v>80</v>
      </c>
      <c r="C850" s="1">
        <f>HYPERLINK("https://cao.dolgi.msk.ru/account/1011387663/", 1011387663)</f>
        <v>1011387663</v>
      </c>
      <c r="D850">
        <v>17237.89</v>
      </c>
    </row>
    <row r="851" spans="1:4" hidden="1" x14ac:dyDescent="0.3">
      <c r="A851" t="s">
        <v>267</v>
      </c>
      <c r="B851" t="s">
        <v>81</v>
      </c>
      <c r="C851" s="1">
        <f>HYPERLINK("https://cao.dolgi.msk.ru/account/1011386417/", 1011386417)</f>
        <v>1011386417</v>
      </c>
      <c r="D851">
        <v>0</v>
      </c>
    </row>
    <row r="852" spans="1:4" hidden="1" x14ac:dyDescent="0.3">
      <c r="A852" t="s">
        <v>267</v>
      </c>
      <c r="B852" t="s">
        <v>101</v>
      </c>
      <c r="C852" s="1">
        <f>HYPERLINK("https://cao.dolgi.msk.ru/account/1011386265/", 1011386265)</f>
        <v>1011386265</v>
      </c>
      <c r="D852">
        <v>-387.89</v>
      </c>
    </row>
    <row r="853" spans="1:4" hidden="1" x14ac:dyDescent="0.3">
      <c r="A853" t="s">
        <v>267</v>
      </c>
      <c r="B853" t="s">
        <v>82</v>
      </c>
      <c r="C853" s="1">
        <f>HYPERLINK("https://cao.dolgi.msk.ru/account/1011386767/", 1011386767)</f>
        <v>1011386767</v>
      </c>
      <c r="D853">
        <v>-6810.06</v>
      </c>
    </row>
    <row r="854" spans="1:4" hidden="1" x14ac:dyDescent="0.3">
      <c r="A854" t="s">
        <v>267</v>
      </c>
      <c r="B854" t="s">
        <v>83</v>
      </c>
      <c r="C854" s="1">
        <f>HYPERLINK("https://cao.dolgi.msk.ru/account/1011386177/", 1011386177)</f>
        <v>1011386177</v>
      </c>
      <c r="D854">
        <v>0</v>
      </c>
    </row>
    <row r="855" spans="1:4" hidden="1" x14ac:dyDescent="0.3">
      <c r="A855" t="s">
        <v>267</v>
      </c>
      <c r="B855" t="s">
        <v>84</v>
      </c>
      <c r="C855" s="1">
        <f>HYPERLINK("https://cao.dolgi.msk.ru/account/1011387911/", 1011387911)</f>
        <v>1011387911</v>
      </c>
      <c r="D855">
        <v>0</v>
      </c>
    </row>
    <row r="856" spans="1:4" hidden="1" x14ac:dyDescent="0.3">
      <c r="A856" t="s">
        <v>267</v>
      </c>
      <c r="B856" t="s">
        <v>85</v>
      </c>
      <c r="C856" s="1">
        <f>HYPERLINK("https://cao.dolgi.msk.ru/account/1011386599/", 1011386599)</f>
        <v>1011386599</v>
      </c>
      <c r="D856">
        <v>-271.3</v>
      </c>
    </row>
    <row r="857" spans="1:4" hidden="1" x14ac:dyDescent="0.3">
      <c r="A857" t="s">
        <v>267</v>
      </c>
      <c r="B857" t="s">
        <v>102</v>
      </c>
      <c r="C857" s="1">
        <f>HYPERLINK("https://cao.dolgi.msk.ru/account/1011387137/", 1011387137)</f>
        <v>1011387137</v>
      </c>
      <c r="D857">
        <v>0</v>
      </c>
    </row>
    <row r="858" spans="1:4" hidden="1" x14ac:dyDescent="0.3">
      <c r="A858" t="s">
        <v>267</v>
      </c>
      <c r="B858" t="s">
        <v>103</v>
      </c>
      <c r="C858" s="1">
        <f>HYPERLINK("https://cao.dolgi.msk.ru/account/1011387671/", 1011387671)</f>
        <v>1011387671</v>
      </c>
      <c r="D858">
        <v>0</v>
      </c>
    </row>
    <row r="859" spans="1:4" hidden="1" x14ac:dyDescent="0.3">
      <c r="A859" t="s">
        <v>267</v>
      </c>
      <c r="B859" t="s">
        <v>104</v>
      </c>
      <c r="C859" s="1">
        <f>HYPERLINK("https://cao.dolgi.msk.ru/account/1011386425/", 1011386425)</f>
        <v>1011386425</v>
      </c>
      <c r="D859">
        <v>0</v>
      </c>
    </row>
    <row r="860" spans="1:4" hidden="1" x14ac:dyDescent="0.3">
      <c r="A860" t="s">
        <v>267</v>
      </c>
      <c r="B860" t="s">
        <v>105</v>
      </c>
      <c r="C860" s="1">
        <f>HYPERLINK("https://cao.dolgi.msk.ru/account/1011387348/", 1011387348)</f>
        <v>1011387348</v>
      </c>
      <c r="D860">
        <v>-4058.88</v>
      </c>
    </row>
    <row r="861" spans="1:4" hidden="1" x14ac:dyDescent="0.3">
      <c r="A861" t="s">
        <v>267</v>
      </c>
      <c r="B861" t="s">
        <v>106</v>
      </c>
      <c r="C861" s="1">
        <f>HYPERLINK("https://cao.dolgi.msk.ru/account/1011387516/", 1011387516)</f>
        <v>1011387516</v>
      </c>
      <c r="D861">
        <v>0</v>
      </c>
    </row>
    <row r="862" spans="1:4" hidden="1" x14ac:dyDescent="0.3">
      <c r="A862" t="s">
        <v>267</v>
      </c>
      <c r="B862" t="s">
        <v>107</v>
      </c>
      <c r="C862" s="1">
        <f>HYPERLINK("https://cao.dolgi.msk.ru/account/1011387807/", 1011387807)</f>
        <v>1011387807</v>
      </c>
      <c r="D862">
        <v>0</v>
      </c>
    </row>
    <row r="863" spans="1:4" hidden="1" x14ac:dyDescent="0.3">
      <c r="A863" t="s">
        <v>267</v>
      </c>
      <c r="B863" t="s">
        <v>108</v>
      </c>
      <c r="C863" s="1">
        <f>HYPERLINK("https://cao.dolgi.msk.ru/account/1011387794/", 1011387794)</f>
        <v>1011387794</v>
      </c>
      <c r="D863">
        <v>0</v>
      </c>
    </row>
    <row r="864" spans="1:4" hidden="1" x14ac:dyDescent="0.3">
      <c r="A864" t="s">
        <v>267</v>
      </c>
      <c r="B864" t="s">
        <v>109</v>
      </c>
      <c r="C864" s="1">
        <f>HYPERLINK("https://cao.dolgi.msk.ru/account/1011386839/", 1011386839)</f>
        <v>1011386839</v>
      </c>
      <c r="D864">
        <v>0</v>
      </c>
    </row>
    <row r="865" spans="1:4" hidden="1" x14ac:dyDescent="0.3">
      <c r="A865" t="s">
        <v>267</v>
      </c>
      <c r="B865" t="s">
        <v>110</v>
      </c>
      <c r="C865" s="1">
        <f>HYPERLINK("https://cao.dolgi.msk.ru/account/1011386521/", 1011386521)</f>
        <v>1011386521</v>
      </c>
      <c r="D865">
        <v>0</v>
      </c>
    </row>
    <row r="866" spans="1:4" hidden="1" x14ac:dyDescent="0.3">
      <c r="A866" t="s">
        <v>267</v>
      </c>
      <c r="B866" t="s">
        <v>111</v>
      </c>
      <c r="C866" s="1">
        <f>HYPERLINK("https://cao.dolgi.msk.ru/account/1011387698/", 1011387698)</f>
        <v>1011387698</v>
      </c>
      <c r="D866">
        <v>0</v>
      </c>
    </row>
    <row r="867" spans="1:4" hidden="1" x14ac:dyDescent="0.3">
      <c r="A867" t="s">
        <v>267</v>
      </c>
      <c r="B867" t="s">
        <v>112</v>
      </c>
      <c r="C867" s="1">
        <f>HYPERLINK("https://cao.dolgi.msk.ru/account/1011386388/", 1011386388)</f>
        <v>1011386388</v>
      </c>
      <c r="D867">
        <v>0</v>
      </c>
    </row>
    <row r="868" spans="1:4" hidden="1" x14ac:dyDescent="0.3">
      <c r="A868" t="s">
        <v>267</v>
      </c>
      <c r="B868" t="s">
        <v>113</v>
      </c>
      <c r="C868" s="1">
        <f>HYPERLINK("https://cao.dolgi.msk.ru/account/1011386185/", 1011386185)</f>
        <v>1011386185</v>
      </c>
      <c r="D868">
        <v>0</v>
      </c>
    </row>
    <row r="869" spans="1:4" hidden="1" x14ac:dyDescent="0.3">
      <c r="A869" t="s">
        <v>267</v>
      </c>
      <c r="B869" t="s">
        <v>114</v>
      </c>
      <c r="C869" s="1">
        <f>HYPERLINK("https://cao.dolgi.msk.ru/account/1011387866/", 1011387866)</f>
        <v>1011387866</v>
      </c>
      <c r="D869">
        <v>0</v>
      </c>
    </row>
    <row r="870" spans="1:4" hidden="1" x14ac:dyDescent="0.3">
      <c r="A870" t="s">
        <v>267</v>
      </c>
      <c r="B870" t="s">
        <v>115</v>
      </c>
      <c r="C870" s="1">
        <f>HYPERLINK("https://cao.dolgi.msk.ru/account/1011386847/", 1011386847)</f>
        <v>1011386847</v>
      </c>
      <c r="D870">
        <v>-68.91</v>
      </c>
    </row>
    <row r="871" spans="1:4" hidden="1" x14ac:dyDescent="0.3">
      <c r="A871" t="s">
        <v>267</v>
      </c>
      <c r="B871" t="s">
        <v>116</v>
      </c>
      <c r="C871" s="1">
        <f>HYPERLINK("https://cao.dolgi.msk.ru/account/1011387727/", 1011387727)</f>
        <v>1011387727</v>
      </c>
      <c r="D871">
        <v>0</v>
      </c>
    </row>
    <row r="872" spans="1:4" x14ac:dyDescent="0.3">
      <c r="A872" t="s">
        <v>267</v>
      </c>
      <c r="B872" t="s">
        <v>266</v>
      </c>
      <c r="C872" s="1">
        <f>HYPERLINK("https://cao.dolgi.msk.ru/account/1011387399/", 1011387399)</f>
        <v>1011387399</v>
      </c>
      <c r="D872">
        <v>427.3</v>
      </c>
    </row>
    <row r="873" spans="1:4" hidden="1" x14ac:dyDescent="0.3">
      <c r="A873" t="s">
        <v>267</v>
      </c>
      <c r="B873" t="s">
        <v>117</v>
      </c>
      <c r="C873" s="1">
        <f>HYPERLINK("https://cao.dolgi.msk.ru/account/1011386919/", 1011386919)</f>
        <v>1011386919</v>
      </c>
      <c r="D873">
        <v>0</v>
      </c>
    </row>
    <row r="874" spans="1:4" hidden="1" x14ac:dyDescent="0.3">
      <c r="A874" t="s">
        <v>267</v>
      </c>
      <c r="B874" t="s">
        <v>118</v>
      </c>
      <c r="C874" s="1">
        <f>HYPERLINK("https://cao.dolgi.msk.ru/account/1011387209/", 1011387209)</f>
        <v>1011387209</v>
      </c>
      <c r="D874">
        <v>-14878.48</v>
      </c>
    </row>
    <row r="875" spans="1:4" hidden="1" x14ac:dyDescent="0.3">
      <c r="A875" t="s">
        <v>267</v>
      </c>
      <c r="B875" t="s">
        <v>119</v>
      </c>
      <c r="C875" s="1">
        <f>HYPERLINK("https://cao.dolgi.msk.ru/account/1011386791/", 1011386791)</f>
        <v>1011386791</v>
      </c>
      <c r="D875">
        <v>0</v>
      </c>
    </row>
    <row r="876" spans="1:4" hidden="1" x14ac:dyDescent="0.3">
      <c r="A876" t="s">
        <v>267</v>
      </c>
      <c r="B876" t="s">
        <v>120</v>
      </c>
      <c r="C876" s="1">
        <f>HYPERLINK("https://cao.dolgi.msk.ru/account/1011386927/", 1011386927)</f>
        <v>1011386927</v>
      </c>
      <c r="D876">
        <v>-149.94</v>
      </c>
    </row>
    <row r="877" spans="1:4" hidden="1" x14ac:dyDescent="0.3">
      <c r="A877" t="s">
        <v>267</v>
      </c>
      <c r="B877" t="s">
        <v>121</v>
      </c>
      <c r="C877" s="1">
        <f>HYPERLINK("https://cao.dolgi.msk.ru/account/1011387743/", 1011387743)</f>
        <v>1011387743</v>
      </c>
      <c r="D877">
        <v>0</v>
      </c>
    </row>
    <row r="878" spans="1:4" x14ac:dyDescent="0.3">
      <c r="A878" t="s">
        <v>267</v>
      </c>
      <c r="B878" t="s">
        <v>122</v>
      </c>
      <c r="C878" s="1">
        <f>HYPERLINK("https://cao.dolgi.msk.ru/account/1011387292/", 1011387292)</f>
        <v>1011387292</v>
      </c>
      <c r="D878">
        <v>9457.3799999999992</v>
      </c>
    </row>
    <row r="879" spans="1:4" hidden="1" x14ac:dyDescent="0.3">
      <c r="A879" t="s">
        <v>267</v>
      </c>
      <c r="B879" t="s">
        <v>123</v>
      </c>
      <c r="C879" s="1">
        <f>HYPERLINK("https://cao.dolgi.msk.ru/account/1011386548/", 1011386548)</f>
        <v>1011386548</v>
      </c>
      <c r="D879">
        <v>0</v>
      </c>
    </row>
    <row r="880" spans="1:4" hidden="1" x14ac:dyDescent="0.3">
      <c r="A880" t="s">
        <v>267</v>
      </c>
      <c r="B880" t="s">
        <v>124</v>
      </c>
      <c r="C880" s="1">
        <f>HYPERLINK("https://cao.dolgi.msk.ru/account/1011386353/", 1011386353)</f>
        <v>1011386353</v>
      </c>
      <c r="D880">
        <v>-3179.9</v>
      </c>
    </row>
    <row r="881" spans="1:4" x14ac:dyDescent="0.3">
      <c r="A881" t="s">
        <v>267</v>
      </c>
      <c r="B881" t="s">
        <v>125</v>
      </c>
      <c r="C881" s="1">
        <f>HYPERLINK("https://cao.dolgi.msk.ru/account/1011387874/", 1011387874)</f>
        <v>1011387874</v>
      </c>
      <c r="D881">
        <v>38968.26</v>
      </c>
    </row>
    <row r="882" spans="1:4" hidden="1" x14ac:dyDescent="0.3">
      <c r="A882" t="s">
        <v>267</v>
      </c>
      <c r="B882" t="s">
        <v>126</v>
      </c>
      <c r="C882" s="1">
        <f>HYPERLINK("https://cao.dolgi.msk.ru/account/1011386572/", 1011386572)</f>
        <v>1011386572</v>
      </c>
      <c r="D882">
        <v>-8882.11</v>
      </c>
    </row>
    <row r="883" spans="1:4" hidden="1" x14ac:dyDescent="0.3">
      <c r="A883" t="s">
        <v>267</v>
      </c>
      <c r="B883" t="s">
        <v>127</v>
      </c>
      <c r="C883" s="1">
        <f>HYPERLINK("https://cao.dolgi.msk.ru/account/1011386396/", 1011386396)</f>
        <v>1011386396</v>
      </c>
      <c r="D883">
        <v>0</v>
      </c>
    </row>
    <row r="884" spans="1:4" x14ac:dyDescent="0.3">
      <c r="A884" t="s">
        <v>267</v>
      </c>
      <c r="B884" t="s">
        <v>262</v>
      </c>
      <c r="C884" s="1">
        <f>HYPERLINK("https://cao.dolgi.msk.ru/account/1011386935/", 1011386935)</f>
        <v>1011386935</v>
      </c>
      <c r="D884">
        <v>25204.63</v>
      </c>
    </row>
    <row r="885" spans="1:4" x14ac:dyDescent="0.3">
      <c r="A885" t="s">
        <v>267</v>
      </c>
      <c r="B885" t="s">
        <v>128</v>
      </c>
      <c r="C885" s="1">
        <f>HYPERLINK("https://cao.dolgi.msk.ru/account/1011386652/", 1011386652)</f>
        <v>1011386652</v>
      </c>
      <c r="D885">
        <v>11050.38</v>
      </c>
    </row>
    <row r="886" spans="1:4" hidden="1" x14ac:dyDescent="0.3">
      <c r="A886" t="s">
        <v>267</v>
      </c>
      <c r="B886" t="s">
        <v>129</v>
      </c>
      <c r="C886" s="1">
        <f>HYPERLINK("https://cao.dolgi.msk.ru/account/1011386273/", 1011386273)</f>
        <v>1011386273</v>
      </c>
      <c r="D886">
        <v>0</v>
      </c>
    </row>
    <row r="887" spans="1:4" hidden="1" x14ac:dyDescent="0.3">
      <c r="A887" t="s">
        <v>267</v>
      </c>
      <c r="B887" t="s">
        <v>130</v>
      </c>
      <c r="C887" s="1">
        <f>HYPERLINK("https://cao.dolgi.msk.ru/account/1011386986/", 1011386986)</f>
        <v>1011386986</v>
      </c>
      <c r="D887">
        <v>-1513.45</v>
      </c>
    </row>
    <row r="888" spans="1:4" hidden="1" x14ac:dyDescent="0.3">
      <c r="A888" t="s">
        <v>267</v>
      </c>
      <c r="B888" t="s">
        <v>131</v>
      </c>
      <c r="C888" s="1">
        <f>HYPERLINK("https://cao.dolgi.msk.ru/account/1011387321/", 1011387321)</f>
        <v>1011387321</v>
      </c>
      <c r="D888">
        <v>0</v>
      </c>
    </row>
    <row r="889" spans="1:4" hidden="1" x14ac:dyDescent="0.3">
      <c r="A889" t="s">
        <v>267</v>
      </c>
      <c r="B889" t="s">
        <v>132</v>
      </c>
      <c r="C889" s="1">
        <f>HYPERLINK("https://cao.dolgi.msk.ru/account/1011386193/", 1011386193)</f>
        <v>1011386193</v>
      </c>
      <c r="D889">
        <v>-8532.7099999999991</v>
      </c>
    </row>
    <row r="890" spans="1:4" x14ac:dyDescent="0.3">
      <c r="A890" t="s">
        <v>267</v>
      </c>
      <c r="B890" t="s">
        <v>133</v>
      </c>
      <c r="C890" s="1">
        <f>HYPERLINK("https://cao.dolgi.msk.ru/account/1011386855/", 1011386855)</f>
        <v>1011386855</v>
      </c>
      <c r="D890">
        <v>7675.5</v>
      </c>
    </row>
    <row r="891" spans="1:4" hidden="1" x14ac:dyDescent="0.3">
      <c r="A891" t="s">
        <v>267</v>
      </c>
      <c r="B891" t="s">
        <v>134</v>
      </c>
      <c r="C891" s="1">
        <f>HYPERLINK("https://cao.dolgi.msk.ru/account/1011387444/", 1011387444)</f>
        <v>1011387444</v>
      </c>
      <c r="D891">
        <v>-6873.83</v>
      </c>
    </row>
    <row r="892" spans="1:4" hidden="1" x14ac:dyDescent="0.3">
      <c r="A892" t="s">
        <v>267</v>
      </c>
      <c r="B892" t="s">
        <v>135</v>
      </c>
      <c r="C892" s="1">
        <f>HYPERLINK("https://cao.dolgi.msk.ru/account/1011387153/", 1011387153)</f>
        <v>1011387153</v>
      </c>
      <c r="D892">
        <v>-2408.02</v>
      </c>
    </row>
    <row r="893" spans="1:4" hidden="1" x14ac:dyDescent="0.3">
      <c r="A893" t="s">
        <v>267</v>
      </c>
      <c r="B893" t="s">
        <v>264</v>
      </c>
      <c r="C893" s="1">
        <f>HYPERLINK("https://cao.dolgi.msk.ru/account/1011387567/", 1011387567)</f>
        <v>1011387567</v>
      </c>
      <c r="D893">
        <v>-24.31</v>
      </c>
    </row>
    <row r="894" spans="1:4" hidden="1" x14ac:dyDescent="0.3">
      <c r="A894" t="s">
        <v>267</v>
      </c>
      <c r="B894" t="s">
        <v>136</v>
      </c>
      <c r="C894" s="1">
        <f>HYPERLINK("https://cao.dolgi.msk.ru/account/1011386871/", 1011386871)</f>
        <v>1011386871</v>
      </c>
      <c r="D894">
        <v>0</v>
      </c>
    </row>
    <row r="895" spans="1:4" hidden="1" x14ac:dyDescent="0.3">
      <c r="A895" t="s">
        <v>267</v>
      </c>
      <c r="B895" t="s">
        <v>137</v>
      </c>
      <c r="C895" s="1">
        <f>HYPERLINK("https://cao.dolgi.msk.ru/account/1011386126/", 1011386126)</f>
        <v>1011386126</v>
      </c>
      <c r="D895">
        <v>0</v>
      </c>
    </row>
    <row r="896" spans="1:4" x14ac:dyDescent="0.3">
      <c r="A896" t="s">
        <v>267</v>
      </c>
      <c r="B896" t="s">
        <v>138</v>
      </c>
      <c r="C896" s="1">
        <f>HYPERLINK("https://cao.dolgi.msk.ru/account/1011386601/", 1011386601)</f>
        <v>1011386601</v>
      </c>
      <c r="D896">
        <v>574.25</v>
      </c>
    </row>
    <row r="897" spans="1:4" hidden="1" x14ac:dyDescent="0.3">
      <c r="A897" t="s">
        <v>267</v>
      </c>
      <c r="B897" t="s">
        <v>139</v>
      </c>
      <c r="C897" s="1">
        <f>HYPERLINK("https://cao.dolgi.msk.ru/account/1011387938/", 1011387938)</f>
        <v>1011387938</v>
      </c>
      <c r="D897">
        <v>0</v>
      </c>
    </row>
    <row r="898" spans="1:4" hidden="1" x14ac:dyDescent="0.3">
      <c r="A898" t="s">
        <v>267</v>
      </c>
      <c r="B898" t="s">
        <v>140</v>
      </c>
      <c r="C898" s="1">
        <f>HYPERLINK("https://cao.dolgi.msk.ru/account/1011387233/", 1011387233)</f>
        <v>1011387233</v>
      </c>
      <c r="D898">
        <v>0</v>
      </c>
    </row>
    <row r="899" spans="1:4" hidden="1" x14ac:dyDescent="0.3">
      <c r="A899" t="s">
        <v>267</v>
      </c>
      <c r="B899" t="s">
        <v>141</v>
      </c>
      <c r="C899" s="1">
        <f>HYPERLINK("https://cao.dolgi.msk.ru/account/1011387276/", 1011387276)</f>
        <v>1011387276</v>
      </c>
      <c r="D899">
        <v>-11023.4</v>
      </c>
    </row>
    <row r="900" spans="1:4" hidden="1" x14ac:dyDescent="0.3">
      <c r="A900" t="s">
        <v>267</v>
      </c>
      <c r="B900" t="s">
        <v>142</v>
      </c>
      <c r="C900" s="1">
        <f>HYPERLINK("https://cao.dolgi.msk.ru/account/1011387057/", 1011387057)</f>
        <v>1011387057</v>
      </c>
      <c r="D900">
        <v>-5985.79</v>
      </c>
    </row>
    <row r="901" spans="1:4" hidden="1" x14ac:dyDescent="0.3">
      <c r="A901" t="s">
        <v>267</v>
      </c>
      <c r="B901" t="s">
        <v>143</v>
      </c>
      <c r="C901" s="1">
        <f>HYPERLINK("https://cao.dolgi.msk.ru/account/1011386732/", 1011386732)</f>
        <v>1011386732</v>
      </c>
      <c r="D901">
        <v>-138.96</v>
      </c>
    </row>
    <row r="902" spans="1:4" hidden="1" x14ac:dyDescent="0.3">
      <c r="A902" t="s">
        <v>267</v>
      </c>
      <c r="B902" t="s">
        <v>144</v>
      </c>
      <c r="C902" s="1">
        <f>HYPERLINK("https://cao.dolgi.msk.ru/account/1011386695/", 1011386695)</f>
        <v>1011386695</v>
      </c>
      <c r="D902">
        <v>-18.190000000000001</v>
      </c>
    </row>
    <row r="903" spans="1:4" hidden="1" x14ac:dyDescent="0.3">
      <c r="A903" t="s">
        <v>267</v>
      </c>
      <c r="B903" t="s">
        <v>145</v>
      </c>
      <c r="C903" s="1">
        <f>HYPERLINK("https://cao.dolgi.msk.ru/account/1011386943/", 1011386943)</f>
        <v>1011386943</v>
      </c>
      <c r="D903">
        <v>0</v>
      </c>
    </row>
    <row r="904" spans="1:4" hidden="1" x14ac:dyDescent="0.3">
      <c r="A904" t="s">
        <v>267</v>
      </c>
      <c r="B904" t="s">
        <v>146</v>
      </c>
      <c r="C904" s="1">
        <f>HYPERLINK("https://cao.dolgi.msk.ru/account/1011387452/", 1011387452)</f>
        <v>1011387452</v>
      </c>
      <c r="D904">
        <v>0</v>
      </c>
    </row>
    <row r="905" spans="1:4" hidden="1" x14ac:dyDescent="0.3">
      <c r="A905" t="s">
        <v>267</v>
      </c>
      <c r="B905" t="s">
        <v>147</v>
      </c>
      <c r="C905" s="1">
        <f>HYPERLINK("https://cao.dolgi.msk.ru/account/1011387401/", 1011387401)</f>
        <v>1011387401</v>
      </c>
      <c r="D905">
        <v>0</v>
      </c>
    </row>
    <row r="906" spans="1:4" hidden="1" x14ac:dyDescent="0.3">
      <c r="A906" t="s">
        <v>267</v>
      </c>
      <c r="B906" t="s">
        <v>148</v>
      </c>
      <c r="C906" s="1">
        <f>HYPERLINK("https://cao.dolgi.msk.ru/account/1011387479/", 1011387479)</f>
        <v>1011387479</v>
      </c>
      <c r="D906">
        <v>0</v>
      </c>
    </row>
    <row r="907" spans="1:4" hidden="1" x14ac:dyDescent="0.3">
      <c r="A907" t="s">
        <v>267</v>
      </c>
      <c r="B907" t="s">
        <v>149</v>
      </c>
      <c r="C907" s="1">
        <f>HYPERLINK("https://cao.dolgi.msk.ru/account/1011387751/", 1011387751)</f>
        <v>1011387751</v>
      </c>
      <c r="D907">
        <v>0</v>
      </c>
    </row>
    <row r="908" spans="1:4" hidden="1" x14ac:dyDescent="0.3">
      <c r="A908" t="s">
        <v>267</v>
      </c>
      <c r="B908" t="s">
        <v>150</v>
      </c>
      <c r="C908" s="1">
        <f>HYPERLINK("https://cao.dolgi.msk.ru/account/1011387487/", 1011387487)</f>
        <v>1011387487</v>
      </c>
      <c r="D908">
        <v>0</v>
      </c>
    </row>
    <row r="909" spans="1:4" hidden="1" x14ac:dyDescent="0.3">
      <c r="A909" t="s">
        <v>267</v>
      </c>
      <c r="B909" t="s">
        <v>151</v>
      </c>
      <c r="C909" s="1">
        <f>HYPERLINK("https://cao.dolgi.msk.ru/account/1011387954/", 1011387954)</f>
        <v>1011387954</v>
      </c>
      <c r="D909">
        <v>0</v>
      </c>
    </row>
    <row r="910" spans="1:4" hidden="1" x14ac:dyDescent="0.3">
      <c r="A910" t="s">
        <v>267</v>
      </c>
      <c r="B910" t="s">
        <v>152</v>
      </c>
      <c r="C910" s="1">
        <f>HYPERLINK("https://cao.dolgi.msk.ru/account/1011387778/", 1011387778)</f>
        <v>1011387778</v>
      </c>
      <c r="D910">
        <v>-6946.02</v>
      </c>
    </row>
    <row r="911" spans="1:4" x14ac:dyDescent="0.3">
      <c r="A911" t="s">
        <v>267</v>
      </c>
      <c r="B911" t="s">
        <v>153</v>
      </c>
      <c r="C911" s="1">
        <f>HYPERLINK("https://cao.dolgi.msk.ru/account/1011387786/", 1011387786)</f>
        <v>1011387786</v>
      </c>
      <c r="D911">
        <v>5215</v>
      </c>
    </row>
    <row r="912" spans="1:4" hidden="1" x14ac:dyDescent="0.3">
      <c r="A912" t="s">
        <v>267</v>
      </c>
      <c r="B912" t="s">
        <v>154</v>
      </c>
      <c r="C912" s="1">
        <f>HYPERLINK("https://cao.dolgi.msk.ru/account/1011387161/", 1011387161)</f>
        <v>1011387161</v>
      </c>
      <c r="D912">
        <v>0</v>
      </c>
    </row>
    <row r="913" spans="1:4" hidden="1" x14ac:dyDescent="0.3">
      <c r="A913" t="s">
        <v>267</v>
      </c>
      <c r="B913" t="s">
        <v>155</v>
      </c>
      <c r="C913" s="1">
        <f>HYPERLINK("https://cao.dolgi.msk.ru/account/1011387356/", 1011387356)</f>
        <v>1011387356</v>
      </c>
      <c r="D913">
        <v>0</v>
      </c>
    </row>
    <row r="914" spans="1:4" hidden="1" x14ac:dyDescent="0.3">
      <c r="A914" t="s">
        <v>267</v>
      </c>
      <c r="B914" t="s">
        <v>156</v>
      </c>
      <c r="C914" s="1">
        <f>HYPERLINK("https://cao.dolgi.msk.ru/account/1011386134/", 1011386134)</f>
        <v>1011386134</v>
      </c>
      <c r="D914">
        <v>-6139.12</v>
      </c>
    </row>
    <row r="915" spans="1:4" x14ac:dyDescent="0.3">
      <c r="A915" t="s">
        <v>267</v>
      </c>
      <c r="B915" t="s">
        <v>157</v>
      </c>
      <c r="C915" s="1">
        <f>HYPERLINK("https://cao.dolgi.msk.ru/account/1011387815/", 1011387815)</f>
        <v>1011387815</v>
      </c>
      <c r="D915">
        <v>15647.45</v>
      </c>
    </row>
    <row r="916" spans="1:4" hidden="1" x14ac:dyDescent="0.3">
      <c r="A916" t="s">
        <v>267</v>
      </c>
      <c r="B916" t="s">
        <v>158</v>
      </c>
      <c r="C916" s="1">
        <f>HYPERLINK("https://cao.dolgi.msk.ru/account/1011387524/", 1011387524)</f>
        <v>1011387524</v>
      </c>
      <c r="D916">
        <v>-1.07</v>
      </c>
    </row>
    <row r="917" spans="1:4" hidden="1" x14ac:dyDescent="0.3">
      <c r="A917" t="s">
        <v>267</v>
      </c>
      <c r="B917" t="s">
        <v>159</v>
      </c>
      <c r="C917" s="1">
        <f>HYPERLINK("https://cao.dolgi.msk.ru/account/1011387882/", 1011387882)</f>
        <v>1011387882</v>
      </c>
      <c r="D917">
        <v>0</v>
      </c>
    </row>
    <row r="918" spans="1:4" hidden="1" x14ac:dyDescent="0.3">
      <c r="A918" t="s">
        <v>267</v>
      </c>
      <c r="B918" t="s">
        <v>160</v>
      </c>
      <c r="C918" s="1">
        <f>HYPERLINK("https://cao.dolgi.msk.ru/account/1011386804/", 1011386804)</f>
        <v>1011386804</v>
      </c>
      <c r="D918">
        <v>0</v>
      </c>
    </row>
    <row r="919" spans="1:4" hidden="1" x14ac:dyDescent="0.3">
      <c r="A919" t="s">
        <v>267</v>
      </c>
      <c r="B919" t="s">
        <v>162</v>
      </c>
      <c r="C919" s="1">
        <f>HYPERLINK("https://cao.dolgi.msk.ru/account/1011386337/", 1011386337)</f>
        <v>1011386337</v>
      </c>
      <c r="D919">
        <v>0</v>
      </c>
    </row>
    <row r="920" spans="1:4" hidden="1" x14ac:dyDescent="0.3">
      <c r="A920" t="s">
        <v>267</v>
      </c>
      <c r="B920" t="s">
        <v>163</v>
      </c>
      <c r="C920" s="1">
        <f>HYPERLINK("https://cao.dolgi.msk.ru/account/1011386994/", 1011386994)</f>
        <v>1011386994</v>
      </c>
      <c r="D920">
        <v>0</v>
      </c>
    </row>
    <row r="921" spans="1:4" hidden="1" x14ac:dyDescent="0.3">
      <c r="A921" t="s">
        <v>267</v>
      </c>
      <c r="B921" t="s">
        <v>164</v>
      </c>
      <c r="C921" s="1">
        <f>HYPERLINK("https://cao.dolgi.msk.ru/account/1011387305/", 1011387305)</f>
        <v>1011387305</v>
      </c>
      <c r="D921">
        <v>0</v>
      </c>
    </row>
    <row r="922" spans="1:4" hidden="1" x14ac:dyDescent="0.3">
      <c r="A922" t="s">
        <v>267</v>
      </c>
      <c r="B922" t="s">
        <v>165</v>
      </c>
      <c r="C922" s="1">
        <f>HYPERLINK("https://cao.dolgi.msk.ru/account/1011386556/", 1011386556)</f>
        <v>1011386556</v>
      </c>
      <c r="D922">
        <v>0</v>
      </c>
    </row>
    <row r="923" spans="1:4" hidden="1" x14ac:dyDescent="0.3">
      <c r="A923" t="s">
        <v>267</v>
      </c>
      <c r="B923" t="s">
        <v>166</v>
      </c>
      <c r="C923" s="1">
        <f>HYPERLINK("https://cao.dolgi.msk.ru/account/1011386863/", 1011386863)</f>
        <v>1011386863</v>
      </c>
      <c r="D923">
        <v>0</v>
      </c>
    </row>
    <row r="924" spans="1:4" hidden="1" x14ac:dyDescent="0.3">
      <c r="A924" t="s">
        <v>267</v>
      </c>
      <c r="B924" t="s">
        <v>167</v>
      </c>
      <c r="C924" s="1">
        <f>HYPERLINK("https://cao.dolgi.msk.ru/account/1011386628/", 1011386628)</f>
        <v>1011386628</v>
      </c>
      <c r="D924">
        <v>-5690.33</v>
      </c>
    </row>
    <row r="925" spans="1:4" x14ac:dyDescent="0.3">
      <c r="A925" t="s">
        <v>267</v>
      </c>
      <c r="B925" t="s">
        <v>168</v>
      </c>
      <c r="C925" s="1">
        <f>HYPERLINK("https://cao.dolgi.msk.ru/account/1011386775/", 1011386775)</f>
        <v>1011386775</v>
      </c>
      <c r="D925">
        <v>8597.7199999999993</v>
      </c>
    </row>
    <row r="926" spans="1:4" hidden="1" x14ac:dyDescent="0.3">
      <c r="A926" t="s">
        <v>267</v>
      </c>
      <c r="B926" t="s">
        <v>169</v>
      </c>
      <c r="C926" s="1">
        <f>HYPERLINK("https://cao.dolgi.msk.ru/account/1011386476/", 1011386476)</f>
        <v>1011386476</v>
      </c>
      <c r="D926">
        <v>0</v>
      </c>
    </row>
    <row r="927" spans="1:4" hidden="1" x14ac:dyDescent="0.3">
      <c r="A927" t="s">
        <v>267</v>
      </c>
      <c r="B927" t="s">
        <v>170</v>
      </c>
      <c r="C927" s="1">
        <f>HYPERLINK("https://cao.dolgi.msk.ru/account/1011386409/", 1011386409)</f>
        <v>1011386409</v>
      </c>
      <c r="D927">
        <v>0</v>
      </c>
    </row>
    <row r="928" spans="1:4" hidden="1" x14ac:dyDescent="0.3">
      <c r="A928" t="s">
        <v>267</v>
      </c>
      <c r="B928" t="s">
        <v>171</v>
      </c>
      <c r="C928" s="1">
        <f>HYPERLINK("https://cao.dolgi.msk.ru/account/1011387073/", 1011387073)</f>
        <v>1011387073</v>
      </c>
      <c r="D928">
        <v>0</v>
      </c>
    </row>
    <row r="929" spans="1:4" hidden="1" x14ac:dyDescent="0.3">
      <c r="A929" t="s">
        <v>267</v>
      </c>
      <c r="B929" t="s">
        <v>172</v>
      </c>
      <c r="C929" s="1">
        <f>HYPERLINK("https://cao.dolgi.msk.ru/account/1011387655/", 1011387655)</f>
        <v>1011387655</v>
      </c>
      <c r="D929">
        <v>0</v>
      </c>
    </row>
    <row r="930" spans="1:4" hidden="1" x14ac:dyDescent="0.3">
      <c r="A930" t="s">
        <v>267</v>
      </c>
      <c r="B930" t="s">
        <v>173</v>
      </c>
      <c r="C930" s="1">
        <f>HYPERLINK("https://cao.dolgi.msk.ru/account/1011387583/", 1011387583)</f>
        <v>1011387583</v>
      </c>
      <c r="D930">
        <v>0</v>
      </c>
    </row>
    <row r="931" spans="1:4" hidden="1" x14ac:dyDescent="0.3">
      <c r="A931" t="s">
        <v>267</v>
      </c>
      <c r="B931" t="s">
        <v>174</v>
      </c>
      <c r="C931" s="1">
        <f>HYPERLINK("https://cao.dolgi.msk.ru/account/1011386222/", 1011386222)</f>
        <v>1011386222</v>
      </c>
      <c r="D931">
        <v>0</v>
      </c>
    </row>
    <row r="932" spans="1:4" hidden="1" x14ac:dyDescent="0.3">
      <c r="A932" t="s">
        <v>267</v>
      </c>
      <c r="B932" t="s">
        <v>175</v>
      </c>
      <c r="C932" s="1">
        <f>HYPERLINK("https://cao.dolgi.msk.ru/account/1011387719/", 1011387719)</f>
        <v>1011387719</v>
      </c>
      <c r="D932">
        <v>-172.19</v>
      </c>
    </row>
    <row r="933" spans="1:4" hidden="1" x14ac:dyDescent="0.3">
      <c r="A933" t="s">
        <v>268</v>
      </c>
      <c r="B933" t="s">
        <v>6</v>
      </c>
      <c r="C933" s="1">
        <f>HYPERLINK("https://cao.dolgi.msk.ru/account/1011388236/", 1011388236)</f>
        <v>1011388236</v>
      </c>
      <c r="D933">
        <v>-4999.46</v>
      </c>
    </row>
    <row r="934" spans="1:4" hidden="1" x14ac:dyDescent="0.3">
      <c r="A934" t="s">
        <v>268</v>
      </c>
      <c r="B934" t="s">
        <v>28</v>
      </c>
      <c r="C934" s="1">
        <f>HYPERLINK("https://cao.dolgi.msk.ru/account/1011388447/", 1011388447)</f>
        <v>1011388447</v>
      </c>
      <c r="D934">
        <v>0</v>
      </c>
    </row>
    <row r="935" spans="1:4" hidden="1" x14ac:dyDescent="0.3">
      <c r="A935" t="s">
        <v>268</v>
      </c>
      <c r="B935" t="s">
        <v>35</v>
      </c>
      <c r="C935" s="1">
        <f>HYPERLINK("https://cao.dolgi.msk.ru/account/1011388746/", 1011388746)</f>
        <v>1011388746</v>
      </c>
      <c r="D935">
        <v>0</v>
      </c>
    </row>
    <row r="936" spans="1:4" hidden="1" x14ac:dyDescent="0.3">
      <c r="A936" t="s">
        <v>268</v>
      </c>
      <c r="B936" t="s">
        <v>5</v>
      </c>
      <c r="C936" s="1">
        <f>HYPERLINK("https://cao.dolgi.msk.ru/account/1011388658/", 1011388658)</f>
        <v>1011388658</v>
      </c>
      <c r="D936">
        <v>0</v>
      </c>
    </row>
    <row r="937" spans="1:4" hidden="1" x14ac:dyDescent="0.3">
      <c r="A937" t="s">
        <v>268</v>
      </c>
      <c r="B937" t="s">
        <v>7</v>
      </c>
      <c r="C937" s="1">
        <f>HYPERLINK("https://cao.dolgi.msk.ru/account/1011389167/", 1011389167)</f>
        <v>1011389167</v>
      </c>
      <c r="D937">
        <v>0</v>
      </c>
    </row>
    <row r="938" spans="1:4" hidden="1" x14ac:dyDescent="0.3">
      <c r="A938" t="s">
        <v>268</v>
      </c>
      <c r="B938" t="s">
        <v>8</v>
      </c>
      <c r="C938" s="1">
        <f>HYPERLINK("https://cao.dolgi.msk.ru/account/1011388324/", 1011388324)</f>
        <v>1011388324</v>
      </c>
      <c r="D938">
        <v>0</v>
      </c>
    </row>
    <row r="939" spans="1:4" x14ac:dyDescent="0.3">
      <c r="A939" t="s">
        <v>268</v>
      </c>
      <c r="B939" t="s">
        <v>31</v>
      </c>
      <c r="C939" s="1">
        <f>HYPERLINK("https://cao.dolgi.msk.ru/account/1011388105/", 1011388105)</f>
        <v>1011388105</v>
      </c>
      <c r="D939">
        <v>6088.57</v>
      </c>
    </row>
    <row r="940" spans="1:4" x14ac:dyDescent="0.3">
      <c r="A940" t="s">
        <v>268</v>
      </c>
      <c r="B940" t="s">
        <v>9</v>
      </c>
      <c r="C940" s="1">
        <f>HYPERLINK("https://cao.dolgi.msk.ru/account/1011388017/", 1011388017)</f>
        <v>1011388017</v>
      </c>
      <c r="D940">
        <v>5324.23</v>
      </c>
    </row>
    <row r="941" spans="1:4" x14ac:dyDescent="0.3">
      <c r="A941" t="s">
        <v>268</v>
      </c>
      <c r="B941" t="s">
        <v>10</v>
      </c>
      <c r="C941" s="1">
        <f>HYPERLINK("https://cao.dolgi.msk.ru/account/1011388797/", 1011388797)</f>
        <v>1011388797</v>
      </c>
      <c r="D941">
        <v>53626.32</v>
      </c>
    </row>
    <row r="942" spans="1:4" hidden="1" x14ac:dyDescent="0.3">
      <c r="A942" t="s">
        <v>268</v>
      </c>
      <c r="B942" t="s">
        <v>11</v>
      </c>
      <c r="C942" s="1">
        <f>HYPERLINK("https://cao.dolgi.msk.ru/account/1011389108/", 1011389108)</f>
        <v>1011389108</v>
      </c>
      <c r="D942">
        <v>-56.62</v>
      </c>
    </row>
    <row r="943" spans="1:4" hidden="1" x14ac:dyDescent="0.3">
      <c r="A943" t="s">
        <v>268</v>
      </c>
      <c r="B943" t="s">
        <v>12</v>
      </c>
      <c r="C943" s="1">
        <f>HYPERLINK("https://cao.dolgi.msk.ru/account/1011388711/", 1011388711)</f>
        <v>1011388711</v>
      </c>
      <c r="D943">
        <v>-8439.9699999999993</v>
      </c>
    </row>
    <row r="944" spans="1:4" hidden="1" x14ac:dyDescent="0.3">
      <c r="A944" t="s">
        <v>268</v>
      </c>
      <c r="B944" t="s">
        <v>23</v>
      </c>
      <c r="C944" s="1">
        <f>HYPERLINK("https://cao.dolgi.msk.ru/account/1011387989/", 1011387989)</f>
        <v>1011387989</v>
      </c>
      <c r="D944">
        <v>0</v>
      </c>
    </row>
    <row r="945" spans="1:4" hidden="1" x14ac:dyDescent="0.3">
      <c r="A945" t="s">
        <v>268</v>
      </c>
      <c r="B945" t="s">
        <v>13</v>
      </c>
      <c r="C945" s="1">
        <f>HYPERLINK("https://cao.dolgi.msk.ru/account/1011389271/", 1011389271)</f>
        <v>1011389271</v>
      </c>
      <c r="D945">
        <v>0</v>
      </c>
    </row>
    <row r="946" spans="1:4" hidden="1" x14ac:dyDescent="0.3">
      <c r="A946" t="s">
        <v>268</v>
      </c>
      <c r="B946" t="s">
        <v>14</v>
      </c>
      <c r="C946" s="1">
        <f>HYPERLINK("https://cao.dolgi.msk.ru/account/1011388332/", 1011388332)</f>
        <v>1011388332</v>
      </c>
      <c r="D946">
        <v>0</v>
      </c>
    </row>
    <row r="947" spans="1:4" hidden="1" x14ac:dyDescent="0.3">
      <c r="A947" t="s">
        <v>268</v>
      </c>
      <c r="B947" t="s">
        <v>16</v>
      </c>
      <c r="C947" s="1">
        <f>HYPERLINK("https://cao.dolgi.msk.ru/account/1011388877/", 1011388877)</f>
        <v>1011388877</v>
      </c>
      <c r="D947">
        <v>0</v>
      </c>
    </row>
    <row r="948" spans="1:4" hidden="1" x14ac:dyDescent="0.3">
      <c r="A948" t="s">
        <v>268</v>
      </c>
      <c r="B948" t="s">
        <v>17</v>
      </c>
      <c r="C948" s="1">
        <f>HYPERLINK("https://cao.dolgi.msk.ru/account/1011388578/", 1011388578)</f>
        <v>1011388578</v>
      </c>
      <c r="D948">
        <v>0</v>
      </c>
    </row>
    <row r="949" spans="1:4" hidden="1" x14ac:dyDescent="0.3">
      <c r="A949" t="s">
        <v>268</v>
      </c>
      <c r="B949" t="s">
        <v>18</v>
      </c>
      <c r="C949" s="1">
        <f>HYPERLINK("https://cao.dolgi.msk.ru/account/1011388906/", 1011388906)</f>
        <v>1011388906</v>
      </c>
      <c r="D949">
        <v>-1945.09</v>
      </c>
    </row>
    <row r="950" spans="1:4" hidden="1" x14ac:dyDescent="0.3">
      <c r="A950" t="s">
        <v>268</v>
      </c>
      <c r="B950" t="s">
        <v>19</v>
      </c>
      <c r="C950" s="1">
        <f>HYPERLINK("https://cao.dolgi.msk.ru/account/1011388623/", 1011388623)</f>
        <v>1011388623</v>
      </c>
      <c r="D950">
        <v>-8463.67</v>
      </c>
    </row>
    <row r="951" spans="1:4" hidden="1" x14ac:dyDescent="0.3">
      <c r="A951" t="s">
        <v>268</v>
      </c>
      <c r="B951" t="s">
        <v>20</v>
      </c>
      <c r="C951" s="1">
        <f>HYPERLINK("https://cao.dolgi.msk.ru/account/1011388586/", 1011388586)</f>
        <v>1011388586</v>
      </c>
      <c r="D951">
        <v>0</v>
      </c>
    </row>
    <row r="952" spans="1:4" hidden="1" x14ac:dyDescent="0.3">
      <c r="A952" t="s">
        <v>268</v>
      </c>
      <c r="B952" t="s">
        <v>21</v>
      </c>
      <c r="C952" s="1">
        <f>HYPERLINK("https://cao.dolgi.msk.ru/account/1011388244/", 1011388244)</f>
        <v>1011388244</v>
      </c>
      <c r="D952">
        <v>0</v>
      </c>
    </row>
    <row r="953" spans="1:4" x14ac:dyDescent="0.3">
      <c r="A953" t="s">
        <v>268</v>
      </c>
      <c r="B953" t="s">
        <v>22</v>
      </c>
      <c r="C953" s="1">
        <f>HYPERLINK("https://cao.dolgi.msk.ru/account/1011389298/", 1011389298)</f>
        <v>1011389298</v>
      </c>
      <c r="D953">
        <v>3806.41</v>
      </c>
    </row>
    <row r="954" spans="1:4" hidden="1" x14ac:dyDescent="0.3">
      <c r="A954" t="s">
        <v>268</v>
      </c>
      <c r="B954" t="s">
        <v>24</v>
      </c>
      <c r="C954" s="1">
        <f>HYPERLINK("https://cao.dolgi.msk.ru/account/1011389087/", 1011389087)</f>
        <v>1011389087</v>
      </c>
      <c r="D954">
        <v>0</v>
      </c>
    </row>
    <row r="955" spans="1:4" hidden="1" x14ac:dyDescent="0.3">
      <c r="A955" t="s">
        <v>268</v>
      </c>
      <c r="B955" t="s">
        <v>25</v>
      </c>
      <c r="C955" s="1">
        <f>HYPERLINK("https://cao.dolgi.msk.ru/account/1011388041/", 1011388041)</f>
        <v>1011388041</v>
      </c>
      <c r="D955">
        <v>-9303.0499999999993</v>
      </c>
    </row>
    <row r="956" spans="1:4" hidden="1" x14ac:dyDescent="0.3">
      <c r="A956" t="s">
        <v>268</v>
      </c>
      <c r="B956" t="s">
        <v>26</v>
      </c>
      <c r="C956" s="1">
        <f>HYPERLINK("https://cao.dolgi.msk.ru/account/1011388842/", 1011388842)</f>
        <v>1011388842</v>
      </c>
      <c r="D956">
        <v>0</v>
      </c>
    </row>
    <row r="957" spans="1:4" hidden="1" x14ac:dyDescent="0.3">
      <c r="A957" t="s">
        <v>268</v>
      </c>
      <c r="B957" t="s">
        <v>27</v>
      </c>
      <c r="C957" s="1">
        <f>HYPERLINK("https://cao.dolgi.msk.ru/account/1011387997/", 1011387997)</f>
        <v>1011387997</v>
      </c>
      <c r="D957">
        <v>0</v>
      </c>
    </row>
    <row r="958" spans="1:4" hidden="1" x14ac:dyDescent="0.3">
      <c r="A958" t="s">
        <v>268</v>
      </c>
      <c r="B958" t="s">
        <v>29</v>
      </c>
      <c r="C958" s="1">
        <f>HYPERLINK("https://cao.dolgi.msk.ru/account/1011388252/", 1011388252)</f>
        <v>1011388252</v>
      </c>
      <c r="D958">
        <v>-9034.64</v>
      </c>
    </row>
    <row r="959" spans="1:4" x14ac:dyDescent="0.3">
      <c r="A959" t="s">
        <v>268</v>
      </c>
      <c r="B959" t="s">
        <v>38</v>
      </c>
      <c r="C959" s="1">
        <f>HYPERLINK("https://cao.dolgi.msk.ru/account/1011389124/", 1011389124)</f>
        <v>1011389124</v>
      </c>
      <c r="D959">
        <v>4914.1000000000004</v>
      </c>
    </row>
    <row r="960" spans="1:4" x14ac:dyDescent="0.3">
      <c r="A960" t="s">
        <v>268</v>
      </c>
      <c r="B960" t="s">
        <v>39</v>
      </c>
      <c r="C960" s="1">
        <f>HYPERLINK("https://cao.dolgi.msk.ru/account/1011388674/", 1011388674)</f>
        <v>1011388674</v>
      </c>
      <c r="D960">
        <v>5050.4799999999996</v>
      </c>
    </row>
    <row r="961" spans="1:4" hidden="1" x14ac:dyDescent="0.3">
      <c r="A961" t="s">
        <v>268</v>
      </c>
      <c r="B961" t="s">
        <v>40</v>
      </c>
      <c r="C961" s="1">
        <f>HYPERLINK("https://cao.dolgi.msk.ru/account/1011389175/", 1011389175)</f>
        <v>1011389175</v>
      </c>
      <c r="D961">
        <v>0</v>
      </c>
    </row>
    <row r="962" spans="1:4" hidden="1" x14ac:dyDescent="0.3">
      <c r="A962" t="s">
        <v>268</v>
      </c>
      <c r="B962" t="s">
        <v>41</v>
      </c>
      <c r="C962" s="1">
        <f>HYPERLINK("https://cao.dolgi.msk.ru/account/1011388025/", 1011388025)</f>
        <v>1011388025</v>
      </c>
      <c r="D962">
        <v>0</v>
      </c>
    </row>
    <row r="963" spans="1:4" hidden="1" x14ac:dyDescent="0.3">
      <c r="A963" t="s">
        <v>268</v>
      </c>
      <c r="B963" t="s">
        <v>51</v>
      </c>
      <c r="C963" s="1">
        <f>HYPERLINK("https://cao.dolgi.msk.ru/account/1011388279/", 1011388279)</f>
        <v>1011388279</v>
      </c>
      <c r="D963">
        <v>0</v>
      </c>
    </row>
    <row r="964" spans="1:4" hidden="1" x14ac:dyDescent="0.3">
      <c r="A964" t="s">
        <v>268</v>
      </c>
      <c r="B964" t="s">
        <v>52</v>
      </c>
      <c r="C964" s="1">
        <f>HYPERLINK("https://cao.dolgi.msk.ru/account/1011388682/", 1011388682)</f>
        <v>1011388682</v>
      </c>
      <c r="D964">
        <v>0</v>
      </c>
    </row>
    <row r="965" spans="1:4" hidden="1" x14ac:dyDescent="0.3">
      <c r="A965" t="s">
        <v>268</v>
      </c>
      <c r="B965" t="s">
        <v>53</v>
      </c>
      <c r="C965" s="1">
        <f>HYPERLINK("https://cao.dolgi.msk.ru/account/1011515338/", 1011515338)</f>
        <v>1011515338</v>
      </c>
      <c r="D965">
        <v>-8712.9500000000007</v>
      </c>
    </row>
    <row r="966" spans="1:4" hidden="1" x14ac:dyDescent="0.3">
      <c r="A966" t="s">
        <v>268</v>
      </c>
      <c r="B966" t="s">
        <v>54</v>
      </c>
      <c r="C966" s="1">
        <f>HYPERLINK("https://cao.dolgi.msk.ru/account/1011388308/", 1011388308)</f>
        <v>1011388308</v>
      </c>
      <c r="D966">
        <v>-14866.75</v>
      </c>
    </row>
    <row r="967" spans="1:4" hidden="1" x14ac:dyDescent="0.3">
      <c r="A967" t="s">
        <v>268</v>
      </c>
      <c r="B967" t="s">
        <v>55</v>
      </c>
      <c r="C967" s="1">
        <f>HYPERLINK("https://cao.dolgi.msk.ru/account/1011389183/", 1011389183)</f>
        <v>1011389183</v>
      </c>
      <c r="D967">
        <v>-44.86</v>
      </c>
    </row>
    <row r="968" spans="1:4" hidden="1" x14ac:dyDescent="0.3">
      <c r="A968" t="s">
        <v>268</v>
      </c>
      <c r="B968" t="s">
        <v>56</v>
      </c>
      <c r="C968" s="1">
        <f>HYPERLINK("https://cao.dolgi.msk.ru/account/1011388869/", 1011388869)</f>
        <v>1011388869</v>
      </c>
      <c r="D968">
        <v>-3656.95</v>
      </c>
    </row>
    <row r="969" spans="1:4" hidden="1" x14ac:dyDescent="0.3">
      <c r="A969" t="s">
        <v>268</v>
      </c>
      <c r="B969" t="s">
        <v>87</v>
      </c>
      <c r="C969" s="1">
        <f>HYPERLINK("https://cao.dolgi.msk.ru/account/1011388359/", 1011388359)</f>
        <v>1011388359</v>
      </c>
      <c r="D969">
        <v>0</v>
      </c>
    </row>
    <row r="970" spans="1:4" hidden="1" x14ac:dyDescent="0.3">
      <c r="A970" t="s">
        <v>268</v>
      </c>
      <c r="B970" t="s">
        <v>88</v>
      </c>
      <c r="C970" s="1">
        <f>HYPERLINK("https://cao.dolgi.msk.ru/account/1011388527/", 1011388527)</f>
        <v>1011388527</v>
      </c>
      <c r="D970">
        <v>0</v>
      </c>
    </row>
    <row r="971" spans="1:4" hidden="1" x14ac:dyDescent="0.3">
      <c r="A971" t="s">
        <v>268</v>
      </c>
      <c r="B971" t="s">
        <v>89</v>
      </c>
      <c r="C971" s="1">
        <f>HYPERLINK("https://cao.dolgi.msk.ru/account/1011389191/", 1011389191)</f>
        <v>1011389191</v>
      </c>
      <c r="D971">
        <v>-6663.05</v>
      </c>
    </row>
    <row r="972" spans="1:4" hidden="1" x14ac:dyDescent="0.3">
      <c r="A972" t="s">
        <v>268</v>
      </c>
      <c r="B972" t="s">
        <v>90</v>
      </c>
      <c r="C972" s="1">
        <f>HYPERLINK("https://cao.dolgi.msk.ru/account/1011388164/", 1011388164)</f>
        <v>1011388164</v>
      </c>
      <c r="D972">
        <v>-107278.64</v>
      </c>
    </row>
    <row r="973" spans="1:4" x14ac:dyDescent="0.3">
      <c r="A973" t="s">
        <v>268</v>
      </c>
      <c r="B973" t="s">
        <v>96</v>
      </c>
      <c r="C973" s="1">
        <f>HYPERLINK("https://cao.dolgi.msk.ru/account/1011389319/", 1011389319)</f>
        <v>1011389319</v>
      </c>
      <c r="D973">
        <v>4751.8599999999997</v>
      </c>
    </row>
    <row r="974" spans="1:4" hidden="1" x14ac:dyDescent="0.3">
      <c r="A974" t="s">
        <v>268</v>
      </c>
      <c r="B974" t="s">
        <v>97</v>
      </c>
      <c r="C974" s="1">
        <f>HYPERLINK("https://cao.dolgi.msk.ru/account/1011388033/", 1011388033)</f>
        <v>1011388033</v>
      </c>
      <c r="D974">
        <v>0</v>
      </c>
    </row>
    <row r="975" spans="1:4" hidden="1" x14ac:dyDescent="0.3">
      <c r="A975" t="s">
        <v>268</v>
      </c>
      <c r="B975" t="s">
        <v>98</v>
      </c>
      <c r="C975" s="1">
        <f>HYPERLINK("https://cao.dolgi.msk.ru/account/1011388391/", 1011388391)</f>
        <v>1011388391</v>
      </c>
      <c r="D975">
        <v>0</v>
      </c>
    </row>
    <row r="976" spans="1:4" hidden="1" x14ac:dyDescent="0.3">
      <c r="A976" t="s">
        <v>268</v>
      </c>
      <c r="B976" t="s">
        <v>58</v>
      </c>
      <c r="C976" s="1">
        <f>HYPERLINK("https://cao.dolgi.msk.ru/account/1011388914/", 1011388914)</f>
        <v>1011388914</v>
      </c>
      <c r="D976">
        <v>0</v>
      </c>
    </row>
    <row r="977" spans="1:4" hidden="1" x14ac:dyDescent="0.3">
      <c r="A977" t="s">
        <v>268</v>
      </c>
      <c r="B977" t="s">
        <v>59</v>
      </c>
      <c r="C977" s="1">
        <f>HYPERLINK("https://cao.dolgi.msk.ru/account/1011388949/", 1011388949)</f>
        <v>1011388949</v>
      </c>
      <c r="D977">
        <v>0</v>
      </c>
    </row>
    <row r="978" spans="1:4" hidden="1" x14ac:dyDescent="0.3">
      <c r="A978" t="s">
        <v>268</v>
      </c>
      <c r="B978" t="s">
        <v>59</v>
      </c>
      <c r="C978" s="1">
        <f>HYPERLINK("https://cao.dolgi.msk.ru/account/1011389263/", 1011389263)</f>
        <v>1011389263</v>
      </c>
      <c r="D978">
        <v>0</v>
      </c>
    </row>
    <row r="979" spans="1:4" hidden="1" x14ac:dyDescent="0.3">
      <c r="A979" t="s">
        <v>268</v>
      </c>
      <c r="B979" t="s">
        <v>60</v>
      </c>
      <c r="C979" s="1">
        <f>HYPERLINK("https://cao.dolgi.msk.ru/account/1011388703/", 1011388703)</f>
        <v>1011388703</v>
      </c>
      <c r="D979">
        <v>0</v>
      </c>
    </row>
    <row r="980" spans="1:4" x14ac:dyDescent="0.3">
      <c r="A980" t="s">
        <v>268</v>
      </c>
      <c r="B980" t="s">
        <v>61</v>
      </c>
      <c r="C980" s="1">
        <f>HYPERLINK("https://cao.dolgi.msk.ru/account/1011388121/", 1011388121)</f>
        <v>1011388121</v>
      </c>
      <c r="D980">
        <v>9808.58</v>
      </c>
    </row>
    <row r="981" spans="1:4" hidden="1" x14ac:dyDescent="0.3">
      <c r="A981" t="s">
        <v>268</v>
      </c>
      <c r="B981" t="s">
        <v>62</v>
      </c>
      <c r="C981" s="1">
        <f>HYPERLINK("https://cao.dolgi.msk.ru/account/1011389116/", 1011389116)</f>
        <v>1011389116</v>
      </c>
      <c r="D981">
        <v>0</v>
      </c>
    </row>
    <row r="982" spans="1:4" x14ac:dyDescent="0.3">
      <c r="A982" t="s">
        <v>268</v>
      </c>
      <c r="B982" t="s">
        <v>63</v>
      </c>
      <c r="C982" s="1">
        <f>HYPERLINK("https://cao.dolgi.msk.ru/account/1011388594/", 1011388594)</f>
        <v>1011388594</v>
      </c>
      <c r="D982">
        <v>160.19</v>
      </c>
    </row>
    <row r="983" spans="1:4" hidden="1" x14ac:dyDescent="0.3">
      <c r="A983" t="s">
        <v>268</v>
      </c>
      <c r="B983" t="s">
        <v>64</v>
      </c>
      <c r="C983" s="1">
        <f>HYPERLINK("https://cao.dolgi.msk.ru/account/1011388471/", 1011388471)</f>
        <v>1011388471</v>
      </c>
      <c r="D983">
        <v>0</v>
      </c>
    </row>
    <row r="984" spans="1:4" hidden="1" x14ac:dyDescent="0.3">
      <c r="A984" t="s">
        <v>268</v>
      </c>
      <c r="B984" t="s">
        <v>65</v>
      </c>
      <c r="C984" s="1">
        <f>HYPERLINK("https://cao.dolgi.msk.ru/account/1011388754/", 1011388754)</f>
        <v>1011388754</v>
      </c>
      <c r="D984">
        <v>-5431.81</v>
      </c>
    </row>
    <row r="985" spans="1:4" hidden="1" x14ac:dyDescent="0.3">
      <c r="A985" t="s">
        <v>268</v>
      </c>
      <c r="B985" t="s">
        <v>66</v>
      </c>
      <c r="C985" s="1">
        <f>HYPERLINK("https://cao.dolgi.msk.ru/account/1011388973/", 1011388973)</f>
        <v>1011388973</v>
      </c>
      <c r="D985">
        <v>0</v>
      </c>
    </row>
    <row r="986" spans="1:4" x14ac:dyDescent="0.3">
      <c r="A986" t="s">
        <v>268</v>
      </c>
      <c r="B986" t="s">
        <v>67</v>
      </c>
      <c r="C986" s="1">
        <f>HYPERLINK("https://cao.dolgi.msk.ru/account/1011388316/", 1011388316)</f>
        <v>1011388316</v>
      </c>
      <c r="D986">
        <v>5715.16</v>
      </c>
    </row>
    <row r="987" spans="1:4" hidden="1" x14ac:dyDescent="0.3">
      <c r="A987" t="s">
        <v>268</v>
      </c>
      <c r="B987" t="s">
        <v>68</v>
      </c>
      <c r="C987" s="1">
        <f>HYPERLINK("https://cao.dolgi.msk.ru/account/1011389001/", 1011389001)</f>
        <v>1011389001</v>
      </c>
      <c r="D987">
        <v>-7107.2</v>
      </c>
    </row>
    <row r="988" spans="1:4" hidden="1" x14ac:dyDescent="0.3">
      <c r="A988" t="s">
        <v>268</v>
      </c>
      <c r="B988" t="s">
        <v>69</v>
      </c>
      <c r="C988" s="1">
        <f>HYPERLINK("https://cao.dolgi.msk.ru/account/1011388535/", 1011388535)</f>
        <v>1011388535</v>
      </c>
      <c r="D988">
        <v>-306.98</v>
      </c>
    </row>
    <row r="989" spans="1:4" hidden="1" x14ac:dyDescent="0.3">
      <c r="A989" t="s">
        <v>268</v>
      </c>
      <c r="B989" t="s">
        <v>70</v>
      </c>
      <c r="C989" s="1">
        <f>HYPERLINK("https://cao.dolgi.msk.ru/account/1011388287/", 1011388287)</f>
        <v>1011388287</v>
      </c>
      <c r="D989">
        <v>0</v>
      </c>
    </row>
    <row r="990" spans="1:4" hidden="1" x14ac:dyDescent="0.3">
      <c r="A990" t="s">
        <v>268</v>
      </c>
      <c r="B990" t="s">
        <v>259</v>
      </c>
      <c r="C990" s="1">
        <f>HYPERLINK("https://cao.dolgi.msk.ru/account/1011388738/", 1011388738)</f>
        <v>1011388738</v>
      </c>
      <c r="D990">
        <v>0</v>
      </c>
    </row>
    <row r="991" spans="1:4" hidden="1" x14ac:dyDescent="0.3">
      <c r="A991" t="s">
        <v>268</v>
      </c>
      <c r="B991" t="s">
        <v>100</v>
      </c>
      <c r="C991" s="1">
        <f>HYPERLINK("https://cao.dolgi.msk.ru/account/1011389052/", 1011389052)</f>
        <v>1011389052</v>
      </c>
      <c r="D991">
        <v>-129.9</v>
      </c>
    </row>
    <row r="992" spans="1:4" hidden="1" x14ac:dyDescent="0.3">
      <c r="A992" t="s">
        <v>268</v>
      </c>
      <c r="B992" t="s">
        <v>72</v>
      </c>
      <c r="C992" s="1">
        <f>HYPERLINK("https://cao.dolgi.msk.ru/account/1011389095/", 1011389095)</f>
        <v>1011389095</v>
      </c>
      <c r="D992">
        <v>-5316.92</v>
      </c>
    </row>
    <row r="993" spans="1:4" hidden="1" x14ac:dyDescent="0.3">
      <c r="A993" t="s">
        <v>268</v>
      </c>
      <c r="B993" t="s">
        <v>73</v>
      </c>
      <c r="C993" s="1">
        <f>HYPERLINK("https://cao.dolgi.msk.ru/account/1011388404/", 1011388404)</f>
        <v>1011388404</v>
      </c>
      <c r="D993">
        <v>0</v>
      </c>
    </row>
    <row r="994" spans="1:4" hidden="1" x14ac:dyDescent="0.3">
      <c r="A994" t="s">
        <v>268</v>
      </c>
      <c r="B994" t="s">
        <v>74</v>
      </c>
      <c r="C994" s="1">
        <f>HYPERLINK("https://cao.dolgi.msk.ru/account/1011388412/", 1011388412)</f>
        <v>1011388412</v>
      </c>
      <c r="D994">
        <v>0</v>
      </c>
    </row>
    <row r="995" spans="1:4" x14ac:dyDescent="0.3">
      <c r="A995" t="s">
        <v>268</v>
      </c>
      <c r="B995" t="s">
        <v>75</v>
      </c>
      <c r="C995" s="1">
        <f>HYPERLINK("https://cao.dolgi.msk.ru/account/1011526854/", 1011526854)</f>
        <v>1011526854</v>
      </c>
      <c r="D995">
        <v>2818.1</v>
      </c>
    </row>
    <row r="996" spans="1:4" x14ac:dyDescent="0.3">
      <c r="A996" t="s">
        <v>268</v>
      </c>
      <c r="B996" t="s">
        <v>75</v>
      </c>
      <c r="C996" s="1">
        <f>HYPERLINK("https://cao.dolgi.msk.ru/account/1011538732/", 1011538732)</f>
        <v>1011538732</v>
      </c>
      <c r="D996">
        <v>32656.23</v>
      </c>
    </row>
    <row r="997" spans="1:4" hidden="1" x14ac:dyDescent="0.3">
      <c r="A997" t="s">
        <v>268</v>
      </c>
      <c r="B997" t="s">
        <v>76</v>
      </c>
      <c r="C997" s="1">
        <f>HYPERLINK("https://cao.dolgi.msk.ru/account/1011388543/", 1011388543)</f>
        <v>1011388543</v>
      </c>
      <c r="D997">
        <v>0</v>
      </c>
    </row>
    <row r="998" spans="1:4" hidden="1" x14ac:dyDescent="0.3">
      <c r="A998" t="s">
        <v>268</v>
      </c>
      <c r="B998" t="s">
        <v>77</v>
      </c>
      <c r="C998" s="1">
        <f>HYPERLINK("https://cao.dolgi.msk.ru/account/1011388762/", 1011388762)</f>
        <v>1011388762</v>
      </c>
      <c r="D998">
        <v>0</v>
      </c>
    </row>
    <row r="999" spans="1:4" hidden="1" x14ac:dyDescent="0.3">
      <c r="A999" t="s">
        <v>268</v>
      </c>
      <c r="B999" t="s">
        <v>78</v>
      </c>
      <c r="C999" s="1">
        <f>HYPERLINK("https://cao.dolgi.msk.ru/account/1011388631/", 1011388631)</f>
        <v>1011388631</v>
      </c>
      <c r="D999">
        <v>0</v>
      </c>
    </row>
    <row r="1000" spans="1:4" x14ac:dyDescent="0.3">
      <c r="A1000" t="s">
        <v>268</v>
      </c>
      <c r="B1000" t="s">
        <v>79</v>
      </c>
      <c r="C1000" s="1">
        <f>HYPERLINK("https://cao.dolgi.msk.ru/account/1011389132/", 1011389132)</f>
        <v>1011389132</v>
      </c>
      <c r="D1000">
        <v>3501.34</v>
      </c>
    </row>
    <row r="1001" spans="1:4" hidden="1" x14ac:dyDescent="0.3">
      <c r="A1001" t="s">
        <v>268</v>
      </c>
      <c r="B1001" t="s">
        <v>80</v>
      </c>
      <c r="C1001" s="1">
        <f>HYPERLINK("https://cao.dolgi.msk.ru/account/1011388826/", 1011388826)</f>
        <v>1011388826</v>
      </c>
      <c r="D1001">
        <v>0</v>
      </c>
    </row>
    <row r="1002" spans="1:4" hidden="1" x14ac:dyDescent="0.3">
      <c r="A1002" t="s">
        <v>268</v>
      </c>
      <c r="B1002" t="s">
        <v>81</v>
      </c>
      <c r="C1002" s="1">
        <f>HYPERLINK("https://cao.dolgi.msk.ru/account/1011389079/", 1011389079)</f>
        <v>1011389079</v>
      </c>
      <c r="D1002">
        <v>-8457.5</v>
      </c>
    </row>
    <row r="1003" spans="1:4" hidden="1" x14ac:dyDescent="0.3">
      <c r="A1003" t="s">
        <v>268</v>
      </c>
      <c r="B1003" t="s">
        <v>101</v>
      </c>
      <c r="C1003" s="1">
        <f>HYPERLINK("https://cao.dolgi.msk.ru/account/1011389036/", 1011389036)</f>
        <v>1011389036</v>
      </c>
      <c r="D1003">
        <v>-132.71</v>
      </c>
    </row>
    <row r="1004" spans="1:4" x14ac:dyDescent="0.3">
      <c r="A1004" t="s">
        <v>268</v>
      </c>
      <c r="B1004" t="s">
        <v>82</v>
      </c>
      <c r="C1004" s="1">
        <f>HYPERLINK("https://cao.dolgi.msk.ru/account/1011389159/", 1011389159)</f>
        <v>1011389159</v>
      </c>
      <c r="D1004">
        <v>8912.2800000000007</v>
      </c>
    </row>
    <row r="1005" spans="1:4" hidden="1" x14ac:dyDescent="0.3">
      <c r="A1005" t="s">
        <v>268</v>
      </c>
      <c r="B1005" t="s">
        <v>83</v>
      </c>
      <c r="C1005" s="1">
        <f>HYPERLINK("https://cao.dolgi.msk.ru/account/1011388172/", 1011388172)</f>
        <v>1011388172</v>
      </c>
      <c r="D1005">
        <v>-6474.43</v>
      </c>
    </row>
    <row r="1006" spans="1:4" hidden="1" x14ac:dyDescent="0.3">
      <c r="A1006" t="s">
        <v>268</v>
      </c>
      <c r="B1006" t="s">
        <v>84</v>
      </c>
      <c r="C1006" s="1">
        <f>HYPERLINK("https://cao.dolgi.msk.ru/account/1011388981/", 1011388981)</f>
        <v>1011388981</v>
      </c>
      <c r="D1006">
        <v>0</v>
      </c>
    </row>
    <row r="1007" spans="1:4" hidden="1" x14ac:dyDescent="0.3">
      <c r="A1007" t="s">
        <v>268</v>
      </c>
      <c r="B1007" t="s">
        <v>85</v>
      </c>
      <c r="C1007" s="1">
        <f>HYPERLINK("https://cao.dolgi.msk.ru/account/1011388607/", 1011388607)</f>
        <v>1011388607</v>
      </c>
      <c r="D1007">
        <v>0</v>
      </c>
    </row>
    <row r="1008" spans="1:4" hidden="1" x14ac:dyDescent="0.3">
      <c r="A1008" t="s">
        <v>268</v>
      </c>
      <c r="B1008" t="s">
        <v>102</v>
      </c>
      <c r="C1008" s="1">
        <f>HYPERLINK("https://cao.dolgi.msk.ru/account/1011388009/", 1011388009)</f>
        <v>1011388009</v>
      </c>
      <c r="D1008">
        <v>-19305.36</v>
      </c>
    </row>
    <row r="1009" spans="1:4" hidden="1" x14ac:dyDescent="0.3">
      <c r="A1009" t="s">
        <v>268</v>
      </c>
      <c r="B1009" t="s">
        <v>103</v>
      </c>
      <c r="C1009" s="1">
        <f>HYPERLINK("https://cao.dolgi.msk.ru/account/1011388455/", 1011388455)</f>
        <v>1011388455</v>
      </c>
      <c r="D1009">
        <v>0</v>
      </c>
    </row>
    <row r="1010" spans="1:4" hidden="1" x14ac:dyDescent="0.3">
      <c r="A1010" t="s">
        <v>268</v>
      </c>
      <c r="B1010" t="s">
        <v>104</v>
      </c>
      <c r="C1010" s="1">
        <f>HYPERLINK("https://cao.dolgi.msk.ru/account/1011389204/", 1011389204)</f>
        <v>1011389204</v>
      </c>
      <c r="D1010">
        <v>-804.63</v>
      </c>
    </row>
    <row r="1011" spans="1:4" x14ac:dyDescent="0.3">
      <c r="A1011" t="s">
        <v>268</v>
      </c>
      <c r="B1011" t="s">
        <v>105</v>
      </c>
      <c r="C1011" s="1">
        <f>HYPERLINK("https://cao.dolgi.msk.ru/account/1011388957/", 1011388957)</f>
        <v>1011388957</v>
      </c>
      <c r="D1011">
        <v>2105.7600000000002</v>
      </c>
    </row>
    <row r="1012" spans="1:4" hidden="1" x14ac:dyDescent="0.3">
      <c r="A1012" t="s">
        <v>268</v>
      </c>
      <c r="B1012" t="s">
        <v>106</v>
      </c>
      <c r="C1012" s="1">
        <f>HYPERLINK("https://cao.dolgi.msk.ru/account/1011388228/", 1011388228)</f>
        <v>1011388228</v>
      </c>
      <c r="D1012">
        <v>0</v>
      </c>
    </row>
    <row r="1013" spans="1:4" x14ac:dyDescent="0.3">
      <c r="A1013" t="s">
        <v>268</v>
      </c>
      <c r="B1013" t="s">
        <v>107</v>
      </c>
      <c r="C1013" s="1">
        <f>HYPERLINK("https://cao.dolgi.msk.ru/account/1011388834/", 1011388834)</f>
        <v>1011388834</v>
      </c>
      <c r="D1013">
        <v>17165.259999999998</v>
      </c>
    </row>
    <row r="1014" spans="1:4" hidden="1" x14ac:dyDescent="0.3">
      <c r="A1014" t="s">
        <v>268</v>
      </c>
      <c r="B1014" t="s">
        <v>108</v>
      </c>
      <c r="C1014" s="1">
        <f>HYPERLINK("https://cao.dolgi.msk.ru/account/1011388076/", 1011388076)</f>
        <v>1011388076</v>
      </c>
      <c r="D1014">
        <v>0</v>
      </c>
    </row>
    <row r="1015" spans="1:4" hidden="1" x14ac:dyDescent="0.3">
      <c r="A1015" t="s">
        <v>268</v>
      </c>
      <c r="B1015" t="s">
        <v>109</v>
      </c>
      <c r="C1015" s="1">
        <f>HYPERLINK("https://cao.dolgi.msk.ru/account/1011389044/", 1011389044)</f>
        <v>1011389044</v>
      </c>
      <c r="D1015">
        <v>0</v>
      </c>
    </row>
    <row r="1016" spans="1:4" hidden="1" x14ac:dyDescent="0.3">
      <c r="A1016" t="s">
        <v>268</v>
      </c>
      <c r="B1016" t="s">
        <v>109</v>
      </c>
      <c r="C1016" s="1">
        <f>HYPERLINK("https://cao.dolgi.msk.ru/account/1011389239/", 1011389239)</f>
        <v>1011389239</v>
      </c>
      <c r="D1016">
        <v>0</v>
      </c>
    </row>
    <row r="1017" spans="1:4" hidden="1" x14ac:dyDescent="0.3">
      <c r="A1017" t="s">
        <v>268</v>
      </c>
      <c r="B1017" t="s">
        <v>110</v>
      </c>
      <c r="C1017" s="1">
        <f>HYPERLINK("https://cao.dolgi.msk.ru/account/1011388199/", 1011388199)</f>
        <v>1011388199</v>
      </c>
      <c r="D1017">
        <v>0</v>
      </c>
    </row>
    <row r="1018" spans="1:4" hidden="1" x14ac:dyDescent="0.3">
      <c r="A1018" t="s">
        <v>268</v>
      </c>
      <c r="B1018" t="s">
        <v>111</v>
      </c>
      <c r="C1018" s="1">
        <f>HYPERLINK("https://cao.dolgi.msk.ru/account/1011388789/", 1011388789)</f>
        <v>1011388789</v>
      </c>
      <c r="D1018">
        <v>-3748.05</v>
      </c>
    </row>
    <row r="1019" spans="1:4" hidden="1" x14ac:dyDescent="0.3">
      <c r="A1019" t="s">
        <v>268</v>
      </c>
      <c r="B1019" t="s">
        <v>112</v>
      </c>
      <c r="C1019" s="1">
        <f>HYPERLINK("https://cao.dolgi.msk.ru/account/1011388084/", 1011388084)</f>
        <v>1011388084</v>
      </c>
      <c r="D1019">
        <v>-10852.84</v>
      </c>
    </row>
    <row r="1020" spans="1:4" x14ac:dyDescent="0.3">
      <c r="A1020" t="s">
        <v>268</v>
      </c>
      <c r="B1020" t="s">
        <v>113</v>
      </c>
      <c r="C1020" s="1">
        <f>HYPERLINK("https://cao.dolgi.msk.ru/account/1011388148/", 1011388148)</f>
        <v>1011388148</v>
      </c>
      <c r="D1020">
        <v>29847.19</v>
      </c>
    </row>
    <row r="1021" spans="1:4" hidden="1" x14ac:dyDescent="0.3">
      <c r="A1021" t="s">
        <v>268</v>
      </c>
      <c r="B1021" t="s">
        <v>114</v>
      </c>
      <c r="C1021" s="1">
        <f>HYPERLINK("https://cao.dolgi.msk.ru/account/1011388965/", 1011388965)</f>
        <v>1011388965</v>
      </c>
      <c r="D1021">
        <v>0</v>
      </c>
    </row>
    <row r="1022" spans="1:4" hidden="1" x14ac:dyDescent="0.3">
      <c r="A1022" t="s">
        <v>268</v>
      </c>
      <c r="B1022" t="s">
        <v>115</v>
      </c>
      <c r="C1022" s="1">
        <f>HYPERLINK("https://cao.dolgi.msk.ru/account/1011388463/", 1011388463)</f>
        <v>1011388463</v>
      </c>
      <c r="D1022">
        <v>-5118.76</v>
      </c>
    </row>
    <row r="1023" spans="1:4" hidden="1" x14ac:dyDescent="0.3">
      <c r="A1023" t="s">
        <v>268</v>
      </c>
      <c r="B1023" t="s">
        <v>116</v>
      </c>
      <c r="C1023" s="1">
        <f>HYPERLINK("https://cao.dolgi.msk.ru/account/1011388885/", 1011388885)</f>
        <v>1011388885</v>
      </c>
      <c r="D1023">
        <v>0</v>
      </c>
    </row>
    <row r="1024" spans="1:4" x14ac:dyDescent="0.3">
      <c r="A1024" t="s">
        <v>268</v>
      </c>
      <c r="B1024" t="s">
        <v>266</v>
      </c>
      <c r="C1024" s="1">
        <f>HYPERLINK("https://cao.dolgi.msk.ru/account/1011388068/", 1011388068)</f>
        <v>1011388068</v>
      </c>
      <c r="D1024">
        <v>30867.33</v>
      </c>
    </row>
    <row r="1025" spans="1:4" x14ac:dyDescent="0.3">
      <c r="A1025" t="s">
        <v>268</v>
      </c>
      <c r="B1025" t="s">
        <v>117</v>
      </c>
      <c r="C1025" s="1">
        <f>HYPERLINK("https://cao.dolgi.msk.ru/account/1011388498/", 1011388498)</f>
        <v>1011388498</v>
      </c>
      <c r="D1025">
        <v>3718.65</v>
      </c>
    </row>
    <row r="1026" spans="1:4" hidden="1" x14ac:dyDescent="0.3">
      <c r="A1026" t="s">
        <v>268</v>
      </c>
      <c r="B1026" t="s">
        <v>118</v>
      </c>
      <c r="C1026" s="1">
        <f>HYPERLINK("https://cao.dolgi.msk.ru/account/1011389255/", 1011389255)</f>
        <v>1011389255</v>
      </c>
      <c r="D1026">
        <v>0</v>
      </c>
    </row>
    <row r="1027" spans="1:4" hidden="1" x14ac:dyDescent="0.3">
      <c r="A1027" t="s">
        <v>268</v>
      </c>
      <c r="B1027" t="s">
        <v>119</v>
      </c>
      <c r="C1027" s="1">
        <f>HYPERLINK("https://cao.dolgi.msk.ru/account/1011388818/", 1011388818)</f>
        <v>1011388818</v>
      </c>
      <c r="D1027">
        <v>0</v>
      </c>
    </row>
    <row r="1028" spans="1:4" hidden="1" x14ac:dyDescent="0.3">
      <c r="A1028" t="s">
        <v>268</v>
      </c>
      <c r="B1028" t="s">
        <v>120</v>
      </c>
      <c r="C1028" s="1">
        <f>HYPERLINK("https://cao.dolgi.msk.ru/account/1011388922/", 1011388922)</f>
        <v>1011388922</v>
      </c>
      <c r="D1028">
        <v>-423.12</v>
      </c>
    </row>
    <row r="1029" spans="1:4" hidden="1" x14ac:dyDescent="0.3">
      <c r="A1029" t="s">
        <v>268</v>
      </c>
      <c r="B1029" t="s">
        <v>121</v>
      </c>
      <c r="C1029" s="1">
        <f>HYPERLINK("https://cao.dolgi.msk.ru/account/1011388383/", 1011388383)</f>
        <v>1011388383</v>
      </c>
      <c r="D1029">
        <v>0</v>
      </c>
    </row>
    <row r="1030" spans="1:4" hidden="1" x14ac:dyDescent="0.3">
      <c r="A1030" t="s">
        <v>268</v>
      </c>
      <c r="B1030" t="s">
        <v>122</v>
      </c>
      <c r="C1030" s="1">
        <f>HYPERLINK("https://cao.dolgi.msk.ru/account/1011388156/", 1011388156)</f>
        <v>1011388156</v>
      </c>
      <c r="D1030">
        <v>0</v>
      </c>
    </row>
    <row r="1031" spans="1:4" hidden="1" x14ac:dyDescent="0.3">
      <c r="A1031" t="s">
        <v>268</v>
      </c>
      <c r="B1031" t="s">
        <v>123</v>
      </c>
      <c r="C1031" s="1">
        <f>HYPERLINK("https://cao.dolgi.msk.ru/account/1011388666/", 1011388666)</f>
        <v>1011388666</v>
      </c>
      <c r="D1031">
        <v>-5943.82</v>
      </c>
    </row>
    <row r="1032" spans="1:4" hidden="1" x14ac:dyDescent="0.3">
      <c r="A1032" t="s">
        <v>268</v>
      </c>
      <c r="B1032" t="s">
        <v>124</v>
      </c>
      <c r="C1032" s="1">
        <f>HYPERLINK("https://cao.dolgi.msk.ru/account/1011388439/", 1011388439)</f>
        <v>1011388439</v>
      </c>
      <c r="D1032">
        <v>-3815.82</v>
      </c>
    </row>
    <row r="1033" spans="1:4" hidden="1" x14ac:dyDescent="0.3">
      <c r="A1033" t="s">
        <v>268</v>
      </c>
      <c r="B1033" t="s">
        <v>125</v>
      </c>
      <c r="C1033" s="1">
        <f>HYPERLINK("https://cao.dolgi.msk.ru/account/1011388201/", 1011388201)</f>
        <v>1011388201</v>
      </c>
      <c r="D1033">
        <v>0</v>
      </c>
    </row>
    <row r="1034" spans="1:4" x14ac:dyDescent="0.3">
      <c r="A1034" t="s">
        <v>268</v>
      </c>
      <c r="B1034" t="s">
        <v>126</v>
      </c>
      <c r="C1034" s="1">
        <f>HYPERLINK("https://cao.dolgi.msk.ru/account/1011388519/", 1011388519)</f>
        <v>1011388519</v>
      </c>
      <c r="D1034">
        <v>6029.13</v>
      </c>
    </row>
    <row r="1035" spans="1:4" hidden="1" x14ac:dyDescent="0.3">
      <c r="A1035" t="s">
        <v>268</v>
      </c>
      <c r="B1035" t="s">
        <v>127</v>
      </c>
      <c r="C1035" s="1">
        <f>HYPERLINK("https://cao.dolgi.msk.ru/account/1011388367/", 1011388367)</f>
        <v>1011388367</v>
      </c>
      <c r="D1035">
        <v>0</v>
      </c>
    </row>
    <row r="1036" spans="1:4" hidden="1" x14ac:dyDescent="0.3">
      <c r="A1036" t="s">
        <v>268</v>
      </c>
      <c r="B1036" t="s">
        <v>262</v>
      </c>
      <c r="C1036" s="1">
        <f>HYPERLINK("https://cao.dolgi.msk.ru/account/1011388295/", 1011388295)</f>
        <v>1011388295</v>
      </c>
      <c r="D1036">
        <v>-5287.33</v>
      </c>
    </row>
    <row r="1037" spans="1:4" hidden="1" x14ac:dyDescent="0.3">
      <c r="A1037" t="s">
        <v>268</v>
      </c>
      <c r="B1037" t="s">
        <v>128</v>
      </c>
      <c r="C1037" s="1">
        <f>HYPERLINK("https://cao.dolgi.msk.ru/account/1011388615/", 1011388615)</f>
        <v>1011388615</v>
      </c>
      <c r="D1037">
        <v>0</v>
      </c>
    </row>
    <row r="1038" spans="1:4" hidden="1" x14ac:dyDescent="0.3">
      <c r="A1038" t="s">
        <v>268</v>
      </c>
      <c r="B1038" t="s">
        <v>129</v>
      </c>
      <c r="C1038" s="1">
        <f>HYPERLINK("https://cao.dolgi.msk.ru/account/1011389212/", 1011389212)</f>
        <v>1011389212</v>
      </c>
      <c r="D1038">
        <v>-7293.79</v>
      </c>
    </row>
    <row r="1039" spans="1:4" hidden="1" x14ac:dyDescent="0.3">
      <c r="A1039" t="s">
        <v>268</v>
      </c>
      <c r="B1039" t="s">
        <v>130</v>
      </c>
      <c r="C1039" s="1">
        <f>HYPERLINK("https://cao.dolgi.msk.ru/account/1011388113/", 1011388113)</f>
        <v>1011388113</v>
      </c>
      <c r="D1039">
        <v>0</v>
      </c>
    </row>
    <row r="1040" spans="1:4" x14ac:dyDescent="0.3">
      <c r="A1040" t="s">
        <v>268</v>
      </c>
      <c r="B1040" t="s">
        <v>131</v>
      </c>
      <c r="C1040" s="1">
        <f>HYPERLINK("https://cao.dolgi.msk.ru/account/1011388893/", 1011388893)</f>
        <v>1011388893</v>
      </c>
      <c r="D1040">
        <v>4427.33</v>
      </c>
    </row>
    <row r="1041" spans="1:4" hidden="1" x14ac:dyDescent="0.3">
      <c r="A1041" t="s">
        <v>268</v>
      </c>
      <c r="B1041" t="s">
        <v>132</v>
      </c>
      <c r="C1041" s="1">
        <f>HYPERLINK("https://cao.dolgi.msk.ru/account/1011388375/", 1011388375)</f>
        <v>1011388375</v>
      </c>
      <c r="D1041">
        <v>0</v>
      </c>
    </row>
    <row r="1042" spans="1:4" hidden="1" x14ac:dyDescent="0.3">
      <c r="A1042" t="s">
        <v>268</v>
      </c>
      <c r="B1042" t="s">
        <v>133</v>
      </c>
      <c r="C1042" s="1">
        <f>HYPERLINK("https://cao.dolgi.msk.ru/account/1011388551/", 1011388551)</f>
        <v>1011388551</v>
      </c>
      <c r="D1042">
        <v>-3701.86</v>
      </c>
    </row>
    <row r="1043" spans="1:4" hidden="1" x14ac:dyDescent="0.3">
      <c r="A1043" t="s">
        <v>268</v>
      </c>
      <c r="B1043" t="s">
        <v>134</v>
      </c>
      <c r="C1043" s="1">
        <f>HYPERLINK("https://cao.dolgi.msk.ru/account/1011388092/", 1011388092)</f>
        <v>1011388092</v>
      </c>
      <c r="D1043">
        <v>0</v>
      </c>
    </row>
    <row r="1044" spans="1:4" hidden="1" x14ac:dyDescent="0.3">
      <c r="A1044" t="s">
        <v>269</v>
      </c>
      <c r="B1044" t="s">
        <v>31</v>
      </c>
      <c r="C1044" s="1">
        <f>HYPERLINK("https://cao.dolgi.msk.ru/account/1011376155/", 1011376155)</f>
        <v>1011376155</v>
      </c>
      <c r="D1044">
        <v>-13.89</v>
      </c>
    </row>
    <row r="1045" spans="1:4" hidden="1" x14ac:dyDescent="0.3">
      <c r="A1045" t="s">
        <v>269</v>
      </c>
      <c r="B1045" t="s">
        <v>31</v>
      </c>
      <c r="C1045" s="1">
        <f>HYPERLINK("https://cao.dolgi.msk.ru/account/1011376382/", 1011376382)</f>
        <v>1011376382</v>
      </c>
      <c r="D1045">
        <v>-7524.18</v>
      </c>
    </row>
    <row r="1046" spans="1:4" hidden="1" x14ac:dyDescent="0.3">
      <c r="A1046" t="s">
        <v>269</v>
      </c>
      <c r="B1046" t="s">
        <v>9</v>
      </c>
      <c r="C1046" s="1">
        <f>HYPERLINK("https://cao.dolgi.msk.ru/account/1011375865/", 1011375865)</f>
        <v>1011375865</v>
      </c>
      <c r="D1046">
        <v>0</v>
      </c>
    </row>
    <row r="1047" spans="1:4" x14ac:dyDescent="0.3">
      <c r="A1047" t="s">
        <v>269</v>
      </c>
      <c r="B1047" t="s">
        <v>10</v>
      </c>
      <c r="C1047" s="1">
        <f>HYPERLINK("https://cao.dolgi.msk.ru/account/1011375857/", 1011375857)</f>
        <v>1011375857</v>
      </c>
      <c r="D1047">
        <v>3349.09</v>
      </c>
    </row>
    <row r="1048" spans="1:4" hidden="1" x14ac:dyDescent="0.3">
      <c r="A1048" t="s">
        <v>269</v>
      </c>
      <c r="B1048" t="s">
        <v>10</v>
      </c>
      <c r="C1048" s="1">
        <f>HYPERLINK("https://cao.dolgi.msk.ru/account/1011375873/", 1011375873)</f>
        <v>1011375873</v>
      </c>
      <c r="D1048">
        <v>0</v>
      </c>
    </row>
    <row r="1049" spans="1:4" hidden="1" x14ac:dyDescent="0.3">
      <c r="A1049" t="s">
        <v>269</v>
      </c>
      <c r="B1049" t="s">
        <v>10</v>
      </c>
      <c r="C1049" s="1">
        <f>HYPERLINK("https://cao.dolgi.msk.ru/account/1011376454/", 1011376454)</f>
        <v>1011376454</v>
      </c>
      <c r="D1049">
        <v>0</v>
      </c>
    </row>
    <row r="1050" spans="1:4" hidden="1" x14ac:dyDescent="0.3">
      <c r="A1050" t="s">
        <v>269</v>
      </c>
      <c r="B1050" t="s">
        <v>10</v>
      </c>
      <c r="C1050" s="1">
        <f>HYPERLINK("https://cao.dolgi.msk.ru/account/1011531987/", 1011531987)</f>
        <v>1011531987</v>
      </c>
      <c r="D1050">
        <v>0</v>
      </c>
    </row>
    <row r="1051" spans="1:4" hidden="1" x14ac:dyDescent="0.3">
      <c r="A1051" t="s">
        <v>269</v>
      </c>
      <c r="B1051" t="s">
        <v>11</v>
      </c>
      <c r="C1051" s="1">
        <f>HYPERLINK("https://cao.dolgi.msk.ru/account/1011375662/", 1011375662)</f>
        <v>1011375662</v>
      </c>
      <c r="D1051">
        <v>0</v>
      </c>
    </row>
    <row r="1052" spans="1:4" x14ac:dyDescent="0.3">
      <c r="A1052" t="s">
        <v>269</v>
      </c>
      <c r="B1052" t="s">
        <v>11</v>
      </c>
      <c r="C1052" s="1">
        <f>HYPERLINK("https://cao.dolgi.msk.ru/account/1011375961/", 1011375961)</f>
        <v>1011375961</v>
      </c>
      <c r="D1052">
        <v>5307.62</v>
      </c>
    </row>
    <row r="1053" spans="1:4" hidden="1" x14ac:dyDescent="0.3">
      <c r="A1053" t="s">
        <v>269</v>
      </c>
      <c r="B1053" t="s">
        <v>12</v>
      </c>
      <c r="C1053" s="1">
        <f>HYPERLINK("https://cao.dolgi.msk.ru/account/1011376462/", 1011376462)</f>
        <v>1011376462</v>
      </c>
      <c r="D1053">
        <v>0</v>
      </c>
    </row>
    <row r="1054" spans="1:4" hidden="1" x14ac:dyDescent="0.3">
      <c r="A1054" t="s">
        <v>269</v>
      </c>
      <c r="B1054" t="s">
        <v>23</v>
      </c>
      <c r="C1054" s="1">
        <f>HYPERLINK("https://cao.dolgi.msk.ru/account/1011376016/", 1011376016)</f>
        <v>1011376016</v>
      </c>
      <c r="D1054">
        <v>0</v>
      </c>
    </row>
    <row r="1055" spans="1:4" x14ac:dyDescent="0.3">
      <c r="A1055" t="s">
        <v>269</v>
      </c>
      <c r="B1055" t="s">
        <v>23</v>
      </c>
      <c r="C1055" s="1">
        <f>HYPERLINK("https://cao.dolgi.msk.ru/account/1011376091/", 1011376091)</f>
        <v>1011376091</v>
      </c>
      <c r="D1055">
        <v>18650.07</v>
      </c>
    </row>
    <row r="1056" spans="1:4" hidden="1" x14ac:dyDescent="0.3">
      <c r="A1056" t="s">
        <v>269</v>
      </c>
      <c r="B1056" t="s">
        <v>23</v>
      </c>
      <c r="C1056" s="1">
        <f>HYPERLINK("https://cao.dolgi.msk.ru/account/1011376139/", 1011376139)</f>
        <v>1011376139</v>
      </c>
      <c r="D1056">
        <v>0</v>
      </c>
    </row>
    <row r="1057" spans="1:4" hidden="1" x14ac:dyDescent="0.3">
      <c r="A1057" t="s">
        <v>269</v>
      </c>
      <c r="B1057" t="s">
        <v>23</v>
      </c>
      <c r="C1057" s="1">
        <f>HYPERLINK("https://cao.dolgi.msk.ru/account/1011376147/", 1011376147)</f>
        <v>1011376147</v>
      </c>
      <c r="D1057">
        <v>0</v>
      </c>
    </row>
    <row r="1058" spans="1:4" hidden="1" x14ac:dyDescent="0.3">
      <c r="A1058" t="s">
        <v>269</v>
      </c>
      <c r="B1058" t="s">
        <v>23</v>
      </c>
      <c r="C1058" s="1">
        <f>HYPERLINK("https://cao.dolgi.msk.ru/account/1011376403/", 1011376403)</f>
        <v>1011376403</v>
      </c>
      <c r="D1058">
        <v>0</v>
      </c>
    </row>
    <row r="1059" spans="1:4" hidden="1" x14ac:dyDescent="0.3">
      <c r="A1059" t="s">
        <v>269</v>
      </c>
      <c r="B1059" t="s">
        <v>23</v>
      </c>
      <c r="C1059" s="1">
        <f>HYPERLINK("https://cao.dolgi.msk.ru/account/1011376446/", 1011376446)</f>
        <v>1011376446</v>
      </c>
      <c r="D1059">
        <v>-541.71</v>
      </c>
    </row>
    <row r="1060" spans="1:4" hidden="1" x14ac:dyDescent="0.3">
      <c r="A1060" t="s">
        <v>269</v>
      </c>
      <c r="B1060" t="s">
        <v>13</v>
      </c>
      <c r="C1060" s="1">
        <f>HYPERLINK("https://cao.dolgi.msk.ru/account/1011375785/", 1011375785)</f>
        <v>1011375785</v>
      </c>
      <c r="D1060">
        <v>0</v>
      </c>
    </row>
    <row r="1061" spans="1:4" x14ac:dyDescent="0.3">
      <c r="A1061" t="s">
        <v>269</v>
      </c>
      <c r="B1061" t="s">
        <v>14</v>
      </c>
      <c r="C1061" s="1">
        <f>HYPERLINK("https://cao.dolgi.msk.ru/account/1011375697/", 1011375697)</f>
        <v>1011375697</v>
      </c>
      <c r="D1061">
        <v>1175.72</v>
      </c>
    </row>
    <row r="1062" spans="1:4" hidden="1" x14ac:dyDescent="0.3">
      <c r="A1062" t="s">
        <v>269</v>
      </c>
      <c r="B1062" t="s">
        <v>14</v>
      </c>
      <c r="C1062" s="1">
        <f>HYPERLINK("https://cao.dolgi.msk.ru/account/1011375849/", 1011375849)</f>
        <v>1011375849</v>
      </c>
      <c r="D1062">
        <v>0</v>
      </c>
    </row>
    <row r="1063" spans="1:4" hidden="1" x14ac:dyDescent="0.3">
      <c r="A1063" t="s">
        <v>269</v>
      </c>
      <c r="B1063" t="s">
        <v>14</v>
      </c>
      <c r="C1063" s="1">
        <f>HYPERLINK("https://cao.dolgi.msk.ru/account/1011375881/", 1011375881)</f>
        <v>1011375881</v>
      </c>
      <c r="D1063">
        <v>-3996.97</v>
      </c>
    </row>
    <row r="1064" spans="1:4" x14ac:dyDescent="0.3">
      <c r="A1064" t="s">
        <v>269</v>
      </c>
      <c r="B1064" t="s">
        <v>14</v>
      </c>
      <c r="C1064" s="1">
        <f>HYPERLINK("https://cao.dolgi.msk.ru/account/1011375996/", 1011375996)</f>
        <v>1011375996</v>
      </c>
      <c r="D1064">
        <v>1728.37</v>
      </c>
    </row>
    <row r="1065" spans="1:4" hidden="1" x14ac:dyDescent="0.3">
      <c r="A1065" t="s">
        <v>269</v>
      </c>
      <c r="B1065" t="s">
        <v>14</v>
      </c>
      <c r="C1065" s="1">
        <f>HYPERLINK("https://cao.dolgi.msk.ru/account/1011376083/", 1011376083)</f>
        <v>1011376083</v>
      </c>
      <c r="D1065">
        <v>0</v>
      </c>
    </row>
    <row r="1066" spans="1:4" hidden="1" x14ac:dyDescent="0.3">
      <c r="A1066" t="s">
        <v>269</v>
      </c>
      <c r="B1066" t="s">
        <v>14</v>
      </c>
      <c r="C1066" s="1">
        <f>HYPERLINK("https://cao.dolgi.msk.ru/account/1011376163/", 1011376163)</f>
        <v>1011376163</v>
      </c>
      <c r="D1066">
        <v>0</v>
      </c>
    </row>
    <row r="1067" spans="1:4" hidden="1" x14ac:dyDescent="0.3">
      <c r="A1067" t="s">
        <v>269</v>
      </c>
      <c r="B1067" t="s">
        <v>16</v>
      </c>
      <c r="C1067" s="1">
        <f>HYPERLINK("https://cao.dolgi.msk.ru/account/1011375726/", 1011375726)</f>
        <v>1011375726</v>
      </c>
      <c r="D1067">
        <v>-1597.19</v>
      </c>
    </row>
    <row r="1068" spans="1:4" hidden="1" x14ac:dyDescent="0.3">
      <c r="A1068" t="s">
        <v>269</v>
      </c>
      <c r="B1068" t="s">
        <v>17</v>
      </c>
      <c r="C1068" s="1">
        <f>HYPERLINK("https://cao.dolgi.msk.ru/account/1011375718/", 1011375718)</f>
        <v>1011375718</v>
      </c>
      <c r="D1068">
        <v>0</v>
      </c>
    </row>
    <row r="1069" spans="1:4" hidden="1" x14ac:dyDescent="0.3">
      <c r="A1069" t="s">
        <v>269</v>
      </c>
      <c r="B1069" t="s">
        <v>17</v>
      </c>
      <c r="C1069" s="1">
        <f>HYPERLINK("https://cao.dolgi.msk.ru/account/1011375734/", 1011375734)</f>
        <v>1011375734</v>
      </c>
      <c r="D1069">
        <v>-0.01</v>
      </c>
    </row>
    <row r="1070" spans="1:4" hidden="1" x14ac:dyDescent="0.3">
      <c r="A1070" t="s">
        <v>269</v>
      </c>
      <c r="B1070" t="s">
        <v>17</v>
      </c>
      <c r="C1070" s="1">
        <f>HYPERLINK("https://cao.dolgi.msk.ru/account/1011376171/", 1011376171)</f>
        <v>1011376171</v>
      </c>
      <c r="D1070">
        <v>0</v>
      </c>
    </row>
    <row r="1071" spans="1:4" hidden="1" x14ac:dyDescent="0.3">
      <c r="A1071" t="s">
        <v>269</v>
      </c>
      <c r="B1071" t="s">
        <v>17</v>
      </c>
      <c r="C1071" s="1">
        <f>HYPERLINK("https://cao.dolgi.msk.ru/account/1011376198/", 1011376198)</f>
        <v>1011376198</v>
      </c>
      <c r="D1071">
        <v>0</v>
      </c>
    </row>
    <row r="1072" spans="1:4" hidden="1" x14ac:dyDescent="0.3">
      <c r="A1072" t="s">
        <v>269</v>
      </c>
      <c r="B1072" t="s">
        <v>17</v>
      </c>
      <c r="C1072" s="1">
        <f>HYPERLINK("https://cao.dolgi.msk.ru/account/1011376489/", 1011376489)</f>
        <v>1011376489</v>
      </c>
      <c r="D1072">
        <v>0</v>
      </c>
    </row>
    <row r="1073" spans="1:4" hidden="1" x14ac:dyDescent="0.3">
      <c r="A1073" t="s">
        <v>269</v>
      </c>
      <c r="B1073" t="s">
        <v>18</v>
      </c>
      <c r="C1073" s="1">
        <f>HYPERLINK("https://cao.dolgi.msk.ru/account/1011375742/", 1011375742)</f>
        <v>1011375742</v>
      </c>
      <c r="D1073">
        <v>-11029.72</v>
      </c>
    </row>
    <row r="1074" spans="1:4" hidden="1" x14ac:dyDescent="0.3">
      <c r="A1074" t="s">
        <v>269</v>
      </c>
      <c r="B1074" t="s">
        <v>18</v>
      </c>
      <c r="C1074" s="1">
        <f>HYPERLINK("https://cao.dolgi.msk.ru/account/1011376024/", 1011376024)</f>
        <v>1011376024</v>
      </c>
      <c r="D1074">
        <v>-0.09</v>
      </c>
    </row>
    <row r="1075" spans="1:4" hidden="1" x14ac:dyDescent="0.3">
      <c r="A1075" t="s">
        <v>269</v>
      </c>
      <c r="B1075" t="s">
        <v>18</v>
      </c>
      <c r="C1075" s="1">
        <f>HYPERLINK("https://cao.dolgi.msk.ru/account/1011376315/", 1011376315)</f>
        <v>1011376315</v>
      </c>
      <c r="D1075">
        <v>-4240.6499999999996</v>
      </c>
    </row>
    <row r="1076" spans="1:4" hidden="1" x14ac:dyDescent="0.3">
      <c r="A1076" t="s">
        <v>269</v>
      </c>
      <c r="B1076" t="s">
        <v>19</v>
      </c>
      <c r="C1076" s="1">
        <f>HYPERLINK("https://cao.dolgi.msk.ru/account/1011527187/", 1011527187)</f>
        <v>1011527187</v>
      </c>
      <c r="D1076">
        <v>0</v>
      </c>
    </row>
    <row r="1077" spans="1:4" hidden="1" x14ac:dyDescent="0.3">
      <c r="A1077" t="s">
        <v>269</v>
      </c>
      <c r="B1077" t="s">
        <v>20</v>
      </c>
      <c r="C1077" s="1">
        <f>HYPERLINK("https://cao.dolgi.msk.ru/account/1011375902/", 1011375902)</f>
        <v>1011375902</v>
      </c>
      <c r="D1077">
        <v>0</v>
      </c>
    </row>
    <row r="1078" spans="1:4" x14ac:dyDescent="0.3">
      <c r="A1078" t="s">
        <v>269</v>
      </c>
      <c r="B1078" t="s">
        <v>21</v>
      </c>
      <c r="C1078" s="1">
        <f>HYPERLINK("https://cao.dolgi.msk.ru/account/1011376032/", 1011376032)</f>
        <v>1011376032</v>
      </c>
      <c r="D1078">
        <v>2122.7399999999998</v>
      </c>
    </row>
    <row r="1079" spans="1:4" hidden="1" x14ac:dyDescent="0.3">
      <c r="A1079" t="s">
        <v>269</v>
      </c>
      <c r="B1079" t="s">
        <v>21</v>
      </c>
      <c r="C1079" s="1">
        <f>HYPERLINK("https://cao.dolgi.msk.ru/account/1011376104/", 1011376104)</f>
        <v>1011376104</v>
      </c>
      <c r="D1079">
        <v>0</v>
      </c>
    </row>
    <row r="1080" spans="1:4" x14ac:dyDescent="0.3">
      <c r="A1080" t="s">
        <v>269</v>
      </c>
      <c r="B1080" t="s">
        <v>21</v>
      </c>
      <c r="C1080" s="1">
        <f>HYPERLINK("https://cao.dolgi.msk.ru/account/1011376112/", 1011376112)</f>
        <v>1011376112</v>
      </c>
      <c r="D1080">
        <v>9914.14</v>
      </c>
    </row>
    <row r="1081" spans="1:4" hidden="1" x14ac:dyDescent="0.3">
      <c r="A1081" t="s">
        <v>269</v>
      </c>
      <c r="B1081" t="s">
        <v>22</v>
      </c>
      <c r="C1081" s="1">
        <f>HYPERLINK("https://cao.dolgi.msk.ru/account/1011375777/", 1011375777)</f>
        <v>1011375777</v>
      </c>
      <c r="D1081">
        <v>0</v>
      </c>
    </row>
    <row r="1082" spans="1:4" hidden="1" x14ac:dyDescent="0.3">
      <c r="A1082" t="s">
        <v>269</v>
      </c>
      <c r="B1082" t="s">
        <v>22</v>
      </c>
      <c r="C1082" s="1">
        <f>HYPERLINK("https://cao.dolgi.msk.ru/account/1011376294/", 1011376294)</f>
        <v>1011376294</v>
      </c>
      <c r="D1082">
        <v>0</v>
      </c>
    </row>
    <row r="1083" spans="1:4" x14ac:dyDescent="0.3">
      <c r="A1083" t="s">
        <v>269</v>
      </c>
      <c r="B1083" t="s">
        <v>22</v>
      </c>
      <c r="C1083" s="1">
        <f>HYPERLINK("https://cao.dolgi.msk.ru/account/1011376534/", 1011376534)</f>
        <v>1011376534</v>
      </c>
      <c r="D1083">
        <v>12900.15</v>
      </c>
    </row>
    <row r="1084" spans="1:4" hidden="1" x14ac:dyDescent="0.3">
      <c r="A1084" t="s">
        <v>269</v>
      </c>
      <c r="B1084" t="s">
        <v>22</v>
      </c>
      <c r="C1084" s="1">
        <f>HYPERLINK("https://cao.dolgi.msk.ru/account/1011376542/", 1011376542)</f>
        <v>1011376542</v>
      </c>
      <c r="D1084">
        <v>0</v>
      </c>
    </row>
    <row r="1085" spans="1:4" hidden="1" x14ac:dyDescent="0.3">
      <c r="A1085" t="s">
        <v>269</v>
      </c>
      <c r="B1085" t="s">
        <v>24</v>
      </c>
      <c r="C1085" s="1">
        <f>HYPERLINK("https://cao.dolgi.msk.ru/account/1011376059/", 1011376059)</f>
        <v>1011376059</v>
      </c>
      <c r="D1085">
        <v>-1063.3699999999999</v>
      </c>
    </row>
    <row r="1086" spans="1:4" x14ac:dyDescent="0.3">
      <c r="A1086" t="s">
        <v>269</v>
      </c>
      <c r="B1086" t="s">
        <v>25</v>
      </c>
      <c r="C1086" s="1">
        <f>HYPERLINK("https://cao.dolgi.msk.ru/account/1011375814/", 1011375814)</f>
        <v>1011375814</v>
      </c>
      <c r="D1086">
        <v>26225.75</v>
      </c>
    </row>
    <row r="1087" spans="1:4" hidden="1" x14ac:dyDescent="0.3">
      <c r="A1087" t="s">
        <v>269</v>
      </c>
      <c r="B1087" t="s">
        <v>26</v>
      </c>
      <c r="C1087" s="1">
        <f>HYPERLINK("https://cao.dolgi.msk.ru/account/1011375689/", 1011375689)</f>
        <v>1011375689</v>
      </c>
      <c r="D1087">
        <v>-5632.18</v>
      </c>
    </row>
    <row r="1088" spans="1:4" hidden="1" x14ac:dyDescent="0.3">
      <c r="A1088" t="s">
        <v>269</v>
      </c>
      <c r="B1088" t="s">
        <v>26</v>
      </c>
      <c r="C1088" s="1">
        <f>HYPERLINK("https://cao.dolgi.msk.ru/account/1011376219/", 1011376219)</f>
        <v>1011376219</v>
      </c>
      <c r="D1088">
        <v>-2815.47</v>
      </c>
    </row>
    <row r="1089" spans="1:4" x14ac:dyDescent="0.3">
      <c r="A1089" t="s">
        <v>269</v>
      </c>
      <c r="B1089" t="s">
        <v>26</v>
      </c>
      <c r="C1089" s="1">
        <f>HYPERLINK("https://cao.dolgi.msk.ru/account/1011376323/", 1011376323)</f>
        <v>1011376323</v>
      </c>
      <c r="D1089">
        <v>9114.68</v>
      </c>
    </row>
    <row r="1090" spans="1:4" hidden="1" x14ac:dyDescent="0.3">
      <c r="A1090" t="s">
        <v>269</v>
      </c>
      <c r="B1090" t="s">
        <v>26</v>
      </c>
      <c r="C1090" s="1">
        <f>HYPERLINK("https://cao.dolgi.msk.ru/account/1011376497/", 1011376497)</f>
        <v>1011376497</v>
      </c>
      <c r="D1090">
        <v>-9787</v>
      </c>
    </row>
    <row r="1091" spans="1:4" hidden="1" x14ac:dyDescent="0.3">
      <c r="A1091" t="s">
        <v>269</v>
      </c>
      <c r="B1091" t="s">
        <v>27</v>
      </c>
      <c r="C1091" s="1">
        <f>HYPERLINK("https://cao.dolgi.msk.ru/account/1011375929/", 1011375929)</f>
        <v>1011375929</v>
      </c>
      <c r="D1091">
        <v>0</v>
      </c>
    </row>
    <row r="1092" spans="1:4" x14ac:dyDescent="0.3">
      <c r="A1092" t="s">
        <v>269</v>
      </c>
      <c r="B1092" t="s">
        <v>29</v>
      </c>
      <c r="C1092" s="1">
        <f>HYPERLINK("https://cao.dolgi.msk.ru/account/1011375953/", 1011375953)</f>
        <v>1011375953</v>
      </c>
      <c r="D1092">
        <v>4920.6000000000004</v>
      </c>
    </row>
    <row r="1093" spans="1:4" x14ac:dyDescent="0.3">
      <c r="A1093" t="s">
        <v>269</v>
      </c>
      <c r="B1093" t="s">
        <v>29</v>
      </c>
      <c r="C1093" s="1">
        <f>HYPERLINK("https://cao.dolgi.msk.ru/account/1011376518/", 1011376518)</f>
        <v>1011376518</v>
      </c>
      <c r="D1093">
        <v>8419.3700000000008</v>
      </c>
    </row>
    <row r="1094" spans="1:4" hidden="1" x14ac:dyDescent="0.3">
      <c r="A1094" t="s">
        <v>269</v>
      </c>
      <c r="B1094" t="s">
        <v>38</v>
      </c>
      <c r="C1094" s="1">
        <f>HYPERLINK("https://cao.dolgi.msk.ru/account/1011376227/", 1011376227)</f>
        <v>1011376227</v>
      </c>
      <c r="D1094">
        <v>0</v>
      </c>
    </row>
    <row r="1095" spans="1:4" hidden="1" x14ac:dyDescent="0.3">
      <c r="A1095" t="s">
        <v>269</v>
      </c>
      <c r="B1095" t="s">
        <v>38</v>
      </c>
      <c r="C1095" s="1">
        <f>HYPERLINK("https://cao.dolgi.msk.ru/account/1011376438/", 1011376438)</f>
        <v>1011376438</v>
      </c>
      <c r="D1095">
        <v>0</v>
      </c>
    </row>
    <row r="1096" spans="1:4" hidden="1" x14ac:dyDescent="0.3">
      <c r="A1096" t="s">
        <v>269</v>
      </c>
      <c r="B1096" t="s">
        <v>38</v>
      </c>
      <c r="C1096" s="1">
        <f>HYPERLINK("https://cao.dolgi.msk.ru/account/1011376526/", 1011376526)</f>
        <v>1011376526</v>
      </c>
      <c r="D1096">
        <v>0</v>
      </c>
    </row>
    <row r="1097" spans="1:4" hidden="1" x14ac:dyDescent="0.3">
      <c r="A1097" t="s">
        <v>269</v>
      </c>
      <c r="B1097" t="s">
        <v>39</v>
      </c>
      <c r="C1097" s="1">
        <f>HYPERLINK("https://cao.dolgi.msk.ru/account/1011376235/", 1011376235)</f>
        <v>1011376235</v>
      </c>
      <c r="D1097">
        <v>0</v>
      </c>
    </row>
    <row r="1098" spans="1:4" hidden="1" x14ac:dyDescent="0.3">
      <c r="A1098" t="s">
        <v>269</v>
      </c>
      <c r="B1098" t="s">
        <v>40</v>
      </c>
      <c r="C1098" s="1">
        <f>HYPERLINK("https://cao.dolgi.msk.ru/account/1011376331/", 1011376331)</f>
        <v>1011376331</v>
      </c>
      <c r="D1098">
        <v>0</v>
      </c>
    </row>
    <row r="1099" spans="1:4" x14ac:dyDescent="0.3">
      <c r="A1099" t="s">
        <v>269</v>
      </c>
      <c r="B1099" t="s">
        <v>41</v>
      </c>
      <c r="C1099" s="1">
        <f>HYPERLINK("https://cao.dolgi.msk.ru/account/1011375793/", 1011375793)</f>
        <v>1011375793</v>
      </c>
      <c r="D1099">
        <v>109349.89</v>
      </c>
    </row>
    <row r="1100" spans="1:4" x14ac:dyDescent="0.3">
      <c r="A1100" t="s">
        <v>269</v>
      </c>
      <c r="B1100" t="s">
        <v>41</v>
      </c>
      <c r="C1100" s="1">
        <f>HYPERLINK("https://cao.dolgi.msk.ru/account/1011376243/", 1011376243)</f>
        <v>1011376243</v>
      </c>
      <c r="D1100">
        <v>38467.01</v>
      </c>
    </row>
    <row r="1101" spans="1:4" x14ac:dyDescent="0.3">
      <c r="A1101" t="s">
        <v>269</v>
      </c>
      <c r="B1101" t="s">
        <v>41</v>
      </c>
      <c r="C1101" s="1">
        <f>HYPERLINK("https://cao.dolgi.msk.ru/account/1011376358/", 1011376358)</f>
        <v>1011376358</v>
      </c>
      <c r="D1101">
        <v>183300.02</v>
      </c>
    </row>
    <row r="1102" spans="1:4" hidden="1" x14ac:dyDescent="0.3">
      <c r="A1102" t="s">
        <v>269</v>
      </c>
      <c r="B1102" t="s">
        <v>51</v>
      </c>
      <c r="C1102" s="1">
        <f>HYPERLINK("https://cao.dolgi.msk.ru/account/1011376251/", 1011376251)</f>
        <v>1011376251</v>
      </c>
      <c r="D1102">
        <v>-12698.9</v>
      </c>
    </row>
    <row r="1103" spans="1:4" x14ac:dyDescent="0.3">
      <c r="A1103" t="s">
        <v>269</v>
      </c>
      <c r="B1103" t="s">
        <v>52</v>
      </c>
      <c r="C1103" s="1">
        <f>HYPERLINK("https://cao.dolgi.msk.ru/account/1011375806/", 1011375806)</f>
        <v>1011375806</v>
      </c>
      <c r="D1103">
        <v>87776</v>
      </c>
    </row>
    <row r="1104" spans="1:4" x14ac:dyDescent="0.3">
      <c r="A1104" t="s">
        <v>269</v>
      </c>
      <c r="B1104" t="s">
        <v>52</v>
      </c>
      <c r="C1104" s="1">
        <f>HYPERLINK("https://cao.dolgi.msk.ru/account/1011375937/", 1011375937)</f>
        <v>1011375937</v>
      </c>
      <c r="D1104">
        <v>26434.12</v>
      </c>
    </row>
    <row r="1105" spans="1:4" x14ac:dyDescent="0.3">
      <c r="A1105" t="s">
        <v>269</v>
      </c>
      <c r="B1105" t="s">
        <v>52</v>
      </c>
      <c r="C1105" s="1">
        <f>HYPERLINK("https://cao.dolgi.msk.ru/account/1011375945/", 1011375945)</f>
        <v>1011375945</v>
      </c>
      <c r="D1105">
        <v>23951.3</v>
      </c>
    </row>
    <row r="1106" spans="1:4" hidden="1" x14ac:dyDescent="0.3">
      <c r="A1106" t="s">
        <v>269</v>
      </c>
      <c r="B1106" t="s">
        <v>52</v>
      </c>
      <c r="C1106" s="1">
        <f>HYPERLINK("https://cao.dolgi.msk.ru/account/1011376067/", 1011376067)</f>
        <v>1011376067</v>
      </c>
      <c r="D1106">
        <v>0</v>
      </c>
    </row>
    <row r="1107" spans="1:4" x14ac:dyDescent="0.3">
      <c r="A1107" t="s">
        <v>269</v>
      </c>
      <c r="B1107" t="s">
        <v>53</v>
      </c>
      <c r="C1107" s="1">
        <f>HYPERLINK("https://cao.dolgi.msk.ru/account/1011375822/", 1011375822)</f>
        <v>1011375822</v>
      </c>
      <c r="D1107">
        <v>18954.36</v>
      </c>
    </row>
    <row r="1108" spans="1:4" hidden="1" x14ac:dyDescent="0.3">
      <c r="A1108" t="s">
        <v>269</v>
      </c>
      <c r="B1108" t="s">
        <v>53</v>
      </c>
      <c r="C1108" s="1">
        <f>HYPERLINK("https://cao.dolgi.msk.ru/account/1011376008/", 1011376008)</f>
        <v>1011376008</v>
      </c>
      <c r="D1108">
        <v>-2788.82</v>
      </c>
    </row>
    <row r="1109" spans="1:4" hidden="1" x14ac:dyDescent="0.3">
      <c r="A1109" t="s">
        <v>269</v>
      </c>
      <c r="B1109" t="s">
        <v>54</v>
      </c>
      <c r="C1109" s="1">
        <f>HYPERLINK("https://cao.dolgi.msk.ru/account/1011376075/", 1011376075)</f>
        <v>1011376075</v>
      </c>
      <c r="D1109">
        <v>0</v>
      </c>
    </row>
    <row r="1110" spans="1:4" x14ac:dyDescent="0.3">
      <c r="A1110" t="s">
        <v>269</v>
      </c>
      <c r="B1110" t="s">
        <v>54</v>
      </c>
      <c r="C1110" s="1">
        <f>HYPERLINK("https://cao.dolgi.msk.ru/account/1011376278/", 1011376278)</f>
        <v>1011376278</v>
      </c>
      <c r="D1110">
        <v>5557.56</v>
      </c>
    </row>
    <row r="1111" spans="1:4" x14ac:dyDescent="0.3">
      <c r="A1111" t="s">
        <v>269</v>
      </c>
      <c r="B1111" t="s">
        <v>54</v>
      </c>
      <c r="C1111" s="1">
        <f>HYPERLINK("https://cao.dolgi.msk.ru/account/1011376366/", 1011376366)</f>
        <v>1011376366</v>
      </c>
      <c r="D1111">
        <v>4092.56</v>
      </c>
    </row>
    <row r="1112" spans="1:4" x14ac:dyDescent="0.3">
      <c r="A1112" t="s">
        <v>269</v>
      </c>
      <c r="B1112" t="s">
        <v>54</v>
      </c>
      <c r="C1112" s="1">
        <f>HYPERLINK("https://cao.dolgi.msk.ru/account/1011376411/", 1011376411)</f>
        <v>1011376411</v>
      </c>
      <c r="D1112">
        <v>6539.34</v>
      </c>
    </row>
    <row r="1113" spans="1:4" x14ac:dyDescent="0.3">
      <c r="A1113" t="s">
        <v>270</v>
      </c>
      <c r="B1113" t="s">
        <v>6</v>
      </c>
      <c r="C1113" s="1">
        <f>HYPERLINK("https://cao.dolgi.msk.ru/account/1011510668/", 1011510668)</f>
        <v>1011510668</v>
      </c>
      <c r="D1113">
        <v>5189.8100000000004</v>
      </c>
    </row>
    <row r="1114" spans="1:4" x14ac:dyDescent="0.3">
      <c r="A1114" t="s">
        <v>270</v>
      </c>
      <c r="B1114" t="s">
        <v>28</v>
      </c>
      <c r="C1114" s="1">
        <f>HYPERLINK("https://cao.dolgi.msk.ru/account/1011534491/", 1011534491)</f>
        <v>1011534491</v>
      </c>
      <c r="D1114">
        <v>70299.600000000006</v>
      </c>
    </row>
    <row r="1115" spans="1:4" hidden="1" x14ac:dyDescent="0.3">
      <c r="A1115" t="s">
        <v>270</v>
      </c>
      <c r="B1115" t="s">
        <v>7</v>
      </c>
      <c r="C1115" s="1">
        <f>HYPERLINK("https://cao.dolgi.msk.ru/account/1010548461/", 1010548461)</f>
        <v>1010548461</v>
      </c>
      <c r="D1115">
        <v>-3163.72</v>
      </c>
    </row>
    <row r="1116" spans="1:4" hidden="1" x14ac:dyDescent="0.3">
      <c r="A1116" t="s">
        <v>270</v>
      </c>
      <c r="B1116" t="s">
        <v>8</v>
      </c>
      <c r="C1116" s="1">
        <f>HYPERLINK("https://cao.dolgi.msk.ru/account/1010548488/", 1010548488)</f>
        <v>1010548488</v>
      </c>
      <c r="D1116">
        <v>-546.74</v>
      </c>
    </row>
    <row r="1117" spans="1:4" hidden="1" x14ac:dyDescent="0.3">
      <c r="A1117" t="s">
        <v>270</v>
      </c>
      <c r="B1117" t="s">
        <v>31</v>
      </c>
      <c r="C1117" s="1">
        <f>HYPERLINK("https://cao.dolgi.msk.ru/account/1019021308/", 1019021308)</f>
        <v>1019021308</v>
      </c>
      <c r="D1117">
        <v>-207.17</v>
      </c>
    </row>
    <row r="1118" spans="1:4" hidden="1" x14ac:dyDescent="0.3">
      <c r="A1118" t="s">
        <v>270</v>
      </c>
      <c r="B1118" t="s">
        <v>9</v>
      </c>
      <c r="C1118" s="1">
        <f>HYPERLINK("https://cao.dolgi.msk.ru/account/1019008381/", 1019008381)</f>
        <v>1019008381</v>
      </c>
      <c r="D1118">
        <v>0</v>
      </c>
    </row>
    <row r="1119" spans="1:4" x14ac:dyDescent="0.3">
      <c r="A1119" t="s">
        <v>270</v>
      </c>
      <c r="B1119" t="s">
        <v>9</v>
      </c>
      <c r="C1119" s="1">
        <f>HYPERLINK("https://cao.dolgi.msk.ru/account/1019013201/", 1019013201)</f>
        <v>1019013201</v>
      </c>
      <c r="D1119">
        <v>5575.18</v>
      </c>
    </row>
    <row r="1120" spans="1:4" hidden="1" x14ac:dyDescent="0.3">
      <c r="A1120" t="s">
        <v>270</v>
      </c>
      <c r="B1120" t="s">
        <v>11</v>
      </c>
      <c r="C1120" s="1">
        <f>HYPERLINK("https://cao.dolgi.msk.ru/account/1010548496/", 1010548496)</f>
        <v>1010548496</v>
      </c>
      <c r="D1120">
        <v>0</v>
      </c>
    </row>
    <row r="1121" spans="1:4" hidden="1" x14ac:dyDescent="0.3">
      <c r="A1121" t="s">
        <v>270</v>
      </c>
      <c r="B1121" t="s">
        <v>23</v>
      </c>
      <c r="C1121" s="1">
        <f>HYPERLINK("https://cao.dolgi.msk.ru/account/1010548517/", 1010548517)</f>
        <v>1010548517</v>
      </c>
      <c r="D1121">
        <v>0</v>
      </c>
    </row>
    <row r="1122" spans="1:4" hidden="1" x14ac:dyDescent="0.3">
      <c r="A1122" t="s">
        <v>270</v>
      </c>
      <c r="B1122" t="s">
        <v>23</v>
      </c>
      <c r="C1122" s="1">
        <f>HYPERLINK("https://cao.dolgi.msk.ru/account/1010548525/", 1010548525)</f>
        <v>1010548525</v>
      </c>
      <c r="D1122">
        <v>0</v>
      </c>
    </row>
    <row r="1123" spans="1:4" x14ac:dyDescent="0.3">
      <c r="A1123" t="s">
        <v>270</v>
      </c>
      <c r="B1123" t="s">
        <v>14</v>
      </c>
      <c r="C1123" s="1">
        <f>HYPERLINK("https://cao.dolgi.msk.ru/account/1010577115/", 1010577115)</f>
        <v>1010577115</v>
      </c>
      <c r="D1123">
        <v>4261.78</v>
      </c>
    </row>
    <row r="1124" spans="1:4" hidden="1" x14ac:dyDescent="0.3">
      <c r="A1124" t="s">
        <v>270</v>
      </c>
      <c r="B1124" t="s">
        <v>16</v>
      </c>
      <c r="C1124" s="1">
        <f>HYPERLINK("https://cao.dolgi.msk.ru/account/1010548509/", 1010548509)</f>
        <v>1010548509</v>
      </c>
      <c r="D1124">
        <v>-5367.98</v>
      </c>
    </row>
    <row r="1125" spans="1:4" hidden="1" x14ac:dyDescent="0.3">
      <c r="A1125" t="s">
        <v>270</v>
      </c>
      <c r="B1125" t="s">
        <v>17</v>
      </c>
      <c r="C1125" s="1">
        <f>HYPERLINK("https://cao.dolgi.msk.ru/account/1010548533/", 1010548533)</f>
        <v>1010548533</v>
      </c>
      <c r="D1125">
        <v>-6679.56</v>
      </c>
    </row>
    <row r="1126" spans="1:4" hidden="1" x14ac:dyDescent="0.3">
      <c r="A1126" t="s">
        <v>270</v>
      </c>
      <c r="B1126" t="s">
        <v>19</v>
      </c>
      <c r="C1126" s="1">
        <f>HYPERLINK("https://cao.dolgi.msk.ru/account/1010548541/", 1010548541)</f>
        <v>1010548541</v>
      </c>
      <c r="D1126">
        <v>-3094.42</v>
      </c>
    </row>
    <row r="1127" spans="1:4" hidden="1" x14ac:dyDescent="0.3">
      <c r="A1127" t="s">
        <v>270</v>
      </c>
      <c r="B1127" t="s">
        <v>25</v>
      </c>
      <c r="C1127" s="1">
        <f>HYPERLINK("https://cao.dolgi.msk.ru/account/1010548568/", 1010548568)</f>
        <v>1010548568</v>
      </c>
      <c r="D1127">
        <v>0</v>
      </c>
    </row>
    <row r="1128" spans="1:4" hidden="1" x14ac:dyDescent="0.3">
      <c r="A1128" t="s">
        <v>270</v>
      </c>
      <c r="B1128" t="s">
        <v>26</v>
      </c>
      <c r="C1128" s="1">
        <f>HYPERLINK("https://cao.dolgi.msk.ru/account/1019017501/", 1019017501)</f>
        <v>1019017501</v>
      </c>
      <c r="D1128">
        <v>-5664.54</v>
      </c>
    </row>
    <row r="1129" spans="1:4" hidden="1" x14ac:dyDescent="0.3">
      <c r="A1129" t="s">
        <v>270</v>
      </c>
      <c r="B1129" t="s">
        <v>27</v>
      </c>
      <c r="C1129" s="1">
        <f>HYPERLINK("https://cao.dolgi.msk.ru/account/1010548584/", 1010548584)</f>
        <v>1010548584</v>
      </c>
      <c r="D1129">
        <v>-2944.18</v>
      </c>
    </row>
    <row r="1130" spans="1:4" hidden="1" x14ac:dyDescent="0.3">
      <c r="A1130" t="s">
        <v>270</v>
      </c>
      <c r="B1130" t="s">
        <v>39</v>
      </c>
      <c r="C1130" s="1">
        <f>HYPERLINK("https://cao.dolgi.msk.ru/account/1010578484/", 1010578484)</f>
        <v>1010578484</v>
      </c>
      <c r="D1130">
        <v>-1588.32</v>
      </c>
    </row>
    <row r="1131" spans="1:4" x14ac:dyDescent="0.3">
      <c r="A1131" t="s">
        <v>270</v>
      </c>
      <c r="B1131" t="s">
        <v>40</v>
      </c>
      <c r="C1131" s="1">
        <f>HYPERLINK("https://cao.dolgi.msk.ru/account/1011534483/", 1011534483)</f>
        <v>1011534483</v>
      </c>
      <c r="D1131">
        <v>23698.36</v>
      </c>
    </row>
    <row r="1132" spans="1:4" hidden="1" x14ac:dyDescent="0.3">
      <c r="A1132" t="s">
        <v>270</v>
      </c>
      <c r="B1132" t="s">
        <v>51</v>
      </c>
      <c r="C1132" s="1">
        <f>HYPERLINK("https://cao.dolgi.msk.ru/account/1011526571/", 1011526571)</f>
        <v>1011526571</v>
      </c>
      <c r="D1132">
        <v>0</v>
      </c>
    </row>
    <row r="1133" spans="1:4" x14ac:dyDescent="0.3">
      <c r="A1133" t="s">
        <v>270</v>
      </c>
      <c r="B1133" t="s">
        <v>52</v>
      </c>
      <c r="C1133" s="1">
        <f>HYPERLINK("https://cao.dolgi.msk.ru/account/1010548605/", 1010548605)</f>
        <v>1010548605</v>
      </c>
      <c r="D1133">
        <v>48780.83</v>
      </c>
    </row>
    <row r="1134" spans="1:4" x14ac:dyDescent="0.3">
      <c r="A1134" t="s">
        <v>270</v>
      </c>
      <c r="B1134" t="s">
        <v>53</v>
      </c>
      <c r="C1134" s="1">
        <f>HYPERLINK("https://cao.dolgi.msk.ru/account/1011013573/", 1011013573)</f>
        <v>1011013573</v>
      </c>
      <c r="D1134">
        <v>956.22</v>
      </c>
    </row>
    <row r="1135" spans="1:4" x14ac:dyDescent="0.3">
      <c r="A1135" t="s">
        <v>270</v>
      </c>
      <c r="B1135" t="s">
        <v>54</v>
      </c>
      <c r="C1135" s="1">
        <f>HYPERLINK("https://cao.dolgi.msk.ru/account/1010577676/", 1010577676)</f>
        <v>1010577676</v>
      </c>
      <c r="D1135">
        <v>34640.51</v>
      </c>
    </row>
    <row r="1136" spans="1:4" hidden="1" x14ac:dyDescent="0.3">
      <c r="A1136" t="s">
        <v>270</v>
      </c>
      <c r="B1136" t="s">
        <v>56</v>
      </c>
      <c r="C1136" s="1">
        <f>HYPERLINK("https://cao.dolgi.msk.ru/account/1010548613/", 1010548613)</f>
        <v>1010548613</v>
      </c>
      <c r="D1136">
        <v>-2629.96</v>
      </c>
    </row>
    <row r="1137" spans="1:4" x14ac:dyDescent="0.3">
      <c r="A1137" t="s">
        <v>270</v>
      </c>
      <c r="B1137" t="s">
        <v>87</v>
      </c>
      <c r="C1137" s="1">
        <f>HYPERLINK("https://cao.dolgi.msk.ru/account/1011534504/", 1011534504)</f>
        <v>1011534504</v>
      </c>
      <c r="D1137">
        <v>27823.759999999998</v>
      </c>
    </row>
    <row r="1138" spans="1:4" x14ac:dyDescent="0.3">
      <c r="A1138" t="s">
        <v>271</v>
      </c>
      <c r="B1138" t="s">
        <v>6</v>
      </c>
      <c r="C1138" s="1">
        <f>HYPERLINK("https://cao.dolgi.msk.ru/account/1011542352/", 1011542352)</f>
        <v>1011542352</v>
      </c>
      <c r="D1138">
        <v>40353.83</v>
      </c>
    </row>
    <row r="1139" spans="1:4" hidden="1" x14ac:dyDescent="0.3">
      <c r="A1139" t="s">
        <v>271</v>
      </c>
      <c r="B1139" t="s">
        <v>28</v>
      </c>
      <c r="C1139" s="1">
        <f>HYPERLINK("https://cao.dolgi.msk.ru/account/1011539735/", 1011539735)</f>
        <v>1011539735</v>
      </c>
      <c r="D1139">
        <v>-768.91</v>
      </c>
    </row>
    <row r="1140" spans="1:4" x14ac:dyDescent="0.3">
      <c r="A1140" t="s">
        <v>271</v>
      </c>
      <c r="B1140" t="s">
        <v>35</v>
      </c>
      <c r="C1140" s="1">
        <f>HYPERLINK("https://cao.dolgi.msk.ru/account/1011542045/", 1011542045)</f>
        <v>1011542045</v>
      </c>
      <c r="D1140">
        <v>29230.63</v>
      </c>
    </row>
    <row r="1141" spans="1:4" hidden="1" x14ac:dyDescent="0.3">
      <c r="A1141" t="s">
        <v>271</v>
      </c>
      <c r="B1141" t="s">
        <v>5</v>
      </c>
      <c r="C1141" s="1">
        <f>HYPERLINK("https://cao.dolgi.msk.ru/account/1011539292/", 1011539292)</f>
        <v>1011539292</v>
      </c>
      <c r="D1141">
        <v>0</v>
      </c>
    </row>
    <row r="1142" spans="1:4" x14ac:dyDescent="0.3">
      <c r="A1142" t="s">
        <v>271</v>
      </c>
      <c r="B1142" t="s">
        <v>7</v>
      </c>
      <c r="C1142" s="1">
        <f>HYPERLINK("https://cao.dolgi.msk.ru/account/1011539866/", 1011539866)</f>
        <v>1011539866</v>
      </c>
      <c r="D1142">
        <v>30050.86</v>
      </c>
    </row>
    <row r="1143" spans="1:4" x14ac:dyDescent="0.3">
      <c r="A1143" t="s">
        <v>271</v>
      </c>
      <c r="B1143" t="s">
        <v>8</v>
      </c>
      <c r="C1143" s="1">
        <f>HYPERLINK("https://cao.dolgi.msk.ru/account/1011541982/", 1011541982)</f>
        <v>1011541982</v>
      </c>
      <c r="D1143">
        <v>35794.31</v>
      </c>
    </row>
    <row r="1144" spans="1:4" x14ac:dyDescent="0.3">
      <c r="A1144" t="s">
        <v>271</v>
      </c>
      <c r="B1144" t="s">
        <v>31</v>
      </c>
      <c r="C1144" s="1">
        <f>HYPERLINK("https://cao.dolgi.msk.ru/account/1011542053/", 1011542053)</f>
        <v>1011542053</v>
      </c>
      <c r="D1144">
        <v>29165.95</v>
      </c>
    </row>
    <row r="1145" spans="1:4" x14ac:dyDescent="0.3">
      <c r="A1145" t="s">
        <v>271</v>
      </c>
      <c r="B1145" t="s">
        <v>9</v>
      </c>
      <c r="C1145" s="1">
        <f>HYPERLINK("https://cao.dolgi.msk.ru/account/1011542061/", 1011542061)</f>
        <v>1011542061</v>
      </c>
      <c r="D1145">
        <v>78832.160000000003</v>
      </c>
    </row>
    <row r="1146" spans="1:4" hidden="1" x14ac:dyDescent="0.3">
      <c r="A1146" t="s">
        <v>271</v>
      </c>
      <c r="B1146" t="s">
        <v>10</v>
      </c>
      <c r="C1146" s="1">
        <f>HYPERLINK("https://cao.dolgi.msk.ru/account/1011539129/", 1011539129)</f>
        <v>1011539129</v>
      </c>
      <c r="D1146">
        <v>-5081.76</v>
      </c>
    </row>
    <row r="1147" spans="1:4" hidden="1" x14ac:dyDescent="0.3">
      <c r="A1147" t="s">
        <v>271</v>
      </c>
      <c r="B1147" t="s">
        <v>11</v>
      </c>
      <c r="C1147" s="1">
        <f>HYPERLINK("https://cao.dolgi.msk.ru/account/1011539145/", 1011539145)</f>
        <v>1011539145</v>
      </c>
      <c r="D1147">
        <v>0</v>
      </c>
    </row>
    <row r="1148" spans="1:4" hidden="1" x14ac:dyDescent="0.3">
      <c r="A1148" t="s">
        <v>271</v>
      </c>
      <c r="B1148" t="s">
        <v>12</v>
      </c>
      <c r="C1148" s="1">
        <f>HYPERLINK("https://cao.dolgi.msk.ru/account/1011539225/", 1011539225)</f>
        <v>1011539225</v>
      </c>
      <c r="D1148">
        <v>-6177.7</v>
      </c>
    </row>
    <row r="1149" spans="1:4" hidden="1" x14ac:dyDescent="0.3">
      <c r="A1149" t="s">
        <v>271</v>
      </c>
      <c r="B1149" t="s">
        <v>23</v>
      </c>
      <c r="C1149" s="1">
        <f>HYPERLINK("https://cao.dolgi.msk.ru/account/1011539794/", 1011539794)</f>
        <v>1011539794</v>
      </c>
      <c r="D1149">
        <v>0</v>
      </c>
    </row>
    <row r="1150" spans="1:4" x14ac:dyDescent="0.3">
      <c r="A1150" t="s">
        <v>271</v>
      </c>
      <c r="B1150" t="s">
        <v>13</v>
      </c>
      <c r="C1150" s="1">
        <f>HYPERLINK("https://cao.dolgi.msk.ru/account/1011542088/", 1011542088)</f>
        <v>1011542088</v>
      </c>
      <c r="D1150">
        <v>39254.379999999997</v>
      </c>
    </row>
    <row r="1151" spans="1:4" hidden="1" x14ac:dyDescent="0.3">
      <c r="A1151" t="s">
        <v>271</v>
      </c>
      <c r="B1151" t="s">
        <v>14</v>
      </c>
      <c r="C1151" s="1">
        <f>HYPERLINK("https://cao.dolgi.msk.ru/account/1011539751/", 1011539751)</f>
        <v>1011539751</v>
      </c>
      <c r="D1151">
        <v>-0.03</v>
      </c>
    </row>
    <row r="1152" spans="1:4" hidden="1" x14ac:dyDescent="0.3">
      <c r="A1152" t="s">
        <v>271</v>
      </c>
      <c r="B1152" t="s">
        <v>16</v>
      </c>
      <c r="C1152" s="1">
        <f>HYPERLINK("https://cao.dolgi.msk.ru/account/1011539241/", 1011539241)</f>
        <v>1011539241</v>
      </c>
      <c r="D1152">
        <v>-6938.02</v>
      </c>
    </row>
    <row r="1153" spans="1:4" hidden="1" x14ac:dyDescent="0.3">
      <c r="A1153" t="s">
        <v>271</v>
      </c>
      <c r="B1153" t="s">
        <v>17</v>
      </c>
      <c r="C1153" s="1">
        <f>HYPERLINK("https://cao.dolgi.msk.ru/account/1011542301/", 1011542301)</f>
        <v>1011542301</v>
      </c>
      <c r="D1153">
        <v>0</v>
      </c>
    </row>
    <row r="1154" spans="1:4" x14ac:dyDescent="0.3">
      <c r="A1154" t="s">
        <v>271</v>
      </c>
      <c r="B1154" t="s">
        <v>19</v>
      </c>
      <c r="C1154" s="1">
        <f>HYPERLINK("https://cao.dolgi.msk.ru/account/1011542328/", 1011542328)</f>
        <v>1011542328</v>
      </c>
      <c r="D1154">
        <v>39254.379999999997</v>
      </c>
    </row>
    <row r="1155" spans="1:4" x14ac:dyDescent="0.3">
      <c r="A1155" t="s">
        <v>271</v>
      </c>
      <c r="B1155" t="s">
        <v>20</v>
      </c>
      <c r="C1155" s="1">
        <f>HYPERLINK("https://cao.dolgi.msk.ru/account/1011542336/", 1011542336)</f>
        <v>1011542336</v>
      </c>
      <c r="D1155">
        <v>40030.43</v>
      </c>
    </row>
    <row r="1156" spans="1:4" hidden="1" x14ac:dyDescent="0.3">
      <c r="A1156" t="s">
        <v>271</v>
      </c>
      <c r="B1156" t="s">
        <v>21</v>
      </c>
      <c r="C1156" s="1">
        <f>HYPERLINK("https://cao.dolgi.msk.ru/account/1011539858/", 1011539858)</f>
        <v>1011539858</v>
      </c>
      <c r="D1156">
        <v>0</v>
      </c>
    </row>
    <row r="1157" spans="1:4" x14ac:dyDescent="0.3">
      <c r="A1157" t="s">
        <v>271</v>
      </c>
      <c r="B1157" t="s">
        <v>24</v>
      </c>
      <c r="C1157" s="1">
        <f>HYPERLINK("https://cao.dolgi.msk.ru/account/1011542344/", 1011542344)</f>
        <v>1011542344</v>
      </c>
      <c r="D1157">
        <v>38025.68</v>
      </c>
    </row>
    <row r="1158" spans="1:4" hidden="1" x14ac:dyDescent="0.3">
      <c r="A1158" t="s">
        <v>271</v>
      </c>
      <c r="B1158" t="s">
        <v>25</v>
      </c>
      <c r="C1158" s="1">
        <f>HYPERLINK("https://cao.dolgi.msk.ru/account/1011539954/", 1011539954)</f>
        <v>1011539954</v>
      </c>
      <c r="D1158">
        <v>0</v>
      </c>
    </row>
    <row r="1159" spans="1:4" x14ac:dyDescent="0.3">
      <c r="A1159" t="s">
        <v>271</v>
      </c>
      <c r="B1159" t="s">
        <v>26</v>
      </c>
      <c r="C1159" s="1">
        <f>HYPERLINK("https://cao.dolgi.msk.ru/account/1011539989/", 1011539989)</f>
        <v>1011539989</v>
      </c>
      <c r="D1159">
        <v>3969.26</v>
      </c>
    </row>
    <row r="1160" spans="1:4" hidden="1" x14ac:dyDescent="0.3">
      <c r="A1160" t="s">
        <v>271</v>
      </c>
      <c r="B1160" t="s">
        <v>27</v>
      </c>
      <c r="C1160" s="1">
        <f>HYPERLINK("https://cao.dolgi.msk.ru/account/1011539719/", 1011539719)</f>
        <v>1011539719</v>
      </c>
      <c r="D1160">
        <v>-3986.3</v>
      </c>
    </row>
    <row r="1161" spans="1:4" x14ac:dyDescent="0.3">
      <c r="A1161" t="s">
        <v>271</v>
      </c>
      <c r="B1161" t="s">
        <v>29</v>
      </c>
      <c r="C1161" s="1">
        <f>HYPERLINK("https://cao.dolgi.msk.ru/account/1011542272/", 1011542272)</f>
        <v>1011542272</v>
      </c>
      <c r="D1161">
        <v>35647.15</v>
      </c>
    </row>
    <row r="1162" spans="1:4" x14ac:dyDescent="0.3">
      <c r="A1162" t="s">
        <v>271</v>
      </c>
      <c r="B1162" t="s">
        <v>38</v>
      </c>
      <c r="C1162" s="1">
        <f>HYPERLINK("https://cao.dolgi.msk.ru/account/1011539655/", 1011539655)</f>
        <v>1011539655</v>
      </c>
      <c r="D1162">
        <v>6082.06</v>
      </c>
    </row>
    <row r="1163" spans="1:4" x14ac:dyDescent="0.3">
      <c r="A1163" t="s">
        <v>271</v>
      </c>
      <c r="B1163" t="s">
        <v>39</v>
      </c>
      <c r="C1163" s="1">
        <f>HYPERLINK("https://cao.dolgi.msk.ru/account/1011542109/", 1011542109)</f>
        <v>1011542109</v>
      </c>
      <c r="D1163">
        <v>39319.06</v>
      </c>
    </row>
    <row r="1164" spans="1:4" hidden="1" x14ac:dyDescent="0.3">
      <c r="A1164" t="s">
        <v>271</v>
      </c>
      <c r="B1164" t="s">
        <v>40</v>
      </c>
      <c r="C1164" s="1">
        <f>HYPERLINK("https://cao.dolgi.msk.ru/account/1011540154/", 1011540154)</f>
        <v>1011540154</v>
      </c>
      <c r="D1164">
        <v>-7316.18</v>
      </c>
    </row>
    <row r="1165" spans="1:4" hidden="1" x14ac:dyDescent="0.3">
      <c r="A1165" t="s">
        <v>271</v>
      </c>
      <c r="B1165" t="s">
        <v>41</v>
      </c>
      <c r="C1165" s="1">
        <f>HYPERLINK("https://cao.dolgi.msk.ru/account/1011539399/", 1011539399)</f>
        <v>1011539399</v>
      </c>
      <c r="D1165">
        <v>0</v>
      </c>
    </row>
    <row r="1166" spans="1:4" hidden="1" x14ac:dyDescent="0.3">
      <c r="A1166" t="s">
        <v>271</v>
      </c>
      <c r="B1166" t="s">
        <v>51</v>
      </c>
      <c r="C1166" s="1">
        <f>HYPERLINK("https://cao.dolgi.msk.ru/account/1011539663/", 1011539663)</f>
        <v>1011539663</v>
      </c>
      <c r="D1166">
        <v>0</v>
      </c>
    </row>
    <row r="1167" spans="1:4" x14ac:dyDescent="0.3">
      <c r="A1167" t="s">
        <v>271</v>
      </c>
      <c r="B1167" t="s">
        <v>52</v>
      </c>
      <c r="C1167" s="1">
        <f>HYPERLINK("https://cao.dolgi.msk.ru/account/1011541771/", 1011541771)</f>
        <v>1011541771</v>
      </c>
      <c r="D1167">
        <v>17845.759999999998</v>
      </c>
    </row>
    <row r="1168" spans="1:4" hidden="1" x14ac:dyDescent="0.3">
      <c r="A1168" t="s">
        <v>271</v>
      </c>
      <c r="B1168" t="s">
        <v>53</v>
      </c>
      <c r="C1168" s="1">
        <f>HYPERLINK("https://cao.dolgi.msk.ru/account/1011541309/", 1011541309)</f>
        <v>1011541309</v>
      </c>
      <c r="D1168">
        <v>0</v>
      </c>
    </row>
    <row r="1169" spans="1:4" x14ac:dyDescent="0.3">
      <c r="A1169" t="s">
        <v>271</v>
      </c>
      <c r="B1169" t="s">
        <v>54</v>
      </c>
      <c r="C1169" s="1">
        <f>HYPERLINK("https://cao.dolgi.msk.ru/account/1011541931/", 1011541931)</f>
        <v>1011541931</v>
      </c>
      <c r="D1169">
        <v>37193.47</v>
      </c>
    </row>
    <row r="1170" spans="1:4" x14ac:dyDescent="0.3">
      <c r="A1170" t="s">
        <v>271</v>
      </c>
      <c r="B1170" t="s">
        <v>55</v>
      </c>
      <c r="C1170" s="1">
        <f>HYPERLINK("https://cao.dolgi.msk.ru/account/1011540058/", 1011540058)</f>
        <v>1011540058</v>
      </c>
      <c r="D1170">
        <v>5413.09</v>
      </c>
    </row>
    <row r="1171" spans="1:4" hidden="1" x14ac:dyDescent="0.3">
      <c r="A1171" t="s">
        <v>271</v>
      </c>
      <c r="B1171" t="s">
        <v>87</v>
      </c>
      <c r="C1171" s="1">
        <f>HYPERLINK("https://cao.dolgi.msk.ru/account/1011539604/", 1011539604)</f>
        <v>1011539604</v>
      </c>
      <c r="D1171">
        <v>0</v>
      </c>
    </row>
    <row r="1172" spans="1:4" x14ac:dyDescent="0.3">
      <c r="A1172" t="s">
        <v>271</v>
      </c>
      <c r="B1172" t="s">
        <v>88</v>
      </c>
      <c r="C1172" s="1">
        <f>HYPERLINK("https://cao.dolgi.msk.ru/account/1011539153/", 1011539153)</f>
        <v>1011539153</v>
      </c>
      <c r="D1172">
        <v>22829.87</v>
      </c>
    </row>
    <row r="1173" spans="1:4" hidden="1" x14ac:dyDescent="0.3">
      <c r="A1173" t="s">
        <v>271</v>
      </c>
      <c r="B1173" t="s">
        <v>89</v>
      </c>
      <c r="C1173" s="1">
        <f>HYPERLINK("https://cao.dolgi.msk.ru/account/1011539444/", 1011539444)</f>
        <v>1011539444</v>
      </c>
      <c r="D1173">
        <v>-861.49</v>
      </c>
    </row>
    <row r="1174" spans="1:4" x14ac:dyDescent="0.3">
      <c r="A1174" t="s">
        <v>271</v>
      </c>
      <c r="B1174" t="s">
        <v>90</v>
      </c>
      <c r="C1174" s="1">
        <f>HYPERLINK("https://cao.dolgi.msk.ru/account/1011541632/", 1011541632)</f>
        <v>1011541632</v>
      </c>
      <c r="D1174">
        <v>34353.589999999997</v>
      </c>
    </row>
    <row r="1175" spans="1:4" x14ac:dyDescent="0.3">
      <c r="A1175" t="s">
        <v>271</v>
      </c>
      <c r="B1175" t="s">
        <v>96</v>
      </c>
      <c r="C1175" s="1">
        <f>HYPERLINK("https://cao.dolgi.msk.ru/account/1011542117/", 1011542117)</f>
        <v>1011542117</v>
      </c>
      <c r="D1175">
        <v>29101.27</v>
      </c>
    </row>
    <row r="1176" spans="1:4" x14ac:dyDescent="0.3">
      <c r="A1176" t="s">
        <v>271</v>
      </c>
      <c r="B1176" t="s">
        <v>97</v>
      </c>
      <c r="C1176" s="1">
        <f>HYPERLINK("https://cao.dolgi.msk.ru/account/1011542125/", 1011542125)</f>
        <v>1011542125</v>
      </c>
      <c r="D1176">
        <v>38090.36</v>
      </c>
    </row>
    <row r="1177" spans="1:4" hidden="1" x14ac:dyDescent="0.3">
      <c r="A1177" t="s">
        <v>271</v>
      </c>
      <c r="B1177" t="s">
        <v>98</v>
      </c>
      <c r="C1177" s="1">
        <f>HYPERLINK("https://cao.dolgi.msk.ru/account/1011539217/", 1011539217)</f>
        <v>1011539217</v>
      </c>
      <c r="D1177">
        <v>-8602.23</v>
      </c>
    </row>
    <row r="1178" spans="1:4" hidden="1" x14ac:dyDescent="0.3">
      <c r="A1178" t="s">
        <v>271</v>
      </c>
      <c r="B1178" t="s">
        <v>58</v>
      </c>
      <c r="C1178" s="1">
        <f>HYPERLINK("https://cao.dolgi.msk.ru/account/1011539284/", 1011539284)</f>
        <v>1011539284</v>
      </c>
      <c r="D1178">
        <v>0</v>
      </c>
    </row>
    <row r="1179" spans="1:4" hidden="1" x14ac:dyDescent="0.3">
      <c r="A1179" t="s">
        <v>271</v>
      </c>
      <c r="B1179" t="s">
        <v>59</v>
      </c>
      <c r="C1179" s="1">
        <f>HYPERLINK("https://cao.dolgi.msk.ru/account/1011541704/", 1011541704)</f>
        <v>1011541704</v>
      </c>
      <c r="D1179">
        <v>-4892.95</v>
      </c>
    </row>
    <row r="1180" spans="1:4" hidden="1" x14ac:dyDescent="0.3">
      <c r="A1180" t="s">
        <v>271</v>
      </c>
      <c r="B1180" t="s">
        <v>60</v>
      </c>
      <c r="C1180" s="1">
        <f>HYPERLINK("https://cao.dolgi.msk.ru/account/1011539946/", 1011539946)</f>
        <v>1011539946</v>
      </c>
      <c r="D1180">
        <v>0</v>
      </c>
    </row>
    <row r="1181" spans="1:4" hidden="1" x14ac:dyDescent="0.3">
      <c r="A1181" t="s">
        <v>271</v>
      </c>
      <c r="B1181" t="s">
        <v>61</v>
      </c>
      <c r="C1181" s="1">
        <f>HYPERLINK("https://cao.dolgi.msk.ru/account/1011539364/", 1011539364)</f>
        <v>1011539364</v>
      </c>
      <c r="D1181">
        <v>-4023.17</v>
      </c>
    </row>
    <row r="1182" spans="1:4" hidden="1" x14ac:dyDescent="0.3">
      <c r="A1182" t="s">
        <v>271</v>
      </c>
      <c r="B1182" t="s">
        <v>62</v>
      </c>
      <c r="C1182" s="1">
        <f>HYPERLINK("https://cao.dolgi.msk.ru/account/1011541843/", 1011541843)</f>
        <v>1011541843</v>
      </c>
      <c r="D1182">
        <v>0</v>
      </c>
    </row>
    <row r="1183" spans="1:4" hidden="1" x14ac:dyDescent="0.3">
      <c r="A1183" t="s">
        <v>271</v>
      </c>
      <c r="B1183" t="s">
        <v>63</v>
      </c>
      <c r="C1183" s="1">
        <f>HYPERLINK("https://cao.dolgi.msk.ru/account/1011541376/", 1011541376)</f>
        <v>1011541376</v>
      </c>
      <c r="D1183">
        <v>0</v>
      </c>
    </row>
    <row r="1184" spans="1:4" hidden="1" x14ac:dyDescent="0.3">
      <c r="A1184" t="s">
        <v>271</v>
      </c>
      <c r="B1184" t="s">
        <v>64</v>
      </c>
      <c r="C1184" s="1">
        <f>HYPERLINK("https://cao.dolgi.msk.ru/account/1011540111/", 1011540111)</f>
        <v>1011540111</v>
      </c>
      <c r="D1184">
        <v>-7455.59</v>
      </c>
    </row>
    <row r="1185" spans="1:4" hidden="1" x14ac:dyDescent="0.3">
      <c r="A1185" t="s">
        <v>271</v>
      </c>
      <c r="B1185" t="s">
        <v>65</v>
      </c>
      <c r="C1185" s="1">
        <f>HYPERLINK("https://cao.dolgi.msk.ru/account/1011539823/", 1011539823)</f>
        <v>1011539823</v>
      </c>
      <c r="D1185">
        <v>0</v>
      </c>
    </row>
    <row r="1186" spans="1:4" hidden="1" x14ac:dyDescent="0.3">
      <c r="A1186" t="s">
        <v>271</v>
      </c>
      <c r="B1186" t="s">
        <v>66</v>
      </c>
      <c r="C1186" s="1">
        <f>HYPERLINK("https://cao.dolgi.msk.ru/account/1011539452/", 1011539452)</f>
        <v>1011539452</v>
      </c>
      <c r="D1186">
        <v>0</v>
      </c>
    </row>
    <row r="1187" spans="1:4" hidden="1" x14ac:dyDescent="0.3">
      <c r="A1187" t="s">
        <v>271</v>
      </c>
      <c r="B1187" t="s">
        <v>67</v>
      </c>
      <c r="C1187" s="1">
        <f>HYPERLINK("https://cao.dolgi.msk.ru/account/1011541456/", 1011541456)</f>
        <v>1011541456</v>
      </c>
      <c r="D1187">
        <v>-6402.81</v>
      </c>
    </row>
    <row r="1188" spans="1:4" hidden="1" x14ac:dyDescent="0.3">
      <c r="A1188" t="s">
        <v>271</v>
      </c>
      <c r="B1188" t="s">
        <v>68</v>
      </c>
      <c r="C1188" s="1">
        <f>HYPERLINK("https://cao.dolgi.msk.ru/account/1011539647/", 1011539647)</f>
        <v>1011539647</v>
      </c>
      <c r="D1188">
        <v>0</v>
      </c>
    </row>
    <row r="1189" spans="1:4" x14ac:dyDescent="0.3">
      <c r="A1189" t="s">
        <v>271</v>
      </c>
      <c r="B1189" t="s">
        <v>69</v>
      </c>
      <c r="C1189" s="1">
        <f>HYPERLINK("https://cao.dolgi.msk.ru/account/1011541958/", 1011541958)</f>
        <v>1011541958</v>
      </c>
      <c r="D1189">
        <v>35481.870000000003</v>
      </c>
    </row>
    <row r="1190" spans="1:4" x14ac:dyDescent="0.3">
      <c r="A1190" t="s">
        <v>271</v>
      </c>
      <c r="B1190" t="s">
        <v>70</v>
      </c>
      <c r="C1190" s="1">
        <f>HYPERLINK("https://cao.dolgi.msk.ru/account/1011539137/", 1011539137)</f>
        <v>1011539137</v>
      </c>
      <c r="D1190">
        <v>2279.35</v>
      </c>
    </row>
    <row r="1191" spans="1:4" x14ac:dyDescent="0.3">
      <c r="A1191" t="s">
        <v>271</v>
      </c>
      <c r="B1191" t="s">
        <v>259</v>
      </c>
      <c r="C1191" s="1">
        <f>HYPERLINK("https://cao.dolgi.msk.ru/account/1011539807/", 1011539807)</f>
        <v>1011539807</v>
      </c>
      <c r="D1191">
        <v>25632.37</v>
      </c>
    </row>
    <row r="1192" spans="1:4" x14ac:dyDescent="0.3">
      <c r="A1192" t="s">
        <v>271</v>
      </c>
      <c r="B1192" t="s">
        <v>100</v>
      </c>
      <c r="C1192" s="1">
        <f>HYPERLINK("https://cao.dolgi.msk.ru/account/1011539188/", 1011539188)</f>
        <v>1011539188</v>
      </c>
      <c r="D1192">
        <v>22566.42</v>
      </c>
    </row>
    <row r="1193" spans="1:4" hidden="1" x14ac:dyDescent="0.3">
      <c r="A1193" t="s">
        <v>271</v>
      </c>
      <c r="B1193" t="s">
        <v>72</v>
      </c>
      <c r="C1193" s="1">
        <f>HYPERLINK("https://cao.dolgi.msk.ru/account/1011539073/", 1011539073)</f>
        <v>1011539073</v>
      </c>
      <c r="D1193">
        <v>0</v>
      </c>
    </row>
    <row r="1194" spans="1:4" hidden="1" x14ac:dyDescent="0.3">
      <c r="A1194" t="s">
        <v>271</v>
      </c>
      <c r="B1194" t="s">
        <v>73</v>
      </c>
      <c r="C1194" s="1">
        <f>HYPERLINK("https://cao.dolgi.msk.ru/account/1011542029/", 1011542029)</f>
        <v>1011542029</v>
      </c>
      <c r="D1194">
        <v>0</v>
      </c>
    </row>
    <row r="1195" spans="1:4" x14ac:dyDescent="0.3">
      <c r="A1195" t="s">
        <v>271</v>
      </c>
      <c r="B1195" t="s">
        <v>74</v>
      </c>
      <c r="C1195" s="1">
        <f>HYPERLINK("https://cao.dolgi.msk.ru/account/1011542037/", 1011542037)</f>
        <v>1011542037</v>
      </c>
      <c r="D1195">
        <v>42320.32</v>
      </c>
    </row>
    <row r="1196" spans="1:4" x14ac:dyDescent="0.3">
      <c r="A1196" t="s">
        <v>271</v>
      </c>
      <c r="B1196" t="s">
        <v>75</v>
      </c>
      <c r="C1196" s="1">
        <f>HYPERLINK("https://cao.dolgi.msk.ru/account/1011539268/", 1011539268)</f>
        <v>1011539268</v>
      </c>
      <c r="D1196">
        <v>3445.11</v>
      </c>
    </row>
    <row r="1197" spans="1:4" hidden="1" x14ac:dyDescent="0.3">
      <c r="A1197" t="s">
        <v>271</v>
      </c>
      <c r="B1197" t="s">
        <v>76</v>
      </c>
      <c r="C1197" s="1">
        <f>HYPERLINK("https://cao.dolgi.msk.ru/account/1011539401/", 1011539401)</f>
        <v>1011539401</v>
      </c>
      <c r="D1197">
        <v>0</v>
      </c>
    </row>
    <row r="1198" spans="1:4" x14ac:dyDescent="0.3">
      <c r="A1198" t="s">
        <v>271</v>
      </c>
      <c r="B1198" t="s">
        <v>77</v>
      </c>
      <c r="C1198" s="1">
        <f>HYPERLINK("https://cao.dolgi.msk.ru/account/1011542002/", 1011542002)</f>
        <v>1011542002</v>
      </c>
      <c r="D1198">
        <v>49036.57</v>
      </c>
    </row>
    <row r="1199" spans="1:4" hidden="1" x14ac:dyDescent="0.3">
      <c r="A1199" t="s">
        <v>271</v>
      </c>
      <c r="B1199" t="s">
        <v>78</v>
      </c>
      <c r="C1199" s="1">
        <f>HYPERLINK("https://cao.dolgi.msk.ru/account/1011539196/", 1011539196)</f>
        <v>1011539196</v>
      </c>
      <c r="D1199">
        <v>0</v>
      </c>
    </row>
    <row r="1200" spans="1:4" hidden="1" x14ac:dyDescent="0.3">
      <c r="A1200" t="s">
        <v>271</v>
      </c>
      <c r="B1200" t="s">
        <v>79</v>
      </c>
      <c r="C1200" s="1">
        <f>HYPERLINK("https://cao.dolgi.msk.ru/account/1011541333/", 1011541333)</f>
        <v>1011541333</v>
      </c>
      <c r="D1200">
        <v>0</v>
      </c>
    </row>
    <row r="1201" spans="1:4" hidden="1" x14ac:dyDescent="0.3">
      <c r="A1201" t="s">
        <v>271</v>
      </c>
      <c r="B1201" t="s">
        <v>80</v>
      </c>
      <c r="C1201" s="1">
        <f>HYPERLINK("https://cao.dolgi.msk.ru/account/1011539313/", 1011539313)</f>
        <v>1011539313</v>
      </c>
      <c r="D1201">
        <v>0</v>
      </c>
    </row>
    <row r="1202" spans="1:4" hidden="1" x14ac:dyDescent="0.3">
      <c r="A1202" t="s">
        <v>271</v>
      </c>
      <c r="B1202" t="s">
        <v>81</v>
      </c>
      <c r="C1202" s="1">
        <f>HYPERLINK("https://cao.dolgi.msk.ru/account/1011539524/", 1011539524)</f>
        <v>1011539524</v>
      </c>
      <c r="D1202">
        <v>-6694.71</v>
      </c>
    </row>
    <row r="1203" spans="1:4" x14ac:dyDescent="0.3">
      <c r="A1203" t="s">
        <v>271</v>
      </c>
      <c r="B1203" t="s">
        <v>101</v>
      </c>
      <c r="C1203" s="1">
        <f>HYPERLINK("https://cao.dolgi.msk.ru/account/1011539065/", 1011539065)</f>
        <v>1011539065</v>
      </c>
      <c r="D1203">
        <v>4081.21</v>
      </c>
    </row>
    <row r="1204" spans="1:4" hidden="1" x14ac:dyDescent="0.3">
      <c r="A1204" t="s">
        <v>271</v>
      </c>
      <c r="B1204" t="s">
        <v>82</v>
      </c>
      <c r="C1204" s="1">
        <f>HYPERLINK("https://cao.dolgi.msk.ru/account/1011539321/", 1011539321)</f>
        <v>1011539321</v>
      </c>
      <c r="D1204">
        <v>0</v>
      </c>
    </row>
    <row r="1205" spans="1:4" x14ac:dyDescent="0.3">
      <c r="A1205" t="s">
        <v>271</v>
      </c>
      <c r="B1205" t="s">
        <v>83</v>
      </c>
      <c r="C1205" s="1">
        <f>HYPERLINK("https://cao.dolgi.msk.ru/account/1011542133/", 1011542133)</f>
        <v>1011542133</v>
      </c>
      <c r="D1205">
        <v>60595.26</v>
      </c>
    </row>
    <row r="1206" spans="1:4" hidden="1" x14ac:dyDescent="0.3">
      <c r="A1206" t="s">
        <v>271</v>
      </c>
      <c r="B1206" t="s">
        <v>84</v>
      </c>
      <c r="C1206" s="1">
        <f>HYPERLINK("https://cao.dolgi.msk.ru/account/1011539102/", 1011539102)</f>
        <v>1011539102</v>
      </c>
      <c r="D1206">
        <v>0</v>
      </c>
    </row>
    <row r="1207" spans="1:4" x14ac:dyDescent="0.3">
      <c r="A1207" t="s">
        <v>271</v>
      </c>
      <c r="B1207" t="s">
        <v>85</v>
      </c>
      <c r="C1207" s="1">
        <f>HYPERLINK("https://cao.dolgi.msk.ru/account/1011541317/", 1011541317)</f>
        <v>1011541317</v>
      </c>
      <c r="D1207">
        <v>21799.5</v>
      </c>
    </row>
    <row r="1208" spans="1:4" hidden="1" x14ac:dyDescent="0.3">
      <c r="A1208" t="s">
        <v>271</v>
      </c>
      <c r="B1208" t="s">
        <v>102</v>
      </c>
      <c r="C1208" s="1">
        <f>HYPERLINK("https://cao.dolgi.msk.ru/account/1011541878/", 1011541878)</f>
        <v>1011541878</v>
      </c>
      <c r="D1208">
        <v>0</v>
      </c>
    </row>
    <row r="1209" spans="1:4" x14ac:dyDescent="0.3">
      <c r="A1209" t="s">
        <v>271</v>
      </c>
      <c r="B1209" t="s">
        <v>103</v>
      </c>
      <c r="C1209" s="1">
        <f>HYPERLINK("https://cao.dolgi.msk.ru/account/1011542141/", 1011542141)</f>
        <v>1011542141</v>
      </c>
      <c r="D1209">
        <v>60142.61</v>
      </c>
    </row>
    <row r="1210" spans="1:4" hidden="1" x14ac:dyDescent="0.3">
      <c r="A1210" t="s">
        <v>271</v>
      </c>
      <c r="B1210" t="s">
        <v>104</v>
      </c>
      <c r="C1210" s="1">
        <f>HYPERLINK("https://cao.dolgi.msk.ru/account/1011540031/", 1011540031)</f>
        <v>1011540031</v>
      </c>
      <c r="D1210">
        <v>0</v>
      </c>
    </row>
    <row r="1211" spans="1:4" hidden="1" x14ac:dyDescent="0.3">
      <c r="A1211" t="s">
        <v>271</v>
      </c>
      <c r="B1211" t="s">
        <v>105</v>
      </c>
      <c r="C1211" s="1">
        <f>HYPERLINK("https://cao.dolgi.msk.ru/account/1011539057/", 1011539057)</f>
        <v>1011539057</v>
      </c>
      <c r="D1211">
        <v>-1615.51</v>
      </c>
    </row>
    <row r="1212" spans="1:4" hidden="1" x14ac:dyDescent="0.3">
      <c r="A1212" t="s">
        <v>271</v>
      </c>
      <c r="B1212" t="s">
        <v>106</v>
      </c>
      <c r="C1212" s="1">
        <f>HYPERLINK("https://cao.dolgi.msk.ru/account/1011541181/", 1011541181)</f>
        <v>1011541181</v>
      </c>
      <c r="D1212">
        <v>-234.89</v>
      </c>
    </row>
    <row r="1213" spans="1:4" hidden="1" x14ac:dyDescent="0.3">
      <c r="A1213" t="s">
        <v>271</v>
      </c>
      <c r="B1213" t="s">
        <v>107</v>
      </c>
      <c r="C1213" s="1">
        <f>HYPERLINK("https://cao.dolgi.msk.ru/account/1011539567/", 1011539567)</f>
        <v>1011539567</v>
      </c>
      <c r="D1213">
        <v>0</v>
      </c>
    </row>
    <row r="1214" spans="1:4" x14ac:dyDescent="0.3">
      <c r="A1214" t="s">
        <v>271</v>
      </c>
      <c r="B1214" t="s">
        <v>109</v>
      </c>
      <c r="C1214" s="1">
        <f>HYPERLINK("https://cao.dolgi.msk.ru/account/1011539903/", 1011539903)</f>
        <v>1011539903</v>
      </c>
      <c r="D1214">
        <v>22127.94</v>
      </c>
    </row>
    <row r="1215" spans="1:4" hidden="1" x14ac:dyDescent="0.3">
      <c r="A1215" t="s">
        <v>271</v>
      </c>
      <c r="B1215" t="s">
        <v>110</v>
      </c>
      <c r="C1215" s="1">
        <f>HYPERLINK("https://cao.dolgi.msk.ru/account/1011539233/", 1011539233)</f>
        <v>1011539233</v>
      </c>
      <c r="D1215">
        <v>0</v>
      </c>
    </row>
    <row r="1216" spans="1:4" x14ac:dyDescent="0.3">
      <c r="A1216" t="s">
        <v>271</v>
      </c>
      <c r="B1216" t="s">
        <v>111</v>
      </c>
      <c r="C1216" s="1">
        <f>HYPERLINK("https://cao.dolgi.msk.ru/account/1011541974/", 1011541974)</f>
        <v>1011541974</v>
      </c>
      <c r="D1216">
        <v>55147.83</v>
      </c>
    </row>
    <row r="1217" spans="1:4" hidden="1" x14ac:dyDescent="0.3">
      <c r="A1217" t="s">
        <v>271</v>
      </c>
      <c r="B1217" t="s">
        <v>112</v>
      </c>
      <c r="C1217" s="1">
        <f>HYPERLINK("https://cao.dolgi.msk.ru/account/1011539014/", 1011539014)</f>
        <v>1011539014</v>
      </c>
      <c r="D1217">
        <v>-5287.13</v>
      </c>
    </row>
    <row r="1218" spans="1:4" x14ac:dyDescent="0.3">
      <c r="A1218" t="s">
        <v>271</v>
      </c>
      <c r="B1218" t="s">
        <v>114</v>
      </c>
      <c r="C1218" s="1">
        <f>HYPERLINK("https://cao.dolgi.msk.ru/account/1011540859/", 1011540859)</f>
        <v>1011540859</v>
      </c>
      <c r="D1218">
        <v>49558.05</v>
      </c>
    </row>
    <row r="1219" spans="1:4" hidden="1" x14ac:dyDescent="0.3">
      <c r="A1219" t="s">
        <v>271</v>
      </c>
      <c r="B1219" t="s">
        <v>115</v>
      </c>
      <c r="C1219" s="1">
        <f>HYPERLINK("https://cao.dolgi.msk.ru/account/1011539436/", 1011539436)</f>
        <v>1011539436</v>
      </c>
      <c r="D1219">
        <v>-1583.29</v>
      </c>
    </row>
    <row r="1220" spans="1:4" hidden="1" x14ac:dyDescent="0.3">
      <c r="A1220" t="s">
        <v>271</v>
      </c>
      <c r="B1220" t="s">
        <v>116</v>
      </c>
      <c r="C1220" s="1">
        <f>HYPERLINK("https://cao.dolgi.msk.ru/account/1011539276/", 1011539276)</f>
        <v>1011539276</v>
      </c>
      <c r="D1220">
        <v>0</v>
      </c>
    </row>
    <row r="1221" spans="1:4" hidden="1" x14ac:dyDescent="0.3">
      <c r="A1221" t="s">
        <v>271</v>
      </c>
      <c r="B1221" t="s">
        <v>266</v>
      </c>
      <c r="C1221" s="1">
        <f>HYPERLINK("https://cao.dolgi.msk.ru/account/1011541966/", 1011541966)</f>
        <v>1011541966</v>
      </c>
      <c r="D1221">
        <v>0</v>
      </c>
    </row>
    <row r="1222" spans="1:4" x14ac:dyDescent="0.3">
      <c r="A1222" t="s">
        <v>271</v>
      </c>
      <c r="B1222" t="s">
        <v>117</v>
      </c>
      <c r="C1222" s="1">
        <f>HYPERLINK("https://cao.dolgi.msk.ru/account/1011542168/", 1011542168)</f>
        <v>1011542168</v>
      </c>
      <c r="D1222">
        <v>30653.37</v>
      </c>
    </row>
    <row r="1223" spans="1:4" hidden="1" x14ac:dyDescent="0.3">
      <c r="A1223" t="s">
        <v>271</v>
      </c>
      <c r="B1223" t="s">
        <v>118</v>
      </c>
      <c r="C1223" s="1">
        <f>HYPERLINK("https://cao.dolgi.msk.ru/account/1011541229/", 1011541229)</f>
        <v>1011541229</v>
      </c>
      <c r="D1223">
        <v>-0.01</v>
      </c>
    </row>
    <row r="1224" spans="1:4" hidden="1" x14ac:dyDescent="0.3">
      <c r="A1224" t="s">
        <v>271</v>
      </c>
      <c r="B1224" t="s">
        <v>119</v>
      </c>
      <c r="C1224" s="1">
        <f>HYPERLINK("https://cao.dolgi.msk.ru/account/1011539727/", 1011539727)</f>
        <v>1011539727</v>
      </c>
      <c r="D1224">
        <v>-435.4</v>
      </c>
    </row>
    <row r="1225" spans="1:4" hidden="1" x14ac:dyDescent="0.3">
      <c r="A1225" t="s">
        <v>271</v>
      </c>
      <c r="B1225" t="s">
        <v>120</v>
      </c>
      <c r="C1225" s="1">
        <f>HYPERLINK("https://cao.dolgi.msk.ru/account/1011539022/", 1011539022)</f>
        <v>1011539022</v>
      </c>
      <c r="D1225">
        <v>-3694.67</v>
      </c>
    </row>
    <row r="1226" spans="1:4" x14ac:dyDescent="0.3">
      <c r="A1226" t="s">
        <v>271</v>
      </c>
      <c r="B1226" t="s">
        <v>121</v>
      </c>
      <c r="C1226" s="1">
        <f>HYPERLINK("https://cao.dolgi.msk.ru/account/1011542176/", 1011542176)</f>
        <v>1011542176</v>
      </c>
      <c r="D1226">
        <v>29165.95</v>
      </c>
    </row>
    <row r="1227" spans="1:4" hidden="1" x14ac:dyDescent="0.3">
      <c r="A1227" t="s">
        <v>271</v>
      </c>
      <c r="B1227" t="s">
        <v>122</v>
      </c>
      <c r="C1227" s="1">
        <f>HYPERLINK("https://cao.dolgi.msk.ru/account/1011534619/", 1011534619)</f>
        <v>1011534619</v>
      </c>
      <c r="D1227">
        <v>-6437.36</v>
      </c>
    </row>
    <row r="1228" spans="1:4" x14ac:dyDescent="0.3">
      <c r="A1228" t="s">
        <v>271</v>
      </c>
      <c r="B1228" t="s">
        <v>123</v>
      </c>
      <c r="C1228" s="1">
        <f>HYPERLINK("https://cao.dolgi.msk.ru/account/1011539495/", 1011539495)</f>
        <v>1011539495</v>
      </c>
      <c r="D1228">
        <v>22248.29</v>
      </c>
    </row>
    <row r="1229" spans="1:4" hidden="1" x14ac:dyDescent="0.3">
      <c r="A1229" t="s">
        <v>271</v>
      </c>
      <c r="B1229" t="s">
        <v>124</v>
      </c>
      <c r="C1229" s="1">
        <f>HYPERLINK("https://cao.dolgi.msk.ru/account/1011539778/", 1011539778)</f>
        <v>1011539778</v>
      </c>
      <c r="D1229">
        <v>-2373.0300000000002</v>
      </c>
    </row>
    <row r="1230" spans="1:4" hidden="1" x14ac:dyDescent="0.3">
      <c r="A1230" t="s">
        <v>271</v>
      </c>
      <c r="B1230" t="s">
        <v>125</v>
      </c>
      <c r="C1230" s="1">
        <f>HYPERLINK("https://cao.dolgi.msk.ru/account/1011539516/", 1011539516)</f>
        <v>1011539516</v>
      </c>
      <c r="D1230">
        <v>-8351.3700000000008</v>
      </c>
    </row>
    <row r="1231" spans="1:4" hidden="1" x14ac:dyDescent="0.3">
      <c r="A1231" t="s">
        <v>271</v>
      </c>
      <c r="B1231" t="s">
        <v>126</v>
      </c>
      <c r="C1231" s="1">
        <f>HYPERLINK("https://cao.dolgi.msk.ru/account/1011540947/", 1011540947)</f>
        <v>1011540947</v>
      </c>
      <c r="D1231">
        <v>0</v>
      </c>
    </row>
    <row r="1232" spans="1:4" hidden="1" x14ac:dyDescent="0.3">
      <c r="A1232" t="s">
        <v>271</v>
      </c>
      <c r="B1232" t="s">
        <v>127</v>
      </c>
      <c r="C1232" s="1">
        <f>HYPERLINK("https://cao.dolgi.msk.ru/account/1011539639/", 1011539639)</f>
        <v>1011539639</v>
      </c>
      <c r="D1232">
        <v>0</v>
      </c>
    </row>
    <row r="1233" spans="1:4" x14ac:dyDescent="0.3">
      <c r="A1233" t="s">
        <v>271</v>
      </c>
      <c r="B1233" t="s">
        <v>262</v>
      </c>
      <c r="C1233" s="1">
        <f>HYPERLINK("https://cao.dolgi.msk.ru/account/1011541392/", 1011541392)</f>
        <v>1011541392</v>
      </c>
      <c r="D1233">
        <v>33877.14</v>
      </c>
    </row>
    <row r="1234" spans="1:4" x14ac:dyDescent="0.3">
      <c r="A1234" t="s">
        <v>271</v>
      </c>
      <c r="B1234" t="s">
        <v>128</v>
      </c>
      <c r="C1234" s="1">
        <f>HYPERLINK("https://cao.dolgi.msk.ru/account/1011539938/", 1011539938)</f>
        <v>1011539938</v>
      </c>
      <c r="D1234">
        <v>31913.83</v>
      </c>
    </row>
    <row r="1235" spans="1:4" x14ac:dyDescent="0.3">
      <c r="A1235" t="s">
        <v>271</v>
      </c>
      <c r="B1235" t="s">
        <v>129</v>
      </c>
      <c r="C1235" s="1">
        <f>HYPERLINK("https://cao.dolgi.msk.ru/account/1011538994/", 1011538994)</f>
        <v>1011538994</v>
      </c>
      <c r="D1235">
        <v>2925.82</v>
      </c>
    </row>
    <row r="1236" spans="1:4" x14ac:dyDescent="0.3">
      <c r="A1236" t="s">
        <v>271</v>
      </c>
      <c r="B1236" t="s">
        <v>130</v>
      </c>
      <c r="C1236" s="1">
        <f>HYPERLINK("https://cao.dolgi.msk.ru/account/1011542184/", 1011542184)</f>
        <v>1011542184</v>
      </c>
      <c r="D1236">
        <v>29036.59</v>
      </c>
    </row>
    <row r="1237" spans="1:4" x14ac:dyDescent="0.3">
      <c r="A1237" t="s">
        <v>271</v>
      </c>
      <c r="B1237" t="s">
        <v>131</v>
      </c>
      <c r="C1237" s="1">
        <f>HYPERLINK("https://cao.dolgi.msk.ru/account/1011542192/", 1011542192)</f>
        <v>1011542192</v>
      </c>
      <c r="D1237">
        <v>30653.37</v>
      </c>
    </row>
    <row r="1238" spans="1:4" x14ac:dyDescent="0.3">
      <c r="A1238" t="s">
        <v>271</v>
      </c>
      <c r="B1238" t="s">
        <v>132</v>
      </c>
      <c r="C1238" s="1">
        <f>HYPERLINK("https://cao.dolgi.msk.ru/account/1011542205/", 1011542205)</f>
        <v>1011542205</v>
      </c>
      <c r="D1238">
        <v>48502.19</v>
      </c>
    </row>
    <row r="1239" spans="1:4" hidden="1" x14ac:dyDescent="0.3">
      <c r="A1239" t="s">
        <v>271</v>
      </c>
      <c r="B1239" t="s">
        <v>133</v>
      </c>
      <c r="C1239" s="1">
        <f>HYPERLINK("https://cao.dolgi.msk.ru/account/1011539882/", 1011539882)</f>
        <v>1011539882</v>
      </c>
      <c r="D1239">
        <v>0</v>
      </c>
    </row>
    <row r="1240" spans="1:4" hidden="1" x14ac:dyDescent="0.3">
      <c r="A1240" t="s">
        <v>271</v>
      </c>
      <c r="B1240" t="s">
        <v>135</v>
      </c>
      <c r="C1240" s="1">
        <f>HYPERLINK("https://cao.dolgi.msk.ru/account/1011539487/", 1011539487)</f>
        <v>1011539487</v>
      </c>
      <c r="D1240">
        <v>0</v>
      </c>
    </row>
    <row r="1241" spans="1:4" hidden="1" x14ac:dyDescent="0.3">
      <c r="A1241" t="s">
        <v>271</v>
      </c>
      <c r="B1241" t="s">
        <v>264</v>
      </c>
      <c r="C1241" s="1">
        <f>HYPERLINK("https://cao.dolgi.msk.ru/account/1011541915/", 1011541915)</f>
        <v>1011541915</v>
      </c>
      <c r="D1241">
        <v>0</v>
      </c>
    </row>
    <row r="1242" spans="1:4" x14ac:dyDescent="0.3">
      <c r="A1242" t="s">
        <v>271</v>
      </c>
      <c r="B1242" t="s">
        <v>136</v>
      </c>
      <c r="C1242" s="1">
        <f>HYPERLINK("https://cao.dolgi.msk.ru/account/1011542213/", 1011542213)</f>
        <v>1011542213</v>
      </c>
      <c r="D1242">
        <v>48631.55</v>
      </c>
    </row>
    <row r="1243" spans="1:4" hidden="1" x14ac:dyDescent="0.3">
      <c r="A1243" t="s">
        <v>271</v>
      </c>
      <c r="B1243" t="s">
        <v>137</v>
      </c>
      <c r="C1243" s="1">
        <f>HYPERLINK("https://cao.dolgi.msk.ru/account/1011541296/", 1011541296)</f>
        <v>1011541296</v>
      </c>
      <c r="D1243">
        <v>-18634.68</v>
      </c>
    </row>
    <row r="1244" spans="1:4" hidden="1" x14ac:dyDescent="0.3">
      <c r="A1244" t="s">
        <v>271</v>
      </c>
      <c r="B1244" t="s">
        <v>138</v>
      </c>
      <c r="C1244" s="1">
        <f>HYPERLINK("https://cao.dolgi.msk.ru/account/1011539698/", 1011539698)</f>
        <v>1011539698</v>
      </c>
      <c r="D1244">
        <v>-6542.53</v>
      </c>
    </row>
    <row r="1245" spans="1:4" x14ac:dyDescent="0.3">
      <c r="A1245" t="s">
        <v>271</v>
      </c>
      <c r="B1245" t="s">
        <v>139</v>
      </c>
      <c r="C1245" s="1">
        <f>HYPERLINK("https://cao.dolgi.msk.ru/account/1011542221/", 1011542221)</f>
        <v>1011542221</v>
      </c>
      <c r="D1245">
        <v>29101.27</v>
      </c>
    </row>
    <row r="1246" spans="1:4" x14ac:dyDescent="0.3">
      <c r="A1246" t="s">
        <v>271</v>
      </c>
      <c r="B1246" t="s">
        <v>140</v>
      </c>
      <c r="C1246" s="1">
        <f>HYPERLINK("https://cao.dolgi.msk.ru/account/1011542248/", 1011542248)</f>
        <v>1011542248</v>
      </c>
      <c r="D1246">
        <v>30718.05</v>
      </c>
    </row>
    <row r="1247" spans="1:4" x14ac:dyDescent="0.3">
      <c r="A1247" t="s">
        <v>271</v>
      </c>
      <c r="B1247" t="s">
        <v>141</v>
      </c>
      <c r="C1247" s="1">
        <f>HYPERLINK("https://cao.dolgi.msk.ru/account/1011541923/", 1011541923)</f>
        <v>1011541923</v>
      </c>
      <c r="D1247">
        <v>35306.230000000003</v>
      </c>
    </row>
    <row r="1248" spans="1:4" x14ac:dyDescent="0.3">
      <c r="A1248" t="s">
        <v>271</v>
      </c>
      <c r="B1248" t="s">
        <v>142</v>
      </c>
      <c r="C1248" s="1">
        <f>HYPERLINK("https://cao.dolgi.msk.ru/account/1011541413/", 1011541413)</f>
        <v>1011541413</v>
      </c>
      <c r="D1248">
        <v>33079.03</v>
      </c>
    </row>
    <row r="1249" spans="1:4" hidden="1" x14ac:dyDescent="0.3">
      <c r="A1249" t="s">
        <v>271</v>
      </c>
      <c r="B1249" t="s">
        <v>143</v>
      </c>
      <c r="C1249" s="1">
        <f>HYPERLINK("https://cao.dolgi.msk.ru/account/1011539786/", 1011539786)</f>
        <v>1011539786</v>
      </c>
      <c r="D1249">
        <v>-909.42</v>
      </c>
    </row>
    <row r="1250" spans="1:4" x14ac:dyDescent="0.3">
      <c r="A1250" t="s">
        <v>271</v>
      </c>
      <c r="B1250" t="s">
        <v>144</v>
      </c>
      <c r="C1250" s="1">
        <f>HYPERLINK("https://cao.dolgi.msk.ru/account/1011538847/", 1011538847)</f>
        <v>1011538847</v>
      </c>
      <c r="D1250">
        <v>2161.02</v>
      </c>
    </row>
    <row r="1251" spans="1:4" x14ac:dyDescent="0.3">
      <c r="A1251" t="s">
        <v>271</v>
      </c>
      <c r="B1251" t="s">
        <v>145</v>
      </c>
      <c r="C1251" s="1">
        <f>HYPERLINK("https://cao.dolgi.msk.ru/account/1011542256/", 1011542256)</f>
        <v>1011542256</v>
      </c>
      <c r="D1251">
        <v>30653.37</v>
      </c>
    </row>
    <row r="1252" spans="1:4" x14ac:dyDescent="0.3">
      <c r="A1252" t="s">
        <v>271</v>
      </c>
      <c r="B1252" t="s">
        <v>146</v>
      </c>
      <c r="C1252" s="1">
        <f>HYPERLINK("https://cao.dolgi.msk.ru/account/1011541667/", 1011541667)</f>
        <v>1011541667</v>
      </c>
      <c r="D1252">
        <v>16264.09</v>
      </c>
    </row>
    <row r="1253" spans="1:4" hidden="1" x14ac:dyDescent="0.3">
      <c r="A1253" t="s">
        <v>271</v>
      </c>
      <c r="B1253" t="s">
        <v>147</v>
      </c>
      <c r="C1253" s="1">
        <f>HYPERLINK("https://cao.dolgi.msk.ru/account/1011539575/", 1011539575)</f>
        <v>1011539575</v>
      </c>
      <c r="D1253">
        <v>0</v>
      </c>
    </row>
    <row r="1254" spans="1:4" hidden="1" x14ac:dyDescent="0.3">
      <c r="A1254" t="s">
        <v>271</v>
      </c>
      <c r="B1254" t="s">
        <v>148</v>
      </c>
      <c r="C1254" s="1">
        <f>HYPERLINK("https://cao.dolgi.msk.ru/account/1011539348/", 1011539348)</f>
        <v>1011539348</v>
      </c>
      <c r="D1254">
        <v>-3682.07</v>
      </c>
    </row>
    <row r="1255" spans="1:4" hidden="1" x14ac:dyDescent="0.3">
      <c r="A1255" t="s">
        <v>271</v>
      </c>
      <c r="B1255" t="s">
        <v>149</v>
      </c>
      <c r="C1255" s="1">
        <f>HYPERLINK("https://cao.dolgi.msk.ru/account/1011539508/", 1011539508)</f>
        <v>1011539508</v>
      </c>
      <c r="D1255">
        <v>-1536.91</v>
      </c>
    </row>
    <row r="1256" spans="1:4" x14ac:dyDescent="0.3">
      <c r="A1256" t="s">
        <v>271</v>
      </c>
      <c r="B1256" t="s">
        <v>150</v>
      </c>
      <c r="C1256" s="1">
        <f>HYPERLINK("https://cao.dolgi.msk.ru/account/1011541739/", 1011541739)</f>
        <v>1011541739</v>
      </c>
      <c r="D1256">
        <v>5704.98</v>
      </c>
    </row>
    <row r="1257" spans="1:4" x14ac:dyDescent="0.3">
      <c r="A1257" t="s">
        <v>271</v>
      </c>
      <c r="B1257" t="s">
        <v>151</v>
      </c>
      <c r="C1257" s="1">
        <f>HYPERLINK("https://cao.dolgi.msk.ru/account/1011540955/", 1011540955)</f>
        <v>1011540955</v>
      </c>
      <c r="D1257">
        <v>35023.160000000003</v>
      </c>
    </row>
    <row r="1258" spans="1:4" hidden="1" x14ac:dyDescent="0.3">
      <c r="A1258" t="s">
        <v>271</v>
      </c>
      <c r="B1258" t="s">
        <v>152</v>
      </c>
      <c r="C1258" s="1">
        <f>HYPERLINK("https://cao.dolgi.msk.ru/account/1011538943/", 1011538943)</f>
        <v>1011538943</v>
      </c>
      <c r="D1258">
        <v>0</v>
      </c>
    </row>
    <row r="1259" spans="1:4" hidden="1" x14ac:dyDescent="0.3">
      <c r="A1259" t="s">
        <v>271</v>
      </c>
      <c r="B1259" t="s">
        <v>153</v>
      </c>
      <c r="C1259" s="1">
        <f>HYPERLINK("https://cao.dolgi.msk.ru/account/1011539612/", 1011539612)</f>
        <v>1011539612</v>
      </c>
      <c r="D1259">
        <v>-5407.38</v>
      </c>
    </row>
    <row r="1260" spans="1:4" x14ac:dyDescent="0.3">
      <c r="A1260" t="s">
        <v>271</v>
      </c>
      <c r="B1260" t="s">
        <v>154</v>
      </c>
      <c r="C1260" s="1">
        <f>HYPERLINK("https://cao.dolgi.msk.ru/account/1011539671/", 1011539671)</f>
        <v>1011539671</v>
      </c>
      <c r="D1260">
        <v>9218.2800000000007</v>
      </c>
    </row>
    <row r="1261" spans="1:4" x14ac:dyDescent="0.3">
      <c r="A1261" t="s">
        <v>271</v>
      </c>
      <c r="B1261" t="s">
        <v>155</v>
      </c>
      <c r="C1261" s="1">
        <f>HYPERLINK("https://cao.dolgi.msk.ru/account/1011542264/", 1011542264)</f>
        <v>1011542264</v>
      </c>
      <c r="D1261">
        <v>30588.69</v>
      </c>
    </row>
    <row r="1262" spans="1:4" hidden="1" x14ac:dyDescent="0.3">
      <c r="A1262" t="s">
        <v>271</v>
      </c>
      <c r="B1262" t="s">
        <v>156</v>
      </c>
      <c r="C1262" s="1">
        <f>HYPERLINK("https://cao.dolgi.msk.ru/account/1011542299/", 1011542299)</f>
        <v>1011542299</v>
      </c>
      <c r="D1262">
        <v>0</v>
      </c>
    </row>
    <row r="1263" spans="1:4" x14ac:dyDescent="0.3">
      <c r="A1263" t="s">
        <v>271</v>
      </c>
      <c r="B1263" t="s">
        <v>157</v>
      </c>
      <c r="C1263" s="1">
        <f>HYPERLINK("https://cao.dolgi.msk.ru/account/1011541835/", 1011541835)</f>
        <v>1011541835</v>
      </c>
      <c r="D1263">
        <v>19335.97</v>
      </c>
    </row>
    <row r="1264" spans="1:4" hidden="1" x14ac:dyDescent="0.3">
      <c r="A1264" t="s">
        <v>271</v>
      </c>
      <c r="B1264" t="s">
        <v>158</v>
      </c>
      <c r="C1264" s="1">
        <f>HYPERLINK("https://cao.dolgi.msk.ru/account/1011539815/", 1011539815)</f>
        <v>1011539815</v>
      </c>
      <c r="D1264">
        <v>-7423.99</v>
      </c>
    </row>
    <row r="1265" spans="1:4" hidden="1" x14ac:dyDescent="0.3">
      <c r="A1265" t="s">
        <v>271</v>
      </c>
      <c r="B1265" t="s">
        <v>161</v>
      </c>
      <c r="C1265" s="1">
        <f>HYPERLINK("https://cao.dolgi.msk.ru/account/1011541608/", 1011541608)</f>
        <v>1011541608</v>
      </c>
      <c r="D1265">
        <v>-8675.89</v>
      </c>
    </row>
    <row r="1266" spans="1:4" x14ac:dyDescent="0.3">
      <c r="A1266" t="s">
        <v>272</v>
      </c>
      <c r="B1266" t="s">
        <v>6</v>
      </c>
      <c r="C1266" s="1">
        <f>HYPERLINK("https://cao.dolgi.msk.ru/account/1011122024/", 1011122024)</f>
        <v>1011122024</v>
      </c>
      <c r="D1266">
        <v>23332.73</v>
      </c>
    </row>
    <row r="1267" spans="1:4" hidden="1" x14ac:dyDescent="0.3">
      <c r="A1267" t="s">
        <v>272</v>
      </c>
      <c r="B1267" t="s">
        <v>28</v>
      </c>
      <c r="C1267" s="1">
        <f>HYPERLINK("https://cao.dolgi.msk.ru/account/1011122788/", 1011122788)</f>
        <v>1011122788</v>
      </c>
      <c r="D1267">
        <v>-6620.72</v>
      </c>
    </row>
    <row r="1268" spans="1:4" hidden="1" x14ac:dyDescent="0.3">
      <c r="A1268" t="s">
        <v>272</v>
      </c>
      <c r="B1268" t="s">
        <v>35</v>
      </c>
      <c r="C1268" s="1">
        <f>HYPERLINK("https://cao.dolgi.msk.ru/account/1011122972/", 1011122972)</f>
        <v>1011122972</v>
      </c>
      <c r="D1268">
        <v>0</v>
      </c>
    </row>
    <row r="1269" spans="1:4" hidden="1" x14ac:dyDescent="0.3">
      <c r="A1269" t="s">
        <v>272</v>
      </c>
      <c r="B1269" t="s">
        <v>5</v>
      </c>
      <c r="C1269" s="1">
        <f>HYPERLINK("https://cao.dolgi.msk.ru/account/1011121443/", 1011121443)</f>
        <v>1011121443</v>
      </c>
      <c r="D1269">
        <v>-5770.2</v>
      </c>
    </row>
    <row r="1270" spans="1:4" x14ac:dyDescent="0.3">
      <c r="A1270" t="s">
        <v>272</v>
      </c>
      <c r="B1270" t="s">
        <v>7</v>
      </c>
      <c r="C1270" s="1">
        <f>HYPERLINK("https://cao.dolgi.msk.ru/account/1011123297/", 1011123297)</f>
        <v>1011123297</v>
      </c>
      <c r="D1270">
        <v>17978.87</v>
      </c>
    </row>
    <row r="1271" spans="1:4" hidden="1" x14ac:dyDescent="0.3">
      <c r="A1271" t="s">
        <v>272</v>
      </c>
      <c r="B1271" t="s">
        <v>8</v>
      </c>
      <c r="C1271" s="1">
        <f>HYPERLINK("https://cao.dolgi.msk.ru/account/1011514212/", 1011514212)</f>
        <v>1011514212</v>
      </c>
      <c r="D1271">
        <v>-9195.2000000000007</v>
      </c>
    </row>
    <row r="1272" spans="1:4" hidden="1" x14ac:dyDescent="0.3">
      <c r="A1272" t="s">
        <v>272</v>
      </c>
      <c r="B1272" t="s">
        <v>31</v>
      </c>
      <c r="C1272" s="1">
        <f>HYPERLINK("https://cao.dolgi.msk.ru/account/1011121451/", 1011121451)</f>
        <v>1011121451</v>
      </c>
      <c r="D1272">
        <v>0</v>
      </c>
    </row>
    <row r="1273" spans="1:4" hidden="1" x14ac:dyDescent="0.3">
      <c r="A1273" t="s">
        <v>272</v>
      </c>
      <c r="B1273" t="s">
        <v>9</v>
      </c>
      <c r="C1273" s="1">
        <f>HYPERLINK("https://cao.dolgi.msk.ru/account/1011122542/", 1011122542)</f>
        <v>1011122542</v>
      </c>
      <c r="D1273">
        <v>-6160.65</v>
      </c>
    </row>
    <row r="1274" spans="1:4" hidden="1" x14ac:dyDescent="0.3">
      <c r="A1274" t="s">
        <v>272</v>
      </c>
      <c r="B1274" t="s">
        <v>10</v>
      </c>
      <c r="C1274" s="1">
        <f>HYPERLINK("https://cao.dolgi.msk.ru/account/1011121136/", 1011121136)</f>
        <v>1011121136</v>
      </c>
      <c r="D1274">
        <v>0</v>
      </c>
    </row>
    <row r="1275" spans="1:4" hidden="1" x14ac:dyDescent="0.3">
      <c r="A1275" t="s">
        <v>272</v>
      </c>
      <c r="B1275" t="s">
        <v>11</v>
      </c>
      <c r="C1275" s="1">
        <f>HYPERLINK("https://cao.dolgi.msk.ru/account/1011122032/", 1011122032)</f>
        <v>1011122032</v>
      </c>
      <c r="D1275">
        <v>0</v>
      </c>
    </row>
    <row r="1276" spans="1:4" hidden="1" x14ac:dyDescent="0.3">
      <c r="A1276" t="s">
        <v>272</v>
      </c>
      <c r="B1276" t="s">
        <v>12</v>
      </c>
      <c r="C1276" s="1">
        <f>HYPERLINK("https://cao.dolgi.msk.ru/account/1011121689/", 1011121689)</f>
        <v>1011121689</v>
      </c>
      <c r="D1276">
        <v>-8646.24</v>
      </c>
    </row>
    <row r="1277" spans="1:4" hidden="1" x14ac:dyDescent="0.3">
      <c r="A1277" t="s">
        <v>272</v>
      </c>
      <c r="B1277" t="s">
        <v>23</v>
      </c>
      <c r="C1277" s="1">
        <f>HYPERLINK("https://cao.dolgi.msk.ru/account/1011122999/", 1011122999)</f>
        <v>1011122999</v>
      </c>
      <c r="D1277">
        <v>0</v>
      </c>
    </row>
    <row r="1278" spans="1:4" hidden="1" x14ac:dyDescent="0.3">
      <c r="A1278" t="s">
        <v>272</v>
      </c>
      <c r="B1278" t="s">
        <v>13</v>
      </c>
      <c r="C1278" s="1">
        <f>HYPERLINK("https://cao.dolgi.msk.ru/account/1011122307/", 1011122307)</f>
        <v>1011122307</v>
      </c>
      <c r="D1278">
        <v>-5271.67</v>
      </c>
    </row>
    <row r="1279" spans="1:4" hidden="1" x14ac:dyDescent="0.3">
      <c r="A1279" t="s">
        <v>272</v>
      </c>
      <c r="B1279" t="s">
        <v>14</v>
      </c>
      <c r="C1279" s="1">
        <f>HYPERLINK("https://cao.dolgi.msk.ru/account/1011121144/", 1011121144)</f>
        <v>1011121144</v>
      </c>
      <c r="D1279">
        <v>0</v>
      </c>
    </row>
    <row r="1280" spans="1:4" x14ac:dyDescent="0.3">
      <c r="A1280" t="s">
        <v>272</v>
      </c>
      <c r="B1280" t="s">
        <v>16</v>
      </c>
      <c r="C1280" s="1">
        <f>HYPERLINK("https://cao.dolgi.msk.ru/account/1011122796/", 1011122796)</f>
        <v>1011122796</v>
      </c>
      <c r="D1280">
        <v>7882.5</v>
      </c>
    </row>
    <row r="1281" spans="1:4" hidden="1" x14ac:dyDescent="0.3">
      <c r="A1281" t="s">
        <v>272</v>
      </c>
      <c r="B1281" t="s">
        <v>17</v>
      </c>
      <c r="C1281" s="1">
        <f>HYPERLINK("https://cao.dolgi.msk.ru/account/1011121152/", 1011121152)</f>
        <v>1011121152</v>
      </c>
      <c r="D1281">
        <v>0</v>
      </c>
    </row>
    <row r="1282" spans="1:4" hidden="1" x14ac:dyDescent="0.3">
      <c r="A1282" t="s">
        <v>272</v>
      </c>
      <c r="B1282" t="s">
        <v>18</v>
      </c>
      <c r="C1282" s="1">
        <f>HYPERLINK("https://cao.dolgi.msk.ru/account/1011122315/", 1011122315)</f>
        <v>1011122315</v>
      </c>
      <c r="D1282">
        <v>0</v>
      </c>
    </row>
    <row r="1283" spans="1:4" x14ac:dyDescent="0.3">
      <c r="A1283" t="s">
        <v>272</v>
      </c>
      <c r="B1283" t="s">
        <v>19</v>
      </c>
      <c r="C1283" s="1">
        <f>HYPERLINK("https://cao.dolgi.msk.ru/account/1011122323/", 1011122323)</f>
        <v>1011122323</v>
      </c>
      <c r="D1283">
        <v>41699.440000000002</v>
      </c>
    </row>
    <row r="1284" spans="1:4" hidden="1" x14ac:dyDescent="0.3">
      <c r="A1284" t="s">
        <v>272</v>
      </c>
      <c r="B1284" t="s">
        <v>20</v>
      </c>
      <c r="C1284" s="1">
        <f>HYPERLINK("https://cao.dolgi.msk.ru/account/1011122331/", 1011122331)</f>
        <v>1011122331</v>
      </c>
      <c r="D1284">
        <v>-1982.54</v>
      </c>
    </row>
    <row r="1285" spans="1:4" hidden="1" x14ac:dyDescent="0.3">
      <c r="A1285" t="s">
        <v>272</v>
      </c>
      <c r="B1285" t="s">
        <v>20</v>
      </c>
      <c r="C1285" s="1">
        <f>HYPERLINK("https://cao.dolgi.msk.ru/account/1011122534/", 1011122534)</f>
        <v>1011122534</v>
      </c>
      <c r="D1285">
        <v>-3866.78</v>
      </c>
    </row>
    <row r="1286" spans="1:4" hidden="1" x14ac:dyDescent="0.3">
      <c r="A1286" t="s">
        <v>272</v>
      </c>
      <c r="B1286" t="s">
        <v>21</v>
      </c>
      <c r="C1286" s="1">
        <f>HYPERLINK("https://cao.dolgi.msk.ru/account/1011122059/", 1011122059)</f>
        <v>1011122059</v>
      </c>
      <c r="D1286">
        <v>0</v>
      </c>
    </row>
    <row r="1287" spans="1:4" hidden="1" x14ac:dyDescent="0.3">
      <c r="A1287" t="s">
        <v>272</v>
      </c>
      <c r="B1287" t="s">
        <v>22</v>
      </c>
      <c r="C1287" s="1">
        <f>HYPERLINK("https://cao.dolgi.msk.ru/account/1011123318/", 1011123318)</f>
        <v>1011123318</v>
      </c>
      <c r="D1287">
        <v>-15958.43</v>
      </c>
    </row>
    <row r="1288" spans="1:4" hidden="1" x14ac:dyDescent="0.3">
      <c r="A1288" t="s">
        <v>272</v>
      </c>
      <c r="B1288" t="s">
        <v>24</v>
      </c>
      <c r="C1288" s="1">
        <f>HYPERLINK("https://cao.dolgi.msk.ru/account/1011121179/", 1011121179)</f>
        <v>1011121179</v>
      </c>
      <c r="D1288">
        <v>0</v>
      </c>
    </row>
    <row r="1289" spans="1:4" hidden="1" x14ac:dyDescent="0.3">
      <c r="A1289" t="s">
        <v>272</v>
      </c>
      <c r="B1289" t="s">
        <v>25</v>
      </c>
      <c r="C1289" s="1">
        <f>HYPERLINK("https://cao.dolgi.msk.ru/account/1011122569/", 1011122569)</f>
        <v>1011122569</v>
      </c>
      <c r="D1289">
        <v>0</v>
      </c>
    </row>
    <row r="1290" spans="1:4" hidden="1" x14ac:dyDescent="0.3">
      <c r="A1290" t="s">
        <v>272</v>
      </c>
      <c r="B1290" t="s">
        <v>26</v>
      </c>
      <c r="C1290" s="1">
        <f>HYPERLINK("https://cao.dolgi.msk.ru/account/1011122577/", 1011122577)</f>
        <v>1011122577</v>
      </c>
      <c r="D1290">
        <v>0</v>
      </c>
    </row>
    <row r="1291" spans="1:4" x14ac:dyDescent="0.3">
      <c r="A1291" t="s">
        <v>272</v>
      </c>
      <c r="B1291" t="s">
        <v>27</v>
      </c>
      <c r="C1291" s="1">
        <f>HYPERLINK("https://cao.dolgi.msk.ru/account/1011122067/", 1011122067)</f>
        <v>1011122067</v>
      </c>
      <c r="D1291">
        <v>17429.48</v>
      </c>
    </row>
    <row r="1292" spans="1:4" hidden="1" x14ac:dyDescent="0.3">
      <c r="A1292" t="s">
        <v>272</v>
      </c>
      <c r="B1292" t="s">
        <v>29</v>
      </c>
      <c r="C1292" s="1">
        <f>HYPERLINK("https://cao.dolgi.msk.ru/account/1011121187/", 1011121187)</f>
        <v>1011121187</v>
      </c>
      <c r="D1292">
        <v>0</v>
      </c>
    </row>
    <row r="1293" spans="1:4" hidden="1" x14ac:dyDescent="0.3">
      <c r="A1293" t="s">
        <v>272</v>
      </c>
      <c r="B1293" t="s">
        <v>38</v>
      </c>
      <c r="C1293" s="1">
        <f>HYPERLINK("https://cao.dolgi.msk.ru/account/1011121478/", 1011121478)</f>
        <v>1011121478</v>
      </c>
      <c r="D1293">
        <v>0</v>
      </c>
    </row>
    <row r="1294" spans="1:4" hidden="1" x14ac:dyDescent="0.3">
      <c r="A1294" t="s">
        <v>272</v>
      </c>
      <c r="B1294" t="s">
        <v>39</v>
      </c>
      <c r="C1294" s="1">
        <f>HYPERLINK("https://cao.dolgi.msk.ru/account/1011121486/", 1011121486)</f>
        <v>1011121486</v>
      </c>
      <c r="D1294">
        <v>0</v>
      </c>
    </row>
    <row r="1295" spans="1:4" hidden="1" x14ac:dyDescent="0.3">
      <c r="A1295" t="s">
        <v>272</v>
      </c>
      <c r="B1295" t="s">
        <v>40</v>
      </c>
      <c r="C1295" s="1">
        <f>HYPERLINK("https://cao.dolgi.msk.ru/account/1011122075/", 1011122075)</f>
        <v>1011122075</v>
      </c>
      <c r="D1295">
        <v>0</v>
      </c>
    </row>
    <row r="1296" spans="1:4" hidden="1" x14ac:dyDescent="0.3">
      <c r="A1296" t="s">
        <v>272</v>
      </c>
      <c r="B1296" t="s">
        <v>41</v>
      </c>
      <c r="C1296" s="1">
        <f>HYPERLINK("https://cao.dolgi.msk.ru/account/1011122585/", 1011122585)</f>
        <v>1011122585</v>
      </c>
      <c r="D1296">
        <v>-4926.04</v>
      </c>
    </row>
    <row r="1297" spans="1:4" hidden="1" x14ac:dyDescent="0.3">
      <c r="A1297" t="s">
        <v>272</v>
      </c>
      <c r="B1297" t="s">
        <v>51</v>
      </c>
      <c r="C1297" s="1">
        <f>HYPERLINK("https://cao.dolgi.msk.ru/account/1011123019/", 1011123019)</f>
        <v>1011123019</v>
      </c>
      <c r="D1297">
        <v>0</v>
      </c>
    </row>
    <row r="1298" spans="1:4" hidden="1" x14ac:dyDescent="0.3">
      <c r="A1298" t="s">
        <v>272</v>
      </c>
      <c r="B1298" t="s">
        <v>52</v>
      </c>
      <c r="C1298" s="1">
        <f>HYPERLINK("https://cao.dolgi.msk.ru/account/1011122817/", 1011122817)</f>
        <v>1011122817</v>
      </c>
      <c r="D1298">
        <v>-11365.58</v>
      </c>
    </row>
    <row r="1299" spans="1:4" hidden="1" x14ac:dyDescent="0.3">
      <c r="A1299" t="s">
        <v>272</v>
      </c>
      <c r="B1299" t="s">
        <v>53</v>
      </c>
      <c r="C1299" s="1">
        <f>HYPERLINK("https://cao.dolgi.msk.ru/account/1011122825/", 1011122825)</f>
        <v>1011122825</v>
      </c>
      <c r="D1299">
        <v>0</v>
      </c>
    </row>
    <row r="1300" spans="1:4" hidden="1" x14ac:dyDescent="0.3">
      <c r="A1300" t="s">
        <v>272</v>
      </c>
      <c r="B1300" t="s">
        <v>54</v>
      </c>
      <c r="C1300" s="1">
        <f>HYPERLINK("https://cao.dolgi.msk.ru/account/1011122083/", 1011122083)</f>
        <v>1011122083</v>
      </c>
      <c r="D1300">
        <v>-7022.18</v>
      </c>
    </row>
    <row r="1301" spans="1:4" hidden="1" x14ac:dyDescent="0.3">
      <c r="A1301" t="s">
        <v>272</v>
      </c>
      <c r="B1301" t="s">
        <v>55</v>
      </c>
      <c r="C1301" s="1">
        <f>HYPERLINK("https://cao.dolgi.msk.ru/account/1011122833/", 1011122833)</f>
        <v>1011122833</v>
      </c>
      <c r="D1301">
        <v>0</v>
      </c>
    </row>
    <row r="1302" spans="1:4" hidden="1" x14ac:dyDescent="0.3">
      <c r="A1302" t="s">
        <v>272</v>
      </c>
      <c r="B1302" t="s">
        <v>56</v>
      </c>
      <c r="C1302" s="1">
        <f>HYPERLINK("https://cao.dolgi.msk.ru/account/1011121697/", 1011121697)</f>
        <v>1011121697</v>
      </c>
      <c r="D1302">
        <v>0</v>
      </c>
    </row>
    <row r="1303" spans="1:4" hidden="1" x14ac:dyDescent="0.3">
      <c r="A1303" t="s">
        <v>272</v>
      </c>
      <c r="B1303" t="s">
        <v>87</v>
      </c>
      <c r="C1303" s="1">
        <f>HYPERLINK("https://cao.dolgi.msk.ru/account/1011122091/", 1011122091)</f>
        <v>1011122091</v>
      </c>
      <c r="D1303">
        <v>0</v>
      </c>
    </row>
    <row r="1304" spans="1:4" x14ac:dyDescent="0.3">
      <c r="A1304" t="s">
        <v>272</v>
      </c>
      <c r="B1304" t="s">
        <v>88</v>
      </c>
      <c r="C1304" s="1">
        <f>HYPERLINK("https://cao.dolgi.msk.ru/account/1011121718/", 1011121718)</f>
        <v>1011121718</v>
      </c>
      <c r="D1304">
        <v>153824.6</v>
      </c>
    </row>
    <row r="1305" spans="1:4" hidden="1" x14ac:dyDescent="0.3">
      <c r="A1305" t="s">
        <v>272</v>
      </c>
      <c r="B1305" t="s">
        <v>89</v>
      </c>
      <c r="C1305" s="1">
        <f>HYPERLINK("https://cao.dolgi.msk.ru/account/1011122593/", 1011122593)</f>
        <v>1011122593</v>
      </c>
      <c r="D1305">
        <v>0</v>
      </c>
    </row>
    <row r="1306" spans="1:4" hidden="1" x14ac:dyDescent="0.3">
      <c r="A1306" t="s">
        <v>272</v>
      </c>
      <c r="B1306" t="s">
        <v>90</v>
      </c>
      <c r="C1306" s="1">
        <f>HYPERLINK("https://cao.dolgi.msk.ru/account/1011122606/", 1011122606)</f>
        <v>1011122606</v>
      </c>
      <c r="D1306">
        <v>-7334.84</v>
      </c>
    </row>
    <row r="1307" spans="1:4" hidden="1" x14ac:dyDescent="0.3">
      <c r="A1307" t="s">
        <v>272</v>
      </c>
      <c r="B1307" t="s">
        <v>96</v>
      </c>
      <c r="C1307" s="1">
        <f>HYPERLINK("https://cao.dolgi.msk.ru/account/1011122358/", 1011122358)</f>
        <v>1011122358</v>
      </c>
      <c r="D1307">
        <v>0</v>
      </c>
    </row>
    <row r="1308" spans="1:4" hidden="1" x14ac:dyDescent="0.3">
      <c r="A1308" t="s">
        <v>272</v>
      </c>
      <c r="B1308" t="s">
        <v>97</v>
      </c>
      <c r="C1308" s="1">
        <f>HYPERLINK("https://cao.dolgi.msk.ru/account/1011123027/", 1011123027)</f>
        <v>1011123027</v>
      </c>
      <c r="D1308">
        <v>0</v>
      </c>
    </row>
    <row r="1309" spans="1:4" hidden="1" x14ac:dyDescent="0.3">
      <c r="A1309" t="s">
        <v>272</v>
      </c>
      <c r="B1309" t="s">
        <v>98</v>
      </c>
      <c r="C1309" s="1">
        <f>HYPERLINK("https://cao.dolgi.msk.ru/account/1011121195/", 1011121195)</f>
        <v>1011121195</v>
      </c>
      <c r="D1309">
        <v>0</v>
      </c>
    </row>
    <row r="1310" spans="1:4" hidden="1" x14ac:dyDescent="0.3">
      <c r="A1310" t="s">
        <v>272</v>
      </c>
      <c r="B1310" t="s">
        <v>58</v>
      </c>
      <c r="C1310" s="1">
        <f>HYPERLINK("https://cao.dolgi.msk.ru/account/1011121494/", 1011121494)</f>
        <v>1011121494</v>
      </c>
      <c r="D1310">
        <v>0</v>
      </c>
    </row>
    <row r="1311" spans="1:4" hidden="1" x14ac:dyDescent="0.3">
      <c r="A1311" t="s">
        <v>272</v>
      </c>
      <c r="B1311" t="s">
        <v>59</v>
      </c>
      <c r="C1311" s="1">
        <f>HYPERLINK("https://cao.dolgi.msk.ru/account/1011121208/", 1011121208)</f>
        <v>1011121208</v>
      </c>
      <c r="D1311">
        <v>0</v>
      </c>
    </row>
    <row r="1312" spans="1:4" hidden="1" x14ac:dyDescent="0.3">
      <c r="A1312" t="s">
        <v>272</v>
      </c>
      <c r="B1312" t="s">
        <v>60</v>
      </c>
      <c r="C1312" s="1">
        <f>HYPERLINK("https://cao.dolgi.msk.ru/account/1011121216/", 1011121216)</f>
        <v>1011121216</v>
      </c>
      <c r="D1312">
        <v>0</v>
      </c>
    </row>
    <row r="1313" spans="1:4" hidden="1" x14ac:dyDescent="0.3">
      <c r="A1313" t="s">
        <v>272</v>
      </c>
      <c r="B1313" t="s">
        <v>61</v>
      </c>
      <c r="C1313" s="1">
        <f>HYPERLINK("https://cao.dolgi.msk.ru/account/1011121224/", 1011121224)</f>
        <v>1011121224</v>
      </c>
      <c r="D1313">
        <v>-6506.4</v>
      </c>
    </row>
    <row r="1314" spans="1:4" hidden="1" x14ac:dyDescent="0.3">
      <c r="A1314" t="s">
        <v>272</v>
      </c>
      <c r="B1314" t="s">
        <v>62</v>
      </c>
      <c r="C1314" s="1">
        <f>HYPERLINK("https://cao.dolgi.msk.ru/account/1011121232/", 1011121232)</f>
        <v>1011121232</v>
      </c>
      <c r="D1314">
        <v>0</v>
      </c>
    </row>
    <row r="1315" spans="1:4" hidden="1" x14ac:dyDescent="0.3">
      <c r="A1315" t="s">
        <v>272</v>
      </c>
      <c r="B1315" t="s">
        <v>63</v>
      </c>
      <c r="C1315" s="1">
        <f>HYPERLINK("https://cao.dolgi.msk.ru/account/1011121259/", 1011121259)</f>
        <v>1011121259</v>
      </c>
      <c r="D1315">
        <v>-4092.36</v>
      </c>
    </row>
    <row r="1316" spans="1:4" hidden="1" x14ac:dyDescent="0.3">
      <c r="A1316" t="s">
        <v>272</v>
      </c>
      <c r="B1316" t="s">
        <v>64</v>
      </c>
      <c r="C1316" s="1">
        <f>HYPERLINK("https://cao.dolgi.msk.ru/account/1011121726/", 1011121726)</f>
        <v>1011121726</v>
      </c>
      <c r="D1316">
        <v>0</v>
      </c>
    </row>
    <row r="1317" spans="1:4" hidden="1" x14ac:dyDescent="0.3">
      <c r="A1317" t="s">
        <v>272</v>
      </c>
      <c r="B1317" t="s">
        <v>65</v>
      </c>
      <c r="C1317" s="1">
        <f>HYPERLINK("https://cao.dolgi.msk.ru/account/1011122841/", 1011122841)</f>
        <v>1011122841</v>
      </c>
      <c r="D1317">
        <v>0</v>
      </c>
    </row>
    <row r="1318" spans="1:4" hidden="1" x14ac:dyDescent="0.3">
      <c r="A1318" t="s">
        <v>272</v>
      </c>
      <c r="B1318" t="s">
        <v>66</v>
      </c>
      <c r="C1318" s="1">
        <f>HYPERLINK("https://cao.dolgi.msk.ru/account/1011122614/", 1011122614)</f>
        <v>1011122614</v>
      </c>
      <c r="D1318">
        <v>0</v>
      </c>
    </row>
    <row r="1319" spans="1:4" hidden="1" x14ac:dyDescent="0.3">
      <c r="A1319" t="s">
        <v>272</v>
      </c>
      <c r="B1319" t="s">
        <v>67</v>
      </c>
      <c r="C1319" s="1">
        <f>HYPERLINK("https://cao.dolgi.msk.ru/account/1011122104/", 1011122104)</f>
        <v>1011122104</v>
      </c>
      <c r="D1319">
        <v>0</v>
      </c>
    </row>
    <row r="1320" spans="1:4" hidden="1" x14ac:dyDescent="0.3">
      <c r="A1320" t="s">
        <v>272</v>
      </c>
      <c r="B1320" t="s">
        <v>68</v>
      </c>
      <c r="C1320" s="1">
        <f>HYPERLINK("https://cao.dolgi.msk.ru/account/1011121507/", 1011121507)</f>
        <v>1011121507</v>
      </c>
      <c r="D1320">
        <v>0</v>
      </c>
    </row>
    <row r="1321" spans="1:4" x14ac:dyDescent="0.3">
      <c r="A1321" t="s">
        <v>272</v>
      </c>
      <c r="B1321" t="s">
        <v>69</v>
      </c>
      <c r="C1321" s="1">
        <f>HYPERLINK("https://cao.dolgi.msk.ru/account/1011122622/", 1011122622)</f>
        <v>1011122622</v>
      </c>
      <c r="D1321">
        <v>171754.86</v>
      </c>
    </row>
    <row r="1322" spans="1:4" hidden="1" x14ac:dyDescent="0.3">
      <c r="A1322" t="s">
        <v>272</v>
      </c>
      <c r="B1322" t="s">
        <v>69</v>
      </c>
      <c r="C1322" s="1">
        <f>HYPERLINK("https://cao.dolgi.msk.ru/account/1011514298/", 1011514298)</f>
        <v>1011514298</v>
      </c>
      <c r="D1322">
        <v>0</v>
      </c>
    </row>
    <row r="1323" spans="1:4" hidden="1" x14ac:dyDescent="0.3">
      <c r="A1323" t="s">
        <v>272</v>
      </c>
      <c r="B1323" t="s">
        <v>69</v>
      </c>
      <c r="C1323" s="1">
        <f>HYPERLINK("https://cao.dolgi.msk.ru/account/1011514319/", 1011514319)</f>
        <v>1011514319</v>
      </c>
      <c r="D1323">
        <v>-3197.97</v>
      </c>
    </row>
    <row r="1324" spans="1:4" x14ac:dyDescent="0.3">
      <c r="A1324" t="s">
        <v>272</v>
      </c>
      <c r="B1324" t="s">
        <v>69</v>
      </c>
      <c r="C1324" s="1">
        <f>HYPERLINK("https://cao.dolgi.msk.ru/account/1011514327/", 1011514327)</f>
        <v>1011514327</v>
      </c>
      <c r="D1324">
        <v>59171.74</v>
      </c>
    </row>
    <row r="1325" spans="1:4" hidden="1" x14ac:dyDescent="0.3">
      <c r="A1325" t="s">
        <v>272</v>
      </c>
      <c r="B1325" t="s">
        <v>70</v>
      </c>
      <c r="C1325" s="1">
        <f>HYPERLINK("https://cao.dolgi.msk.ru/account/1011122868/", 1011122868)</f>
        <v>1011122868</v>
      </c>
      <c r="D1325">
        <v>0</v>
      </c>
    </row>
    <row r="1326" spans="1:4" hidden="1" x14ac:dyDescent="0.3">
      <c r="A1326" t="s">
        <v>272</v>
      </c>
      <c r="B1326" t="s">
        <v>259</v>
      </c>
      <c r="C1326" s="1">
        <f>HYPERLINK("https://cao.dolgi.msk.ru/account/1011122649/", 1011122649)</f>
        <v>1011122649</v>
      </c>
      <c r="D1326">
        <v>0</v>
      </c>
    </row>
    <row r="1327" spans="1:4" x14ac:dyDescent="0.3">
      <c r="A1327" t="s">
        <v>272</v>
      </c>
      <c r="B1327" t="s">
        <v>100</v>
      </c>
      <c r="C1327" s="1">
        <f>HYPERLINK("https://cao.dolgi.msk.ru/account/1011121515/", 1011121515)</f>
        <v>1011121515</v>
      </c>
      <c r="D1327">
        <v>219118.63</v>
      </c>
    </row>
    <row r="1328" spans="1:4" hidden="1" x14ac:dyDescent="0.3">
      <c r="A1328" t="s">
        <v>272</v>
      </c>
      <c r="B1328" t="s">
        <v>72</v>
      </c>
      <c r="C1328" s="1">
        <f>HYPERLINK("https://cao.dolgi.msk.ru/account/1011121267/", 1011121267)</f>
        <v>1011121267</v>
      </c>
      <c r="D1328">
        <v>-5107.07</v>
      </c>
    </row>
    <row r="1329" spans="1:4" hidden="1" x14ac:dyDescent="0.3">
      <c r="A1329" t="s">
        <v>272</v>
      </c>
      <c r="B1329" t="s">
        <v>73</v>
      </c>
      <c r="C1329" s="1">
        <f>HYPERLINK("https://cao.dolgi.msk.ru/account/1011123035/", 1011123035)</f>
        <v>1011123035</v>
      </c>
      <c r="D1329">
        <v>0</v>
      </c>
    </row>
    <row r="1330" spans="1:4" hidden="1" x14ac:dyDescent="0.3">
      <c r="A1330" t="s">
        <v>272</v>
      </c>
      <c r="B1330" t="s">
        <v>74</v>
      </c>
      <c r="C1330" s="1">
        <f>HYPERLINK("https://cao.dolgi.msk.ru/account/1011122366/", 1011122366)</f>
        <v>1011122366</v>
      </c>
      <c r="D1330">
        <v>-4562.1099999999997</v>
      </c>
    </row>
    <row r="1331" spans="1:4" hidden="1" x14ac:dyDescent="0.3">
      <c r="A1331" t="s">
        <v>272</v>
      </c>
      <c r="B1331" t="s">
        <v>75</v>
      </c>
      <c r="C1331" s="1">
        <f>HYPERLINK("https://cao.dolgi.msk.ru/account/1011121734/", 1011121734)</f>
        <v>1011121734</v>
      </c>
      <c r="D1331">
        <v>0</v>
      </c>
    </row>
    <row r="1332" spans="1:4" hidden="1" x14ac:dyDescent="0.3">
      <c r="A1332" t="s">
        <v>272</v>
      </c>
      <c r="B1332" t="s">
        <v>76</v>
      </c>
      <c r="C1332" s="1">
        <f>HYPERLINK("https://cao.dolgi.msk.ru/account/1011122374/", 1011122374)</f>
        <v>1011122374</v>
      </c>
      <c r="D1332">
        <v>-67.58</v>
      </c>
    </row>
    <row r="1333" spans="1:4" hidden="1" x14ac:dyDescent="0.3">
      <c r="A1333" t="s">
        <v>272</v>
      </c>
      <c r="B1333" t="s">
        <v>77</v>
      </c>
      <c r="C1333" s="1">
        <f>HYPERLINK("https://cao.dolgi.msk.ru/account/1011122112/", 1011122112)</f>
        <v>1011122112</v>
      </c>
      <c r="D1333">
        <v>0</v>
      </c>
    </row>
    <row r="1334" spans="1:4" hidden="1" x14ac:dyDescent="0.3">
      <c r="A1334" t="s">
        <v>272</v>
      </c>
      <c r="B1334" t="s">
        <v>78</v>
      </c>
      <c r="C1334" s="1">
        <f>HYPERLINK("https://cao.dolgi.msk.ru/account/1011121742/", 1011121742)</f>
        <v>1011121742</v>
      </c>
      <c r="D1334">
        <v>-13262.96</v>
      </c>
    </row>
    <row r="1335" spans="1:4" hidden="1" x14ac:dyDescent="0.3">
      <c r="A1335" t="s">
        <v>272</v>
      </c>
      <c r="B1335" t="s">
        <v>79</v>
      </c>
      <c r="C1335" s="1">
        <f>HYPERLINK("https://cao.dolgi.msk.ru/account/1011122657/", 1011122657)</f>
        <v>1011122657</v>
      </c>
      <c r="D1335">
        <v>0</v>
      </c>
    </row>
    <row r="1336" spans="1:4" hidden="1" x14ac:dyDescent="0.3">
      <c r="A1336" t="s">
        <v>272</v>
      </c>
      <c r="B1336" t="s">
        <v>80</v>
      </c>
      <c r="C1336" s="1">
        <f>HYPERLINK("https://cao.dolgi.msk.ru/account/1011121275/", 1011121275)</f>
        <v>1011121275</v>
      </c>
      <c r="D1336">
        <v>0</v>
      </c>
    </row>
    <row r="1337" spans="1:4" hidden="1" x14ac:dyDescent="0.3">
      <c r="A1337" t="s">
        <v>272</v>
      </c>
      <c r="B1337" t="s">
        <v>81</v>
      </c>
      <c r="C1337" s="1">
        <f>HYPERLINK("https://cao.dolgi.msk.ru/account/1011122286/", 1011122286)</f>
        <v>1011122286</v>
      </c>
      <c r="D1337">
        <v>-5811.98</v>
      </c>
    </row>
    <row r="1338" spans="1:4" hidden="1" x14ac:dyDescent="0.3">
      <c r="A1338" t="s">
        <v>272</v>
      </c>
      <c r="B1338" t="s">
        <v>101</v>
      </c>
      <c r="C1338" s="1">
        <f>HYPERLINK("https://cao.dolgi.msk.ru/account/1011121769/", 1011121769)</f>
        <v>1011121769</v>
      </c>
      <c r="D1338">
        <v>0</v>
      </c>
    </row>
    <row r="1339" spans="1:4" hidden="1" x14ac:dyDescent="0.3">
      <c r="A1339" t="s">
        <v>272</v>
      </c>
      <c r="B1339" t="s">
        <v>82</v>
      </c>
      <c r="C1339" s="1">
        <f>HYPERLINK("https://cao.dolgi.msk.ru/account/1011121523/", 1011121523)</f>
        <v>1011121523</v>
      </c>
      <c r="D1339">
        <v>-24304.97</v>
      </c>
    </row>
    <row r="1340" spans="1:4" hidden="1" x14ac:dyDescent="0.3">
      <c r="A1340" t="s">
        <v>272</v>
      </c>
      <c r="B1340" t="s">
        <v>83</v>
      </c>
      <c r="C1340" s="1">
        <f>HYPERLINK("https://cao.dolgi.msk.ru/account/1011122665/", 1011122665)</f>
        <v>1011122665</v>
      </c>
      <c r="D1340">
        <v>0</v>
      </c>
    </row>
    <row r="1341" spans="1:4" hidden="1" x14ac:dyDescent="0.3">
      <c r="A1341" t="s">
        <v>272</v>
      </c>
      <c r="B1341" t="s">
        <v>84</v>
      </c>
      <c r="C1341" s="1">
        <f>HYPERLINK("https://cao.dolgi.msk.ru/account/1011123051/", 1011123051)</f>
        <v>1011123051</v>
      </c>
      <c r="D1341">
        <v>-7205.12</v>
      </c>
    </row>
    <row r="1342" spans="1:4" hidden="1" x14ac:dyDescent="0.3">
      <c r="A1342" t="s">
        <v>272</v>
      </c>
      <c r="B1342" t="s">
        <v>85</v>
      </c>
      <c r="C1342" s="1">
        <f>HYPERLINK("https://cao.dolgi.msk.ru/account/1011122251/", 1011122251)</f>
        <v>1011122251</v>
      </c>
      <c r="D1342">
        <v>0</v>
      </c>
    </row>
    <row r="1343" spans="1:4" hidden="1" x14ac:dyDescent="0.3">
      <c r="A1343" t="s">
        <v>272</v>
      </c>
      <c r="B1343" t="s">
        <v>85</v>
      </c>
      <c r="C1343" s="1">
        <f>HYPERLINK("https://cao.dolgi.msk.ru/account/1011122278/", 1011122278)</f>
        <v>1011122278</v>
      </c>
      <c r="D1343">
        <v>-4139.28</v>
      </c>
    </row>
    <row r="1344" spans="1:4" hidden="1" x14ac:dyDescent="0.3">
      <c r="A1344" t="s">
        <v>272</v>
      </c>
      <c r="B1344" t="s">
        <v>85</v>
      </c>
      <c r="C1344" s="1">
        <f>HYPERLINK("https://cao.dolgi.msk.ru/account/1011122382/", 1011122382)</f>
        <v>1011122382</v>
      </c>
      <c r="D1344">
        <v>-847.57</v>
      </c>
    </row>
    <row r="1345" spans="1:4" hidden="1" x14ac:dyDescent="0.3">
      <c r="A1345" t="s">
        <v>272</v>
      </c>
      <c r="B1345" t="s">
        <v>102</v>
      </c>
      <c r="C1345" s="1">
        <f>HYPERLINK("https://cao.dolgi.msk.ru/account/1011123078/", 1011123078)</f>
        <v>1011123078</v>
      </c>
      <c r="D1345">
        <v>0</v>
      </c>
    </row>
    <row r="1346" spans="1:4" hidden="1" x14ac:dyDescent="0.3">
      <c r="A1346" t="s">
        <v>272</v>
      </c>
      <c r="B1346" t="s">
        <v>103</v>
      </c>
      <c r="C1346" s="1">
        <f>HYPERLINK("https://cao.dolgi.msk.ru/account/1011123086/", 1011123086)</f>
        <v>1011123086</v>
      </c>
      <c r="D1346">
        <v>0</v>
      </c>
    </row>
    <row r="1347" spans="1:4" hidden="1" x14ac:dyDescent="0.3">
      <c r="A1347" t="s">
        <v>272</v>
      </c>
      <c r="B1347" t="s">
        <v>104</v>
      </c>
      <c r="C1347" s="1">
        <f>HYPERLINK("https://cao.dolgi.msk.ru/account/1011122526/", 1011122526)</f>
        <v>1011122526</v>
      </c>
      <c r="D1347">
        <v>0</v>
      </c>
    </row>
    <row r="1348" spans="1:4" hidden="1" x14ac:dyDescent="0.3">
      <c r="A1348" t="s">
        <v>272</v>
      </c>
      <c r="B1348" t="s">
        <v>104</v>
      </c>
      <c r="C1348" s="1">
        <f>HYPERLINK("https://cao.dolgi.msk.ru/account/1011123094/", 1011123094)</f>
        <v>1011123094</v>
      </c>
      <c r="D1348">
        <v>0</v>
      </c>
    </row>
    <row r="1349" spans="1:4" hidden="1" x14ac:dyDescent="0.3">
      <c r="A1349" t="s">
        <v>272</v>
      </c>
      <c r="B1349" t="s">
        <v>105</v>
      </c>
      <c r="C1349" s="1">
        <f>HYPERLINK("https://cao.dolgi.msk.ru/account/1011121777/", 1011121777)</f>
        <v>1011121777</v>
      </c>
      <c r="D1349">
        <v>0</v>
      </c>
    </row>
    <row r="1350" spans="1:4" x14ac:dyDescent="0.3">
      <c r="A1350" t="s">
        <v>272</v>
      </c>
      <c r="B1350" t="s">
        <v>106</v>
      </c>
      <c r="C1350" s="1">
        <f>HYPERLINK("https://cao.dolgi.msk.ru/account/1011122403/", 1011122403)</f>
        <v>1011122403</v>
      </c>
      <c r="D1350">
        <v>7405.61</v>
      </c>
    </row>
    <row r="1351" spans="1:4" hidden="1" x14ac:dyDescent="0.3">
      <c r="A1351" t="s">
        <v>272</v>
      </c>
      <c r="B1351" t="s">
        <v>107</v>
      </c>
      <c r="C1351" s="1">
        <f>HYPERLINK("https://cao.dolgi.msk.ru/account/1011121531/", 1011121531)</f>
        <v>1011121531</v>
      </c>
      <c r="D1351">
        <v>-4027.86</v>
      </c>
    </row>
    <row r="1352" spans="1:4" hidden="1" x14ac:dyDescent="0.3">
      <c r="A1352" t="s">
        <v>272</v>
      </c>
      <c r="B1352" t="s">
        <v>108</v>
      </c>
      <c r="C1352" s="1">
        <f>HYPERLINK("https://cao.dolgi.msk.ru/account/1011122411/", 1011122411)</f>
        <v>1011122411</v>
      </c>
      <c r="D1352">
        <v>-7186.2</v>
      </c>
    </row>
    <row r="1353" spans="1:4" hidden="1" x14ac:dyDescent="0.3">
      <c r="A1353" t="s">
        <v>272</v>
      </c>
      <c r="B1353" t="s">
        <v>109</v>
      </c>
      <c r="C1353" s="1">
        <f>HYPERLINK("https://cao.dolgi.msk.ru/account/1011123107/", 1011123107)</f>
        <v>1011123107</v>
      </c>
      <c r="D1353">
        <v>-297.89</v>
      </c>
    </row>
    <row r="1354" spans="1:4" hidden="1" x14ac:dyDescent="0.3">
      <c r="A1354" t="s">
        <v>272</v>
      </c>
      <c r="B1354" t="s">
        <v>110</v>
      </c>
      <c r="C1354" s="1">
        <f>HYPERLINK("https://cao.dolgi.msk.ru/account/1011122438/", 1011122438)</f>
        <v>1011122438</v>
      </c>
      <c r="D1354">
        <v>0</v>
      </c>
    </row>
    <row r="1355" spans="1:4" hidden="1" x14ac:dyDescent="0.3">
      <c r="A1355" t="s">
        <v>272</v>
      </c>
      <c r="B1355" t="s">
        <v>111</v>
      </c>
      <c r="C1355" s="1">
        <f>HYPERLINK("https://cao.dolgi.msk.ru/account/1011121785/", 1011121785)</f>
        <v>1011121785</v>
      </c>
      <c r="D1355">
        <v>0</v>
      </c>
    </row>
    <row r="1356" spans="1:4" hidden="1" x14ac:dyDescent="0.3">
      <c r="A1356" t="s">
        <v>272</v>
      </c>
      <c r="B1356" t="s">
        <v>112</v>
      </c>
      <c r="C1356" s="1">
        <f>HYPERLINK("https://cao.dolgi.msk.ru/account/1011121793/", 1011121793)</f>
        <v>1011121793</v>
      </c>
      <c r="D1356">
        <v>0</v>
      </c>
    </row>
    <row r="1357" spans="1:4" hidden="1" x14ac:dyDescent="0.3">
      <c r="A1357" t="s">
        <v>272</v>
      </c>
      <c r="B1357" t="s">
        <v>113</v>
      </c>
      <c r="C1357" s="1">
        <f>HYPERLINK("https://cao.dolgi.msk.ru/account/1011123115/", 1011123115)</f>
        <v>1011123115</v>
      </c>
      <c r="D1357">
        <v>0</v>
      </c>
    </row>
    <row r="1358" spans="1:4" hidden="1" x14ac:dyDescent="0.3">
      <c r="A1358" t="s">
        <v>272</v>
      </c>
      <c r="B1358" t="s">
        <v>113</v>
      </c>
      <c r="C1358" s="1">
        <f>HYPERLINK("https://cao.dolgi.msk.ru/account/1011530466/", 1011530466)</f>
        <v>1011530466</v>
      </c>
      <c r="D1358">
        <v>0</v>
      </c>
    </row>
    <row r="1359" spans="1:4" hidden="1" x14ac:dyDescent="0.3">
      <c r="A1359" t="s">
        <v>272</v>
      </c>
      <c r="B1359" t="s">
        <v>114</v>
      </c>
      <c r="C1359" s="1">
        <f>HYPERLINK("https://cao.dolgi.msk.ru/account/1011121806/", 1011121806)</f>
        <v>1011121806</v>
      </c>
      <c r="D1359">
        <v>0</v>
      </c>
    </row>
    <row r="1360" spans="1:4" hidden="1" x14ac:dyDescent="0.3">
      <c r="A1360" t="s">
        <v>272</v>
      </c>
      <c r="B1360" t="s">
        <v>115</v>
      </c>
      <c r="C1360" s="1">
        <f>HYPERLINK("https://cao.dolgi.msk.ru/account/1011122446/", 1011122446)</f>
        <v>1011122446</v>
      </c>
      <c r="D1360">
        <v>0</v>
      </c>
    </row>
    <row r="1361" spans="1:4" hidden="1" x14ac:dyDescent="0.3">
      <c r="A1361" t="s">
        <v>272</v>
      </c>
      <c r="B1361" t="s">
        <v>116</v>
      </c>
      <c r="C1361" s="1">
        <f>HYPERLINK("https://cao.dolgi.msk.ru/account/1011122454/", 1011122454)</f>
        <v>1011122454</v>
      </c>
      <c r="D1361">
        <v>-11118.71</v>
      </c>
    </row>
    <row r="1362" spans="1:4" hidden="1" x14ac:dyDescent="0.3">
      <c r="A1362" t="s">
        <v>272</v>
      </c>
      <c r="B1362" t="s">
        <v>266</v>
      </c>
      <c r="C1362" s="1">
        <f>HYPERLINK("https://cao.dolgi.msk.ru/account/1011123123/", 1011123123)</f>
        <v>1011123123</v>
      </c>
      <c r="D1362">
        <v>0</v>
      </c>
    </row>
    <row r="1363" spans="1:4" hidden="1" x14ac:dyDescent="0.3">
      <c r="A1363" t="s">
        <v>272</v>
      </c>
      <c r="B1363" t="s">
        <v>117</v>
      </c>
      <c r="C1363" s="1">
        <f>HYPERLINK("https://cao.dolgi.msk.ru/account/1011121283/", 1011121283)</f>
        <v>1011121283</v>
      </c>
      <c r="D1363">
        <v>-5666.29</v>
      </c>
    </row>
    <row r="1364" spans="1:4" hidden="1" x14ac:dyDescent="0.3">
      <c r="A1364" t="s">
        <v>272</v>
      </c>
      <c r="B1364" t="s">
        <v>118</v>
      </c>
      <c r="C1364" s="1">
        <f>HYPERLINK("https://cao.dolgi.msk.ru/account/1011121814/", 1011121814)</f>
        <v>1011121814</v>
      </c>
      <c r="D1364">
        <v>0</v>
      </c>
    </row>
    <row r="1365" spans="1:4" hidden="1" x14ac:dyDescent="0.3">
      <c r="A1365" t="s">
        <v>272</v>
      </c>
      <c r="B1365" t="s">
        <v>119</v>
      </c>
      <c r="C1365" s="1">
        <f>HYPERLINK("https://cao.dolgi.msk.ru/account/1011121822/", 1011121822)</f>
        <v>1011121822</v>
      </c>
      <c r="D1365">
        <v>0</v>
      </c>
    </row>
    <row r="1366" spans="1:4" hidden="1" x14ac:dyDescent="0.3">
      <c r="A1366" t="s">
        <v>272</v>
      </c>
      <c r="B1366" t="s">
        <v>120</v>
      </c>
      <c r="C1366" s="1">
        <f>HYPERLINK("https://cao.dolgi.msk.ru/account/1011121849/", 1011121849)</f>
        <v>1011121849</v>
      </c>
      <c r="D1366">
        <v>0</v>
      </c>
    </row>
    <row r="1367" spans="1:4" hidden="1" x14ac:dyDescent="0.3">
      <c r="A1367" t="s">
        <v>272</v>
      </c>
      <c r="B1367" t="s">
        <v>121</v>
      </c>
      <c r="C1367" s="1">
        <f>HYPERLINK("https://cao.dolgi.msk.ru/account/1011121558/", 1011121558)</f>
        <v>1011121558</v>
      </c>
      <c r="D1367">
        <v>0</v>
      </c>
    </row>
    <row r="1368" spans="1:4" hidden="1" x14ac:dyDescent="0.3">
      <c r="A1368" t="s">
        <v>272</v>
      </c>
      <c r="B1368" t="s">
        <v>122</v>
      </c>
      <c r="C1368" s="1">
        <f>HYPERLINK("https://cao.dolgi.msk.ru/account/1011121566/", 1011121566)</f>
        <v>1011121566</v>
      </c>
      <c r="D1368">
        <v>-36506.93</v>
      </c>
    </row>
    <row r="1369" spans="1:4" hidden="1" x14ac:dyDescent="0.3">
      <c r="A1369" t="s">
        <v>272</v>
      </c>
      <c r="B1369" t="s">
        <v>123</v>
      </c>
      <c r="C1369" s="1">
        <f>HYPERLINK("https://cao.dolgi.msk.ru/account/1011121291/", 1011121291)</f>
        <v>1011121291</v>
      </c>
      <c r="D1369">
        <v>0</v>
      </c>
    </row>
    <row r="1370" spans="1:4" hidden="1" x14ac:dyDescent="0.3">
      <c r="A1370" t="s">
        <v>272</v>
      </c>
      <c r="B1370" t="s">
        <v>124</v>
      </c>
      <c r="C1370" s="1">
        <f>HYPERLINK("https://cao.dolgi.msk.ru/account/1011122761/", 1011122761)</f>
        <v>1011122761</v>
      </c>
      <c r="D1370">
        <v>0</v>
      </c>
    </row>
    <row r="1371" spans="1:4" hidden="1" x14ac:dyDescent="0.3">
      <c r="A1371" t="s">
        <v>272</v>
      </c>
      <c r="B1371" t="s">
        <v>125</v>
      </c>
      <c r="C1371" s="1">
        <f>HYPERLINK("https://cao.dolgi.msk.ru/account/1011121857/", 1011121857)</f>
        <v>1011121857</v>
      </c>
      <c r="D1371">
        <v>-508.95</v>
      </c>
    </row>
    <row r="1372" spans="1:4" x14ac:dyDescent="0.3">
      <c r="A1372" t="s">
        <v>272</v>
      </c>
      <c r="B1372" t="s">
        <v>126</v>
      </c>
      <c r="C1372" s="1">
        <f>HYPERLINK("https://cao.dolgi.msk.ru/account/1011121304/", 1011121304)</f>
        <v>1011121304</v>
      </c>
      <c r="D1372">
        <v>35161.68</v>
      </c>
    </row>
    <row r="1373" spans="1:4" hidden="1" x14ac:dyDescent="0.3">
      <c r="A1373" t="s">
        <v>272</v>
      </c>
      <c r="B1373" t="s">
        <v>127</v>
      </c>
      <c r="C1373" s="1">
        <f>HYPERLINK("https://cao.dolgi.msk.ru/account/1011122876/", 1011122876)</f>
        <v>1011122876</v>
      </c>
      <c r="D1373">
        <v>0</v>
      </c>
    </row>
    <row r="1374" spans="1:4" hidden="1" x14ac:dyDescent="0.3">
      <c r="A1374" t="s">
        <v>272</v>
      </c>
      <c r="B1374" t="s">
        <v>262</v>
      </c>
      <c r="C1374" s="1">
        <f>HYPERLINK("https://cao.dolgi.msk.ru/account/1011121312/", 1011121312)</f>
        <v>1011121312</v>
      </c>
      <c r="D1374">
        <v>-13370.91</v>
      </c>
    </row>
    <row r="1375" spans="1:4" hidden="1" x14ac:dyDescent="0.3">
      <c r="A1375" t="s">
        <v>272</v>
      </c>
      <c r="B1375" t="s">
        <v>128</v>
      </c>
      <c r="C1375" s="1">
        <f>HYPERLINK("https://cao.dolgi.msk.ru/account/1011122884/", 1011122884)</f>
        <v>1011122884</v>
      </c>
      <c r="D1375">
        <v>0</v>
      </c>
    </row>
    <row r="1376" spans="1:4" hidden="1" x14ac:dyDescent="0.3">
      <c r="A1376" t="s">
        <v>272</v>
      </c>
      <c r="B1376" t="s">
        <v>129</v>
      </c>
      <c r="C1376" s="1">
        <f>HYPERLINK("https://cao.dolgi.msk.ru/account/1011121582/", 1011121582)</f>
        <v>1011121582</v>
      </c>
      <c r="D1376">
        <v>-3742.91</v>
      </c>
    </row>
    <row r="1377" spans="1:4" hidden="1" x14ac:dyDescent="0.3">
      <c r="A1377" t="s">
        <v>272</v>
      </c>
      <c r="B1377" t="s">
        <v>130</v>
      </c>
      <c r="C1377" s="1">
        <f>HYPERLINK("https://cao.dolgi.msk.ru/account/1011123131/", 1011123131)</f>
        <v>1011123131</v>
      </c>
      <c r="D1377">
        <v>0</v>
      </c>
    </row>
    <row r="1378" spans="1:4" hidden="1" x14ac:dyDescent="0.3">
      <c r="A1378" t="s">
        <v>272</v>
      </c>
      <c r="B1378" t="s">
        <v>131</v>
      </c>
      <c r="C1378" s="1">
        <f>HYPERLINK("https://cao.dolgi.msk.ru/account/1011121339/", 1011121339)</f>
        <v>1011121339</v>
      </c>
      <c r="D1378">
        <v>0</v>
      </c>
    </row>
    <row r="1379" spans="1:4" hidden="1" x14ac:dyDescent="0.3">
      <c r="A1379" t="s">
        <v>272</v>
      </c>
      <c r="B1379" t="s">
        <v>132</v>
      </c>
      <c r="C1379" s="1">
        <f>HYPERLINK("https://cao.dolgi.msk.ru/account/1011122139/", 1011122139)</f>
        <v>1011122139</v>
      </c>
      <c r="D1379">
        <v>0</v>
      </c>
    </row>
    <row r="1380" spans="1:4" hidden="1" x14ac:dyDescent="0.3">
      <c r="A1380" t="s">
        <v>272</v>
      </c>
      <c r="B1380" t="s">
        <v>133</v>
      </c>
      <c r="C1380" s="1">
        <f>HYPERLINK("https://cao.dolgi.msk.ru/account/1011121347/", 1011121347)</f>
        <v>1011121347</v>
      </c>
      <c r="D1380">
        <v>-707.26</v>
      </c>
    </row>
    <row r="1381" spans="1:4" hidden="1" x14ac:dyDescent="0.3">
      <c r="A1381" t="s">
        <v>272</v>
      </c>
      <c r="B1381" t="s">
        <v>134</v>
      </c>
      <c r="C1381" s="1">
        <f>HYPERLINK("https://cao.dolgi.msk.ru/account/1011121355/", 1011121355)</f>
        <v>1011121355</v>
      </c>
      <c r="D1381">
        <v>-524.91</v>
      </c>
    </row>
    <row r="1382" spans="1:4" hidden="1" x14ac:dyDescent="0.3">
      <c r="A1382" t="s">
        <v>272</v>
      </c>
      <c r="B1382" t="s">
        <v>135</v>
      </c>
      <c r="C1382" s="1">
        <f>HYPERLINK("https://cao.dolgi.msk.ru/account/1011121654/", 1011121654)</f>
        <v>1011121654</v>
      </c>
      <c r="D1382">
        <v>0</v>
      </c>
    </row>
    <row r="1383" spans="1:4" hidden="1" x14ac:dyDescent="0.3">
      <c r="A1383" t="s">
        <v>272</v>
      </c>
      <c r="B1383" t="s">
        <v>264</v>
      </c>
      <c r="C1383" s="1">
        <f>HYPERLINK("https://cao.dolgi.msk.ru/account/1011122243/", 1011122243)</f>
        <v>1011122243</v>
      </c>
      <c r="D1383">
        <v>0</v>
      </c>
    </row>
    <row r="1384" spans="1:4" hidden="1" x14ac:dyDescent="0.3">
      <c r="A1384" t="s">
        <v>272</v>
      </c>
      <c r="B1384" t="s">
        <v>136</v>
      </c>
      <c r="C1384" s="1">
        <f>HYPERLINK("https://cao.dolgi.msk.ru/account/1011531653/", 1011531653)</f>
        <v>1011531653</v>
      </c>
      <c r="D1384">
        <v>0</v>
      </c>
    </row>
    <row r="1385" spans="1:4" hidden="1" x14ac:dyDescent="0.3">
      <c r="A1385" t="s">
        <v>272</v>
      </c>
      <c r="B1385" t="s">
        <v>137</v>
      </c>
      <c r="C1385" s="1">
        <f>HYPERLINK("https://cao.dolgi.msk.ru/account/1011123158/", 1011123158)</f>
        <v>1011123158</v>
      </c>
      <c r="D1385">
        <v>0</v>
      </c>
    </row>
    <row r="1386" spans="1:4" x14ac:dyDescent="0.3">
      <c r="A1386" t="s">
        <v>272</v>
      </c>
      <c r="B1386" t="s">
        <v>138</v>
      </c>
      <c r="C1386" s="1">
        <f>HYPERLINK("https://cao.dolgi.msk.ru/account/1011122681/", 1011122681)</f>
        <v>1011122681</v>
      </c>
      <c r="D1386">
        <v>4614.07</v>
      </c>
    </row>
    <row r="1387" spans="1:4" hidden="1" x14ac:dyDescent="0.3">
      <c r="A1387" t="s">
        <v>272</v>
      </c>
      <c r="B1387" t="s">
        <v>139</v>
      </c>
      <c r="C1387" s="1">
        <f>HYPERLINK("https://cao.dolgi.msk.ru/account/1011121363/", 1011121363)</f>
        <v>1011121363</v>
      </c>
      <c r="D1387">
        <v>0</v>
      </c>
    </row>
    <row r="1388" spans="1:4" x14ac:dyDescent="0.3">
      <c r="A1388" t="s">
        <v>272</v>
      </c>
      <c r="B1388" t="s">
        <v>140</v>
      </c>
      <c r="C1388" s="1">
        <f>HYPERLINK("https://cao.dolgi.msk.ru/account/1011123166/", 1011123166)</f>
        <v>1011123166</v>
      </c>
      <c r="D1388">
        <v>45540.06</v>
      </c>
    </row>
    <row r="1389" spans="1:4" hidden="1" x14ac:dyDescent="0.3">
      <c r="A1389" t="s">
        <v>272</v>
      </c>
      <c r="B1389" t="s">
        <v>141</v>
      </c>
      <c r="C1389" s="1">
        <f>HYPERLINK("https://cao.dolgi.msk.ru/account/1011123174/", 1011123174)</f>
        <v>1011123174</v>
      </c>
      <c r="D1389">
        <v>0</v>
      </c>
    </row>
    <row r="1390" spans="1:4" hidden="1" x14ac:dyDescent="0.3">
      <c r="A1390" t="s">
        <v>272</v>
      </c>
      <c r="B1390" t="s">
        <v>142</v>
      </c>
      <c r="C1390" s="1">
        <f>HYPERLINK("https://cao.dolgi.msk.ru/account/1011122147/", 1011122147)</f>
        <v>1011122147</v>
      </c>
      <c r="D1390">
        <v>-3886.35</v>
      </c>
    </row>
    <row r="1391" spans="1:4" hidden="1" x14ac:dyDescent="0.3">
      <c r="A1391" t="s">
        <v>272</v>
      </c>
      <c r="B1391" t="s">
        <v>143</v>
      </c>
      <c r="C1391" s="1">
        <f>HYPERLINK("https://cao.dolgi.msk.ru/account/1011122892/", 1011122892)</f>
        <v>1011122892</v>
      </c>
      <c r="D1391">
        <v>-552.77</v>
      </c>
    </row>
    <row r="1392" spans="1:4" hidden="1" x14ac:dyDescent="0.3">
      <c r="A1392" t="s">
        <v>272</v>
      </c>
      <c r="B1392" t="s">
        <v>144</v>
      </c>
      <c r="C1392" s="1">
        <f>HYPERLINK("https://cao.dolgi.msk.ru/account/1011121865/", 1011121865)</f>
        <v>1011121865</v>
      </c>
      <c r="D1392">
        <v>0</v>
      </c>
    </row>
    <row r="1393" spans="1:4" hidden="1" x14ac:dyDescent="0.3">
      <c r="A1393" t="s">
        <v>272</v>
      </c>
      <c r="B1393" t="s">
        <v>145</v>
      </c>
      <c r="C1393" s="1">
        <f>HYPERLINK("https://cao.dolgi.msk.ru/account/1011122518/", 1011122518)</f>
        <v>1011122518</v>
      </c>
      <c r="D1393">
        <v>-13264.51</v>
      </c>
    </row>
    <row r="1394" spans="1:4" hidden="1" x14ac:dyDescent="0.3">
      <c r="A1394" t="s">
        <v>272</v>
      </c>
      <c r="B1394" t="s">
        <v>146</v>
      </c>
      <c r="C1394" s="1">
        <f>HYPERLINK("https://cao.dolgi.msk.ru/account/1011121873/", 1011121873)</f>
        <v>1011121873</v>
      </c>
      <c r="D1394">
        <v>-138.96</v>
      </c>
    </row>
    <row r="1395" spans="1:4" hidden="1" x14ac:dyDescent="0.3">
      <c r="A1395" t="s">
        <v>272</v>
      </c>
      <c r="B1395" t="s">
        <v>147</v>
      </c>
      <c r="C1395" s="1">
        <f>HYPERLINK("https://cao.dolgi.msk.ru/account/1011129509/", 1011129509)</f>
        <v>1011129509</v>
      </c>
      <c r="D1395">
        <v>0</v>
      </c>
    </row>
    <row r="1396" spans="1:4" hidden="1" x14ac:dyDescent="0.3">
      <c r="A1396" t="s">
        <v>272</v>
      </c>
      <c r="B1396" t="s">
        <v>148</v>
      </c>
      <c r="C1396" s="1">
        <f>HYPERLINK("https://cao.dolgi.msk.ru/account/1011123182/", 1011123182)</f>
        <v>1011123182</v>
      </c>
      <c r="D1396">
        <v>0</v>
      </c>
    </row>
    <row r="1397" spans="1:4" hidden="1" x14ac:dyDescent="0.3">
      <c r="A1397" t="s">
        <v>272</v>
      </c>
      <c r="B1397" t="s">
        <v>149</v>
      </c>
      <c r="C1397" s="1">
        <f>HYPERLINK("https://cao.dolgi.msk.ru/account/1011121371/", 1011121371)</f>
        <v>1011121371</v>
      </c>
      <c r="D1397">
        <v>0</v>
      </c>
    </row>
    <row r="1398" spans="1:4" x14ac:dyDescent="0.3">
      <c r="A1398" t="s">
        <v>272</v>
      </c>
      <c r="B1398" t="s">
        <v>150</v>
      </c>
      <c r="C1398" s="1">
        <f>HYPERLINK("https://cao.dolgi.msk.ru/account/1011123289/", 1011123289)</f>
        <v>1011123289</v>
      </c>
      <c r="D1398">
        <v>6830.32</v>
      </c>
    </row>
    <row r="1399" spans="1:4" hidden="1" x14ac:dyDescent="0.3">
      <c r="A1399" t="s">
        <v>272</v>
      </c>
      <c r="B1399" t="s">
        <v>151</v>
      </c>
      <c r="C1399" s="1">
        <f>HYPERLINK("https://cao.dolgi.msk.ru/account/1011121902/", 1011121902)</f>
        <v>1011121902</v>
      </c>
      <c r="D1399">
        <v>0</v>
      </c>
    </row>
    <row r="1400" spans="1:4" hidden="1" x14ac:dyDescent="0.3">
      <c r="A1400" t="s">
        <v>272</v>
      </c>
      <c r="B1400" t="s">
        <v>152</v>
      </c>
      <c r="C1400" s="1">
        <f>HYPERLINK("https://cao.dolgi.msk.ru/account/1011121929/", 1011121929)</f>
        <v>1011121929</v>
      </c>
      <c r="D1400">
        <v>-5264.25</v>
      </c>
    </row>
    <row r="1401" spans="1:4" hidden="1" x14ac:dyDescent="0.3">
      <c r="A1401" t="s">
        <v>272</v>
      </c>
      <c r="B1401" t="s">
        <v>153</v>
      </c>
      <c r="C1401" s="1">
        <f>HYPERLINK("https://cao.dolgi.msk.ru/account/1011121603/", 1011121603)</f>
        <v>1011121603</v>
      </c>
      <c r="D1401">
        <v>-4820.7700000000004</v>
      </c>
    </row>
    <row r="1402" spans="1:4" hidden="1" x14ac:dyDescent="0.3">
      <c r="A1402" t="s">
        <v>272</v>
      </c>
      <c r="B1402" t="s">
        <v>154</v>
      </c>
      <c r="C1402" s="1">
        <f>HYPERLINK("https://cao.dolgi.msk.ru/account/1011121937/", 1011121937)</f>
        <v>1011121937</v>
      </c>
      <c r="D1402">
        <v>0</v>
      </c>
    </row>
    <row r="1403" spans="1:4" hidden="1" x14ac:dyDescent="0.3">
      <c r="A1403" t="s">
        <v>272</v>
      </c>
      <c r="B1403" t="s">
        <v>155</v>
      </c>
      <c r="C1403" s="1">
        <f>HYPERLINK("https://cao.dolgi.msk.ru/account/1011122155/", 1011122155)</f>
        <v>1011122155</v>
      </c>
      <c r="D1403">
        <v>0</v>
      </c>
    </row>
    <row r="1404" spans="1:4" hidden="1" x14ac:dyDescent="0.3">
      <c r="A1404" t="s">
        <v>272</v>
      </c>
      <c r="B1404" t="s">
        <v>156</v>
      </c>
      <c r="C1404" s="1">
        <f>HYPERLINK("https://cao.dolgi.msk.ru/account/1011122702/", 1011122702)</f>
        <v>1011122702</v>
      </c>
      <c r="D1404">
        <v>0</v>
      </c>
    </row>
    <row r="1405" spans="1:4" hidden="1" x14ac:dyDescent="0.3">
      <c r="A1405" t="s">
        <v>272</v>
      </c>
      <c r="B1405" t="s">
        <v>157</v>
      </c>
      <c r="C1405" s="1">
        <f>HYPERLINK("https://cao.dolgi.msk.ru/account/1011122163/", 1011122163)</f>
        <v>1011122163</v>
      </c>
      <c r="D1405">
        <v>0</v>
      </c>
    </row>
    <row r="1406" spans="1:4" hidden="1" x14ac:dyDescent="0.3">
      <c r="A1406" t="s">
        <v>272</v>
      </c>
      <c r="B1406" t="s">
        <v>158</v>
      </c>
      <c r="C1406" s="1">
        <f>HYPERLINK("https://cao.dolgi.msk.ru/account/1011122729/", 1011122729)</f>
        <v>1011122729</v>
      </c>
      <c r="D1406">
        <v>0</v>
      </c>
    </row>
    <row r="1407" spans="1:4" hidden="1" x14ac:dyDescent="0.3">
      <c r="A1407" t="s">
        <v>272</v>
      </c>
      <c r="B1407" t="s">
        <v>159</v>
      </c>
      <c r="C1407" s="1">
        <f>HYPERLINK("https://cao.dolgi.msk.ru/account/1011122171/", 1011122171)</f>
        <v>1011122171</v>
      </c>
      <c r="D1407">
        <v>0</v>
      </c>
    </row>
    <row r="1408" spans="1:4" hidden="1" x14ac:dyDescent="0.3">
      <c r="A1408" t="s">
        <v>272</v>
      </c>
      <c r="B1408" t="s">
        <v>160</v>
      </c>
      <c r="C1408" s="1">
        <f>HYPERLINK("https://cao.dolgi.msk.ru/account/1011121945/", 1011121945)</f>
        <v>1011121945</v>
      </c>
      <c r="D1408">
        <v>-3328.31</v>
      </c>
    </row>
    <row r="1409" spans="1:4" hidden="1" x14ac:dyDescent="0.3">
      <c r="A1409" t="s">
        <v>272</v>
      </c>
      <c r="B1409" t="s">
        <v>161</v>
      </c>
      <c r="C1409" s="1">
        <f>HYPERLINK("https://cao.dolgi.msk.ru/account/1011122198/", 1011122198)</f>
        <v>1011122198</v>
      </c>
      <c r="D1409">
        <v>-7620</v>
      </c>
    </row>
    <row r="1410" spans="1:4" hidden="1" x14ac:dyDescent="0.3">
      <c r="A1410" t="s">
        <v>272</v>
      </c>
      <c r="B1410" t="s">
        <v>162</v>
      </c>
      <c r="C1410" s="1">
        <f>HYPERLINK("https://cao.dolgi.msk.ru/account/1011122737/", 1011122737)</f>
        <v>1011122737</v>
      </c>
      <c r="D1410">
        <v>0</v>
      </c>
    </row>
    <row r="1411" spans="1:4" hidden="1" x14ac:dyDescent="0.3">
      <c r="A1411" t="s">
        <v>272</v>
      </c>
      <c r="B1411" t="s">
        <v>163</v>
      </c>
      <c r="C1411" s="1">
        <f>HYPERLINK("https://cao.dolgi.msk.ru/account/1011122745/", 1011122745)</f>
        <v>1011122745</v>
      </c>
      <c r="D1411">
        <v>-8537.5</v>
      </c>
    </row>
    <row r="1412" spans="1:4" hidden="1" x14ac:dyDescent="0.3">
      <c r="A1412" t="s">
        <v>272</v>
      </c>
      <c r="B1412" t="s">
        <v>164</v>
      </c>
      <c r="C1412" s="1">
        <f>HYPERLINK("https://cao.dolgi.msk.ru/account/1011122219/", 1011122219)</f>
        <v>1011122219</v>
      </c>
      <c r="D1412">
        <v>-12740.95</v>
      </c>
    </row>
    <row r="1413" spans="1:4" hidden="1" x14ac:dyDescent="0.3">
      <c r="A1413" t="s">
        <v>272</v>
      </c>
      <c r="B1413" t="s">
        <v>165</v>
      </c>
      <c r="C1413" s="1">
        <f>HYPERLINK("https://cao.dolgi.msk.ru/account/1011123203/", 1011123203)</f>
        <v>1011123203</v>
      </c>
      <c r="D1413">
        <v>0</v>
      </c>
    </row>
    <row r="1414" spans="1:4" hidden="1" x14ac:dyDescent="0.3">
      <c r="A1414" t="s">
        <v>272</v>
      </c>
      <c r="B1414" t="s">
        <v>166</v>
      </c>
      <c r="C1414" s="1">
        <f>HYPERLINK("https://cao.dolgi.msk.ru/account/1011123211/", 1011123211)</f>
        <v>1011123211</v>
      </c>
      <c r="D1414">
        <v>-1241.0899999999999</v>
      </c>
    </row>
    <row r="1415" spans="1:4" hidden="1" x14ac:dyDescent="0.3">
      <c r="A1415" t="s">
        <v>272</v>
      </c>
      <c r="B1415" t="s">
        <v>167</v>
      </c>
      <c r="C1415" s="1">
        <f>HYPERLINK("https://cao.dolgi.msk.ru/account/1011121611/", 1011121611)</f>
        <v>1011121611</v>
      </c>
      <c r="D1415">
        <v>0</v>
      </c>
    </row>
    <row r="1416" spans="1:4" hidden="1" x14ac:dyDescent="0.3">
      <c r="A1416" t="s">
        <v>272</v>
      </c>
      <c r="B1416" t="s">
        <v>168</v>
      </c>
      <c r="C1416" s="1">
        <f>HYPERLINK("https://cao.dolgi.msk.ru/account/1011123238/", 1011123238)</f>
        <v>1011123238</v>
      </c>
      <c r="D1416">
        <v>-7208.29</v>
      </c>
    </row>
    <row r="1417" spans="1:4" hidden="1" x14ac:dyDescent="0.3">
      <c r="A1417" t="s">
        <v>272</v>
      </c>
      <c r="B1417" t="s">
        <v>169</v>
      </c>
      <c r="C1417" s="1">
        <f>HYPERLINK("https://cao.dolgi.msk.ru/account/1011123246/", 1011123246)</f>
        <v>1011123246</v>
      </c>
      <c r="D1417">
        <v>0</v>
      </c>
    </row>
    <row r="1418" spans="1:4" hidden="1" x14ac:dyDescent="0.3">
      <c r="A1418" t="s">
        <v>272</v>
      </c>
      <c r="B1418" t="s">
        <v>170</v>
      </c>
      <c r="C1418" s="1">
        <f>HYPERLINK("https://cao.dolgi.msk.ru/account/1011122462/", 1011122462)</f>
        <v>1011122462</v>
      </c>
      <c r="D1418">
        <v>0</v>
      </c>
    </row>
    <row r="1419" spans="1:4" hidden="1" x14ac:dyDescent="0.3">
      <c r="A1419" t="s">
        <v>272</v>
      </c>
      <c r="B1419" t="s">
        <v>171</v>
      </c>
      <c r="C1419" s="1">
        <f>HYPERLINK("https://cao.dolgi.msk.ru/account/1011121953/", 1011121953)</f>
        <v>1011121953</v>
      </c>
      <c r="D1419">
        <v>0</v>
      </c>
    </row>
    <row r="1420" spans="1:4" hidden="1" x14ac:dyDescent="0.3">
      <c r="A1420" t="s">
        <v>272</v>
      </c>
      <c r="B1420" t="s">
        <v>172</v>
      </c>
      <c r="C1420" s="1">
        <f>HYPERLINK("https://cao.dolgi.msk.ru/account/1011121638/", 1011121638)</f>
        <v>1011121638</v>
      </c>
      <c r="D1420">
        <v>-6896.67</v>
      </c>
    </row>
    <row r="1421" spans="1:4" hidden="1" x14ac:dyDescent="0.3">
      <c r="A1421" t="s">
        <v>272</v>
      </c>
      <c r="B1421" t="s">
        <v>173</v>
      </c>
      <c r="C1421" s="1">
        <f>HYPERLINK("https://cao.dolgi.msk.ru/account/1011122489/", 1011122489)</f>
        <v>1011122489</v>
      </c>
      <c r="D1421">
        <v>-17958.05</v>
      </c>
    </row>
    <row r="1422" spans="1:4" hidden="1" x14ac:dyDescent="0.3">
      <c r="A1422" t="s">
        <v>272</v>
      </c>
      <c r="B1422" t="s">
        <v>174</v>
      </c>
      <c r="C1422" s="1">
        <f>HYPERLINK("https://cao.dolgi.msk.ru/account/1011121646/", 1011121646)</f>
        <v>1011121646</v>
      </c>
      <c r="D1422">
        <v>-306.92</v>
      </c>
    </row>
    <row r="1423" spans="1:4" x14ac:dyDescent="0.3">
      <c r="A1423" t="s">
        <v>272</v>
      </c>
      <c r="B1423" t="s">
        <v>175</v>
      </c>
      <c r="C1423" s="1">
        <f>HYPERLINK("https://cao.dolgi.msk.ru/account/1011123254/", 1011123254)</f>
        <v>1011123254</v>
      </c>
      <c r="D1423">
        <v>6039.47</v>
      </c>
    </row>
    <row r="1424" spans="1:4" hidden="1" x14ac:dyDescent="0.3">
      <c r="A1424" t="s">
        <v>272</v>
      </c>
      <c r="B1424" t="s">
        <v>176</v>
      </c>
      <c r="C1424" s="1">
        <f>HYPERLINK("https://cao.dolgi.msk.ru/account/1011121398/", 1011121398)</f>
        <v>1011121398</v>
      </c>
      <c r="D1424">
        <v>0</v>
      </c>
    </row>
    <row r="1425" spans="1:4" hidden="1" x14ac:dyDescent="0.3">
      <c r="A1425" t="s">
        <v>272</v>
      </c>
      <c r="B1425" t="s">
        <v>177</v>
      </c>
      <c r="C1425" s="1">
        <f>HYPERLINK("https://cao.dolgi.msk.ru/account/1011122905/", 1011122905)</f>
        <v>1011122905</v>
      </c>
      <c r="D1425">
        <v>0</v>
      </c>
    </row>
    <row r="1426" spans="1:4" hidden="1" x14ac:dyDescent="0.3">
      <c r="A1426" t="s">
        <v>272</v>
      </c>
      <c r="B1426" t="s">
        <v>178</v>
      </c>
      <c r="C1426" s="1">
        <f>HYPERLINK("https://cao.dolgi.msk.ru/account/1011122227/", 1011122227)</f>
        <v>1011122227</v>
      </c>
      <c r="D1426">
        <v>0</v>
      </c>
    </row>
    <row r="1427" spans="1:4" hidden="1" x14ac:dyDescent="0.3">
      <c r="A1427" t="s">
        <v>272</v>
      </c>
      <c r="B1427" t="s">
        <v>179</v>
      </c>
      <c r="C1427" s="1">
        <f>HYPERLINK("https://cao.dolgi.msk.ru/account/1011121961/", 1011121961)</f>
        <v>1011121961</v>
      </c>
      <c r="D1427">
        <v>0</v>
      </c>
    </row>
    <row r="1428" spans="1:4" hidden="1" x14ac:dyDescent="0.3">
      <c r="A1428" t="s">
        <v>272</v>
      </c>
      <c r="B1428" t="s">
        <v>273</v>
      </c>
      <c r="C1428" s="1">
        <f>HYPERLINK("https://cao.dolgi.msk.ru/account/1011122913/", 1011122913)</f>
        <v>1011122913</v>
      </c>
      <c r="D1428">
        <v>-3680.27</v>
      </c>
    </row>
    <row r="1429" spans="1:4" hidden="1" x14ac:dyDescent="0.3">
      <c r="A1429" t="s">
        <v>272</v>
      </c>
      <c r="B1429" t="s">
        <v>180</v>
      </c>
      <c r="C1429" s="1">
        <f>HYPERLINK("https://cao.dolgi.msk.ru/account/1011121419/", 1011121419)</f>
        <v>1011121419</v>
      </c>
      <c r="D1429">
        <v>0</v>
      </c>
    </row>
    <row r="1430" spans="1:4" hidden="1" x14ac:dyDescent="0.3">
      <c r="A1430" t="s">
        <v>272</v>
      </c>
      <c r="B1430" t="s">
        <v>181</v>
      </c>
      <c r="C1430" s="1">
        <f>HYPERLINK("https://cao.dolgi.msk.ru/account/1011122921/", 1011122921)</f>
        <v>1011122921</v>
      </c>
      <c r="D1430">
        <v>0</v>
      </c>
    </row>
    <row r="1431" spans="1:4" hidden="1" x14ac:dyDescent="0.3">
      <c r="A1431" t="s">
        <v>272</v>
      </c>
      <c r="B1431" t="s">
        <v>182</v>
      </c>
      <c r="C1431" s="1">
        <f>HYPERLINK("https://cao.dolgi.msk.ru/account/1011121988/", 1011121988)</f>
        <v>1011121988</v>
      </c>
      <c r="D1431">
        <v>0</v>
      </c>
    </row>
    <row r="1432" spans="1:4" hidden="1" x14ac:dyDescent="0.3">
      <c r="A1432" t="s">
        <v>272</v>
      </c>
      <c r="B1432" t="s">
        <v>183</v>
      </c>
      <c r="C1432" s="1">
        <f>HYPERLINK("https://cao.dolgi.msk.ru/account/1011122948/", 1011122948)</f>
        <v>1011122948</v>
      </c>
      <c r="D1432">
        <v>0</v>
      </c>
    </row>
    <row r="1433" spans="1:4" hidden="1" x14ac:dyDescent="0.3">
      <c r="A1433" t="s">
        <v>272</v>
      </c>
      <c r="B1433" t="s">
        <v>184</v>
      </c>
      <c r="C1433" s="1">
        <f>HYPERLINK("https://cao.dolgi.msk.ru/account/1011123262/", 1011123262)</f>
        <v>1011123262</v>
      </c>
      <c r="D1433">
        <v>-4611.4799999999996</v>
      </c>
    </row>
    <row r="1434" spans="1:4" hidden="1" x14ac:dyDescent="0.3">
      <c r="A1434" t="s">
        <v>272</v>
      </c>
      <c r="B1434" t="s">
        <v>185</v>
      </c>
      <c r="C1434" s="1">
        <f>HYPERLINK("https://cao.dolgi.msk.ru/account/1011122497/", 1011122497)</f>
        <v>1011122497</v>
      </c>
      <c r="D1434">
        <v>-1278.3900000000001</v>
      </c>
    </row>
    <row r="1435" spans="1:4" hidden="1" x14ac:dyDescent="0.3">
      <c r="A1435" t="s">
        <v>272</v>
      </c>
      <c r="B1435" t="s">
        <v>274</v>
      </c>
      <c r="C1435" s="1">
        <f>HYPERLINK("https://cao.dolgi.msk.ru/account/1011122235/", 1011122235)</f>
        <v>1011122235</v>
      </c>
      <c r="D1435">
        <v>0</v>
      </c>
    </row>
    <row r="1436" spans="1:4" x14ac:dyDescent="0.3">
      <c r="A1436" t="s">
        <v>272</v>
      </c>
      <c r="B1436" t="s">
        <v>186</v>
      </c>
      <c r="C1436" s="1">
        <f>HYPERLINK("https://cao.dolgi.msk.ru/account/1011121427/", 1011121427)</f>
        <v>1011121427</v>
      </c>
      <c r="D1436">
        <v>22217.61</v>
      </c>
    </row>
    <row r="1437" spans="1:4" hidden="1" x14ac:dyDescent="0.3">
      <c r="A1437" t="s">
        <v>272</v>
      </c>
      <c r="B1437" t="s">
        <v>187</v>
      </c>
      <c r="C1437" s="1">
        <f>HYPERLINK("https://cao.dolgi.msk.ru/account/1011122956/", 1011122956)</f>
        <v>1011122956</v>
      </c>
      <c r="D1437">
        <v>0</v>
      </c>
    </row>
    <row r="1438" spans="1:4" hidden="1" x14ac:dyDescent="0.3">
      <c r="A1438" t="s">
        <v>272</v>
      </c>
      <c r="B1438" t="s">
        <v>188</v>
      </c>
      <c r="C1438" s="1">
        <f>HYPERLINK("https://cao.dolgi.msk.ru/account/1011121996/", 1011121996)</f>
        <v>1011121996</v>
      </c>
      <c r="D1438">
        <v>-4727.37</v>
      </c>
    </row>
    <row r="1439" spans="1:4" hidden="1" x14ac:dyDescent="0.3">
      <c r="A1439" t="s">
        <v>272</v>
      </c>
      <c r="B1439" t="s">
        <v>189</v>
      </c>
      <c r="C1439" s="1">
        <f>HYPERLINK("https://cao.dolgi.msk.ru/account/1011122753/", 1011122753)</f>
        <v>1011122753</v>
      </c>
      <c r="D1439">
        <v>0</v>
      </c>
    </row>
    <row r="1440" spans="1:4" hidden="1" x14ac:dyDescent="0.3">
      <c r="A1440" t="s">
        <v>272</v>
      </c>
      <c r="B1440" t="s">
        <v>190</v>
      </c>
      <c r="C1440" s="1">
        <f>HYPERLINK("https://cao.dolgi.msk.ru/account/1011122008/", 1011122008)</f>
        <v>1011122008</v>
      </c>
      <c r="D1440">
        <v>0</v>
      </c>
    </row>
    <row r="1441" spans="1:4" hidden="1" x14ac:dyDescent="0.3">
      <c r="A1441" t="s">
        <v>272</v>
      </c>
      <c r="B1441" t="s">
        <v>191</v>
      </c>
      <c r="C1441" s="1">
        <f>HYPERLINK("https://cao.dolgi.msk.ru/account/1011121662/", 1011121662)</f>
        <v>1011121662</v>
      </c>
      <c r="D1441">
        <v>0</v>
      </c>
    </row>
    <row r="1442" spans="1:4" hidden="1" x14ac:dyDescent="0.3">
      <c r="A1442" t="s">
        <v>272</v>
      </c>
      <c r="B1442" t="s">
        <v>191</v>
      </c>
      <c r="C1442" s="1">
        <f>HYPERLINK("https://cao.dolgi.msk.ru/account/1011122294/", 1011122294)</f>
        <v>1011122294</v>
      </c>
      <c r="D1442">
        <v>0</v>
      </c>
    </row>
    <row r="1443" spans="1:4" hidden="1" x14ac:dyDescent="0.3">
      <c r="A1443" t="s">
        <v>275</v>
      </c>
      <c r="B1443" t="s">
        <v>19</v>
      </c>
      <c r="C1443" s="1">
        <f>HYPERLINK("https://cao.dolgi.msk.ru/account/1010839883/", 1010839883)</f>
        <v>1010839883</v>
      </c>
      <c r="D1443">
        <v>-5255.26</v>
      </c>
    </row>
    <row r="1444" spans="1:4" x14ac:dyDescent="0.3">
      <c r="A1444" t="s">
        <v>275</v>
      </c>
      <c r="B1444" t="s">
        <v>20</v>
      </c>
      <c r="C1444" s="1">
        <f>HYPERLINK("https://cao.dolgi.msk.ru/account/1010428654/", 1010428654)</f>
        <v>1010428654</v>
      </c>
      <c r="D1444">
        <v>879.42</v>
      </c>
    </row>
    <row r="1445" spans="1:4" hidden="1" x14ac:dyDescent="0.3">
      <c r="A1445" t="s">
        <v>275</v>
      </c>
      <c r="B1445" t="s">
        <v>20</v>
      </c>
      <c r="C1445" s="1">
        <f>HYPERLINK("https://cao.dolgi.msk.ru/account/1010841836/", 1010841836)</f>
        <v>1010841836</v>
      </c>
      <c r="D1445">
        <v>-69.150000000000006</v>
      </c>
    </row>
    <row r="1446" spans="1:4" x14ac:dyDescent="0.3">
      <c r="A1446" t="s">
        <v>275</v>
      </c>
      <c r="B1446" t="s">
        <v>24</v>
      </c>
      <c r="C1446" s="1">
        <f>HYPERLINK("https://cao.dolgi.msk.ru/account/1010428697/", 1010428697)</f>
        <v>1010428697</v>
      </c>
      <c r="D1446">
        <v>10936.39</v>
      </c>
    </row>
    <row r="1447" spans="1:4" x14ac:dyDescent="0.3">
      <c r="A1447" t="s">
        <v>275</v>
      </c>
      <c r="B1447" t="s">
        <v>24</v>
      </c>
      <c r="C1447" s="1">
        <f>HYPERLINK("https://cao.dolgi.msk.ru/account/1010428718/", 1010428718)</f>
        <v>1010428718</v>
      </c>
      <c r="D1447">
        <v>16166.39</v>
      </c>
    </row>
    <row r="1448" spans="1:4" hidden="1" x14ac:dyDescent="0.3">
      <c r="A1448" t="s">
        <v>275</v>
      </c>
      <c r="B1448" t="s">
        <v>24</v>
      </c>
      <c r="C1448" s="1">
        <f>HYPERLINK("https://cao.dolgi.msk.ru/account/1011109209/", 1011109209)</f>
        <v>1011109209</v>
      </c>
      <c r="D1448">
        <v>-1443.38</v>
      </c>
    </row>
    <row r="1449" spans="1:4" hidden="1" x14ac:dyDescent="0.3">
      <c r="A1449" t="s">
        <v>275</v>
      </c>
      <c r="B1449" t="s">
        <v>38</v>
      </c>
      <c r="C1449" s="1">
        <f>HYPERLINK("https://cao.dolgi.msk.ru/account/1010428726/", 1010428726)</f>
        <v>1010428726</v>
      </c>
      <c r="D1449">
        <v>-3582.33</v>
      </c>
    </row>
    <row r="1450" spans="1:4" hidden="1" x14ac:dyDescent="0.3">
      <c r="A1450" t="s">
        <v>275</v>
      </c>
      <c r="B1450" t="s">
        <v>39</v>
      </c>
      <c r="C1450" s="1">
        <f>HYPERLINK("https://cao.dolgi.msk.ru/account/1010428988/", 1010428988)</f>
        <v>1010428988</v>
      </c>
      <c r="D1450">
        <v>-555.69000000000005</v>
      </c>
    </row>
    <row r="1451" spans="1:4" hidden="1" x14ac:dyDescent="0.3">
      <c r="A1451" t="s">
        <v>275</v>
      </c>
      <c r="B1451" t="s">
        <v>52</v>
      </c>
      <c r="C1451" s="1">
        <f>HYPERLINK("https://cao.dolgi.msk.ru/account/1010428814/", 1010428814)</f>
        <v>1010428814</v>
      </c>
      <c r="D1451">
        <v>-18.53</v>
      </c>
    </row>
    <row r="1452" spans="1:4" hidden="1" x14ac:dyDescent="0.3">
      <c r="A1452" t="s">
        <v>275</v>
      </c>
      <c r="B1452" t="s">
        <v>53</v>
      </c>
      <c r="C1452" s="1">
        <f>HYPERLINK("https://cao.dolgi.msk.ru/account/1010428849/", 1010428849)</f>
        <v>1010428849</v>
      </c>
      <c r="D1452">
        <v>-88.66</v>
      </c>
    </row>
    <row r="1453" spans="1:4" hidden="1" x14ac:dyDescent="0.3">
      <c r="A1453" t="s">
        <v>275</v>
      </c>
      <c r="B1453" t="s">
        <v>54</v>
      </c>
      <c r="C1453" s="1">
        <f>HYPERLINK("https://cao.dolgi.msk.ru/account/1010428822/", 1010428822)</f>
        <v>1010428822</v>
      </c>
      <c r="D1453">
        <v>-3217.89</v>
      </c>
    </row>
    <row r="1454" spans="1:4" hidden="1" x14ac:dyDescent="0.3">
      <c r="A1454" t="s">
        <v>275</v>
      </c>
      <c r="B1454" t="s">
        <v>54</v>
      </c>
      <c r="C1454" s="1">
        <f>HYPERLINK("https://cao.dolgi.msk.ru/account/1010428857/", 1010428857)</f>
        <v>1010428857</v>
      </c>
      <c r="D1454">
        <v>-327.93</v>
      </c>
    </row>
    <row r="1455" spans="1:4" x14ac:dyDescent="0.3">
      <c r="A1455" t="s">
        <v>275</v>
      </c>
      <c r="B1455" t="s">
        <v>56</v>
      </c>
      <c r="C1455" s="1">
        <f>HYPERLINK("https://cao.dolgi.msk.ru/account/1010428873/", 1010428873)</f>
        <v>1010428873</v>
      </c>
      <c r="D1455">
        <v>175.8</v>
      </c>
    </row>
    <row r="1456" spans="1:4" hidden="1" x14ac:dyDescent="0.3">
      <c r="A1456" t="s">
        <v>275</v>
      </c>
      <c r="B1456" t="s">
        <v>88</v>
      </c>
      <c r="C1456" s="1">
        <f>HYPERLINK("https://cao.dolgi.msk.ru/account/1010428865/", 1010428865)</f>
        <v>1010428865</v>
      </c>
      <c r="D1456">
        <v>-3468.43</v>
      </c>
    </row>
    <row r="1457" spans="1:4" x14ac:dyDescent="0.3">
      <c r="A1457" t="s">
        <v>275</v>
      </c>
      <c r="B1457" t="s">
        <v>88</v>
      </c>
      <c r="C1457" s="1">
        <f>HYPERLINK("https://cao.dolgi.msk.ru/account/1010841174/", 1010841174)</f>
        <v>1010841174</v>
      </c>
      <c r="D1457">
        <v>12718.55</v>
      </c>
    </row>
    <row r="1458" spans="1:4" hidden="1" x14ac:dyDescent="0.3">
      <c r="A1458" t="s">
        <v>276</v>
      </c>
      <c r="B1458" t="s">
        <v>6</v>
      </c>
      <c r="C1458" s="1">
        <f>HYPERLINK("https://cao.dolgi.msk.ru/account/1011389474/", 1011389474)</f>
        <v>1011389474</v>
      </c>
      <c r="D1458">
        <v>0</v>
      </c>
    </row>
    <row r="1459" spans="1:4" x14ac:dyDescent="0.3">
      <c r="A1459" t="s">
        <v>276</v>
      </c>
      <c r="B1459" t="s">
        <v>28</v>
      </c>
      <c r="C1459" s="1">
        <f>HYPERLINK("https://cao.dolgi.msk.ru/account/1011390117/", 1011390117)</f>
        <v>1011390117</v>
      </c>
      <c r="D1459">
        <v>9537.3700000000008</v>
      </c>
    </row>
    <row r="1460" spans="1:4" x14ac:dyDescent="0.3">
      <c r="A1460" t="s">
        <v>276</v>
      </c>
      <c r="B1460" t="s">
        <v>35</v>
      </c>
      <c r="C1460" s="1">
        <f>HYPERLINK("https://cao.dolgi.msk.ru/account/1011389589/", 1011389589)</f>
        <v>1011389589</v>
      </c>
      <c r="D1460">
        <v>11302.17</v>
      </c>
    </row>
    <row r="1461" spans="1:4" hidden="1" x14ac:dyDescent="0.3">
      <c r="A1461" t="s">
        <v>276</v>
      </c>
      <c r="B1461" t="s">
        <v>7</v>
      </c>
      <c r="C1461" s="1">
        <f>HYPERLINK("https://cao.dolgi.msk.ru/account/1011389546/", 1011389546)</f>
        <v>1011389546</v>
      </c>
      <c r="D1461">
        <v>0</v>
      </c>
    </row>
    <row r="1462" spans="1:4" hidden="1" x14ac:dyDescent="0.3">
      <c r="A1462" t="s">
        <v>276</v>
      </c>
      <c r="B1462" t="s">
        <v>8</v>
      </c>
      <c r="C1462" s="1">
        <f>HYPERLINK("https://cao.dolgi.msk.ru/account/1011390045/", 1011390045)</f>
        <v>1011390045</v>
      </c>
      <c r="D1462">
        <v>0</v>
      </c>
    </row>
    <row r="1463" spans="1:4" hidden="1" x14ac:dyDescent="0.3">
      <c r="A1463" t="s">
        <v>276</v>
      </c>
      <c r="B1463" t="s">
        <v>31</v>
      </c>
      <c r="C1463" s="1">
        <f>HYPERLINK("https://cao.dolgi.msk.ru/account/1011389482/", 1011389482)</f>
        <v>1011389482</v>
      </c>
      <c r="D1463">
        <v>-2606.89</v>
      </c>
    </row>
    <row r="1464" spans="1:4" hidden="1" x14ac:dyDescent="0.3">
      <c r="A1464" t="s">
        <v>276</v>
      </c>
      <c r="B1464" t="s">
        <v>9</v>
      </c>
      <c r="C1464" s="1">
        <f>HYPERLINK("https://cao.dolgi.msk.ru/account/1011389669/", 1011389669)</f>
        <v>1011389669</v>
      </c>
      <c r="D1464">
        <v>-20362.62</v>
      </c>
    </row>
    <row r="1465" spans="1:4" hidden="1" x14ac:dyDescent="0.3">
      <c r="A1465" t="s">
        <v>276</v>
      </c>
      <c r="B1465" t="s">
        <v>10</v>
      </c>
      <c r="C1465" s="1">
        <f>HYPERLINK("https://cao.dolgi.msk.ru/account/1011389423/", 1011389423)</f>
        <v>1011389423</v>
      </c>
      <c r="D1465">
        <v>-15.61</v>
      </c>
    </row>
    <row r="1466" spans="1:4" hidden="1" x14ac:dyDescent="0.3">
      <c r="A1466" t="s">
        <v>276</v>
      </c>
      <c r="B1466" t="s">
        <v>11</v>
      </c>
      <c r="C1466" s="1">
        <f>HYPERLINK("https://cao.dolgi.msk.ru/account/1011390109/", 1011390109)</f>
        <v>1011390109</v>
      </c>
      <c r="D1466">
        <v>-756.72</v>
      </c>
    </row>
    <row r="1467" spans="1:4" hidden="1" x14ac:dyDescent="0.3">
      <c r="A1467" t="s">
        <v>276</v>
      </c>
      <c r="B1467" t="s">
        <v>12</v>
      </c>
      <c r="C1467" s="1">
        <f>HYPERLINK("https://cao.dolgi.msk.ru/account/1011389992/", 1011389992)</f>
        <v>1011389992</v>
      </c>
      <c r="D1467">
        <v>0</v>
      </c>
    </row>
    <row r="1468" spans="1:4" hidden="1" x14ac:dyDescent="0.3">
      <c r="A1468" t="s">
        <v>276</v>
      </c>
      <c r="B1468" t="s">
        <v>23</v>
      </c>
      <c r="C1468" s="1">
        <f>HYPERLINK("https://cao.dolgi.msk.ru/account/1011389677/", 1011389677)</f>
        <v>1011389677</v>
      </c>
      <c r="D1468">
        <v>-5303.88</v>
      </c>
    </row>
    <row r="1469" spans="1:4" hidden="1" x14ac:dyDescent="0.3">
      <c r="A1469" t="s">
        <v>276</v>
      </c>
      <c r="B1469" t="s">
        <v>13</v>
      </c>
      <c r="C1469" s="1">
        <f>HYPERLINK("https://cao.dolgi.msk.ru/account/1011390184/", 1011390184)</f>
        <v>1011390184</v>
      </c>
      <c r="D1469">
        <v>0</v>
      </c>
    </row>
    <row r="1470" spans="1:4" hidden="1" x14ac:dyDescent="0.3">
      <c r="A1470" t="s">
        <v>276</v>
      </c>
      <c r="B1470" t="s">
        <v>13</v>
      </c>
      <c r="C1470" s="1">
        <f>HYPERLINK("https://cao.dolgi.msk.ru/account/1011390205/", 1011390205)</f>
        <v>1011390205</v>
      </c>
      <c r="D1470">
        <v>0</v>
      </c>
    </row>
    <row r="1471" spans="1:4" hidden="1" x14ac:dyDescent="0.3">
      <c r="A1471" t="s">
        <v>276</v>
      </c>
      <c r="B1471" t="s">
        <v>14</v>
      </c>
      <c r="C1471" s="1">
        <f>HYPERLINK("https://cao.dolgi.msk.ru/account/1011389896/", 1011389896)</f>
        <v>1011389896</v>
      </c>
      <c r="D1471">
        <v>0</v>
      </c>
    </row>
    <row r="1472" spans="1:4" x14ac:dyDescent="0.3">
      <c r="A1472" t="s">
        <v>276</v>
      </c>
      <c r="B1472" t="s">
        <v>16</v>
      </c>
      <c r="C1472" s="1">
        <f>HYPERLINK("https://cao.dolgi.msk.ru/account/1011389984/", 1011389984)</f>
        <v>1011389984</v>
      </c>
      <c r="D1472">
        <v>8961.7199999999993</v>
      </c>
    </row>
    <row r="1473" spans="1:4" hidden="1" x14ac:dyDescent="0.3">
      <c r="A1473" t="s">
        <v>276</v>
      </c>
      <c r="B1473" t="s">
        <v>17</v>
      </c>
      <c r="C1473" s="1">
        <f>HYPERLINK("https://cao.dolgi.msk.ru/account/1011389538/", 1011389538)</f>
        <v>1011389538</v>
      </c>
      <c r="D1473">
        <v>0</v>
      </c>
    </row>
    <row r="1474" spans="1:4" hidden="1" x14ac:dyDescent="0.3">
      <c r="A1474" t="s">
        <v>276</v>
      </c>
      <c r="B1474" t="s">
        <v>17</v>
      </c>
      <c r="C1474" s="1">
        <f>HYPERLINK("https://cao.dolgi.msk.ru/account/1011390133/", 1011390133)</f>
        <v>1011390133</v>
      </c>
      <c r="D1474">
        <v>0</v>
      </c>
    </row>
    <row r="1475" spans="1:4" hidden="1" x14ac:dyDescent="0.3">
      <c r="A1475" t="s">
        <v>276</v>
      </c>
      <c r="B1475" t="s">
        <v>18</v>
      </c>
      <c r="C1475" s="1">
        <f>HYPERLINK("https://cao.dolgi.msk.ru/account/1011389933/", 1011389933)</f>
        <v>1011389933</v>
      </c>
      <c r="D1475">
        <v>-6280.76</v>
      </c>
    </row>
    <row r="1476" spans="1:4" hidden="1" x14ac:dyDescent="0.3">
      <c r="A1476" t="s">
        <v>276</v>
      </c>
      <c r="B1476" t="s">
        <v>19</v>
      </c>
      <c r="C1476" s="1">
        <f>HYPERLINK("https://cao.dolgi.msk.ru/account/1011389386/", 1011389386)</f>
        <v>1011389386</v>
      </c>
      <c r="D1476">
        <v>0</v>
      </c>
    </row>
    <row r="1477" spans="1:4" x14ac:dyDescent="0.3">
      <c r="A1477" t="s">
        <v>276</v>
      </c>
      <c r="B1477" t="s">
        <v>21</v>
      </c>
      <c r="C1477" s="1">
        <f>HYPERLINK("https://cao.dolgi.msk.ru/account/1011389909/", 1011389909)</f>
        <v>1011389909</v>
      </c>
      <c r="D1477">
        <v>5351.7</v>
      </c>
    </row>
    <row r="1478" spans="1:4" hidden="1" x14ac:dyDescent="0.3">
      <c r="A1478" t="s">
        <v>276</v>
      </c>
      <c r="B1478" t="s">
        <v>22</v>
      </c>
      <c r="C1478" s="1">
        <f>HYPERLINK("https://cao.dolgi.msk.ru/account/1011389343/", 1011389343)</f>
        <v>1011389343</v>
      </c>
      <c r="D1478">
        <v>-196.37</v>
      </c>
    </row>
    <row r="1479" spans="1:4" hidden="1" x14ac:dyDescent="0.3">
      <c r="A1479" t="s">
        <v>276</v>
      </c>
      <c r="B1479" t="s">
        <v>24</v>
      </c>
      <c r="C1479" s="1">
        <f>HYPERLINK("https://cao.dolgi.msk.ru/account/1011389407/", 1011389407)</f>
        <v>1011389407</v>
      </c>
      <c r="D1479">
        <v>-76.03</v>
      </c>
    </row>
    <row r="1480" spans="1:4" x14ac:dyDescent="0.3">
      <c r="A1480" t="s">
        <v>276</v>
      </c>
      <c r="B1480" t="s">
        <v>25</v>
      </c>
      <c r="C1480" s="1">
        <f>HYPERLINK("https://cao.dolgi.msk.ru/account/1011389773/", 1011389773)</f>
        <v>1011389773</v>
      </c>
      <c r="D1480">
        <v>560.67999999999995</v>
      </c>
    </row>
    <row r="1481" spans="1:4" x14ac:dyDescent="0.3">
      <c r="A1481" t="s">
        <v>276</v>
      </c>
      <c r="B1481" t="s">
        <v>25</v>
      </c>
      <c r="C1481" s="1">
        <f>HYPERLINK("https://cao.dolgi.msk.ru/account/1011390037/", 1011390037)</f>
        <v>1011390037</v>
      </c>
      <c r="D1481">
        <v>2763.74</v>
      </c>
    </row>
    <row r="1482" spans="1:4" hidden="1" x14ac:dyDescent="0.3">
      <c r="A1482" t="s">
        <v>276</v>
      </c>
      <c r="B1482" t="s">
        <v>26</v>
      </c>
      <c r="C1482" s="1">
        <f>HYPERLINK("https://cao.dolgi.msk.ru/account/1011389503/", 1011389503)</f>
        <v>1011389503</v>
      </c>
      <c r="D1482">
        <v>-7821.77</v>
      </c>
    </row>
    <row r="1483" spans="1:4" hidden="1" x14ac:dyDescent="0.3">
      <c r="A1483" t="s">
        <v>276</v>
      </c>
      <c r="B1483" t="s">
        <v>27</v>
      </c>
      <c r="C1483" s="1">
        <f>HYPERLINK("https://cao.dolgi.msk.ru/account/1011389693/", 1011389693)</f>
        <v>1011389693</v>
      </c>
      <c r="D1483">
        <v>0</v>
      </c>
    </row>
    <row r="1484" spans="1:4" hidden="1" x14ac:dyDescent="0.3">
      <c r="A1484" t="s">
        <v>276</v>
      </c>
      <c r="B1484" t="s">
        <v>29</v>
      </c>
      <c r="C1484" s="1">
        <f>HYPERLINK("https://cao.dolgi.msk.ru/account/1011389706/", 1011389706)</f>
        <v>1011389706</v>
      </c>
      <c r="D1484">
        <v>0</v>
      </c>
    </row>
    <row r="1485" spans="1:4" x14ac:dyDescent="0.3">
      <c r="A1485" t="s">
        <v>276</v>
      </c>
      <c r="B1485" t="s">
        <v>38</v>
      </c>
      <c r="C1485" s="1">
        <f>HYPERLINK("https://cao.dolgi.msk.ru/account/1011389845/", 1011389845)</f>
        <v>1011389845</v>
      </c>
      <c r="D1485">
        <v>1672.49</v>
      </c>
    </row>
    <row r="1486" spans="1:4" hidden="1" x14ac:dyDescent="0.3">
      <c r="A1486" t="s">
        <v>276</v>
      </c>
      <c r="B1486" t="s">
        <v>39</v>
      </c>
      <c r="C1486" s="1">
        <f>HYPERLINK("https://cao.dolgi.msk.ru/account/1011389837/", 1011389837)</f>
        <v>1011389837</v>
      </c>
      <c r="D1486">
        <v>-5625.58</v>
      </c>
    </row>
    <row r="1487" spans="1:4" hidden="1" x14ac:dyDescent="0.3">
      <c r="A1487" t="s">
        <v>276</v>
      </c>
      <c r="B1487" t="s">
        <v>40</v>
      </c>
      <c r="C1487" s="1">
        <f>HYPERLINK("https://cao.dolgi.msk.ru/account/1011389976/", 1011389976)</f>
        <v>1011389976</v>
      </c>
      <c r="D1487">
        <v>-6206.22</v>
      </c>
    </row>
    <row r="1488" spans="1:4" hidden="1" x14ac:dyDescent="0.3">
      <c r="A1488" t="s">
        <v>276</v>
      </c>
      <c r="B1488" t="s">
        <v>41</v>
      </c>
      <c r="C1488" s="1">
        <f>HYPERLINK("https://cao.dolgi.msk.ru/account/1011389327/", 1011389327)</f>
        <v>1011389327</v>
      </c>
      <c r="D1488">
        <v>0</v>
      </c>
    </row>
    <row r="1489" spans="1:4" hidden="1" x14ac:dyDescent="0.3">
      <c r="A1489" t="s">
        <v>276</v>
      </c>
      <c r="B1489" t="s">
        <v>41</v>
      </c>
      <c r="C1489" s="1">
        <f>HYPERLINK("https://cao.dolgi.msk.ru/account/1011390029/", 1011390029)</f>
        <v>1011390029</v>
      </c>
      <c r="D1489">
        <v>0</v>
      </c>
    </row>
    <row r="1490" spans="1:4" hidden="1" x14ac:dyDescent="0.3">
      <c r="A1490" t="s">
        <v>276</v>
      </c>
      <c r="B1490" t="s">
        <v>51</v>
      </c>
      <c r="C1490" s="1">
        <f>HYPERLINK("https://cao.dolgi.msk.ru/account/1011389749/", 1011389749)</f>
        <v>1011389749</v>
      </c>
      <c r="D1490">
        <v>-322.26</v>
      </c>
    </row>
    <row r="1491" spans="1:4" hidden="1" x14ac:dyDescent="0.3">
      <c r="A1491" t="s">
        <v>276</v>
      </c>
      <c r="B1491" t="s">
        <v>52</v>
      </c>
      <c r="C1491" s="1">
        <f>HYPERLINK("https://cao.dolgi.msk.ru/account/1011389466/", 1011389466)</f>
        <v>1011389466</v>
      </c>
      <c r="D1491">
        <v>0</v>
      </c>
    </row>
    <row r="1492" spans="1:4" hidden="1" x14ac:dyDescent="0.3">
      <c r="A1492" t="s">
        <v>276</v>
      </c>
      <c r="B1492" t="s">
        <v>53</v>
      </c>
      <c r="C1492" s="1">
        <f>HYPERLINK("https://cao.dolgi.msk.ru/account/1011389781/", 1011389781)</f>
        <v>1011389781</v>
      </c>
      <c r="D1492">
        <v>-28</v>
      </c>
    </row>
    <row r="1493" spans="1:4" hidden="1" x14ac:dyDescent="0.3">
      <c r="A1493" t="s">
        <v>276</v>
      </c>
      <c r="B1493" t="s">
        <v>54</v>
      </c>
      <c r="C1493" s="1">
        <f>HYPERLINK("https://cao.dolgi.msk.ru/account/1011389626/", 1011389626)</f>
        <v>1011389626</v>
      </c>
      <c r="D1493">
        <v>0</v>
      </c>
    </row>
    <row r="1494" spans="1:4" hidden="1" x14ac:dyDescent="0.3">
      <c r="A1494" t="s">
        <v>276</v>
      </c>
      <c r="B1494" t="s">
        <v>56</v>
      </c>
      <c r="C1494" s="1">
        <f>HYPERLINK("https://cao.dolgi.msk.ru/account/1011389802/", 1011389802)</f>
        <v>1011389802</v>
      </c>
      <c r="D1494">
        <v>0</v>
      </c>
    </row>
    <row r="1495" spans="1:4" x14ac:dyDescent="0.3">
      <c r="A1495" t="s">
        <v>276</v>
      </c>
      <c r="B1495" t="s">
        <v>87</v>
      </c>
      <c r="C1495" s="1">
        <f>HYPERLINK("https://cao.dolgi.msk.ru/account/1011390125/", 1011390125)</f>
        <v>1011390125</v>
      </c>
      <c r="D1495">
        <v>24315.14</v>
      </c>
    </row>
    <row r="1496" spans="1:4" hidden="1" x14ac:dyDescent="0.3">
      <c r="A1496" t="s">
        <v>276</v>
      </c>
      <c r="B1496" t="s">
        <v>88</v>
      </c>
      <c r="C1496" s="1">
        <f>HYPERLINK("https://cao.dolgi.msk.ru/account/1011390053/", 1011390053)</f>
        <v>1011390053</v>
      </c>
      <c r="D1496">
        <v>0</v>
      </c>
    </row>
    <row r="1497" spans="1:4" hidden="1" x14ac:dyDescent="0.3">
      <c r="A1497" t="s">
        <v>276</v>
      </c>
      <c r="B1497" t="s">
        <v>89</v>
      </c>
      <c r="C1497" s="1">
        <f>HYPERLINK("https://cao.dolgi.msk.ru/account/1011389853/", 1011389853)</f>
        <v>1011389853</v>
      </c>
      <c r="D1497">
        <v>-5440.94</v>
      </c>
    </row>
    <row r="1498" spans="1:4" x14ac:dyDescent="0.3">
      <c r="A1498" t="s">
        <v>276</v>
      </c>
      <c r="B1498" t="s">
        <v>90</v>
      </c>
      <c r="C1498" s="1">
        <f>HYPERLINK("https://cao.dolgi.msk.ru/account/1011389597/", 1011389597)</f>
        <v>1011389597</v>
      </c>
      <c r="D1498">
        <v>38340.589999999997</v>
      </c>
    </row>
    <row r="1499" spans="1:4" hidden="1" x14ac:dyDescent="0.3">
      <c r="A1499" t="s">
        <v>276</v>
      </c>
      <c r="B1499" t="s">
        <v>97</v>
      </c>
      <c r="C1499" s="1">
        <f>HYPERLINK("https://cao.dolgi.msk.ru/account/1011389335/", 1011389335)</f>
        <v>1011389335</v>
      </c>
      <c r="D1499">
        <v>0</v>
      </c>
    </row>
    <row r="1500" spans="1:4" hidden="1" x14ac:dyDescent="0.3">
      <c r="A1500" t="s">
        <v>276</v>
      </c>
      <c r="B1500" t="s">
        <v>98</v>
      </c>
      <c r="C1500" s="1">
        <f>HYPERLINK("https://cao.dolgi.msk.ru/account/1011389714/", 1011389714)</f>
        <v>1011389714</v>
      </c>
      <c r="D1500">
        <v>0</v>
      </c>
    </row>
    <row r="1501" spans="1:4" hidden="1" x14ac:dyDescent="0.3">
      <c r="A1501" t="s">
        <v>276</v>
      </c>
      <c r="B1501" t="s">
        <v>98</v>
      </c>
      <c r="C1501" s="1">
        <f>HYPERLINK("https://cao.dolgi.msk.ru/account/1011389968/", 1011389968)</f>
        <v>1011389968</v>
      </c>
      <c r="D1501">
        <v>-2100.48</v>
      </c>
    </row>
    <row r="1502" spans="1:4" hidden="1" x14ac:dyDescent="0.3">
      <c r="A1502" t="s">
        <v>276</v>
      </c>
      <c r="B1502" t="s">
        <v>58</v>
      </c>
      <c r="C1502" s="1">
        <f>HYPERLINK("https://cao.dolgi.msk.ru/account/1011389917/", 1011389917)</f>
        <v>1011389917</v>
      </c>
      <c r="D1502">
        <v>0</v>
      </c>
    </row>
    <row r="1503" spans="1:4" hidden="1" x14ac:dyDescent="0.3">
      <c r="A1503" t="s">
        <v>276</v>
      </c>
      <c r="B1503" t="s">
        <v>59</v>
      </c>
      <c r="C1503" s="1">
        <f>HYPERLINK("https://cao.dolgi.msk.ru/account/1011390141/", 1011390141)</f>
        <v>1011390141</v>
      </c>
      <c r="D1503">
        <v>0</v>
      </c>
    </row>
    <row r="1504" spans="1:4" hidden="1" x14ac:dyDescent="0.3">
      <c r="A1504" t="s">
        <v>276</v>
      </c>
      <c r="B1504" t="s">
        <v>60</v>
      </c>
      <c r="C1504" s="1">
        <f>HYPERLINK("https://cao.dolgi.msk.ru/account/1011389941/", 1011389941)</f>
        <v>1011389941</v>
      </c>
      <c r="D1504">
        <v>0</v>
      </c>
    </row>
    <row r="1505" spans="1:4" hidden="1" x14ac:dyDescent="0.3">
      <c r="A1505" t="s">
        <v>276</v>
      </c>
      <c r="B1505" t="s">
        <v>61</v>
      </c>
      <c r="C1505" s="1">
        <f>HYPERLINK("https://cao.dolgi.msk.ru/account/1011389757/", 1011389757)</f>
        <v>1011389757</v>
      </c>
      <c r="D1505">
        <v>0</v>
      </c>
    </row>
    <row r="1506" spans="1:4" hidden="1" x14ac:dyDescent="0.3">
      <c r="A1506" t="s">
        <v>276</v>
      </c>
      <c r="B1506" t="s">
        <v>61</v>
      </c>
      <c r="C1506" s="1">
        <f>HYPERLINK("https://cao.dolgi.msk.ru/account/1011389829/", 1011389829)</f>
        <v>1011389829</v>
      </c>
      <c r="D1506">
        <v>0</v>
      </c>
    </row>
    <row r="1507" spans="1:4" hidden="1" x14ac:dyDescent="0.3">
      <c r="A1507" t="s">
        <v>276</v>
      </c>
      <c r="B1507" t="s">
        <v>62</v>
      </c>
      <c r="C1507" s="1">
        <f>HYPERLINK("https://cao.dolgi.msk.ru/account/1011390002/", 1011390002)</f>
        <v>1011390002</v>
      </c>
      <c r="D1507">
        <v>0</v>
      </c>
    </row>
    <row r="1508" spans="1:4" hidden="1" x14ac:dyDescent="0.3">
      <c r="A1508" t="s">
        <v>276</v>
      </c>
      <c r="B1508" t="s">
        <v>63</v>
      </c>
      <c r="C1508" s="1">
        <f>HYPERLINK("https://cao.dolgi.msk.ru/account/1011389554/", 1011389554)</f>
        <v>1011389554</v>
      </c>
      <c r="D1508">
        <v>0</v>
      </c>
    </row>
    <row r="1509" spans="1:4" x14ac:dyDescent="0.3">
      <c r="A1509" t="s">
        <v>276</v>
      </c>
      <c r="B1509" t="s">
        <v>64</v>
      </c>
      <c r="C1509" s="1">
        <f>HYPERLINK("https://cao.dolgi.msk.ru/account/1011389685/", 1011389685)</f>
        <v>1011389685</v>
      </c>
      <c r="D1509">
        <v>71733.789999999994</v>
      </c>
    </row>
    <row r="1510" spans="1:4" hidden="1" x14ac:dyDescent="0.3">
      <c r="A1510" t="s">
        <v>276</v>
      </c>
      <c r="B1510" t="s">
        <v>65</v>
      </c>
      <c r="C1510" s="1">
        <f>HYPERLINK("https://cao.dolgi.msk.ru/account/1011390221/", 1011390221)</f>
        <v>1011390221</v>
      </c>
      <c r="D1510">
        <v>-251.57</v>
      </c>
    </row>
    <row r="1511" spans="1:4" hidden="1" x14ac:dyDescent="0.3">
      <c r="A1511" t="s">
        <v>276</v>
      </c>
      <c r="B1511" t="s">
        <v>66</v>
      </c>
      <c r="C1511" s="1">
        <f>HYPERLINK("https://cao.dolgi.msk.ru/account/1011390248/", 1011390248)</f>
        <v>1011390248</v>
      </c>
      <c r="D1511">
        <v>0</v>
      </c>
    </row>
    <row r="1512" spans="1:4" hidden="1" x14ac:dyDescent="0.3">
      <c r="A1512" t="s">
        <v>276</v>
      </c>
      <c r="B1512" t="s">
        <v>67</v>
      </c>
      <c r="C1512" s="1">
        <f>HYPERLINK("https://cao.dolgi.msk.ru/account/1011389925/", 1011389925)</f>
        <v>1011389925</v>
      </c>
      <c r="D1512">
        <v>0</v>
      </c>
    </row>
    <row r="1513" spans="1:4" x14ac:dyDescent="0.3">
      <c r="A1513" t="s">
        <v>276</v>
      </c>
      <c r="B1513" t="s">
        <v>68</v>
      </c>
      <c r="C1513" s="1">
        <f>HYPERLINK("https://cao.dolgi.msk.ru/account/1011390213/", 1011390213)</f>
        <v>1011390213</v>
      </c>
      <c r="D1513">
        <v>2534.9</v>
      </c>
    </row>
    <row r="1514" spans="1:4" hidden="1" x14ac:dyDescent="0.3">
      <c r="A1514" t="s">
        <v>276</v>
      </c>
      <c r="B1514" t="s">
        <v>69</v>
      </c>
      <c r="C1514" s="1">
        <f>HYPERLINK("https://cao.dolgi.msk.ru/account/1011389562/", 1011389562)</f>
        <v>1011389562</v>
      </c>
      <c r="D1514">
        <v>0</v>
      </c>
    </row>
    <row r="1515" spans="1:4" hidden="1" x14ac:dyDescent="0.3">
      <c r="A1515" t="s">
        <v>276</v>
      </c>
      <c r="B1515" t="s">
        <v>70</v>
      </c>
      <c r="C1515" s="1">
        <f>HYPERLINK("https://cao.dolgi.msk.ru/account/1011390088/", 1011390088)</f>
        <v>1011390088</v>
      </c>
      <c r="D1515">
        <v>0</v>
      </c>
    </row>
    <row r="1516" spans="1:4" hidden="1" x14ac:dyDescent="0.3">
      <c r="A1516" t="s">
        <v>276</v>
      </c>
      <c r="B1516" t="s">
        <v>259</v>
      </c>
      <c r="C1516" s="1">
        <f>HYPERLINK("https://cao.dolgi.msk.ru/account/1011390168/", 1011390168)</f>
        <v>1011390168</v>
      </c>
      <c r="D1516">
        <v>0</v>
      </c>
    </row>
    <row r="1517" spans="1:4" x14ac:dyDescent="0.3">
      <c r="A1517" t="s">
        <v>276</v>
      </c>
      <c r="B1517" t="s">
        <v>100</v>
      </c>
      <c r="C1517" s="1">
        <f>HYPERLINK("https://cao.dolgi.msk.ru/account/1011390176/", 1011390176)</f>
        <v>1011390176</v>
      </c>
      <c r="D1517">
        <v>7547.3</v>
      </c>
    </row>
    <row r="1518" spans="1:4" hidden="1" x14ac:dyDescent="0.3">
      <c r="A1518" t="s">
        <v>276</v>
      </c>
      <c r="B1518" t="s">
        <v>72</v>
      </c>
      <c r="C1518" s="1">
        <f>HYPERLINK("https://cao.dolgi.msk.ru/account/1011389511/", 1011389511)</f>
        <v>1011389511</v>
      </c>
      <c r="D1518">
        <v>-8117.77</v>
      </c>
    </row>
    <row r="1519" spans="1:4" hidden="1" x14ac:dyDescent="0.3">
      <c r="A1519" t="s">
        <v>276</v>
      </c>
      <c r="B1519" t="s">
        <v>73</v>
      </c>
      <c r="C1519" s="1">
        <f>HYPERLINK("https://cao.dolgi.msk.ru/account/1011389765/", 1011389765)</f>
        <v>1011389765</v>
      </c>
      <c r="D1519">
        <v>0</v>
      </c>
    </row>
    <row r="1520" spans="1:4" hidden="1" x14ac:dyDescent="0.3">
      <c r="A1520" t="s">
        <v>276</v>
      </c>
      <c r="B1520" t="s">
        <v>74</v>
      </c>
      <c r="C1520" s="1">
        <f>HYPERLINK("https://cao.dolgi.msk.ru/account/1011389415/", 1011389415)</f>
        <v>1011389415</v>
      </c>
      <c r="D1520">
        <v>0</v>
      </c>
    </row>
    <row r="1521" spans="1:4" x14ac:dyDescent="0.3">
      <c r="A1521" t="s">
        <v>276</v>
      </c>
      <c r="B1521" t="s">
        <v>74</v>
      </c>
      <c r="C1521" s="1">
        <f>HYPERLINK("https://cao.dolgi.msk.ru/account/1011389458/", 1011389458)</f>
        <v>1011389458</v>
      </c>
      <c r="D1521">
        <v>2973.07</v>
      </c>
    </row>
    <row r="1522" spans="1:4" x14ac:dyDescent="0.3">
      <c r="A1522" t="s">
        <v>276</v>
      </c>
      <c r="B1522" t="s">
        <v>74</v>
      </c>
      <c r="C1522" s="1">
        <f>HYPERLINK("https://cao.dolgi.msk.ru/account/1011389722/", 1011389722)</f>
        <v>1011389722</v>
      </c>
      <c r="D1522">
        <v>63809.68</v>
      </c>
    </row>
    <row r="1523" spans="1:4" x14ac:dyDescent="0.3">
      <c r="A1523" t="s">
        <v>276</v>
      </c>
      <c r="B1523" t="s">
        <v>75</v>
      </c>
      <c r="C1523" s="1">
        <f>HYPERLINK("https://cao.dolgi.msk.ru/account/1011389634/", 1011389634)</f>
        <v>1011389634</v>
      </c>
      <c r="D1523">
        <v>13425.07</v>
      </c>
    </row>
    <row r="1524" spans="1:4" hidden="1" x14ac:dyDescent="0.3">
      <c r="A1524" t="s">
        <v>276</v>
      </c>
      <c r="B1524" t="s">
        <v>76</v>
      </c>
      <c r="C1524" s="1">
        <f>HYPERLINK("https://cao.dolgi.msk.ru/account/1011389618/", 1011389618)</f>
        <v>1011389618</v>
      </c>
      <c r="D1524">
        <v>-223.48</v>
      </c>
    </row>
    <row r="1525" spans="1:4" hidden="1" x14ac:dyDescent="0.3">
      <c r="A1525" t="s">
        <v>276</v>
      </c>
      <c r="B1525" t="s">
        <v>77</v>
      </c>
      <c r="C1525" s="1">
        <f>HYPERLINK("https://cao.dolgi.msk.ru/account/1011389861/", 1011389861)</f>
        <v>1011389861</v>
      </c>
      <c r="D1525">
        <v>0</v>
      </c>
    </row>
    <row r="1526" spans="1:4" hidden="1" x14ac:dyDescent="0.3">
      <c r="A1526" t="s">
        <v>276</v>
      </c>
      <c r="B1526" t="s">
        <v>78</v>
      </c>
      <c r="C1526" s="1">
        <f>HYPERLINK("https://cao.dolgi.msk.ru/account/1011389351/", 1011389351)</f>
        <v>1011389351</v>
      </c>
      <c r="D1526">
        <v>0</v>
      </c>
    </row>
    <row r="1527" spans="1:4" hidden="1" x14ac:dyDescent="0.3">
      <c r="A1527" t="s">
        <v>276</v>
      </c>
      <c r="B1527" t="s">
        <v>79</v>
      </c>
      <c r="C1527" s="1">
        <f>HYPERLINK("https://cao.dolgi.msk.ru/account/1011389642/", 1011389642)</f>
        <v>1011389642</v>
      </c>
      <c r="D1527">
        <v>0</v>
      </c>
    </row>
    <row r="1528" spans="1:4" x14ac:dyDescent="0.3">
      <c r="A1528" t="s">
        <v>276</v>
      </c>
      <c r="B1528" t="s">
        <v>80</v>
      </c>
      <c r="C1528" s="1">
        <f>HYPERLINK("https://cao.dolgi.msk.ru/account/1011389888/", 1011389888)</f>
        <v>1011389888</v>
      </c>
      <c r="D1528">
        <v>13891.19</v>
      </c>
    </row>
    <row r="1529" spans="1:4" hidden="1" x14ac:dyDescent="0.3">
      <c r="A1529" t="s">
        <v>276</v>
      </c>
      <c r="B1529" t="s">
        <v>81</v>
      </c>
      <c r="C1529" s="1">
        <f>HYPERLINK("https://cao.dolgi.msk.ru/account/1011389378/", 1011389378)</f>
        <v>1011389378</v>
      </c>
      <c r="D1529">
        <v>0</v>
      </c>
    </row>
    <row r="1530" spans="1:4" hidden="1" x14ac:dyDescent="0.3">
      <c r="A1530" t="s">
        <v>276</v>
      </c>
      <c r="B1530" t="s">
        <v>101</v>
      </c>
      <c r="C1530" s="1">
        <f>HYPERLINK("https://cao.dolgi.msk.ru/account/1011389394/", 1011389394)</f>
        <v>1011389394</v>
      </c>
      <c r="D1530">
        <v>0</v>
      </c>
    </row>
    <row r="1531" spans="1:4" hidden="1" x14ac:dyDescent="0.3">
      <c r="A1531" t="s">
        <v>276</v>
      </c>
      <c r="B1531" t="s">
        <v>82</v>
      </c>
      <c r="C1531" s="1">
        <f>HYPERLINK("https://cao.dolgi.msk.ru/account/1011390096/", 1011390096)</f>
        <v>1011390096</v>
      </c>
      <c r="D1531">
        <v>0</v>
      </c>
    </row>
    <row r="1532" spans="1:4" x14ac:dyDescent="0.3">
      <c r="A1532" t="s">
        <v>276</v>
      </c>
      <c r="B1532" t="s">
        <v>83</v>
      </c>
      <c r="C1532" s="1">
        <f>HYPERLINK("https://cao.dolgi.msk.ru/account/1011389431/", 1011389431)</f>
        <v>1011389431</v>
      </c>
      <c r="D1532">
        <v>5435.16</v>
      </c>
    </row>
    <row r="1533" spans="1:4" hidden="1" x14ac:dyDescent="0.3">
      <c r="A1533" t="s">
        <v>276</v>
      </c>
      <c r="B1533" t="s">
        <v>84</v>
      </c>
      <c r="C1533" s="1">
        <f>HYPERLINK("https://cao.dolgi.msk.ru/account/1011390061/", 1011390061)</f>
        <v>1011390061</v>
      </c>
      <c r="D1533">
        <v>-4615.7299999999996</v>
      </c>
    </row>
    <row r="1534" spans="1:4" hidden="1" x14ac:dyDescent="0.3">
      <c r="A1534" t="s">
        <v>277</v>
      </c>
      <c r="B1534" t="s">
        <v>6</v>
      </c>
      <c r="C1534" s="1">
        <f>HYPERLINK("https://cao.dolgi.msk.ru/account/1010421188/", 1010421188)</f>
        <v>1010421188</v>
      </c>
      <c r="D1534">
        <v>-766.72</v>
      </c>
    </row>
    <row r="1535" spans="1:4" x14ac:dyDescent="0.3">
      <c r="A1535" t="s">
        <v>277</v>
      </c>
      <c r="B1535" t="s">
        <v>6</v>
      </c>
      <c r="C1535" s="1">
        <f>HYPERLINK("https://cao.dolgi.msk.ru/account/1010421196/", 1010421196)</f>
        <v>1010421196</v>
      </c>
      <c r="D1535">
        <v>55811</v>
      </c>
    </row>
    <row r="1536" spans="1:4" hidden="1" x14ac:dyDescent="0.3">
      <c r="A1536" t="s">
        <v>277</v>
      </c>
      <c r="B1536" t="s">
        <v>6</v>
      </c>
      <c r="C1536" s="1">
        <f>HYPERLINK("https://cao.dolgi.msk.ru/account/1010421276/", 1010421276)</f>
        <v>1010421276</v>
      </c>
      <c r="D1536">
        <v>-5166.8100000000004</v>
      </c>
    </row>
    <row r="1537" spans="1:4" hidden="1" x14ac:dyDescent="0.3">
      <c r="A1537" t="s">
        <v>277</v>
      </c>
      <c r="B1537" t="s">
        <v>6</v>
      </c>
      <c r="C1537" s="1">
        <f>HYPERLINK("https://cao.dolgi.msk.ru/account/1010421292/", 1010421292)</f>
        <v>1010421292</v>
      </c>
      <c r="D1537">
        <v>0</v>
      </c>
    </row>
    <row r="1538" spans="1:4" hidden="1" x14ac:dyDescent="0.3">
      <c r="A1538" t="s">
        <v>277</v>
      </c>
      <c r="B1538" t="s">
        <v>6</v>
      </c>
      <c r="C1538" s="1">
        <f>HYPERLINK("https://cao.dolgi.msk.ru/account/1010421313/", 1010421313)</f>
        <v>1010421313</v>
      </c>
      <c r="D1538">
        <v>0</v>
      </c>
    </row>
    <row r="1539" spans="1:4" hidden="1" x14ac:dyDescent="0.3">
      <c r="A1539" t="s">
        <v>277</v>
      </c>
      <c r="B1539" t="s">
        <v>6</v>
      </c>
      <c r="C1539" s="1">
        <f>HYPERLINK("https://cao.dolgi.msk.ru/account/1010839824/", 1010839824)</f>
        <v>1010839824</v>
      </c>
      <c r="D1539">
        <v>0</v>
      </c>
    </row>
    <row r="1540" spans="1:4" x14ac:dyDescent="0.3">
      <c r="A1540" t="s">
        <v>277</v>
      </c>
      <c r="B1540" t="s">
        <v>28</v>
      </c>
      <c r="C1540" s="1">
        <f>HYPERLINK("https://cao.dolgi.msk.ru/account/1010421145/", 1010421145)</f>
        <v>1010421145</v>
      </c>
      <c r="D1540">
        <v>2461.08</v>
      </c>
    </row>
    <row r="1541" spans="1:4" hidden="1" x14ac:dyDescent="0.3">
      <c r="A1541" t="s">
        <v>277</v>
      </c>
      <c r="B1541" t="s">
        <v>28</v>
      </c>
      <c r="C1541" s="1">
        <f>HYPERLINK("https://cao.dolgi.msk.ru/account/1010421153/", 1010421153)</f>
        <v>1010421153</v>
      </c>
      <c r="D1541">
        <v>0</v>
      </c>
    </row>
    <row r="1542" spans="1:4" hidden="1" x14ac:dyDescent="0.3">
      <c r="A1542" t="s">
        <v>277</v>
      </c>
      <c r="B1542" t="s">
        <v>28</v>
      </c>
      <c r="C1542" s="1">
        <f>HYPERLINK("https://cao.dolgi.msk.ru/account/1010421217/", 1010421217)</f>
        <v>1010421217</v>
      </c>
      <c r="D1542">
        <v>0</v>
      </c>
    </row>
    <row r="1543" spans="1:4" x14ac:dyDescent="0.3">
      <c r="A1543" t="s">
        <v>277</v>
      </c>
      <c r="B1543" t="s">
        <v>28</v>
      </c>
      <c r="C1543" s="1">
        <f>HYPERLINK("https://cao.dolgi.msk.ru/account/1010421233/", 1010421233)</f>
        <v>1010421233</v>
      </c>
      <c r="D1543">
        <v>5727.36</v>
      </c>
    </row>
    <row r="1544" spans="1:4" hidden="1" x14ac:dyDescent="0.3">
      <c r="A1544" t="s">
        <v>277</v>
      </c>
      <c r="B1544" t="s">
        <v>28</v>
      </c>
      <c r="C1544" s="1">
        <f>HYPERLINK("https://cao.dolgi.msk.ru/account/1010421268/", 1010421268)</f>
        <v>1010421268</v>
      </c>
      <c r="D1544">
        <v>0</v>
      </c>
    </row>
    <row r="1545" spans="1:4" x14ac:dyDescent="0.3">
      <c r="A1545" t="s">
        <v>277</v>
      </c>
      <c r="B1545" t="s">
        <v>35</v>
      </c>
      <c r="C1545" s="1">
        <f>HYPERLINK("https://cao.dolgi.msk.ru/account/1010421161/", 1010421161)</f>
        <v>1010421161</v>
      </c>
      <c r="D1545">
        <v>2065.4899999999998</v>
      </c>
    </row>
    <row r="1546" spans="1:4" hidden="1" x14ac:dyDescent="0.3">
      <c r="A1546" t="s">
        <v>277</v>
      </c>
      <c r="B1546" t="s">
        <v>35</v>
      </c>
      <c r="C1546" s="1">
        <f>HYPERLINK("https://cao.dolgi.msk.ru/account/1010421284/", 1010421284)</f>
        <v>1010421284</v>
      </c>
      <c r="D1546">
        <v>0</v>
      </c>
    </row>
    <row r="1547" spans="1:4" x14ac:dyDescent="0.3">
      <c r="A1547" t="s">
        <v>277</v>
      </c>
      <c r="B1547" t="s">
        <v>35</v>
      </c>
      <c r="C1547" s="1">
        <f>HYPERLINK("https://cao.dolgi.msk.ru/account/1010421305/", 1010421305)</f>
        <v>1010421305</v>
      </c>
      <c r="D1547">
        <v>726.96</v>
      </c>
    </row>
    <row r="1548" spans="1:4" hidden="1" x14ac:dyDescent="0.3">
      <c r="A1548" t="s">
        <v>277</v>
      </c>
      <c r="B1548" t="s">
        <v>35</v>
      </c>
      <c r="C1548" s="1">
        <f>HYPERLINK("https://cao.dolgi.msk.ru/account/1010421321/", 1010421321)</f>
        <v>1010421321</v>
      </c>
      <c r="D1548">
        <v>0</v>
      </c>
    </row>
    <row r="1549" spans="1:4" x14ac:dyDescent="0.3">
      <c r="A1549" t="s">
        <v>277</v>
      </c>
      <c r="B1549" t="s">
        <v>35</v>
      </c>
      <c r="C1549" s="1">
        <f>HYPERLINK("https://cao.dolgi.msk.ru/account/1011110429/", 1011110429)</f>
        <v>1011110429</v>
      </c>
      <c r="D1549">
        <v>8324.83</v>
      </c>
    </row>
    <row r="1550" spans="1:4" hidden="1" x14ac:dyDescent="0.3">
      <c r="A1550" t="s">
        <v>277</v>
      </c>
      <c r="B1550" t="s">
        <v>35</v>
      </c>
      <c r="C1550" s="1">
        <f>HYPERLINK("https://cao.dolgi.msk.ru/account/1011128717/", 1011128717)</f>
        <v>1011128717</v>
      </c>
      <c r="D1550">
        <v>0</v>
      </c>
    </row>
    <row r="1551" spans="1:4" hidden="1" x14ac:dyDescent="0.3">
      <c r="A1551" t="s">
        <v>278</v>
      </c>
      <c r="B1551" t="s">
        <v>6</v>
      </c>
      <c r="C1551" s="1">
        <f>HYPERLINK("https://cao.dolgi.msk.ru/account/1011496157/", 1011496157)</f>
        <v>1011496157</v>
      </c>
      <c r="D1551">
        <v>0</v>
      </c>
    </row>
    <row r="1552" spans="1:4" hidden="1" x14ac:dyDescent="0.3">
      <c r="A1552" t="s">
        <v>278</v>
      </c>
      <c r="B1552" t="s">
        <v>28</v>
      </c>
      <c r="C1552" s="1">
        <f>HYPERLINK("https://cao.dolgi.msk.ru/account/1011496181/", 1011496181)</f>
        <v>1011496181</v>
      </c>
      <c r="D1552">
        <v>-5.03</v>
      </c>
    </row>
    <row r="1553" spans="1:4" hidden="1" x14ac:dyDescent="0.3">
      <c r="A1553" t="s">
        <v>278</v>
      </c>
      <c r="B1553" t="s">
        <v>28</v>
      </c>
      <c r="C1553" s="1">
        <f>HYPERLINK("https://cao.dolgi.msk.ru/account/1011496245/", 1011496245)</f>
        <v>1011496245</v>
      </c>
      <c r="D1553">
        <v>-9766.14</v>
      </c>
    </row>
    <row r="1554" spans="1:4" hidden="1" x14ac:dyDescent="0.3">
      <c r="A1554" t="s">
        <v>278</v>
      </c>
      <c r="B1554" t="s">
        <v>35</v>
      </c>
      <c r="C1554" s="1">
        <f>HYPERLINK("https://cao.dolgi.msk.ru/account/1011496202/", 1011496202)</f>
        <v>1011496202</v>
      </c>
      <c r="D1554">
        <v>-1.68</v>
      </c>
    </row>
    <row r="1555" spans="1:4" hidden="1" x14ac:dyDescent="0.3">
      <c r="A1555" t="s">
        <v>278</v>
      </c>
      <c r="B1555" t="s">
        <v>35</v>
      </c>
      <c r="C1555" s="1">
        <f>HYPERLINK("https://cao.dolgi.msk.ru/account/1011496229/", 1011496229)</f>
        <v>1011496229</v>
      </c>
      <c r="D1555">
        <v>-1.68</v>
      </c>
    </row>
    <row r="1556" spans="1:4" hidden="1" x14ac:dyDescent="0.3">
      <c r="A1556" t="s">
        <v>278</v>
      </c>
      <c r="B1556" t="s">
        <v>5</v>
      </c>
      <c r="C1556" s="1">
        <f>HYPERLINK("https://cao.dolgi.msk.ru/account/1011496261/", 1011496261)</f>
        <v>1011496261</v>
      </c>
      <c r="D1556">
        <v>-1.68</v>
      </c>
    </row>
    <row r="1557" spans="1:4" hidden="1" x14ac:dyDescent="0.3">
      <c r="A1557" t="s">
        <v>278</v>
      </c>
      <c r="B1557" t="s">
        <v>7</v>
      </c>
      <c r="C1557" s="1">
        <f>HYPERLINK("https://cao.dolgi.msk.ru/account/1011496173/", 1011496173)</f>
        <v>1011496173</v>
      </c>
      <c r="D1557">
        <v>-757.4</v>
      </c>
    </row>
    <row r="1558" spans="1:4" x14ac:dyDescent="0.3">
      <c r="A1558" t="s">
        <v>278</v>
      </c>
      <c r="B1558" t="s">
        <v>7</v>
      </c>
      <c r="C1558" s="1">
        <f>HYPERLINK("https://cao.dolgi.msk.ru/account/1011496237/", 1011496237)</f>
        <v>1011496237</v>
      </c>
      <c r="D1558">
        <v>17161.79</v>
      </c>
    </row>
    <row r="1559" spans="1:4" x14ac:dyDescent="0.3">
      <c r="A1559" t="s">
        <v>278</v>
      </c>
      <c r="B1559" t="s">
        <v>7</v>
      </c>
      <c r="C1559" s="1">
        <f>HYPERLINK("https://cao.dolgi.msk.ru/account/1011513965/", 1011513965)</f>
        <v>1011513965</v>
      </c>
      <c r="D1559">
        <v>11159.81</v>
      </c>
    </row>
    <row r="1560" spans="1:4" hidden="1" x14ac:dyDescent="0.3">
      <c r="A1560" t="s">
        <v>278</v>
      </c>
      <c r="B1560" t="s">
        <v>8</v>
      </c>
      <c r="C1560" s="1">
        <f>HYPERLINK("https://cao.dolgi.msk.ru/account/1011496253/", 1011496253)</f>
        <v>1011496253</v>
      </c>
      <c r="D1560">
        <v>0</v>
      </c>
    </row>
    <row r="1561" spans="1:4" x14ac:dyDescent="0.3">
      <c r="A1561" t="s">
        <v>279</v>
      </c>
      <c r="B1561" t="s">
        <v>6</v>
      </c>
      <c r="C1561" s="1">
        <f>HYPERLINK("https://cao.dolgi.msk.ru/account/1011393051/", 1011393051)</f>
        <v>1011393051</v>
      </c>
      <c r="D1561">
        <v>11339.35</v>
      </c>
    </row>
    <row r="1562" spans="1:4" hidden="1" x14ac:dyDescent="0.3">
      <c r="A1562" t="s">
        <v>279</v>
      </c>
      <c r="B1562" t="s">
        <v>28</v>
      </c>
      <c r="C1562" s="1">
        <f>HYPERLINK("https://cao.dolgi.msk.ru/account/1011393123/", 1011393123)</f>
        <v>1011393123</v>
      </c>
      <c r="D1562">
        <v>-2302.5700000000002</v>
      </c>
    </row>
    <row r="1563" spans="1:4" hidden="1" x14ac:dyDescent="0.3">
      <c r="A1563" t="s">
        <v>279</v>
      </c>
      <c r="B1563" t="s">
        <v>35</v>
      </c>
      <c r="C1563" s="1">
        <f>HYPERLINK("https://cao.dolgi.msk.ru/account/1011393043/", 1011393043)</f>
        <v>1011393043</v>
      </c>
      <c r="D1563">
        <v>-2846.09</v>
      </c>
    </row>
    <row r="1564" spans="1:4" hidden="1" x14ac:dyDescent="0.3">
      <c r="A1564" t="s">
        <v>279</v>
      </c>
      <c r="B1564" t="s">
        <v>5</v>
      </c>
      <c r="C1564" s="1">
        <f>HYPERLINK("https://cao.dolgi.msk.ru/account/1011392841/", 1011392841)</f>
        <v>1011392841</v>
      </c>
      <c r="D1564">
        <v>-3357.74</v>
      </c>
    </row>
    <row r="1565" spans="1:4" hidden="1" x14ac:dyDescent="0.3">
      <c r="A1565" t="s">
        <v>279</v>
      </c>
      <c r="B1565" t="s">
        <v>7</v>
      </c>
      <c r="C1565" s="1">
        <f>HYPERLINK("https://cao.dolgi.msk.ru/account/1011392809/", 1011392809)</f>
        <v>1011392809</v>
      </c>
      <c r="D1565">
        <v>0</v>
      </c>
    </row>
    <row r="1566" spans="1:4" hidden="1" x14ac:dyDescent="0.3">
      <c r="A1566" t="s">
        <v>279</v>
      </c>
      <c r="B1566" t="s">
        <v>8</v>
      </c>
      <c r="C1566" s="1">
        <f>HYPERLINK("https://cao.dolgi.msk.ru/account/1011392673/", 1011392673)</f>
        <v>1011392673</v>
      </c>
      <c r="D1566">
        <v>-3557.74</v>
      </c>
    </row>
    <row r="1567" spans="1:4" hidden="1" x14ac:dyDescent="0.3">
      <c r="A1567" t="s">
        <v>279</v>
      </c>
      <c r="B1567" t="s">
        <v>31</v>
      </c>
      <c r="C1567" s="1">
        <f>HYPERLINK("https://cao.dolgi.msk.ru/account/1011392745/", 1011392745)</f>
        <v>1011392745</v>
      </c>
      <c r="D1567">
        <v>-5520.62</v>
      </c>
    </row>
    <row r="1568" spans="1:4" hidden="1" x14ac:dyDescent="0.3">
      <c r="A1568" t="s">
        <v>279</v>
      </c>
      <c r="B1568" t="s">
        <v>9</v>
      </c>
      <c r="C1568" s="1">
        <f>HYPERLINK("https://cao.dolgi.msk.ru/account/1011392681/", 1011392681)</f>
        <v>1011392681</v>
      </c>
      <c r="D1568">
        <v>-1016.03</v>
      </c>
    </row>
    <row r="1569" spans="1:4" hidden="1" x14ac:dyDescent="0.3">
      <c r="A1569" t="s">
        <v>279</v>
      </c>
      <c r="B1569" t="s">
        <v>10</v>
      </c>
      <c r="C1569" s="1">
        <f>HYPERLINK("https://cao.dolgi.msk.ru/account/1011393019/", 1011393019)</f>
        <v>1011393019</v>
      </c>
      <c r="D1569">
        <v>-5599.02</v>
      </c>
    </row>
    <row r="1570" spans="1:4" hidden="1" x14ac:dyDescent="0.3">
      <c r="A1570" t="s">
        <v>279</v>
      </c>
      <c r="B1570" t="s">
        <v>12</v>
      </c>
      <c r="C1570" s="1">
        <f>HYPERLINK("https://cao.dolgi.msk.ru/account/1011393078/", 1011393078)</f>
        <v>1011393078</v>
      </c>
      <c r="D1570">
        <v>0</v>
      </c>
    </row>
    <row r="1571" spans="1:4" hidden="1" x14ac:dyDescent="0.3">
      <c r="A1571" t="s">
        <v>279</v>
      </c>
      <c r="B1571" t="s">
        <v>12</v>
      </c>
      <c r="C1571" s="1">
        <f>HYPERLINK("https://cao.dolgi.msk.ru/account/1011393107/", 1011393107)</f>
        <v>1011393107</v>
      </c>
      <c r="D1571">
        <v>0</v>
      </c>
    </row>
    <row r="1572" spans="1:4" hidden="1" x14ac:dyDescent="0.3">
      <c r="A1572" t="s">
        <v>279</v>
      </c>
      <c r="B1572" t="s">
        <v>23</v>
      </c>
      <c r="C1572" s="1">
        <f>HYPERLINK("https://cao.dolgi.msk.ru/account/1011392788/", 1011392788)</f>
        <v>1011392788</v>
      </c>
      <c r="D1572">
        <v>0</v>
      </c>
    </row>
    <row r="1573" spans="1:4" hidden="1" x14ac:dyDescent="0.3">
      <c r="A1573" t="s">
        <v>279</v>
      </c>
      <c r="B1573" t="s">
        <v>13</v>
      </c>
      <c r="C1573" s="1">
        <f>HYPERLINK("https://cao.dolgi.msk.ru/account/1011392972/", 1011392972)</f>
        <v>1011392972</v>
      </c>
      <c r="D1573">
        <v>-7037.91</v>
      </c>
    </row>
    <row r="1574" spans="1:4" hidden="1" x14ac:dyDescent="0.3">
      <c r="A1574" t="s">
        <v>279</v>
      </c>
      <c r="B1574" t="s">
        <v>14</v>
      </c>
      <c r="C1574" s="1">
        <f>HYPERLINK("https://cao.dolgi.msk.ru/account/1011392948/", 1011392948)</f>
        <v>1011392948</v>
      </c>
      <c r="D1574">
        <v>0</v>
      </c>
    </row>
    <row r="1575" spans="1:4" hidden="1" x14ac:dyDescent="0.3">
      <c r="A1575" t="s">
        <v>279</v>
      </c>
      <c r="B1575" t="s">
        <v>16</v>
      </c>
      <c r="C1575" s="1">
        <f>HYPERLINK("https://cao.dolgi.msk.ru/account/1011392964/", 1011392964)</f>
        <v>1011392964</v>
      </c>
      <c r="D1575">
        <v>0</v>
      </c>
    </row>
    <row r="1576" spans="1:4" x14ac:dyDescent="0.3">
      <c r="A1576" t="s">
        <v>279</v>
      </c>
      <c r="B1576" t="s">
        <v>17</v>
      </c>
      <c r="C1576" s="1">
        <f>HYPERLINK("https://cao.dolgi.msk.ru/account/1011392825/", 1011392825)</f>
        <v>1011392825</v>
      </c>
      <c r="D1576">
        <v>7702.35</v>
      </c>
    </row>
    <row r="1577" spans="1:4" hidden="1" x14ac:dyDescent="0.3">
      <c r="A1577" t="s">
        <v>279</v>
      </c>
      <c r="B1577" t="s">
        <v>18</v>
      </c>
      <c r="C1577" s="1">
        <f>HYPERLINK("https://cao.dolgi.msk.ru/account/1011393115/", 1011393115)</f>
        <v>1011393115</v>
      </c>
      <c r="D1577">
        <v>0</v>
      </c>
    </row>
    <row r="1578" spans="1:4" hidden="1" x14ac:dyDescent="0.3">
      <c r="A1578" t="s">
        <v>279</v>
      </c>
      <c r="B1578" t="s">
        <v>19</v>
      </c>
      <c r="C1578" s="1">
        <f>HYPERLINK("https://cao.dolgi.msk.ru/account/1011392817/", 1011392817)</f>
        <v>1011392817</v>
      </c>
      <c r="D1578">
        <v>0</v>
      </c>
    </row>
    <row r="1579" spans="1:4" hidden="1" x14ac:dyDescent="0.3">
      <c r="A1579" t="s">
        <v>279</v>
      </c>
      <c r="B1579" t="s">
        <v>20</v>
      </c>
      <c r="C1579" s="1">
        <f>HYPERLINK("https://cao.dolgi.msk.ru/account/1011392833/", 1011392833)</f>
        <v>1011392833</v>
      </c>
      <c r="D1579">
        <v>-25061.29</v>
      </c>
    </row>
    <row r="1580" spans="1:4" hidden="1" x14ac:dyDescent="0.3">
      <c r="A1580" t="s">
        <v>279</v>
      </c>
      <c r="B1580" t="s">
        <v>21</v>
      </c>
      <c r="C1580" s="1">
        <f>HYPERLINK("https://cao.dolgi.msk.ru/account/1011392657/", 1011392657)</f>
        <v>1011392657</v>
      </c>
      <c r="D1580">
        <v>0</v>
      </c>
    </row>
    <row r="1581" spans="1:4" hidden="1" x14ac:dyDescent="0.3">
      <c r="A1581" t="s">
        <v>279</v>
      </c>
      <c r="B1581" t="s">
        <v>22</v>
      </c>
      <c r="C1581" s="1">
        <f>HYPERLINK("https://cao.dolgi.msk.ru/account/1011392729/", 1011392729)</f>
        <v>1011392729</v>
      </c>
      <c r="D1581">
        <v>0</v>
      </c>
    </row>
    <row r="1582" spans="1:4" hidden="1" x14ac:dyDescent="0.3">
      <c r="A1582" t="s">
        <v>279</v>
      </c>
      <c r="B1582" t="s">
        <v>24</v>
      </c>
      <c r="C1582" s="1">
        <f>HYPERLINK("https://cao.dolgi.msk.ru/account/1011392702/", 1011392702)</f>
        <v>1011392702</v>
      </c>
      <c r="D1582">
        <v>0</v>
      </c>
    </row>
    <row r="1583" spans="1:4" hidden="1" x14ac:dyDescent="0.3">
      <c r="A1583" t="s">
        <v>279</v>
      </c>
      <c r="B1583" t="s">
        <v>27</v>
      </c>
      <c r="C1583" s="1">
        <f>HYPERLINK("https://cao.dolgi.msk.ru/account/1011393086/", 1011393086)</f>
        <v>1011393086</v>
      </c>
      <c r="D1583">
        <v>-381.23</v>
      </c>
    </row>
    <row r="1584" spans="1:4" x14ac:dyDescent="0.3">
      <c r="A1584" t="s">
        <v>279</v>
      </c>
      <c r="B1584" t="s">
        <v>29</v>
      </c>
      <c r="C1584" s="1">
        <f>HYPERLINK("https://cao.dolgi.msk.ru/account/1011393131/", 1011393131)</f>
        <v>1011393131</v>
      </c>
      <c r="D1584">
        <v>31106.65</v>
      </c>
    </row>
    <row r="1585" spans="1:4" hidden="1" x14ac:dyDescent="0.3">
      <c r="A1585" t="s">
        <v>279</v>
      </c>
      <c r="B1585" t="s">
        <v>38</v>
      </c>
      <c r="C1585" s="1">
        <f>HYPERLINK("https://cao.dolgi.msk.ru/account/1011392956/", 1011392956)</f>
        <v>1011392956</v>
      </c>
      <c r="D1585">
        <v>-2982.63</v>
      </c>
    </row>
    <row r="1586" spans="1:4" hidden="1" x14ac:dyDescent="0.3">
      <c r="A1586" t="s">
        <v>279</v>
      </c>
      <c r="B1586" t="s">
        <v>39</v>
      </c>
      <c r="C1586" s="1">
        <f>HYPERLINK("https://cao.dolgi.msk.ru/account/1011393027/", 1011393027)</f>
        <v>1011393027</v>
      </c>
      <c r="D1586">
        <v>-3698.88</v>
      </c>
    </row>
    <row r="1587" spans="1:4" x14ac:dyDescent="0.3">
      <c r="A1587" t="s">
        <v>279</v>
      </c>
      <c r="B1587" t="s">
        <v>40</v>
      </c>
      <c r="C1587" s="1">
        <f>HYPERLINK("https://cao.dolgi.msk.ru/account/1011392753/", 1011392753)</f>
        <v>1011392753</v>
      </c>
      <c r="D1587">
        <v>7367.27</v>
      </c>
    </row>
    <row r="1588" spans="1:4" hidden="1" x14ac:dyDescent="0.3">
      <c r="A1588" t="s">
        <v>279</v>
      </c>
      <c r="B1588" t="s">
        <v>41</v>
      </c>
      <c r="C1588" s="1">
        <f>HYPERLINK("https://cao.dolgi.msk.ru/account/1011392884/", 1011392884)</f>
        <v>1011392884</v>
      </c>
      <c r="D1588">
        <v>0</v>
      </c>
    </row>
    <row r="1589" spans="1:4" hidden="1" x14ac:dyDescent="0.3">
      <c r="A1589" t="s">
        <v>279</v>
      </c>
      <c r="B1589" t="s">
        <v>51</v>
      </c>
      <c r="C1589" s="1">
        <f>HYPERLINK("https://cao.dolgi.msk.ru/account/1011393035/", 1011393035)</f>
        <v>1011393035</v>
      </c>
      <c r="D1589">
        <v>0</v>
      </c>
    </row>
    <row r="1590" spans="1:4" x14ac:dyDescent="0.3">
      <c r="A1590" t="s">
        <v>279</v>
      </c>
      <c r="B1590" t="s">
        <v>52</v>
      </c>
      <c r="C1590" s="1">
        <f>HYPERLINK("https://cao.dolgi.msk.ru/account/1011392737/", 1011392737)</f>
        <v>1011392737</v>
      </c>
      <c r="D1590">
        <v>5546.57</v>
      </c>
    </row>
    <row r="1591" spans="1:4" hidden="1" x14ac:dyDescent="0.3">
      <c r="A1591" t="s">
        <v>279</v>
      </c>
      <c r="B1591" t="s">
        <v>53</v>
      </c>
      <c r="C1591" s="1">
        <f>HYPERLINK("https://cao.dolgi.msk.ru/account/1011392796/", 1011392796)</f>
        <v>1011392796</v>
      </c>
      <c r="D1591">
        <v>0</v>
      </c>
    </row>
    <row r="1592" spans="1:4" hidden="1" x14ac:dyDescent="0.3">
      <c r="A1592" t="s">
        <v>279</v>
      </c>
      <c r="B1592" t="s">
        <v>54</v>
      </c>
      <c r="C1592" s="1">
        <f>HYPERLINK("https://cao.dolgi.msk.ru/account/1011392868/", 1011392868)</f>
        <v>1011392868</v>
      </c>
      <c r="D1592">
        <v>-6067.08</v>
      </c>
    </row>
    <row r="1593" spans="1:4" hidden="1" x14ac:dyDescent="0.3">
      <c r="A1593" t="s">
        <v>279</v>
      </c>
      <c r="B1593" t="s">
        <v>55</v>
      </c>
      <c r="C1593" s="1">
        <f>HYPERLINK("https://cao.dolgi.msk.ru/account/1011392913/", 1011392913)</f>
        <v>1011392913</v>
      </c>
      <c r="D1593">
        <v>0</v>
      </c>
    </row>
    <row r="1594" spans="1:4" hidden="1" x14ac:dyDescent="0.3">
      <c r="A1594" t="s">
        <v>279</v>
      </c>
      <c r="B1594" t="s">
        <v>56</v>
      </c>
      <c r="C1594" s="1">
        <f>HYPERLINK("https://cao.dolgi.msk.ru/account/1011392876/", 1011392876)</f>
        <v>1011392876</v>
      </c>
      <c r="D1594">
        <v>0</v>
      </c>
    </row>
    <row r="1595" spans="1:4" x14ac:dyDescent="0.3">
      <c r="A1595" t="s">
        <v>279</v>
      </c>
      <c r="B1595" t="s">
        <v>87</v>
      </c>
      <c r="C1595" s="1">
        <f>HYPERLINK("https://cao.dolgi.msk.ru/account/1011392905/", 1011392905)</f>
        <v>1011392905</v>
      </c>
      <c r="D1595">
        <v>61637.279999999999</v>
      </c>
    </row>
    <row r="1596" spans="1:4" hidden="1" x14ac:dyDescent="0.3">
      <c r="A1596" t="s">
        <v>279</v>
      </c>
      <c r="B1596" t="s">
        <v>88</v>
      </c>
      <c r="C1596" s="1">
        <f>HYPERLINK("https://cao.dolgi.msk.ru/account/1011392665/", 1011392665)</f>
        <v>1011392665</v>
      </c>
      <c r="D1596">
        <v>0</v>
      </c>
    </row>
    <row r="1597" spans="1:4" hidden="1" x14ac:dyDescent="0.3">
      <c r="A1597" t="s">
        <v>279</v>
      </c>
      <c r="B1597" t="s">
        <v>88</v>
      </c>
      <c r="C1597" s="1">
        <f>HYPERLINK("https://cao.dolgi.msk.ru/account/1011392761/", 1011392761)</f>
        <v>1011392761</v>
      </c>
      <c r="D1597">
        <v>0</v>
      </c>
    </row>
    <row r="1598" spans="1:4" hidden="1" x14ac:dyDescent="0.3">
      <c r="A1598" t="s">
        <v>279</v>
      </c>
      <c r="B1598" t="s">
        <v>88</v>
      </c>
      <c r="C1598" s="1">
        <f>HYPERLINK("https://cao.dolgi.msk.ru/account/1011392892/", 1011392892)</f>
        <v>1011392892</v>
      </c>
      <c r="D1598">
        <v>0</v>
      </c>
    </row>
    <row r="1599" spans="1:4" hidden="1" x14ac:dyDescent="0.3">
      <c r="A1599" t="s">
        <v>279</v>
      </c>
      <c r="B1599" t="s">
        <v>88</v>
      </c>
      <c r="C1599" s="1">
        <f>HYPERLINK("https://cao.dolgi.msk.ru/account/1011392999/", 1011392999)</f>
        <v>1011392999</v>
      </c>
      <c r="D1599">
        <v>0</v>
      </c>
    </row>
    <row r="1600" spans="1:4" hidden="1" x14ac:dyDescent="0.3">
      <c r="A1600" t="s">
        <v>279</v>
      </c>
      <c r="B1600" t="s">
        <v>88</v>
      </c>
      <c r="C1600" s="1">
        <f>HYPERLINK("https://cao.dolgi.msk.ru/account/1011393094/", 1011393094)</f>
        <v>1011393094</v>
      </c>
      <c r="D1600">
        <v>0</v>
      </c>
    </row>
    <row r="1601" spans="1:4" x14ac:dyDescent="0.3">
      <c r="A1601" t="s">
        <v>280</v>
      </c>
      <c r="B1601" t="s">
        <v>6</v>
      </c>
      <c r="C1601" s="1">
        <f>HYPERLINK("https://cao.dolgi.msk.ru/account/1010213063/", 1010213063)</f>
        <v>1010213063</v>
      </c>
      <c r="D1601">
        <v>2034.49</v>
      </c>
    </row>
    <row r="1602" spans="1:4" hidden="1" x14ac:dyDescent="0.3">
      <c r="A1602" t="s">
        <v>280</v>
      </c>
      <c r="B1602" t="s">
        <v>28</v>
      </c>
      <c r="C1602" s="1">
        <f>HYPERLINK("https://cao.dolgi.msk.ru/account/1010213071/", 1010213071)</f>
        <v>1010213071</v>
      </c>
      <c r="D1602">
        <v>-5468.66</v>
      </c>
    </row>
    <row r="1603" spans="1:4" x14ac:dyDescent="0.3">
      <c r="A1603" t="s">
        <v>280</v>
      </c>
      <c r="B1603" t="s">
        <v>28</v>
      </c>
      <c r="C1603" s="1">
        <f>HYPERLINK("https://cao.dolgi.msk.ru/account/1010213119/", 1010213119)</f>
        <v>1010213119</v>
      </c>
      <c r="D1603">
        <v>3255.57</v>
      </c>
    </row>
    <row r="1604" spans="1:4" hidden="1" x14ac:dyDescent="0.3">
      <c r="A1604" t="s">
        <v>280</v>
      </c>
      <c r="B1604" t="s">
        <v>35</v>
      </c>
      <c r="C1604" s="1">
        <f>HYPERLINK("https://cao.dolgi.msk.ru/account/1010213127/", 1010213127)</f>
        <v>1010213127</v>
      </c>
      <c r="D1604">
        <v>-12662.24</v>
      </c>
    </row>
    <row r="1605" spans="1:4" hidden="1" x14ac:dyDescent="0.3">
      <c r="A1605" t="s">
        <v>280</v>
      </c>
      <c r="B1605" t="s">
        <v>5</v>
      </c>
      <c r="C1605" s="1">
        <f>HYPERLINK("https://cao.dolgi.msk.ru/account/1010213135/", 1010213135)</f>
        <v>1010213135</v>
      </c>
      <c r="D1605">
        <v>-45.13</v>
      </c>
    </row>
    <row r="1606" spans="1:4" hidden="1" x14ac:dyDescent="0.3">
      <c r="A1606" t="s">
        <v>280</v>
      </c>
      <c r="B1606" t="s">
        <v>7</v>
      </c>
      <c r="C1606" s="1">
        <f>HYPERLINK("https://cao.dolgi.msk.ru/account/1010213143/", 1010213143)</f>
        <v>1010213143</v>
      </c>
      <c r="D1606">
        <v>0</v>
      </c>
    </row>
    <row r="1607" spans="1:4" hidden="1" x14ac:dyDescent="0.3">
      <c r="A1607" t="s">
        <v>280</v>
      </c>
      <c r="B1607" t="s">
        <v>8</v>
      </c>
      <c r="C1607" s="1">
        <f>HYPERLINK("https://cao.dolgi.msk.ru/account/1010213151/", 1010213151)</f>
        <v>1010213151</v>
      </c>
      <c r="D1607">
        <v>0</v>
      </c>
    </row>
    <row r="1608" spans="1:4" hidden="1" x14ac:dyDescent="0.3">
      <c r="A1608" t="s">
        <v>280</v>
      </c>
      <c r="B1608" t="s">
        <v>31</v>
      </c>
      <c r="C1608" s="1">
        <f>HYPERLINK("https://cao.dolgi.msk.ru/account/1010213178/", 1010213178)</f>
        <v>1010213178</v>
      </c>
      <c r="D1608">
        <v>-268.56</v>
      </c>
    </row>
    <row r="1609" spans="1:4" hidden="1" x14ac:dyDescent="0.3">
      <c r="A1609" t="s">
        <v>280</v>
      </c>
      <c r="B1609" t="s">
        <v>9</v>
      </c>
      <c r="C1609" s="1">
        <f>HYPERLINK("https://cao.dolgi.msk.ru/account/1010213186/", 1010213186)</f>
        <v>1010213186</v>
      </c>
      <c r="D1609">
        <v>-744.35</v>
      </c>
    </row>
    <row r="1610" spans="1:4" x14ac:dyDescent="0.3">
      <c r="A1610" t="s">
        <v>280</v>
      </c>
      <c r="B1610" t="s">
        <v>10</v>
      </c>
      <c r="C1610" s="1">
        <f>HYPERLINK("https://cao.dolgi.msk.ru/account/1010213194/", 1010213194)</f>
        <v>1010213194</v>
      </c>
      <c r="D1610">
        <v>7898.51</v>
      </c>
    </row>
    <row r="1611" spans="1:4" hidden="1" x14ac:dyDescent="0.3">
      <c r="A1611" t="s">
        <v>280</v>
      </c>
      <c r="B1611" t="s">
        <v>11</v>
      </c>
      <c r="C1611" s="1">
        <f>HYPERLINK("https://cao.dolgi.msk.ru/account/1010213207/", 1010213207)</f>
        <v>1010213207</v>
      </c>
      <c r="D1611">
        <v>0</v>
      </c>
    </row>
    <row r="1612" spans="1:4" hidden="1" x14ac:dyDescent="0.3">
      <c r="A1612" t="s">
        <v>280</v>
      </c>
      <c r="B1612" t="s">
        <v>12</v>
      </c>
      <c r="C1612" s="1">
        <f>HYPERLINK("https://cao.dolgi.msk.ru/account/1010213215/", 1010213215)</f>
        <v>1010213215</v>
      </c>
      <c r="D1612">
        <v>0</v>
      </c>
    </row>
    <row r="1613" spans="1:4" hidden="1" x14ac:dyDescent="0.3">
      <c r="A1613" t="s">
        <v>280</v>
      </c>
      <c r="B1613" t="s">
        <v>23</v>
      </c>
      <c r="C1613" s="1">
        <f>HYPERLINK("https://cao.dolgi.msk.ru/account/1010213223/", 1010213223)</f>
        <v>1010213223</v>
      </c>
      <c r="D1613">
        <v>0</v>
      </c>
    </row>
    <row r="1614" spans="1:4" x14ac:dyDescent="0.3">
      <c r="A1614" t="s">
        <v>280</v>
      </c>
      <c r="B1614" t="s">
        <v>13</v>
      </c>
      <c r="C1614" s="1">
        <f>HYPERLINK("https://cao.dolgi.msk.ru/account/1010213231/", 1010213231)</f>
        <v>1010213231</v>
      </c>
      <c r="D1614">
        <v>22737.17</v>
      </c>
    </row>
    <row r="1615" spans="1:4" hidden="1" x14ac:dyDescent="0.3">
      <c r="A1615" t="s">
        <v>280</v>
      </c>
      <c r="B1615" t="s">
        <v>14</v>
      </c>
      <c r="C1615" s="1">
        <f>HYPERLINK("https://cao.dolgi.msk.ru/account/1010213274/", 1010213274)</f>
        <v>1010213274</v>
      </c>
      <c r="D1615">
        <v>-11609.93</v>
      </c>
    </row>
    <row r="1616" spans="1:4" hidden="1" x14ac:dyDescent="0.3">
      <c r="A1616" t="s">
        <v>280</v>
      </c>
      <c r="B1616" t="s">
        <v>16</v>
      </c>
      <c r="C1616" s="1">
        <f>HYPERLINK("https://cao.dolgi.msk.ru/account/1010213282/", 1010213282)</f>
        <v>1010213282</v>
      </c>
      <c r="D1616">
        <v>0</v>
      </c>
    </row>
    <row r="1617" spans="1:4" hidden="1" x14ac:dyDescent="0.3">
      <c r="A1617" t="s">
        <v>280</v>
      </c>
      <c r="B1617" t="s">
        <v>17</v>
      </c>
      <c r="C1617" s="1">
        <f>HYPERLINK("https://cao.dolgi.msk.ru/account/1010213303/", 1010213303)</f>
        <v>1010213303</v>
      </c>
      <c r="D1617">
        <v>-10381.65</v>
      </c>
    </row>
    <row r="1618" spans="1:4" hidden="1" x14ac:dyDescent="0.3">
      <c r="A1618" t="s">
        <v>280</v>
      </c>
      <c r="B1618" t="s">
        <v>18</v>
      </c>
      <c r="C1618" s="1">
        <f>HYPERLINK("https://cao.dolgi.msk.ru/account/1010213338/", 1010213338)</f>
        <v>1010213338</v>
      </c>
      <c r="D1618">
        <v>-8738.6299999999992</v>
      </c>
    </row>
    <row r="1619" spans="1:4" hidden="1" x14ac:dyDescent="0.3">
      <c r="A1619" t="s">
        <v>280</v>
      </c>
      <c r="B1619" t="s">
        <v>19</v>
      </c>
      <c r="C1619" s="1">
        <f>HYPERLINK("https://cao.dolgi.msk.ru/account/1010213346/", 1010213346)</f>
        <v>1010213346</v>
      </c>
      <c r="D1619">
        <v>-244.56</v>
      </c>
    </row>
    <row r="1620" spans="1:4" hidden="1" x14ac:dyDescent="0.3">
      <c r="A1620" t="s">
        <v>280</v>
      </c>
      <c r="B1620" t="s">
        <v>20</v>
      </c>
      <c r="C1620" s="1">
        <f>HYPERLINK("https://cao.dolgi.msk.ru/account/1010213362/", 1010213362)</f>
        <v>1010213362</v>
      </c>
      <c r="D1620">
        <v>-24740.54</v>
      </c>
    </row>
    <row r="1621" spans="1:4" hidden="1" x14ac:dyDescent="0.3">
      <c r="A1621" t="s">
        <v>280</v>
      </c>
      <c r="B1621" t="s">
        <v>21</v>
      </c>
      <c r="C1621" s="1">
        <f>HYPERLINK("https://cao.dolgi.msk.ru/account/1010213389/", 1010213389)</f>
        <v>1010213389</v>
      </c>
      <c r="D1621">
        <v>-252.51</v>
      </c>
    </row>
    <row r="1622" spans="1:4" x14ac:dyDescent="0.3">
      <c r="A1622" t="s">
        <v>280</v>
      </c>
      <c r="B1622" t="s">
        <v>21</v>
      </c>
      <c r="C1622" s="1">
        <f>HYPERLINK("https://cao.dolgi.msk.ru/account/1010213397/", 1010213397)</f>
        <v>1010213397</v>
      </c>
      <c r="D1622">
        <v>45975.64</v>
      </c>
    </row>
    <row r="1623" spans="1:4" x14ac:dyDescent="0.3">
      <c r="A1623" t="s">
        <v>280</v>
      </c>
      <c r="B1623" t="s">
        <v>22</v>
      </c>
      <c r="C1623" s="1">
        <f>HYPERLINK("https://cao.dolgi.msk.ru/account/1010213434/", 1010213434)</f>
        <v>1010213434</v>
      </c>
      <c r="D1623">
        <v>82853.179999999993</v>
      </c>
    </row>
    <row r="1624" spans="1:4" hidden="1" x14ac:dyDescent="0.3">
      <c r="A1624" t="s">
        <v>280</v>
      </c>
      <c r="B1624" t="s">
        <v>24</v>
      </c>
      <c r="C1624" s="1">
        <f>HYPERLINK("https://cao.dolgi.msk.ru/account/1010213442/", 1010213442)</f>
        <v>1010213442</v>
      </c>
      <c r="D1624">
        <v>-2552.31</v>
      </c>
    </row>
    <row r="1625" spans="1:4" hidden="1" x14ac:dyDescent="0.3">
      <c r="A1625" t="s">
        <v>280</v>
      </c>
      <c r="B1625" t="s">
        <v>25</v>
      </c>
      <c r="C1625" s="1">
        <f>HYPERLINK("https://cao.dolgi.msk.ru/account/1010213469/", 1010213469)</f>
        <v>1010213469</v>
      </c>
      <c r="D1625">
        <v>-12874.64</v>
      </c>
    </row>
    <row r="1626" spans="1:4" hidden="1" x14ac:dyDescent="0.3">
      <c r="A1626" t="s">
        <v>280</v>
      </c>
      <c r="B1626" t="s">
        <v>25</v>
      </c>
      <c r="C1626" s="1">
        <f>HYPERLINK("https://cao.dolgi.msk.ru/account/1011516066/", 1011516066)</f>
        <v>1011516066</v>
      </c>
      <c r="D1626">
        <v>0</v>
      </c>
    </row>
    <row r="1627" spans="1:4" x14ac:dyDescent="0.3">
      <c r="A1627" t="s">
        <v>280</v>
      </c>
      <c r="B1627" t="s">
        <v>26</v>
      </c>
      <c r="C1627" s="1">
        <f>HYPERLINK("https://cao.dolgi.msk.ru/account/1010213477/", 1010213477)</f>
        <v>1010213477</v>
      </c>
      <c r="D1627">
        <v>10838.55</v>
      </c>
    </row>
    <row r="1628" spans="1:4" x14ac:dyDescent="0.3">
      <c r="A1628" t="s">
        <v>280</v>
      </c>
      <c r="B1628" t="s">
        <v>27</v>
      </c>
      <c r="C1628" s="1">
        <f>HYPERLINK("https://cao.dolgi.msk.ru/account/1010213485/", 1010213485)</f>
        <v>1010213485</v>
      </c>
      <c r="D1628">
        <v>9593.0499999999993</v>
      </c>
    </row>
    <row r="1629" spans="1:4" hidden="1" x14ac:dyDescent="0.3">
      <c r="A1629" t="s">
        <v>280</v>
      </c>
      <c r="B1629" t="s">
        <v>29</v>
      </c>
      <c r="C1629" s="1">
        <f>HYPERLINK("https://cao.dolgi.msk.ru/account/1010213493/", 1010213493)</f>
        <v>1010213493</v>
      </c>
      <c r="D1629">
        <v>-18.84</v>
      </c>
    </row>
    <row r="1630" spans="1:4" hidden="1" x14ac:dyDescent="0.3">
      <c r="A1630" t="s">
        <v>280</v>
      </c>
      <c r="B1630" t="s">
        <v>38</v>
      </c>
      <c r="C1630" s="1">
        <f>HYPERLINK("https://cao.dolgi.msk.ru/account/1010213506/", 1010213506)</f>
        <v>1010213506</v>
      </c>
      <c r="D1630">
        <v>-14275.61</v>
      </c>
    </row>
    <row r="1631" spans="1:4" hidden="1" x14ac:dyDescent="0.3">
      <c r="A1631" t="s">
        <v>280</v>
      </c>
      <c r="B1631" t="s">
        <v>39</v>
      </c>
      <c r="C1631" s="1">
        <f>HYPERLINK("https://cao.dolgi.msk.ru/account/1010213514/", 1010213514)</f>
        <v>1010213514</v>
      </c>
      <c r="D1631">
        <v>-12043.73</v>
      </c>
    </row>
    <row r="1632" spans="1:4" hidden="1" x14ac:dyDescent="0.3">
      <c r="A1632" t="s">
        <v>280</v>
      </c>
      <c r="B1632" t="s">
        <v>40</v>
      </c>
      <c r="C1632" s="1">
        <f>HYPERLINK("https://cao.dolgi.msk.ru/account/1011034497/", 1011034497)</f>
        <v>1011034497</v>
      </c>
      <c r="D1632">
        <v>-2.77</v>
      </c>
    </row>
    <row r="1633" spans="1:4" x14ac:dyDescent="0.3">
      <c r="A1633" t="s">
        <v>280</v>
      </c>
      <c r="B1633" t="s">
        <v>41</v>
      </c>
      <c r="C1633" s="1">
        <f>HYPERLINK("https://cao.dolgi.msk.ru/account/1010213573/", 1010213573)</f>
        <v>1010213573</v>
      </c>
      <c r="D1633">
        <v>7448.41</v>
      </c>
    </row>
    <row r="1634" spans="1:4" x14ac:dyDescent="0.3">
      <c r="A1634" t="s">
        <v>280</v>
      </c>
      <c r="B1634" t="s">
        <v>51</v>
      </c>
      <c r="C1634" s="1">
        <f>HYPERLINK("https://cao.dolgi.msk.ru/account/1010213602/", 1010213602)</f>
        <v>1010213602</v>
      </c>
      <c r="D1634">
        <v>28125.119999999999</v>
      </c>
    </row>
    <row r="1635" spans="1:4" hidden="1" x14ac:dyDescent="0.3">
      <c r="A1635" t="s">
        <v>280</v>
      </c>
      <c r="B1635" t="s">
        <v>52</v>
      </c>
      <c r="C1635" s="1">
        <f>HYPERLINK("https://cao.dolgi.msk.ru/account/1010213629/", 1010213629)</f>
        <v>1010213629</v>
      </c>
      <c r="D1635">
        <v>-684.74</v>
      </c>
    </row>
    <row r="1636" spans="1:4" x14ac:dyDescent="0.3">
      <c r="A1636" t="s">
        <v>280</v>
      </c>
      <c r="B1636" t="s">
        <v>52</v>
      </c>
      <c r="C1636" s="1">
        <f>HYPERLINK("https://cao.dolgi.msk.ru/account/1011013629/", 1011013629)</f>
        <v>1011013629</v>
      </c>
      <c r="D1636">
        <v>7863.51</v>
      </c>
    </row>
    <row r="1637" spans="1:4" x14ac:dyDescent="0.3">
      <c r="A1637" t="s">
        <v>280</v>
      </c>
      <c r="B1637" t="s">
        <v>53</v>
      </c>
      <c r="C1637" s="1">
        <f>HYPERLINK("https://cao.dolgi.msk.ru/account/1010213581/", 1010213581)</f>
        <v>1010213581</v>
      </c>
      <c r="D1637">
        <v>5517.9</v>
      </c>
    </row>
    <row r="1638" spans="1:4" x14ac:dyDescent="0.3">
      <c r="A1638" t="s">
        <v>280</v>
      </c>
      <c r="B1638" t="s">
        <v>54</v>
      </c>
      <c r="C1638" s="1">
        <f>HYPERLINK("https://cao.dolgi.msk.ru/account/1010213645/", 1010213645)</f>
        <v>1010213645</v>
      </c>
      <c r="D1638">
        <v>30198.98</v>
      </c>
    </row>
    <row r="1639" spans="1:4" hidden="1" x14ac:dyDescent="0.3">
      <c r="A1639" t="s">
        <v>280</v>
      </c>
      <c r="B1639" t="s">
        <v>55</v>
      </c>
      <c r="C1639" s="1">
        <f>HYPERLINK("https://cao.dolgi.msk.ru/account/1010213653/", 1010213653)</f>
        <v>1010213653</v>
      </c>
      <c r="D1639">
        <v>-7343.03</v>
      </c>
    </row>
    <row r="1640" spans="1:4" hidden="1" x14ac:dyDescent="0.3">
      <c r="A1640" t="s">
        <v>280</v>
      </c>
      <c r="B1640" t="s">
        <v>56</v>
      </c>
      <c r="C1640" s="1">
        <f>HYPERLINK("https://cao.dolgi.msk.ru/account/1010213661/", 1010213661)</f>
        <v>1010213661</v>
      </c>
      <c r="D1640">
        <v>-407.14</v>
      </c>
    </row>
    <row r="1641" spans="1:4" x14ac:dyDescent="0.3">
      <c r="A1641" t="s">
        <v>280</v>
      </c>
      <c r="B1641" t="s">
        <v>87</v>
      </c>
      <c r="C1641" s="1">
        <f>HYPERLINK("https://cao.dolgi.msk.ru/account/1010213688/", 1010213688)</f>
        <v>1010213688</v>
      </c>
      <c r="D1641">
        <v>226297.04</v>
      </c>
    </row>
    <row r="1642" spans="1:4" hidden="1" x14ac:dyDescent="0.3">
      <c r="A1642" t="s">
        <v>280</v>
      </c>
      <c r="B1642" t="s">
        <v>88</v>
      </c>
      <c r="C1642" s="1">
        <f>HYPERLINK("https://cao.dolgi.msk.ru/account/1010213696/", 1010213696)</f>
        <v>1010213696</v>
      </c>
      <c r="D1642">
        <v>0</v>
      </c>
    </row>
    <row r="1643" spans="1:4" hidden="1" x14ac:dyDescent="0.3">
      <c r="A1643" t="s">
        <v>280</v>
      </c>
      <c r="B1643" t="s">
        <v>89</v>
      </c>
      <c r="C1643" s="1">
        <f>HYPERLINK("https://cao.dolgi.msk.ru/account/1010213709/", 1010213709)</f>
        <v>1010213709</v>
      </c>
      <c r="D1643">
        <v>-5287.44</v>
      </c>
    </row>
    <row r="1644" spans="1:4" hidden="1" x14ac:dyDescent="0.3">
      <c r="A1644" t="s">
        <v>280</v>
      </c>
      <c r="B1644" t="s">
        <v>90</v>
      </c>
      <c r="C1644" s="1">
        <f>HYPERLINK("https://cao.dolgi.msk.ru/account/1010213717/", 1010213717)</f>
        <v>1010213717</v>
      </c>
      <c r="D1644">
        <v>-7057.81</v>
      </c>
    </row>
    <row r="1645" spans="1:4" hidden="1" x14ac:dyDescent="0.3">
      <c r="A1645" t="s">
        <v>280</v>
      </c>
      <c r="B1645" t="s">
        <v>96</v>
      </c>
      <c r="C1645" s="1">
        <f>HYPERLINK("https://cao.dolgi.msk.ru/account/1010213725/", 1010213725)</f>
        <v>1010213725</v>
      </c>
      <c r="D1645">
        <v>0</v>
      </c>
    </row>
    <row r="1646" spans="1:4" hidden="1" x14ac:dyDescent="0.3">
      <c r="A1646" t="s">
        <v>280</v>
      </c>
      <c r="B1646" t="s">
        <v>97</v>
      </c>
      <c r="C1646" s="1">
        <f>HYPERLINK("https://cao.dolgi.msk.ru/account/1010213733/", 1010213733)</f>
        <v>1010213733</v>
      </c>
      <c r="D1646">
        <v>0</v>
      </c>
    </row>
    <row r="1647" spans="1:4" hidden="1" x14ac:dyDescent="0.3">
      <c r="A1647" t="s">
        <v>280</v>
      </c>
      <c r="B1647" t="s">
        <v>98</v>
      </c>
      <c r="C1647" s="1">
        <f>HYPERLINK("https://cao.dolgi.msk.ru/account/1010215464/", 1010215464)</f>
        <v>1010215464</v>
      </c>
      <c r="D1647">
        <v>-157.34</v>
      </c>
    </row>
    <row r="1648" spans="1:4" hidden="1" x14ac:dyDescent="0.3">
      <c r="A1648" t="s">
        <v>280</v>
      </c>
      <c r="B1648" t="s">
        <v>58</v>
      </c>
      <c r="C1648" s="1">
        <f>HYPERLINK("https://cao.dolgi.msk.ru/account/1010213741/", 1010213741)</f>
        <v>1010213741</v>
      </c>
      <c r="D1648">
        <v>0</v>
      </c>
    </row>
    <row r="1649" spans="1:4" x14ac:dyDescent="0.3">
      <c r="A1649" t="s">
        <v>280</v>
      </c>
      <c r="B1649" t="s">
        <v>59</v>
      </c>
      <c r="C1649" s="1">
        <f>HYPERLINK("https://cao.dolgi.msk.ru/account/1010213768/", 1010213768)</f>
        <v>1010213768</v>
      </c>
      <c r="D1649">
        <v>25277.42</v>
      </c>
    </row>
    <row r="1650" spans="1:4" hidden="1" x14ac:dyDescent="0.3">
      <c r="A1650" t="s">
        <v>280</v>
      </c>
      <c r="B1650" t="s">
        <v>60</v>
      </c>
      <c r="C1650" s="1">
        <f>HYPERLINK("https://cao.dolgi.msk.ru/account/1010213776/", 1010213776)</f>
        <v>1010213776</v>
      </c>
      <c r="D1650">
        <v>0</v>
      </c>
    </row>
    <row r="1651" spans="1:4" hidden="1" x14ac:dyDescent="0.3">
      <c r="A1651" t="s">
        <v>280</v>
      </c>
      <c r="B1651" t="s">
        <v>61</v>
      </c>
      <c r="C1651" s="1">
        <f>HYPERLINK("https://cao.dolgi.msk.ru/account/1010213784/", 1010213784)</f>
        <v>1010213784</v>
      </c>
      <c r="D1651">
        <v>0</v>
      </c>
    </row>
    <row r="1652" spans="1:4" x14ac:dyDescent="0.3">
      <c r="A1652" t="s">
        <v>280</v>
      </c>
      <c r="B1652" t="s">
        <v>62</v>
      </c>
      <c r="C1652" s="1">
        <f>HYPERLINK("https://cao.dolgi.msk.ru/account/1010213792/", 1010213792)</f>
        <v>1010213792</v>
      </c>
      <c r="D1652">
        <v>5812.73</v>
      </c>
    </row>
    <row r="1653" spans="1:4" hidden="1" x14ac:dyDescent="0.3">
      <c r="A1653" t="s">
        <v>280</v>
      </c>
      <c r="B1653" t="s">
        <v>63</v>
      </c>
      <c r="C1653" s="1">
        <f>HYPERLINK("https://cao.dolgi.msk.ru/account/1010213813/", 1010213813)</f>
        <v>1010213813</v>
      </c>
      <c r="D1653">
        <v>0</v>
      </c>
    </row>
    <row r="1654" spans="1:4" hidden="1" x14ac:dyDescent="0.3">
      <c r="A1654" t="s">
        <v>280</v>
      </c>
      <c r="B1654" t="s">
        <v>64</v>
      </c>
      <c r="C1654" s="1">
        <f>HYPERLINK("https://cao.dolgi.msk.ru/account/1010213821/", 1010213821)</f>
        <v>1010213821</v>
      </c>
      <c r="D1654">
        <v>0</v>
      </c>
    </row>
    <row r="1655" spans="1:4" hidden="1" x14ac:dyDescent="0.3">
      <c r="A1655" t="s">
        <v>280</v>
      </c>
      <c r="B1655" t="s">
        <v>65</v>
      </c>
      <c r="C1655" s="1">
        <f>HYPERLINK("https://cao.dolgi.msk.ru/account/1010213848/", 1010213848)</f>
        <v>1010213848</v>
      </c>
      <c r="D1655">
        <v>0</v>
      </c>
    </row>
    <row r="1656" spans="1:4" hidden="1" x14ac:dyDescent="0.3">
      <c r="A1656" t="s">
        <v>280</v>
      </c>
      <c r="B1656" t="s">
        <v>66</v>
      </c>
      <c r="C1656" s="1">
        <f>HYPERLINK("https://cao.dolgi.msk.ru/account/1010213864/", 1010213864)</f>
        <v>1010213864</v>
      </c>
      <c r="D1656">
        <v>-9526.26</v>
      </c>
    </row>
    <row r="1657" spans="1:4" hidden="1" x14ac:dyDescent="0.3">
      <c r="A1657" t="s">
        <v>280</v>
      </c>
      <c r="B1657" t="s">
        <v>67</v>
      </c>
      <c r="C1657" s="1">
        <f>HYPERLINK("https://cao.dolgi.msk.ru/account/1010213872/", 1010213872)</f>
        <v>1010213872</v>
      </c>
      <c r="D1657">
        <v>0</v>
      </c>
    </row>
    <row r="1658" spans="1:4" hidden="1" x14ac:dyDescent="0.3">
      <c r="A1658" t="s">
        <v>280</v>
      </c>
      <c r="B1658" t="s">
        <v>68</v>
      </c>
      <c r="C1658" s="1">
        <f>HYPERLINK("https://cao.dolgi.msk.ru/account/1010213899/", 1010213899)</f>
        <v>1010213899</v>
      </c>
      <c r="D1658">
        <v>0</v>
      </c>
    </row>
    <row r="1659" spans="1:4" x14ac:dyDescent="0.3">
      <c r="A1659" t="s">
        <v>280</v>
      </c>
      <c r="B1659" t="s">
        <v>69</v>
      </c>
      <c r="C1659" s="1">
        <f>HYPERLINK("https://cao.dolgi.msk.ru/account/1010213901/", 1010213901)</f>
        <v>1010213901</v>
      </c>
      <c r="D1659">
        <v>35004</v>
      </c>
    </row>
    <row r="1660" spans="1:4" hidden="1" x14ac:dyDescent="0.3">
      <c r="A1660" t="s">
        <v>280</v>
      </c>
      <c r="B1660" t="s">
        <v>70</v>
      </c>
      <c r="C1660" s="1">
        <f>HYPERLINK("https://cao.dolgi.msk.ru/account/1010213936/", 1010213936)</f>
        <v>1010213936</v>
      </c>
      <c r="D1660">
        <v>-24.87</v>
      </c>
    </row>
    <row r="1661" spans="1:4" hidden="1" x14ac:dyDescent="0.3">
      <c r="A1661" t="s">
        <v>280</v>
      </c>
      <c r="B1661" t="s">
        <v>259</v>
      </c>
      <c r="C1661" s="1">
        <f>HYPERLINK("https://cao.dolgi.msk.ru/account/1010213944/", 1010213944)</f>
        <v>1010213944</v>
      </c>
      <c r="D1661">
        <v>0</v>
      </c>
    </row>
    <row r="1662" spans="1:4" x14ac:dyDescent="0.3">
      <c r="A1662" t="s">
        <v>280</v>
      </c>
      <c r="B1662" t="s">
        <v>100</v>
      </c>
      <c r="C1662" s="1">
        <f>HYPERLINK("https://cao.dolgi.msk.ru/account/1010213952/", 1010213952)</f>
        <v>1010213952</v>
      </c>
      <c r="D1662">
        <v>6375.77</v>
      </c>
    </row>
    <row r="1663" spans="1:4" hidden="1" x14ac:dyDescent="0.3">
      <c r="A1663" t="s">
        <v>280</v>
      </c>
      <c r="B1663" t="s">
        <v>72</v>
      </c>
      <c r="C1663" s="1">
        <f>HYPERLINK("https://cao.dolgi.msk.ru/account/1010213979/", 1010213979)</f>
        <v>1010213979</v>
      </c>
      <c r="D1663">
        <v>-2.71</v>
      </c>
    </row>
    <row r="1664" spans="1:4" hidden="1" x14ac:dyDescent="0.3">
      <c r="A1664" t="s">
        <v>280</v>
      </c>
      <c r="B1664" t="s">
        <v>73</v>
      </c>
      <c r="C1664" s="1">
        <f>HYPERLINK("https://cao.dolgi.msk.ru/account/1010213987/", 1010213987)</f>
        <v>1010213987</v>
      </c>
      <c r="D1664">
        <v>0</v>
      </c>
    </row>
    <row r="1665" spans="1:4" hidden="1" x14ac:dyDescent="0.3">
      <c r="A1665" t="s">
        <v>280</v>
      </c>
      <c r="B1665" t="s">
        <v>73</v>
      </c>
      <c r="C1665" s="1">
        <f>HYPERLINK("https://cao.dolgi.msk.ru/account/1011125209/", 1011125209)</f>
        <v>1011125209</v>
      </c>
      <c r="D1665">
        <v>0</v>
      </c>
    </row>
    <row r="1666" spans="1:4" hidden="1" x14ac:dyDescent="0.3">
      <c r="A1666" t="s">
        <v>280</v>
      </c>
      <c r="B1666" t="s">
        <v>74</v>
      </c>
      <c r="C1666" s="1">
        <f>HYPERLINK("https://cao.dolgi.msk.ru/account/1010213995/", 1010213995)</f>
        <v>1010213995</v>
      </c>
      <c r="D1666">
        <v>-105.02</v>
      </c>
    </row>
    <row r="1667" spans="1:4" hidden="1" x14ac:dyDescent="0.3">
      <c r="A1667" t="s">
        <v>280</v>
      </c>
      <c r="B1667" t="s">
        <v>75</v>
      </c>
      <c r="C1667" s="1">
        <f>HYPERLINK("https://cao.dolgi.msk.ru/account/1010214007/", 1010214007)</f>
        <v>1010214007</v>
      </c>
      <c r="D1667">
        <v>-1308.55</v>
      </c>
    </row>
    <row r="1668" spans="1:4" hidden="1" x14ac:dyDescent="0.3">
      <c r="A1668" t="s">
        <v>280</v>
      </c>
      <c r="B1668" t="s">
        <v>76</v>
      </c>
      <c r="C1668" s="1">
        <f>HYPERLINK("https://cao.dolgi.msk.ru/account/1010214031/", 1010214031)</f>
        <v>1010214031</v>
      </c>
      <c r="D1668">
        <v>-8881.48</v>
      </c>
    </row>
    <row r="1669" spans="1:4" hidden="1" x14ac:dyDescent="0.3">
      <c r="A1669" t="s">
        <v>280</v>
      </c>
      <c r="B1669" t="s">
        <v>77</v>
      </c>
      <c r="C1669" s="1">
        <f>HYPERLINK("https://cao.dolgi.msk.ru/account/1010214058/", 1010214058)</f>
        <v>1010214058</v>
      </c>
      <c r="D1669">
        <v>0</v>
      </c>
    </row>
    <row r="1670" spans="1:4" hidden="1" x14ac:dyDescent="0.3">
      <c r="A1670" t="s">
        <v>280</v>
      </c>
      <c r="B1670" t="s">
        <v>78</v>
      </c>
      <c r="C1670" s="1">
        <f>HYPERLINK("https://cao.dolgi.msk.ru/account/1010214066/", 1010214066)</f>
        <v>1010214066</v>
      </c>
      <c r="D1670">
        <v>-2929.57</v>
      </c>
    </row>
    <row r="1671" spans="1:4" hidden="1" x14ac:dyDescent="0.3">
      <c r="A1671" t="s">
        <v>280</v>
      </c>
      <c r="B1671" t="s">
        <v>79</v>
      </c>
      <c r="C1671" s="1">
        <f>HYPERLINK("https://cao.dolgi.msk.ru/account/1010214074/", 1010214074)</f>
        <v>1010214074</v>
      </c>
      <c r="D1671">
        <v>0</v>
      </c>
    </row>
    <row r="1672" spans="1:4" hidden="1" x14ac:dyDescent="0.3">
      <c r="A1672" t="s">
        <v>280</v>
      </c>
      <c r="B1672" t="s">
        <v>80</v>
      </c>
      <c r="C1672" s="1">
        <f>HYPERLINK("https://cao.dolgi.msk.ru/account/1010214082/", 1010214082)</f>
        <v>1010214082</v>
      </c>
      <c r="D1672">
        <v>0</v>
      </c>
    </row>
    <row r="1673" spans="1:4" hidden="1" x14ac:dyDescent="0.3">
      <c r="A1673" t="s">
        <v>280</v>
      </c>
      <c r="B1673" t="s">
        <v>81</v>
      </c>
      <c r="C1673" s="1">
        <f>HYPERLINK("https://cao.dolgi.msk.ru/account/1019013287/", 1019013287)</f>
        <v>1019013287</v>
      </c>
      <c r="D1673">
        <v>-10105.870000000001</v>
      </c>
    </row>
    <row r="1674" spans="1:4" hidden="1" x14ac:dyDescent="0.3">
      <c r="A1674" t="s">
        <v>280</v>
      </c>
      <c r="B1674" t="s">
        <v>101</v>
      </c>
      <c r="C1674" s="1">
        <f>HYPERLINK("https://cao.dolgi.msk.ru/account/1010214111/", 1010214111)</f>
        <v>1010214111</v>
      </c>
      <c r="D1674">
        <v>-22554.3</v>
      </c>
    </row>
    <row r="1675" spans="1:4" hidden="1" x14ac:dyDescent="0.3">
      <c r="A1675" t="s">
        <v>280</v>
      </c>
      <c r="B1675" t="s">
        <v>82</v>
      </c>
      <c r="C1675" s="1">
        <f>HYPERLINK("https://cao.dolgi.msk.ru/account/1010214138/", 1010214138)</f>
        <v>1010214138</v>
      </c>
      <c r="D1675">
        <v>-12527.22</v>
      </c>
    </row>
    <row r="1676" spans="1:4" x14ac:dyDescent="0.3">
      <c r="A1676" t="s">
        <v>280</v>
      </c>
      <c r="B1676" t="s">
        <v>83</v>
      </c>
      <c r="C1676" s="1">
        <f>HYPERLINK("https://cao.dolgi.msk.ru/account/1010214154/", 1010214154)</f>
        <v>1010214154</v>
      </c>
      <c r="D1676">
        <v>9411.18</v>
      </c>
    </row>
    <row r="1677" spans="1:4" hidden="1" x14ac:dyDescent="0.3">
      <c r="A1677" t="s">
        <v>280</v>
      </c>
      <c r="B1677" t="s">
        <v>84</v>
      </c>
      <c r="C1677" s="1">
        <f>HYPERLINK("https://cao.dolgi.msk.ru/account/1010214189/", 1010214189)</f>
        <v>1010214189</v>
      </c>
      <c r="D1677">
        <v>0</v>
      </c>
    </row>
    <row r="1678" spans="1:4" x14ac:dyDescent="0.3">
      <c r="A1678" t="s">
        <v>280</v>
      </c>
      <c r="B1678" t="s">
        <v>85</v>
      </c>
      <c r="C1678" s="1">
        <f>HYPERLINK("https://cao.dolgi.msk.ru/account/1010214197/", 1010214197)</f>
        <v>1010214197</v>
      </c>
      <c r="D1678">
        <v>8481.6</v>
      </c>
    </row>
    <row r="1679" spans="1:4" hidden="1" x14ac:dyDescent="0.3">
      <c r="A1679" t="s">
        <v>280</v>
      </c>
      <c r="B1679" t="s">
        <v>102</v>
      </c>
      <c r="C1679" s="1">
        <f>HYPERLINK("https://cao.dolgi.msk.ru/account/1010214218/", 1010214218)</f>
        <v>1010214218</v>
      </c>
      <c r="D1679">
        <v>-11336.23</v>
      </c>
    </row>
    <row r="1680" spans="1:4" hidden="1" x14ac:dyDescent="0.3">
      <c r="A1680" t="s">
        <v>280</v>
      </c>
      <c r="B1680" t="s">
        <v>103</v>
      </c>
      <c r="C1680" s="1">
        <f>HYPERLINK("https://cao.dolgi.msk.ru/account/1010214226/", 1010214226)</f>
        <v>1010214226</v>
      </c>
      <c r="D1680">
        <v>0</v>
      </c>
    </row>
    <row r="1681" spans="1:4" hidden="1" x14ac:dyDescent="0.3">
      <c r="A1681" t="s">
        <v>280</v>
      </c>
      <c r="B1681" t="s">
        <v>104</v>
      </c>
      <c r="C1681" s="1">
        <f>HYPERLINK("https://cao.dolgi.msk.ru/account/1010214234/", 1010214234)</f>
        <v>1010214234</v>
      </c>
      <c r="D1681">
        <v>-257.73</v>
      </c>
    </row>
    <row r="1682" spans="1:4" hidden="1" x14ac:dyDescent="0.3">
      <c r="A1682" t="s">
        <v>280</v>
      </c>
      <c r="B1682" t="s">
        <v>105</v>
      </c>
      <c r="C1682" s="1">
        <f>HYPERLINK("https://cao.dolgi.msk.ru/account/1010214242/", 1010214242)</f>
        <v>1010214242</v>
      </c>
      <c r="D1682">
        <v>-4481.46</v>
      </c>
    </row>
    <row r="1683" spans="1:4" hidden="1" x14ac:dyDescent="0.3">
      <c r="A1683" t="s">
        <v>280</v>
      </c>
      <c r="B1683" t="s">
        <v>106</v>
      </c>
      <c r="C1683" s="1">
        <f>HYPERLINK("https://cao.dolgi.msk.ru/account/1010214269/", 1010214269)</f>
        <v>1010214269</v>
      </c>
      <c r="D1683">
        <v>0</v>
      </c>
    </row>
    <row r="1684" spans="1:4" hidden="1" x14ac:dyDescent="0.3">
      <c r="A1684" t="s">
        <v>280</v>
      </c>
      <c r="B1684" t="s">
        <v>107</v>
      </c>
      <c r="C1684" s="1">
        <f>HYPERLINK("https://cao.dolgi.msk.ru/account/1010214277/", 1010214277)</f>
        <v>1010214277</v>
      </c>
      <c r="D1684">
        <v>0</v>
      </c>
    </row>
    <row r="1685" spans="1:4" hidden="1" x14ac:dyDescent="0.3">
      <c r="A1685" t="s">
        <v>280</v>
      </c>
      <c r="B1685" t="s">
        <v>107</v>
      </c>
      <c r="C1685" s="1">
        <f>HYPERLINK("https://cao.dolgi.msk.ru/account/1019013527/", 1019013527)</f>
        <v>1019013527</v>
      </c>
      <c r="D1685">
        <v>-599.17999999999995</v>
      </c>
    </row>
    <row r="1686" spans="1:4" x14ac:dyDescent="0.3">
      <c r="A1686" t="s">
        <v>280</v>
      </c>
      <c r="B1686" t="s">
        <v>108</v>
      </c>
      <c r="C1686" s="1">
        <f>HYPERLINK("https://cao.dolgi.msk.ru/account/1010214285/", 1010214285)</f>
        <v>1010214285</v>
      </c>
      <c r="D1686">
        <v>19515.59</v>
      </c>
    </row>
    <row r="1687" spans="1:4" hidden="1" x14ac:dyDescent="0.3">
      <c r="A1687" t="s">
        <v>280</v>
      </c>
      <c r="B1687" t="s">
        <v>109</v>
      </c>
      <c r="C1687" s="1">
        <f>HYPERLINK("https://cao.dolgi.msk.ru/account/1010214293/", 1010214293)</f>
        <v>1010214293</v>
      </c>
      <c r="D1687">
        <v>-165.22</v>
      </c>
    </row>
    <row r="1688" spans="1:4" hidden="1" x14ac:dyDescent="0.3">
      <c r="A1688" t="s">
        <v>280</v>
      </c>
      <c r="B1688" t="s">
        <v>110</v>
      </c>
      <c r="C1688" s="1">
        <f>HYPERLINK("https://cao.dolgi.msk.ru/account/1010214306/", 1010214306)</f>
        <v>1010214306</v>
      </c>
      <c r="D1688">
        <v>-28901.64</v>
      </c>
    </row>
    <row r="1689" spans="1:4" hidden="1" x14ac:dyDescent="0.3">
      <c r="A1689" t="s">
        <v>280</v>
      </c>
      <c r="B1689" t="s">
        <v>111</v>
      </c>
      <c r="C1689" s="1">
        <f>HYPERLINK("https://cao.dolgi.msk.ru/account/1010214322/", 1010214322)</f>
        <v>1010214322</v>
      </c>
      <c r="D1689">
        <v>0</v>
      </c>
    </row>
    <row r="1690" spans="1:4" hidden="1" x14ac:dyDescent="0.3">
      <c r="A1690" t="s">
        <v>280</v>
      </c>
      <c r="B1690" t="s">
        <v>112</v>
      </c>
      <c r="C1690" s="1">
        <f>HYPERLINK("https://cao.dolgi.msk.ru/account/1010214357/", 1010214357)</f>
        <v>1010214357</v>
      </c>
      <c r="D1690">
        <v>0</v>
      </c>
    </row>
    <row r="1691" spans="1:4" hidden="1" x14ac:dyDescent="0.3">
      <c r="A1691" t="s">
        <v>280</v>
      </c>
      <c r="B1691" t="s">
        <v>113</v>
      </c>
      <c r="C1691" s="1">
        <f>HYPERLINK("https://cao.dolgi.msk.ru/account/1010214365/", 1010214365)</f>
        <v>1010214365</v>
      </c>
      <c r="D1691">
        <v>0</v>
      </c>
    </row>
    <row r="1692" spans="1:4" hidden="1" x14ac:dyDescent="0.3">
      <c r="A1692" t="s">
        <v>280</v>
      </c>
      <c r="B1692" t="s">
        <v>114</v>
      </c>
      <c r="C1692" s="1">
        <f>HYPERLINK("https://cao.dolgi.msk.ru/account/1010214373/", 1010214373)</f>
        <v>1010214373</v>
      </c>
      <c r="D1692">
        <v>0</v>
      </c>
    </row>
    <row r="1693" spans="1:4" hidden="1" x14ac:dyDescent="0.3">
      <c r="A1693" t="s">
        <v>280</v>
      </c>
      <c r="B1693" t="s">
        <v>115</v>
      </c>
      <c r="C1693" s="1">
        <f>HYPERLINK("https://cao.dolgi.msk.ru/account/1010214402/", 1010214402)</f>
        <v>1010214402</v>
      </c>
      <c r="D1693">
        <v>0</v>
      </c>
    </row>
    <row r="1694" spans="1:4" hidden="1" x14ac:dyDescent="0.3">
      <c r="A1694" t="s">
        <v>280</v>
      </c>
      <c r="B1694" t="s">
        <v>116</v>
      </c>
      <c r="C1694" s="1">
        <f>HYPERLINK("https://cao.dolgi.msk.ru/account/1010214429/", 1010214429)</f>
        <v>1010214429</v>
      </c>
      <c r="D1694">
        <v>0</v>
      </c>
    </row>
    <row r="1695" spans="1:4" x14ac:dyDescent="0.3">
      <c r="A1695" t="s">
        <v>280</v>
      </c>
      <c r="B1695" t="s">
        <v>266</v>
      </c>
      <c r="C1695" s="1">
        <f>HYPERLINK("https://cao.dolgi.msk.ru/account/1010214437/", 1010214437)</f>
        <v>1010214437</v>
      </c>
      <c r="D1695">
        <v>20288.7</v>
      </c>
    </row>
    <row r="1696" spans="1:4" hidden="1" x14ac:dyDescent="0.3">
      <c r="A1696" t="s">
        <v>280</v>
      </c>
      <c r="B1696" t="s">
        <v>117</v>
      </c>
      <c r="C1696" s="1">
        <f>HYPERLINK("https://cao.dolgi.msk.ru/account/1010214445/", 1010214445)</f>
        <v>1010214445</v>
      </c>
      <c r="D1696">
        <v>0</v>
      </c>
    </row>
    <row r="1697" spans="1:4" hidden="1" x14ac:dyDescent="0.3">
      <c r="A1697" t="s">
        <v>280</v>
      </c>
      <c r="B1697" t="s">
        <v>118</v>
      </c>
      <c r="C1697" s="1">
        <f>HYPERLINK("https://cao.dolgi.msk.ru/account/1010214453/", 1010214453)</f>
        <v>1010214453</v>
      </c>
      <c r="D1697">
        <v>0</v>
      </c>
    </row>
    <row r="1698" spans="1:4" hidden="1" x14ac:dyDescent="0.3">
      <c r="A1698" t="s">
        <v>280</v>
      </c>
      <c r="B1698" t="s">
        <v>119</v>
      </c>
      <c r="C1698" s="1">
        <f>HYPERLINK("https://cao.dolgi.msk.ru/account/1010214488/", 1010214488)</f>
        <v>1010214488</v>
      </c>
      <c r="D1698">
        <v>0</v>
      </c>
    </row>
    <row r="1699" spans="1:4" hidden="1" x14ac:dyDescent="0.3">
      <c r="A1699" t="s">
        <v>280</v>
      </c>
      <c r="B1699" t="s">
        <v>120</v>
      </c>
      <c r="C1699" s="1">
        <f>HYPERLINK("https://cao.dolgi.msk.ru/account/1010214517/", 1010214517)</f>
        <v>1010214517</v>
      </c>
      <c r="D1699">
        <v>-40.119999999999997</v>
      </c>
    </row>
    <row r="1700" spans="1:4" x14ac:dyDescent="0.3">
      <c r="A1700" t="s">
        <v>280</v>
      </c>
      <c r="B1700" t="s">
        <v>120</v>
      </c>
      <c r="C1700" s="1">
        <f>HYPERLINK("https://cao.dolgi.msk.ru/account/1011034251/", 1011034251)</f>
        <v>1011034251</v>
      </c>
      <c r="D1700">
        <v>3064.11</v>
      </c>
    </row>
    <row r="1701" spans="1:4" hidden="1" x14ac:dyDescent="0.3">
      <c r="A1701" t="s">
        <v>280</v>
      </c>
      <c r="B1701" t="s">
        <v>121</v>
      </c>
      <c r="C1701" s="1">
        <f>HYPERLINK("https://cao.dolgi.msk.ru/account/1010214525/", 1010214525)</f>
        <v>1010214525</v>
      </c>
      <c r="D1701">
        <v>0</v>
      </c>
    </row>
    <row r="1702" spans="1:4" hidden="1" x14ac:dyDescent="0.3">
      <c r="A1702" t="s">
        <v>280</v>
      </c>
      <c r="B1702" t="s">
        <v>122</v>
      </c>
      <c r="C1702" s="1">
        <f>HYPERLINK("https://cao.dolgi.msk.ru/account/1010214533/", 1010214533)</f>
        <v>1010214533</v>
      </c>
      <c r="D1702">
        <v>-70713.02</v>
      </c>
    </row>
    <row r="1703" spans="1:4" hidden="1" x14ac:dyDescent="0.3">
      <c r="A1703" t="s">
        <v>280</v>
      </c>
      <c r="B1703" t="s">
        <v>123</v>
      </c>
      <c r="C1703" s="1">
        <f>HYPERLINK("https://cao.dolgi.msk.ru/account/1010214568/", 1010214568)</f>
        <v>1010214568</v>
      </c>
      <c r="D1703">
        <v>0</v>
      </c>
    </row>
    <row r="1704" spans="1:4" hidden="1" x14ac:dyDescent="0.3">
      <c r="A1704" t="s">
        <v>280</v>
      </c>
      <c r="B1704" t="s">
        <v>123</v>
      </c>
      <c r="C1704" s="1">
        <f>HYPERLINK("https://cao.dolgi.msk.ru/account/1019010887/", 1019010887)</f>
        <v>1019010887</v>
      </c>
      <c r="D1704">
        <v>0</v>
      </c>
    </row>
    <row r="1705" spans="1:4" hidden="1" x14ac:dyDescent="0.3">
      <c r="A1705" t="s">
        <v>280</v>
      </c>
      <c r="B1705" t="s">
        <v>124</v>
      </c>
      <c r="C1705" s="1">
        <f>HYPERLINK("https://cao.dolgi.msk.ru/account/1010214576/", 1010214576)</f>
        <v>1010214576</v>
      </c>
      <c r="D1705">
        <v>-86.73</v>
      </c>
    </row>
    <row r="1706" spans="1:4" hidden="1" x14ac:dyDescent="0.3">
      <c r="A1706" t="s">
        <v>280</v>
      </c>
      <c r="B1706" t="s">
        <v>125</v>
      </c>
      <c r="C1706" s="1">
        <f>HYPERLINK("https://cao.dolgi.msk.ru/account/1010214605/", 1010214605)</f>
        <v>1010214605</v>
      </c>
      <c r="D1706">
        <v>0</v>
      </c>
    </row>
    <row r="1707" spans="1:4" hidden="1" x14ac:dyDescent="0.3">
      <c r="A1707" t="s">
        <v>280</v>
      </c>
      <c r="B1707" t="s">
        <v>126</v>
      </c>
      <c r="C1707" s="1">
        <f>HYPERLINK("https://cao.dolgi.msk.ru/account/1011125161/", 1011125161)</f>
        <v>1011125161</v>
      </c>
      <c r="D1707">
        <v>-5730.84</v>
      </c>
    </row>
    <row r="1708" spans="1:4" hidden="1" x14ac:dyDescent="0.3">
      <c r="A1708" t="s">
        <v>280</v>
      </c>
      <c r="B1708" t="s">
        <v>127</v>
      </c>
      <c r="C1708" s="1">
        <f>HYPERLINK("https://cao.dolgi.msk.ru/account/1010214656/", 1010214656)</f>
        <v>1010214656</v>
      </c>
      <c r="D1708">
        <v>0</v>
      </c>
    </row>
    <row r="1709" spans="1:4" hidden="1" x14ac:dyDescent="0.3">
      <c r="A1709" t="s">
        <v>280</v>
      </c>
      <c r="B1709" t="s">
        <v>262</v>
      </c>
      <c r="C1709" s="1">
        <f>HYPERLINK("https://cao.dolgi.msk.ru/account/1010214664/", 1010214664)</f>
        <v>1010214664</v>
      </c>
      <c r="D1709">
        <v>-10923.54</v>
      </c>
    </row>
    <row r="1710" spans="1:4" x14ac:dyDescent="0.3">
      <c r="A1710" t="s">
        <v>280</v>
      </c>
      <c r="B1710" t="s">
        <v>128</v>
      </c>
      <c r="C1710" s="1">
        <f>HYPERLINK("https://cao.dolgi.msk.ru/account/1010214699/", 1010214699)</f>
        <v>1010214699</v>
      </c>
      <c r="D1710">
        <v>8288.51</v>
      </c>
    </row>
    <row r="1711" spans="1:4" hidden="1" x14ac:dyDescent="0.3">
      <c r="A1711" t="s">
        <v>280</v>
      </c>
      <c r="B1711" t="s">
        <v>128</v>
      </c>
      <c r="C1711" s="1">
        <f>HYPERLINK("https://cao.dolgi.msk.ru/account/1011068021/", 1011068021)</f>
        <v>1011068021</v>
      </c>
      <c r="D1711">
        <v>0</v>
      </c>
    </row>
    <row r="1712" spans="1:4" hidden="1" x14ac:dyDescent="0.3">
      <c r="A1712" t="s">
        <v>280</v>
      </c>
      <c r="B1712" t="s">
        <v>129</v>
      </c>
      <c r="C1712" s="1">
        <f>HYPERLINK("https://cao.dolgi.msk.ru/account/1010214701/", 1010214701)</f>
        <v>1010214701</v>
      </c>
      <c r="D1712">
        <v>-4.93</v>
      </c>
    </row>
    <row r="1713" spans="1:4" hidden="1" x14ac:dyDescent="0.3">
      <c r="A1713" t="s">
        <v>280</v>
      </c>
      <c r="B1713" t="s">
        <v>129</v>
      </c>
      <c r="C1713" s="1">
        <f>HYPERLINK("https://cao.dolgi.msk.ru/account/1010214728/", 1010214728)</f>
        <v>1010214728</v>
      </c>
      <c r="D1713">
        <v>-24.51</v>
      </c>
    </row>
    <row r="1714" spans="1:4" hidden="1" x14ac:dyDescent="0.3">
      <c r="A1714" t="s">
        <v>280</v>
      </c>
      <c r="B1714" t="s">
        <v>129</v>
      </c>
      <c r="C1714" s="1">
        <f>HYPERLINK("https://cao.dolgi.msk.ru/account/1019015418/", 1019015418)</f>
        <v>1019015418</v>
      </c>
      <c r="D1714">
        <v>-36.229999999999997</v>
      </c>
    </row>
    <row r="1715" spans="1:4" x14ac:dyDescent="0.3">
      <c r="A1715" t="s">
        <v>280</v>
      </c>
      <c r="B1715" t="s">
        <v>130</v>
      </c>
      <c r="C1715" s="1">
        <f>HYPERLINK("https://cao.dolgi.msk.ru/account/1010214744/", 1010214744)</f>
        <v>1010214744</v>
      </c>
      <c r="D1715">
        <v>6726.22</v>
      </c>
    </row>
    <row r="1716" spans="1:4" x14ac:dyDescent="0.3">
      <c r="A1716" t="s">
        <v>280</v>
      </c>
      <c r="B1716" t="s">
        <v>131</v>
      </c>
      <c r="C1716" s="1">
        <f>HYPERLINK("https://cao.dolgi.msk.ru/account/1010214779/", 1010214779)</f>
        <v>1010214779</v>
      </c>
      <c r="D1716">
        <v>9110.65</v>
      </c>
    </row>
    <row r="1717" spans="1:4" hidden="1" x14ac:dyDescent="0.3">
      <c r="A1717" t="s">
        <v>280</v>
      </c>
      <c r="B1717" t="s">
        <v>132</v>
      </c>
      <c r="C1717" s="1">
        <f>HYPERLINK("https://cao.dolgi.msk.ru/account/1010214787/", 1010214787)</f>
        <v>1010214787</v>
      </c>
      <c r="D1717">
        <v>-7211.55</v>
      </c>
    </row>
    <row r="1718" spans="1:4" hidden="1" x14ac:dyDescent="0.3">
      <c r="A1718" t="s">
        <v>280</v>
      </c>
      <c r="B1718" t="s">
        <v>132</v>
      </c>
      <c r="C1718" s="1">
        <f>HYPERLINK("https://cao.dolgi.msk.ru/account/1011120897/", 1011120897)</f>
        <v>1011120897</v>
      </c>
      <c r="D1718">
        <v>-3389.4</v>
      </c>
    </row>
    <row r="1719" spans="1:4" hidden="1" x14ac:dyDescent="0.3">
      <c r="A1719" t="s">
        <v>280</v>
      </c>
      <c r="B1719" t="s">
        <v>133</v>
      </c>
      <c r="C1719" s="1">
        <f>HYPERLINK("https://cao.dolgi.msk.ru/account/1010214795/", 1010214795)</f>
        <v>1010214795</v>
      </c>
      <c r="D1719">
        <v>-7238.06</v>
      </c>
    </row>
    <row r="1720" spans="1:4" hidden="1" x14ac:dyDescent="0.3">
      <c r="A1720" t="s">
        <v>280</v>
      </c>
      <c r="B1720" t="s">
        <v>134</v>
      </c>
      <c r="C1720" s="1">
        <f>HYPERLINK("https://cao.dolgi.msk.ru/account/1010214808/", 1010214808)</f>
        <v>1010214808</v>
      </c>
      <c r="D1720">
        <v>0</v>
      </c>
    </row>
    <row r="1721" spans="1:4" hidden="1" x14ac:dyDescent="0.3">
      <c r="A1721" t="s">
        <v>280</v>
      </c>
      <c r="B1721" t="s">
        <v>135</v>
      </c>
      <c r="C1721" s="1">
        <f>HYPERLINK("https://cao.dolgi.msk.ru/account/1010214816/", 1010214816)</f>
        <v>1010214816</v>
      </c>
      <c r="D1721">
        <v>0</v>
      </c>
    </row>
    <row r="1722" spans="1:4" hidden="1" x14ac:dyDescent="0.3">
      <c r="A1722" t="s">
        <v>280</v>
      </c>
      <c r="B1722" t="s">
        <v>264</v>
      </c>
      <c r="C1722" s="1">
        <f>HYPERLINK("https://cao.dolgi.msk.ru/account/1010214824/", 1010214824)</f>
        <v>1010214824</v>
      </c>
      <c r="D1722">
        <v>-7155.17</v>
      </c>
    </row>
    <row r="1723" spans="1:4" hidden="1" x14ac:dyDescent="0.3">
      <c r="A1723" t="s">
        <v>280</v>
      </c>
      <c r="B1723" t="s">
        <v>136</v>
      </c>
      <c r="C1723" s="1">
        <f>HYPERLINK("https://cao.dolgi.msk.ru/account/1010214832/", 1010214832)</f>
        <v>1010214832</v>
      </c>
      <c r="D1723">
        <v>0</v>
      </c>
    </row>
    <row r="1724" spans="1:4" hidden="1" x14ac:dyDescent="0.3">
      <c r="A1724" t="s">
        <v>280</v>
      </c>
      <c r="B1724" t="s">
        <v>136</v>
      </c>
      <c r="C1724" s="1">
        <f>HYPERLINK("https://cao.dolgi.msk.ru/account/1010214859/", 1010214859)</f>
        <v>1010214859</v>
      </c>
      <c r="D1724">
        <v>-245</v>
      </c>
    </row>
    <row r="1725" spans="1:4" hidden="1" x14ac:dyDescent="0.3">
      <c r="A1725" t="s">
        <v>280</v>
      </c>
      <c r="B1725" t="s">
        <v>136</v>
      </c>
      <c r="C1725" s="1">
        <f>HYPERLINK("https://cao.dolgi.msk.ru/account/1011034243/", 1011034243)</f>
        <v>1011034243</v>
      </c>
      <c r="D1725">
        <v>-597.76</v>
      </c>
    </row>
    <row r="1726" spans="1:4" hidden="1" x14ac:dyDescent="0.3">
      <c r="A1726" t="s">
        <v>280</v>
      </c>
      <c r="B1726" t="s">
        <v>136</v>
      </c>
      <c r="C1726" s="1">
        <f>HYPERLINK("https://cao.dolgi.msk.ru/account/1011034542/", 1011034542)</f>
        <v>1011034542</v>
      </c>
      <c r="D1726">
        <v>0</v>
      </c>
    </row>
    <row r="1727" spans="1:4" hidden="1" x14ac:dyDescent="0.3">
      <c r="A1727" t="s">
        <v>280</v>
      </c>
      <c r="B1727" t="s">
        <v>138</v>
      </c>
      <c r="C1727" s="1">
        <f>HYPERLINK("https://cao.dolgi.msk.ru/account/1011034278/", 1011034278)</f>
        <v>1011034278</v>
      </c>
      <c r="D1727">
        <v>-10372.66</v>
      </c>
    </row>
    <row r="1728" spans="1:4" hidden="1" x14ac:dyDescent="0.3">
      <c r="A1728" t="s">
        <v>280</v>
      </c>
      <c r="B1728" t="s">
        <v>139</v>
      </c>
      <c r="C1728" s="1">
        <f>HYPERLINK("https://cao.dolgi.msk.ru/account/1010214912/", 1010214912)</f>
        <v>1010214912</v>
      </c>
      <c r="D1728">
        <v>-2861.86</v>
      </c>
    </row>
    <row r="1729" spans="1:4" hidden="1" x14ac:dyDescent="0.3">
      <c r="A1729" t="s">
        <v>280</v>
      </c>
      <c r="B1729" t="s">
        <v>140</v>
      </c>
      <c r="C1729" s="1">
        <f>HYPERLINK("https://cao.dolgi.msk.ru/account/1010214939/", 1010214939)</f>
        <v>1010214939</v>
      </c>
      <c r="D1729">
        <v>0</v>
      </c>
    </row>
    <row r="1730" spans="1:4" x14ac:dyDescent="0.3">
      <c r="A1730" t="s">
        <v>280</v>
      </c>
      <c r="B1730" t="s">
        <v>141</v>
      </c>
      <c r="C1730" s="1">
        <f>HYPERLINK("https://cao.dolgi.msk.ru/account/1010214947/", 1010214947)</f>
        <v>1010214947</v>
      </c>
      <c r="D1730">
        <v>9562.7900000000009</v>
      </c>
    </row>
    <row r="1731" spans="1:4" hidden="1" x14ac:dyDescent="0.3">
      <c r="A1731" t="s">
        <v>280</v>
      </c>
      <c r="B1731" t="s">
        <v>142</v>
      </c>
      <c r="C1731" s="1">
        <f>HYPERLINK("https://cao.dolgi.msk.ru/account/1010214955/", 1010214955)</f>
        <v>1010214955</v>
      </c>
      <c r="D1731">
        <v>-1535.52</v>
      </c>
    </row>
    <row r="1732" spans="1:4" hidden="1" x14ac:dyDescent="0.3">
      <c r="A1732" t="s">
        <v>280</v>
      </c>
      <c r="B1732" t="s">
        <v>143</v>
      </c>
      <c r="C1732" s="1">
        <f>HYPERLINK("https://cao.dolgi.msk.ru/account/1010214971/", 1010214971)</f>
        <v>1010214971</v>
      </c>
      <c r="D1732">
        <v>-5883.62</v>
      </c>
    </row>
    <row r="1733" spans="1:4" x14ac:dyDescent="0.3">
      <c r="A1733" t="s">
        <v>280</v>
      </c>
      <c r="B1733" t="s">
        <v>144</v>
      </c>
      <c r="C1733" s="1">
        <f>HYPERLINK("https://cao.dolgi.msk.ru/account/1010214998/", 1010214998)</f>
        <v>1010214998</v>
      </c>
      <c r="D1733">
        <v>12693.92</v>
      </c>
    </row>
    <row r="1734" spans="1:4" hidden="1" x14ac:dyDescent="0.3">
      <c r="A1734" t="s">
        <v>280</v>
      </c>
      <c r="B1734" t="s">
        <v>145</v>
      </c>
      <c r="C1734" s="1">
        <f>HYPERLINK("https://cao.dolgi.msk.ru/account/1010215026/", 1010215026)</f>
        <v>1010215026</v>
      </c>
      <c r="D1734">
        <v>-607.59</v>
      </c>
    </row>
    <row r="1735" spans="1:4" hidden="1" x14ac:dyDescent="0.3">
      <c r="A1735" t="s">
        <v>280</v>
      </c>
      <c r="B1735" t="s">
        <v>146</v>
      </c>
      <c r="C1735" s="1">
        <f>HYPERLINK("https://cao.dolgi.msk.ru/account/1010215499/", 1010215499)</f>
        <v>1010215499</v>
      </c>
      <c r="D1735">
        <v>-8335.3700000000008</v>
      </c>
    </row>
    <row r="1736" spans="1:4" hidden="1" x14ac:dyDescent="0.3">
      <c r="A1736" t="s">
        <v>280</v>
      </c>
      <c r="B1736" t="s">
        <v>146</v>
      </c>
      <c r="C1736" s="1">
        <f>HYPERLINK("https://cao.dolgi.msk.ru/account/1011034286/", 1011034286)</f>
        <v>1011034286</v>
      </c>
      <c r="D1736">
        <v>-3672.2</v>
      </c>
    </row>
    <row r="1737" spans="1:4" x14ac:dyDescent="0.3">
      <c r="A1737" t="s">
        <v>280</v>
      </c>
      <c r="B1737" t="s">
        <v>147</v>
      </c>
      <c r="C1737" s="1">
        <f>HYPERLINK("https://cao.dolgi.msk.ru/account/1010215069/", 1010215069)</f>
        <v>1010215069</v>
      </c>
      <c r="D1737">
        <v>22742.03</v>
      </c>
    </row>
    <row r="1738" spans="1:4" hidden="1" x14ac:dyDescent="0.3">
      <c r="A1738" t="s">
        <v>280</v>
      </c>
      <c r="B1738" t="s">
        <v>148</v>
      </c>
      <c r="C1738" s="1">
        <f>HYPERLINK("https://cao.dolgi.msk.ru/account/1010215077/", 1010215077)</f>
        <v>1010215077</v>
      </c>
      <c r="D1738">
        <v>0</v>
      </c>
    </row>
    <row r="1739" spans="1:4" x14ac:dyDescent="0.3">
      <c r="A1739" t="s">
        <v>280</v>
      </c>
      <c r="B1739" t="s">
        <v>149</v>
      </c>
      <c r="C1739" s="1">
        <f>HYPERLINK("https://cao.dolgi.msk.ru/account/1010215085/", 1010215085)</f>
        <v>1010215085</v>
      </c>
      <c r="D1739">
        <v>9037.8700000000008</v>
      </c>
    </row>
    <row r="1740" spans="1:4" hidden="1" x14ac:dyDescent="0.3">
      <c r="A1740" t="s">
        <v>280</v>
      </c>
      <c r="B1740" t="s">
        <v>150</v>
      </c>
      <c r="C1740" s="1">
        <f>HYPERLINK("https://cao.dolgi.msk.ru/account/1010215106/", 1010215106)</f>
        <v>1010215106</v>
      </c>
      <c r="D1740">
        <v>0</v>
      </c>
    </row>
    <row r="1741" spans="1:4" hidden="1" x14ac:dyDescent="0.3">
      <c r="A1741" t="s">
        <v>280</v>
      </c>
      <c r="B1741" t="s">
        <v>151</v>
      </c>
      <c r="C1741" s="1">
        <f>HYPERLINK("https://cao.dolgi.msk.ru/account/1010215114/", 1010215114)</f>
        <v>1010215114</v>
      </c>
      <c r="D1741">
        <v>-5.61</v>
      </c>
    </row>
    <row r="1742" spans="1:4" hidden="1" x14ac:dyDescent="0.3">
      <c r="A1742" t="s">
        <v>280</v>
      </c>
      <c r="B1742" t="s">
        <v>152</v>
      </c>
      <c r="C1742" s="1">
        <f>HYPERLINK("https://cao.dolgi.msk.ru/account/1010215122/", 1010215122)</f>
        <v>1010215122</v>
      </c>
      <c r="D1742">
        <v>0</v>
      </c>
    </row>
    <row r="1743" spans="1:4" x14ac:dyDescent="0.3">
      <c r="A1743" t="s">
        <v>280</v>
      </c>
      <c r="B1743" t="s">
        <v>153</v>
      </c>
      <c r="C1743" s="1">
        <f>HYPERLINK("https://cao.dolgi.msk.ru/account/1010215149/", 1010215149)</f>
        <v>1010215149</v>
      </c>
      <c r="D1743">
        <v>13386.44</v>
      </c>
    </row>
    <row r="1744" spans="1:4" hidden="1" x14ac:dyDescent="0.3">
      <c r="A1744" t="s">
        <v>280</v>
      </c>
      <c r="B1744" t="s">
        <v>154</v>
      </c>
      <c r="C1744" s="1">
        <f>HYPERLINK("https://cao.dolgi.msk.ru/account/1010215165/", 1010215165)</f>
        <v>1010215165</v>
      </c>
      <c r="D1744">
        <v>-9798.08</v>
      </c>
    </row>
    <row r="1745" spans="1:4" hidden="1" x14ac:dyDescent="0.3">
      <c r="A1745" t="s">
        <v>280</v>
      </c>
      <c r="B1745" t="s">
        <v>155</v>
      </c>
      <c r="C1745" s="1">
        <f>HYPERLINK("https://cao.dolgi.msk.ru/account/1010215173/", 1010215173)</f>
        <v>1010215173</v>
      </c>
      <c r="D1745">
        <v>-11183.29</v>
      </c>
    </row>
    <row r="1746" spans="1:4" hidden="1" x14ac:dyDescent="0.3">
      <c r="A1746" t="s">
        <v>280</v>
      </c>
      <c r="B1746" t="s">
        <v>156</v>
      </c>
      <c r="C1746" s="1">
        <f>HYPERLINK("https://cao.dolgi.msk.ru/account/1010215181/", 1010215181)</f>
        <v>1010215181</v>
      </c>
      <c r="D1746">
        <v>0</v>
      </c>
    </row>
    <row r="1747" spans="1:4" hidden="1" x14ac:dyDescent="0.3">
      <c r="A1747" t="s">
        <v>280</v>
      </c>
      <c r="B1747" t="s">
        <v>157</v>
      </c>
      <c r="C1747" s="1">
        <f>HYPERLINK("https://cao.dolgi.msk.ru/account/1010215229/", 1010215229)</f>
        <v>1010215229</v>
      </c>
      <c r="D1747">
        <v>0</v>
      </c>
    </row>
    <row r="1748" spans="1:4" hidden="1" x14ac:dyDescent="0.3">
      <c r="A1748" t="s">
        <v>280</v>
      </c>
      <c r="B1748" t="s">
        <v>158</v>
      </c>
      <c r="C1748" s="1">
        <f>HYPERLINK("https://cao.dolgi.msk.ru/account/1010215237/", 1010215237)</f>
        <v>1010215237</v>
      </c>
      <c r="D1748">
        <v>-70</v>
      </c>
    </row>
    <row r="1749" spans="1:4" hidden="1" x14ac:dyDescent="0.3">
      <c r="A1749" t="s">
        <v>280</v>
      </c>
      <c r="B1749" t="s">
        <v>159</v>
      </c>
      <c r="C1749" s="1">
        <f>HYPERLINK("https://cao.dolgi.msk.ru/account/1010215245/", 1010215245)</f>
        <v>1010215245</v>
      </c>
      <c r="D1749">
        <v>0</v>
      </c>
    </row>
    <row r="1750" spans="1:4" x14ac:dyDescent="0.3">
      <c r="A1750" t="s">
        <v>280</v>
      </c>
      <c r="B1750" t="s">
        <v>160</v>
      </c>
      <c r="C1750" s="1">
        <f>HYPERLINK("https://cao.dolgi.msk.ru/account/1010215253/", 1010215253)</f>
        <v>1010215253</v>
      </c>
      <c r="D1750">
        <v>3970.22</v>
      </c>
    </row>
    <row r="1751" spans="1:4" hidden="1" x14ac:dyDescent="0.3">
      <c r="A1751" t="s">
        <v>280</v>
      </c>
      <c r="B1751" t="s">
        <v>160</v>
      </c>
      <c r="C1751" s="1">
        <f>HYPERLINK("https://cao.dolgi.msk.ru/account/1011103755/", 1011103755)</f>
        <v>1011103755</v>
      </c>
      <c r="D1751">
        <v>-3895.66</v>
      </c>
    </row>
    <row r="1752" spans="1:4" hidden="1" x14ac:dyDescent="0.3">
      <c r="A1752" t="s">
        <v>280</v>
      </c>
      <c r="B1752" t="s">
        <v>161</v>
      </c>
      <c r="C1752" s="1">
        <f>HYPERLINK("https://cao.dolgi.msk.ru/account/1010215261/", 1010215261)</f>
        <v>1010215261</v>
      </c>
      <c r="D1752">
        <v>-124.08</v>
      </c>
    </row>
    <row r="1753" spans="1:4" hidden="1" x14ac:dyDescent="0.3">
      <c r="A1753" t="s">
        <v>280</v>
      </c>
      <c r="B1753" t="s">
        <v>162</v>
      </c>
      <c r="C1753" s="1">
        <f>HYPERLINK("https://cao.dolgi.msk.ru/account/1010215288/", 1010215288)</f>
        <v>1010215288</v>
      </c>
      <c r="D1753">
        <v>-2</v>
      </c>
    </row>
    <row r="1754" spans="1:4" x14ac:dyDescent="0.3">
      <c r="A1754" t="s">
        <v>280</v>
      </c>
      <c r="B1754" t="s">
        <v>163</v>
      </c>
      <c r="C1754" s="1">
        <f>HYPERLINK("https://cao.dolgi.msk.ru/account/1010215296/", 1010215296)</f>
        <v>1010215296</v>
      </c>
      <c r="D1754">
        <v>10217.450000000001</v>
      </c>
    </row>
    <row r="1755" spans="1:4" hidden="1" x14ac:dyDescent="0.3">
      <c r="A1755" t="s">
        <v>280</v>
      </c>
      <c r="B1755" t="s">
        <v>164</v>
      </c>
      <c r="C1755" s="1">
        <f>HYPERLINK("https://cao.dolgi.msk.ru/account/1010215309/", 1010215309)</f>
        <v>1010215309</v>
      </c>
      <c r="D1755">
        <v>-9142.58</v>
      </c>
    </row>
    <row r="1756" spans="1:4" hidden="1" x14ac:dyDescent="0.3">
      <c r="A1756" t="s">
        <v>280</v>
      </c>
      <c r="B1756" t="s">
        <v>165</v>
      </c>
      <c r="C1756" s="1">
        <f>HYPERLINK("https://cao.dolgi.msk.ru/account/1010215317/", 1010215317)</f>
        <v>1010215317</v>
      </c>
      <c r="D1756">
        <v>-371.76</v>
      </c>
    </row>
    <row r="1757" spans="1:4" x14ac:dyDescent="0.3">
      <c r="A1757" t="s">
        <v>280</v>
      </c>
      <c r="B1757" t="s">
        <v>166</v>
      </c>
      <c r="C1757" s="1">
        <f>HYPERLINK("https://cao.dolgi.msk.ru/account/1010215325/", 1010215325)</f>
        <v>1010215325</v>
      </c>
      <c r="D1757">
        <v>5677.28</v>
      </c>
    </row>
    <row r="1758" spans="1:4" hidden="1" x14ac:dyDescent="0.3">
      <c r="A1758" t="s">
        <v>280</v>
      </c>
      <c r="B1758" t="s">
        <v>167</v>
      </c>
      <c r="C1758" s="1">
        <f>HYPERLINK("https://cao.dolgi.msk.ru/account/1010215333/", 1010215333)</f>
        <v>1010215333</v>
      </c>
      <c r="D1758">
        <v>-7177.19</v>
      </c>
    </row>
    <row r="1759" spans="1:4" hidden="1" x14ac:dyDescent="0.3">
      <c r="A1759" t="s">
        <v>280</v>
      </c>
      <c r="B1759" t="s">
        <v>168</v>
      </c>
      <c r="C1759" s="1">
        <f>HYPERLINK("https://cao.dolgi.msk.ru/account/1010215341/", 1010215341)</f>
        <v>1010215341</v>
      </c>
      <c r="D1759">
        <v>0</v>
      </c>
    </row>
    <row r="1760" spans="1:4" hidden="1" x14ac:dyDescent="0.3">
      <c r="A1760" t="s">
        <v>280</v>
      </c>
      <c r="B1760" t="s">
        <v>169</v>
      </c>
      <c r="C1760" s="1">
        <f>HYPERLINK("https://cao.dolgi.msk.ru/account/1010215368/", 1010215368)</f>
        <v>1010215368</v>
      </c>
      <c r="D1760">
        <v>0</v>
      </c>
    </row>
    <row r="1761" spans="1:4" x14ac:dyDescent="0.3">
      <c r="A1761" t="s">
        <v>280</v>
      </c>
      <c r="B1761" t="s">
        <v>170</v>
      </c>
      <c r="C1761" s="1">
        <f>HYPERLINK("https://cao.dolgi.msk.ru/account/1010215376/", 1010215376)</f>
        <v>1010215376</v>
      </c>
      <c r="D1761">
        <v>670.97</v>
      </c>
    </row>
    <row r="1762" spans="1:4" hidden="1" x14ac:dyDescent="0.3">
      <c r="A1762" t="s">
        <v>280</v>
      </c>
      <c r="B1762" t="s">
        <v>171</v>
      </c>
      <c r="C1762" s="1">
        <f>HYPERLINK("https://cao.dolgi.msk.ru/account/1010215384/", 1010215384)</f>
        <v>1010215384</v>
      </c>
      <c r="D1762">
        <v>0</v>
      </c>
    </row>
    <row r="1763" spans="1:4" hidden="1" x14ac:dyDescent="0.3">
      <c r="A1763" t="s">
        <v>280</v>
      </c>
      <c r="B1763" t="s">
        <v>172</v>
      </c>
      <c r="C1763" s="1">
        <f>HYPERLINK("https://cao.dolgi.msk.ru/account/1010215392/", 1010215392)</f>
        <v>1010215392</v>
      </c>
      <c r="D1763">
        <v>0</v>
      </c>
    </row>
    <row r="1764" spans="1:4" x14ac:dyDescent="0.3">
      <c r="A1764" t="s">
        <v>280</v>
      </c>
      <c r="B1764" t="s">
        <v>173</v>
      </c>
      <c r="C1764" s="1">
        <f>HYPERLINK("https://cao.dolgi.msk.ru/account/1010215405/", 1010215405)</f>
        <v>1010215405</v>
      </c>
      <c r="D1764">
        <v>15428.36</v>
      </c>
    </row>
    <row r="1765" spans="1:4" hidden="1" x14ac:dyDescent="0.3">
      <c r="A1765" t="s">
        <v>280</v>
      </c>
      <c r="B1765" t="s">
        <v>174</v>
      </c>
      <c r="C1765" s="1">
        <f>HYPERLINK("https://cao.dolgi.msk.ru/account/1010215413/", 1010215413)</f>
        <v>1010215413</v>
      </c>
      <c r="D1765">
        <v>-1442.13</v>
      </c>
    </row>
    <row r="1766" spans="1:4" hidden="1" x14ac:dyDescent="0.3">
      <c r="A1766" t="s">
        <v>280</v>
      </c>
      <c r="B1766" t="s">
        <v>174</v>
      </c>
      <c r="C1766" s="1">
        <f>HYPERLINK("https://cao.dolgi.msk.ru/account/1010215421/", 1010215421)</f>
        <v>1010215421</v>
      </c>
      <c r="D1766">
        <v>0</v>
      </c>
    </row>
    <row r="1767" spans="1:4" x14ac:dyDescent="0.3">
      <c r="A1767" t="s">
        <v>280</v>
      </c>
      <c r="B1767" t="s">
        <v>174</v>
      </c>
      <c r="C1767" s="1">
        <f>HYPERLINK("https://cao.dolgi.msk.ru/account/1010215552/", 1010215552)</f>
        <v>1010215552</v>
      </c>
      <c r="D1767">
        <v>9335.83</v>
      </c>
    </row>
    <row r="1768" spans="1:4" hidden="1" x14ac:dyDescent="0.3">
      <c r="A1768" t="s">
        <v>280</v>
      </c>
      <c r="B1768" t="s">
        <v>174</v>
      </c>
      <c r="C1768" s="1">
        <f>HYPERLINK("https://cao.dolgi.msk.ru/account/1010266894/", 1010266894)</f>
        <v>1010266894</v>
      </c>
      <c r="D1768">
        <v>-7937.62</v>
      </c>
    </row>
    <row r="1769" spans="1:4" hidden="1" x14ac:dyDescent="0.3">
      <c r="A1769" t="s">
        <v>280</v>
      </c>
      <c r="B1769" t="s">
        <v>175</v>
      </c>
      <c r="C1769" s="1">
        <f>HYPERLINK("https://cao.dolgi.msk.ru/account/1010215448/", 1010215448)</f>
        <v>1010215448</v>
      </c>
      <c r="D1769">
        <v>-6.27</v>
      </c>
    </row>
    <row r="1770" spans="1:4" x14ac:dyDescent="0.3">
      <c r="A1770" t="s">
        <v>280</v>
      </c>
      <c r="B1770" t="s">
        <v>175</v>
      </c>
      <c r="C1770" s="1">
        <f>HYPERLINK("https://cao.dolgi.msk.ru/account/1010215456/", 1010215456)</f>
        <v>1010215456</v>
      </c>
      <c r="D1770">
        <v>2796.53</v>
      </c>
    </row>
    <row r="1771" spans="1:4" hidden="1" x14ac:dyDescent="0.3">
      <c r="A1771" t="s">
        <v>281</v>
      </c>
      <c r="B1771" t="s">
        <v>64</v>
      </c>
      <c r="C1771" s="1">
        <f>HYPERLINK("https://cao.dolgi.msk.ru/account/1010407204/", 1010407204)</f>
        <v>1010407204</v>
      </c>
      <c r="D1771">
        <v>-12.89</v>
      </c>
    </row>
    <row r="1772" spans="1:4" hidden="1" x14ac:dyDescent="0.3">
      <c r="A1772" t="s">
        <v>281</v>
      </c>
      <c r="B1772" t="s">
        <v>65</v>
      </c>
      <c r="C1772" s="1">
        <f>HYPERLINK("https://cao.dolgi.msk.ru/account/1010407546/", 1010407546)</f>
        <v>1010407546</v>
      </c>
      <c r="D1772">
        <v>0</v>
      </c>
    </row>
    <row r="1773" spans="1:4" hidden="1" x14ac:dyDescent="0.3">
      <c r="A1773" t="s">
        <v>281</v>
      </c>
      <c r="B1773" t="s">
        <v>66</v>
      </c>
      <c r="C1773" s="1">
        <f>HYPERLINK("https://cao.dolgi.msk.ru/account/1010407554/", 1010407554)</f>
        <v>1010407554</v>
      </c>
      <c r="D1773">
        <v>0</v>
      </c>
    </row>
    <row r="1774" spans="1:4" hidden="1" x14ac:dyDescent="0.3">
      <c r="A1774" t="s">
        <v>281</v>
      </c>
      <c r="B1774" t="s">
        <v>67</v>
      </c>
      <c r="C1774" s="1">
        <f>HYPERLINK("https://cao.dolgi.msk.ru/account/1010407562/", 1010407562)</f>
        <v>1010407562</v>
      </c>
      <c r="D1774">
        <v>-3959.21</v>
      </c>
    </row>
    <row r="1775" spans="1:4" hidden="1" x14ac:dyDescent="0.3">
      <c r="A1775" t="s">
        <v>281</v>
      </c>
      <c r="B1775" t="s">
        <v>68</v>
      </c>
      <c r="C1775" s="1">
        <f>HYPERLINK("https://cao.dolgi.msk.ru/account/1010407589/", 1010407589)</f>
        <v>1010407589</v>
      </c>
      <c r="D1775">
        <v>0</v>
      </c>
    </row>
    <row r="1776" spans="1:4" hidden="1" x14ac:dyDescent="0.3">
      <c r="A1776" t="s">
        <v>281</v>
      </c>
      <c r="B1776" t="s">
        <v>69</v>
      </c>
      <c r="C1776" s="1">
        <f>HYPERLINK("https://cao.dolgi.msk.ru/account/1010407597/", 1010407597)</f>
        <v>1010407597</v>
      </c>
      <c r="D1776">
        <v>0</v>
      </c>
    </row>
    <row r="1777" spans="1:4" hidden="1" x14ac:dyDescent="0.3">
      <c r="A1777" t="s">
        <v>281</v>
      </c>
      <c r="B1777" t="s">
        <v>70</v>
      </c>
      <c r="C1777" s="1">
        <f>HYPERLINK("https://cao.dolgi.msk.ru/account/1010400029/", 1010400029)</f>
        <v>1010400029</v>
      </c>
      <c r="D1777">
        <v>-5916.91</v>
      </c>
    </row>
    <row r="1778" spans="1:4" hidden="1" x14ac:dyDescent="0.3">
      <c r="A1778" t="s">
        <v>281</v>
      </c>
      <c r="B1778" t="s">
        <v>259</v>
      </c>
      <c r="C1778" s="1">
        <f>HYPERLINK("https://cao.dolgi.msk.ru/account/1010407167/", 1010407167)</f>
        <v>1010407167</v>
      </c>
      <c r="D1778">
        <v>-3760.01</v>
      </c>
    </row>
    <row r="1779" spans="1:4" hidden="1" x14ac:dyDescent="0.3">
      <c r="A1779" t="s">
        <v>281</v>
      </c>
      <c r="B1779" t="s">
        <v>259</v>
      </c>
      <c r="C1779" s="1">
        <f>HYPERLINK("https://cao.dolgi.msk.ru/account/1010407626/", 1010407626)</f>
        <v>1010407626</v>
      </c>
      <c r="D1779">
        <v>-3787.82</v>
      </c>
    </row>
    <row r="1780" spans="1:4" hidden="1" x14ac:dyDescent="0.3">
      <c r="A1780" t="s">
        <v>281</v>
      </c>
      <c r="B1780" t="s">
        <v>100</v>
      </c>
      <c r="C1780" s="1">
        <f>HYPERLINK("https://cao.dolgi.msk.ru/account/1010407634/", 1010407634)</f>
        <v>1010407634</v>
      </c>
      <c r="D1780">
        <v>0</v>
      </c>
    </row>
    <row r="1781" spans="1:4" hidden="1" x14ac:dyDescent="0.3">
      <c r="A1781" t="s">
        <v>281</v>
      </c>
      <c r="B1781" t="s">
        <v>72</v>
      </c>
      <c r="C1781" s="1">
        <f>HYPERLINK("https://cao.dolgi.msk.ru/account/1011065314/", 1011065314)</f>
        <v>1011065314</v>
      </c>
      <c r="D1781">
        <v>-7679.54</v>
      </c>
    </row>
    <row r="1782" spans="1:4" hidden="1" x14ac:dyDescent="0.3">
      <c r="A1782" t="s">
        <v>281</v>
      </c>
      <c r="B1782" t="s">
        <v>73</v>
      </c>
      <c r="C1782" s="1">
        <f>HYPERLINK("https://cao.dolgi.msk.ru/account/1010407669/", 1010407669)</f>
        <v>1010407669</v>
      </c>
      <c r="D1782">
        <v>-6962.69</v>
      </c>
    </row>
    <row r="1783" spans="1:4" hidden="1" x14ac:dyDescent="0.3">
      <c r="A1783" t="s">
        <v>281</v>
      </c>
      <c r="B1783" t="s">
        <v>74</v>
      </c>
      <c r="C1783" s="1">
        <f>HYPERLINK("https://cao.dolgi.msk.ru/account/1010407677/", 1010407677)</f>
        <v>1010407677</v>
      </c>
      <c r="D1783">
        <v>0</v>
      </c>
    </row>
    <row r="1784" spans="1:4" hidden="1" x14ac:dyDescent="0.3">
      <c r="A1784" t="s">
        <v>282</v>
      </c>
      <c r="B1784" t="s">
        <v>88</v>
      </c>
      <c r="C1784" s="1">
        <f>HYPERLINK("https://cao.dolgi.msk.ru/account/1011325921/", 1011325921)</f>
        <v>1011325921</v>
      </c>
      <c r="D1784">
        <v>-763.18</v>
      </c>
    </row>
    <row r="1785" spans="1:4" hidden="1" x14ac:dyDescent="0.3">
      <c r="A1785" t="s">
        <v>282</v>
      </c>
      <c r="B1785" t="s">
        <v>89</v>
      </c>
      <c r="C1785" s="1">
        <f>HYPERLINK("https://cao.dolgi.msk.ru/account/1011325868/", 1011325868)</f>
        <v>1011325868</v>
      </c>
      <c r="D1785">
        <v>-404.98</v>
      </c>
    </row>
    <row r="1786" spans="1:4" hidden="1" x14ac:dyDescent="0.3">
      <c r="A1786" t="s">
        <v>282</v>
      </c>
      <c r="B1786" t="s">
        <v>90</v>
      </c>
      <c r="C1786" s="1">
        <f>HYPERLINK("https://cao.dolgi.msk.ru/account/1011325665/", 1011325665)</f>
        <v>1011325665</v>
      </c>
      <c r="D1786">
        <v>0</v>
      </c>
    </row>
    <row r="1787" spans="1:4" hidden="1" x14ac:dyDescent="0.3">
      <c r="A1787" t="s">
        <v>282</v>
      </c>
      <c r="B1787" t="s">
        <v>90</v>
      </c>
      <c r="C1787" s="1">
        <f>HYPERLINK("https://cao.dolgi.msk.ru/account/1011325833/", 1011325833)</f>
        <v>1011325833</v>
      </c>
      <c r="D1787">
        <v>0</v>
      </c>
    </row>
    <row r="1788" spans="1:4" hidden="1" x14ac:dyDescent="0.3">
      <c r="A1788" t="s">
        <v>282</v>
      </c>
      <c r="B1788" t="s">
        <v>96</v>
      </c>
      <c r="C1788" s="1">
        <f>HYPERLINK("https://cao.dolgi.msk.ru/account/1011325913/", 1011325913)</f>
        <v>1011325913</v>
      </c>
      <c r="D1788">
        <v>-15539.99</v>
      </c>
    </row>
    <row r="1789" spans="1:4" x14ac:dyDescent="0.3">
      <c r="A1789" t="s">
        <v>282</v>
      </c>
      <c r="B1789" t="s">
        <v>97</v>
      </c>
      <c r="C1789" s="1">
        <f>HYPERLINK("https://cao.dolgi.msk.ru/account/1011326078/", 1011326078)</f>
        <v>1011326078</v>
      </c>
      <c r="D1789">
        <v>34091.25</v>
      </c>
    </row>
    <row r="1790" spans="1:4" hidden="1" x14ac:dyDescent="0.3">
      <c r="A1790" t="s">
        <v>282</v>
      </c>
      <c r="B1790" t="s">
        <v>98</v>
      </c>
      <c r="C1790" s="1">
        <f>HYPERLINK("https://cao.dolgi.msk.ru/account/1011325809/", 1011325809)</f>
        <v>1011325809</v>
      </c>
      <c r="D1790">
        <v>0</v>
      </c>
    </row>
    <row r="1791" spans="1:4" hidden="1" x14ac:dyDescent="0.3">
      <c r="A1791" t="s">
        <v>282</v>
      </c>
      <c r="B1791" t="s">
        <v>58</v>
      </c>
      <c r="C1791" s="1">
        <f>HYPERLINK("https://cao.dolgi.msk.ru/account/1011325745/", 1011325745)</f>
        <v>1011325745</v>
      </c>
      <c r="D1791">
        <v>0</v>
      </c>
    </row>
    <row r="1792" spans="1:4" hidden="1" x14ac:dyDescent="0.3">
      <c r="A1792" t="s">
        <v>282</v>
      </c>
      <c r="B1792" t="s">
        <v>58</v>
      </c>
      <c r="C1792" s="1">
        <f>HYPERLINK("https://cao.dolgi.msk.ru/account/1011325817/", 1011325817)</f>
        <v>1011325817</v>
      </c>
      <c r="D1792">
        <v>0</v>
      </c>
    </row>
    <row r="1793" spans="1:4" hidden="1" x14ac:dyDescent="0.3">
      <c r="A1793" t="s">
        <v>282</v>
      </c>
      <c r="B1793" t="s">
        <v>58</v>
      </c>
      <c r="C1793" s="1">
        <f>HYPERLINK("https://cao.dolgi.msk.ru/account/1011325825/", 1011325825)</f>
        <v>1011325825</v>
      </c>
      <c r="D1793">
        <v>-129.9</v>
      </c>
    </row>
    <row r="1794" spans="1:4" hidden="1" x14ac:dyDescent="0.3">
      <c r="A1794" t="s">
        <v>282</v>
      </c>
      <c r="B1794" t="s">
        <v>59</v>
      </c>
      <c r="C1794" s="1">
        <f>HYPERLINK("https://cao.dolgi.msk.ru/account/1011325649/", 1011325649)</f>
        <v>1011325649</v>
      </c>
      <c r="D1794">
        <v>-5217.45</v>
      </c>
    </row>
    <row r="1795" spans="1:4" hidden="1" x14ac:dyDescent="0.3">
      <c r="A1795" t="s">
        <v>282</v>
      </c>
      <c r="B1795" t="s">
        <v>59</v>
      </c>
      <c r="C1795" s="1">
        <f>HYPERLINK("https://cao.dolgi.msk.ru/account/1011325729/", 1011325729)</f>
        <v>1011325729</v>
      </c>
      <c r="D1795">
        <v>-4565.25</v>
      </c>
    </row>
    <row r="1796" spans="1:4" hidden="1" x14ac:dyDescent="0.3">
      <c r="A1796" t="s">
        <v>282</v>
      </c>
      <c r="B1796" t="s">
        <v>59</v>
      </c>
      <c r="C1796" s="1">
        <f>HYPERLINK("https://cao.dolgi.msk.ru/account/1011326107/", 1011326107)</f>
        <v>1011326107</v>
      </c>
      <c r="D1796">
        <v>-60.18</v>
      </c>
    </row>
    <row r="1797" spans="1:4" hidden="1" x14ac:dyDescent="0.3">
      <c r="A1797" t="s">
        <v>282</v>
      </c>
      <c r="B1797" t="s">
        <v>60</v>
      </c>
      <c r="C1797" s="1">
        <f>HYPERLINK("https://cao.dolgi.msk.ru/account/1011326086/", 1011326086)</f>
        <v>1011326086</v>
      </c>
      <c r="D1797">
        <v>-10781.22</v>
      </c>
    </row>
    <row r="1798" spans="1:4" hidden="1" x14ac:dyDescent="0.3">
      <c r="A1798" t="s">
        <v>282</v>
      </c>
      <c r="B1798" t="s">
        <v>62</v>
      </c>
      <c r="C1798" s="1">
        <f>HYPERLINK("https://cao.dolgi.msk.ru/account/1011325999/", 1011325999)</f>
        <v>1011325999</v>
      </c>
      <c r="D1798">
        <v>0</v>
      </c>
    </row>
    <row r="1799" spans="1:4" hidden="1" x14ac:dyDescent="0.3">
      <c r="A1799" t="s">
        <v>282</v>
      </c>
      <c r="B1799" t="s">
        <v>63</v>
      </c>
      <c r="C1799" s="1">
        <f>HYPERLINK("https://cao.dolgi.msk.ru/account/1011326115/", 1011326115)</f>
        <v>1011326115</v>
      </c>
      <c r="D1799">
        <v>0</v>
      </c>
    </row>
    <row r="1800" spans="1:4" x14ac:dyDescent="0.3">
      <c r="A1800" t="s">
        <v>282</v>
      </c>
      <c r="B1800" t="s">
        <v>64</v>
      </c>
      <c r="C1800" s="1">
        <f>HYPERLINK("https://cao.dolgi.msk.ru/account/1011325753/", 1011325753)</f>
        <v>1011325753</v>
      </c>
      <c r="D1800">
        <v>2577.5100000000002</v>
      </c>
    </row>
    <row r="1801" spans="1:4" x14ac:dyDescent="0.3">
      <c r="A1801" t="s">
        <v>282</v>
      </c>
      <c r="B1801" t="s">
        <v>64</v>
      </c>
      <c r="C1801" s="1">
        <f>HYPERLINK("https://cao.dolgi.msk.ru/account/1011325892/", 1011325892)</f>
        <v>1011325892</v>
      </c>
      <c r="D1801">
        <v>8803.42</v>
      </c>
    </row>
    <row r="1802" spans="1:4" x14ac:dyDescent="0.3">
      <c r="A1802" t="s">
        <v>282</v>
      </c>
      <c r="B1802" t="s">
        <v>64</v>
      </c>
      <c r="C1802" s="1">
        <f>HYPERLINK("https://cao.dolgi.msk.ru/account/1011326035/", 1011326035)</f>
        <v>1011326035</v>
      </c>
      <c r="D1802">
        <v>4953.08</v>
      </c>
    </row>
    <row r="1803" spans="1:4" hidden="1" x14ac:dyDescent="0.3">
      <c r="A1803" t="s">
        <v>282</v>
      </c>
      <c r="B1803" t="s">
        <v>65</v>
      </c>
      <c r="C1803" s="1">
        <f>HYPERLINK("https://cao.dolgi.msk.ru/account/1011325702/", 1011325702)</f>
        <v>1011325702</v>
      </c>
      <c r="D1803">
        <v>-7926.4</v>
      </c>
    </row>
    <row r="1804" spans="1:4" x14ac:dyDescent="0.3">
      <c r="A1804" t="s">
        <v>282</v>
      </c>
      <c r="B1804" t="s">
        <v>66</v>
      </c>
      <c r="C1804" s="1">
        <f>HYPERLINK("https://cao.dolgi.msk.ru/account/1011325905/", 1011325905)</f>
        <v>1011325905</v>
      </c>
      <c r="D1804">
        <v>24360.09</v>
      </c>
    </row>
    <row r="1805" spans="1:4" hidden="1" x14ac:dyDescent="0.3">
      <c r="A1805" t="s">
        <v>282</v>
      </c>
      <c r="B1805" t="s">
        <v>67</v>
      </c>
      <c r="C1805" s="1">
        <f>HYPERLINK("https://cao.dolgi.msk.ru/account/1011326027/", 1011326027)</f>
        <v>1011326027</v>
      </c>
      <c r="D1805">
        <v>-8943.2099999999991</v>
      </c>
    </row>
    <row r="1806" spans="1:4" x14ac:dyDescent="0.3">
      <c r="A1806" t="s">
        <v>282</v>
      </c>
      <c r="B1806" t="s">
        <v>68</v>
      </c>
      <c r="C1806" s="1">
        <f>HYPERLINK("https://cao.dolgi.msk.ru/account/1011325606/", 1011325606)</f>
        <v>1011325606</v>
      </c>
      <c r="D1806">
        <v>18111.52</v>
      </c>
    </row>
    <row r="1807" spans="1:4" hidden="1" x14ac:dyDescent="0.3">
      <c r="A1807" t="s">
        <v>282</v>
      </c>
      <c r="B1807" t="s">
        <v>69</v>
      </c>
      <c r="C1807" s="1">
        <f>HYPERLINK("https://cao.dolgi.msk.ru/account/1011325841/", 1011325841)</f>
        <v>1011325841</v>
      </c>
      <c r="D1807">
        <v>0</v>
      </c>
    </row>
    <row r="1808" spans="1:4" hidden="1" x14ac:dyDescent="0.3">
      <c r="A1808" t="s">
        <v>282</v>
      </c>
      <c r="B1808" t="s">
        <v>70</v>
      </c>
      <c r="C1808" s="1">
        <f>HYPERLINK("https://cao.dolgi.msk.ru/account/1011325948/", 1011325948)</f>
        <v>1011325948</v>
      </c>
      <c r="D1808">
        <v>-1744.64</v>
      </c>
    </row>
    <row r="1809" spans="1:4" x14ac:dyDescent="0.3">
      <c r="A1809" t="s">
        <v>282</v>
      </c>
      <c r="B1809" t="s">
        <v>259</v>
      </c>
      <c r="C1809" s="1">
        <f>HYPERLINK("https://cao.dolgi.msk.ru/account/1011325614/", 1011325614)</f>
        <v>1011325614</v>
      </c>
      <c r="D1809">
        <v>19877.73</v>
      </c>
    </row>
    <row r="1810" spans="1:4" hidden="1" x14ac:dyDescent="0.3">
      <c r="A1810" t="s">
        <v>282</v>
      </c>
      <c r="B1810" t="s">
        <v>72</v>
      </c>
      <c r="C1810" s="1">
        <f>HYPERLINK("https://cao.dolgi.msk.ru/account/1011325737/", 1011325737)</f>
        <v>1011325737</v>
      </c>
      <c r="D1810">
        <v>0</v>
      </c>
    </row>
    <row r="1811" spans="1:4" hidden="1" x14ac:dyDescent="0.3">
      <c r="A1811" t="s">
        <v>282</v>
      </c>
      <c r="B1811" t="s">
        <v>73</v>
      </c>
      <c r="C1811" s="1">
        <f>HYPERLINK("https://cao.dolgi.msk.ru/account/1011326019/", 1011326019)</f>
        <v>1011326019</v>
      </c>
      <c r="D1811">
        <v>-12881.92</v>
      </c>
    </row>
    <row r="1812" spans="1:4" hidden="1" x14ac:dyDescent="0.3">
      <c r="A1812" t="s">
        <v>282</v>
      </c>
      <c r="B1812" t="s">
        <v>74</v>
      </c>
      <c r="C1812" s="1">
        <f>HYPERLINK("https://cao.dolgi.msk.ru/account/1011325761/", 1011325761)</f>
        <v>1011325761</v>
      </c>
      <c r="D1812">
        <v>0</v>
      </c>
    </row>
    <row r="1813" spans="1:4" x14ac:dyDescent="0.3">
      <c r="A1813" t="s">
        <v>282</v>
      </c>
      <c r="B1813" t="s">
        <v>75</v>
      </c>
      <c r="C1813" s="1">
        <f>HYPERLINK("https://cao.dolgi.msk.ru/account/1011325657/", 1011325657)</f>
        <v>1011325657</v>
      </c>
      <c r="D1813">
        <v>9596.18</v>
      </c>
    </row>
    <row r="1814" spans="1:4" hidden="1" x14ac:dyDescent="0.3">
      <c r="A1814" t="s">
        <v>282</v>
      </c>
      <c r="B1814" t="s">
        <v>76</v>
      </c>
      <c r="C1814" s="1">
        <f>HYPERLINK("https://cao.dolgi.msk.ru/account/1011325788/", 1011325788)</f>
        <v>1011325788</v>
      </c>
      <c r="D1814">
        <v>0</v>
      </c>
    </row>
    <row r="1815" spans="1:4" hidden="1" x14ac:dyDescent="0.3">
      <c r="A1815" t="s">
        <v>282</v>
      </c>
      <c r="B1815" t="s">
        <v>77</v>
      </c>
      <c r="C1815" s="1">
        <f>HYPERLINK("https://cao.dolgi.msk.ru/account/1011325884/", 1011325884)</f>
        <v>1011325884</v>
      </c>
      <c r="D1815">
        <v>0</v>
      </c>
    </row>
    <row r="1816" spans="1:4" x14ac:dyDescent="0.3">
      <c r="A1816" t="s">
        <v>282</v>
      </c>
      <c r="B1816" t="s">
        <v>77</v>
      </c>
      <c r="C1816" s="1">
        <f>HYPERLINK("https://cao.dolgi.msk.ru/account/1011326043/", 1011326043)</f>
        <v>1011326043</v>
      </c>
      <c r="D1816">
        <v>14241.65</v>
      </c>
    </row>
    <row r="1817" spans="1:4" hidden="1" x14ac:dyDescent="0.3">
      <c r="A1817" t="s">
        <v>282</v>
      </c>
      <c r="B1817" t="s">
        <v>78</v>
      </c>
      <c r="C1817" s="1">
        <f>HYPERLINK("https://cao.dolgi.msk.ru/account/1011325972/", 1011325972)</f>
        <v>1011325972</v>
      </c>
      <c r="D1817">
        <v>0</v>
      </c>
    </row>
    <row r="1818" spans="1:4" x14ac:dyDescent="0.3">
      <c r="A1818" t="s">
        <v>282</v>
      </c>
      <c r="B1818" t="s">
        <v>79</v>
      </c>
      <c r="C1818" s="1">
        <f>HYPERLINK("https://cao.dolgi.msk.ru/account/1011325956/", 1011325956)</f>
        <v>1011325956</v>
      </c>
      <c r="D1818">
        <v>4491.9799999999996</v>
      </c>
    </row>
    <row r="1819" spans="1:4" hidden="1" x14ac:dyDescent="0.3">
      <c r="A1819" t="s">
        <v>282</v>
      </c>
      <c r="B1819" t="s">
        <v>81</v>
      </c>
      <c r="C1819" s="1">
        <f>HYPERLINK("https://cao.dolgi.msk.ru/account/1011325673/", 1011325673)</f>
        <v>1011325673</v>
      </c>
      <c r="D1819">
        <v>0</v>
      </c>
    </row>
    <row r="1820" spans="1:4" hidden="1" x14ac:dyDescent="0.3">
      <c r="A1820" t="s">
        <v>282</v>
      </c>
      <c r="B1820" t="s">
        <v>101</v>
      </c>
      <c r="C1820" s="1">
        <f>HYPERLINK("https://cao.dolgi.msk.ru/account/1011325681/", 1011325681)</f>
        <v>1011325681</v>
      </c>
      <c r="D1820">
        <v>-7662.59</v>
      </c>
    </row>
    <row r="1821" spans="1:4" hidden="1" x14ac:dyDescent="0.3">
      <c r="A1821" t="s">
        <v>282</v>
      </c>
      <c r="B1821" t="s">
        <v>82</v>
      </c>
      <c r="C1821" s="1">
        <f>HYPERLINK("https://cao.dolgi.msk.ru/account/1011325964/", 1011325964)</f>
        <v>1011325964</v>
      </c>
      <c r="D1821">
        <v>0</v>
      </c>
    </row>
    <row r="1822" spans="1:4" hidden="1" x14ac:dyDescent="0.3">
      <c r="A1822" t="s">
        <v>282</v>
      </c>
      <c r="B1822" t="s">
        <v>83</v>
      </c>
      <c r="C1822" s="1">
        <f>HYPERLINK("https://cao.dolgi.msk.ru/account/1011325622/", 1011325622)</f>
        <v>1011325622</v>
      </c>
      <c r="D1822">
        <v>0</v>
      </c>
    </row>
    <row r="1823" spans="1:4" hidden="1" x14ac:dyDescent="0.3">
      <c r="A1823" t="s">
        <v>282</v>
      </c>
      <c r="B1823" t="s">
        <v>84</v>
      </c>
      <c r="C1823" s="1">
        <f>HYPERLINK("https://cao.dolgi.msk.ru/account/1011325876/", 1011325876)</f>
        <v>1011325876</v>
      </c>
      <c r="D1823">
        <v>0</v>
      </c>
    </row>
    <row r="1824" spans="1:4" hidden="1" x14ac:dyDescent="0.3">
      <c r="A1824" t="s">
        <v>282</v>
      </c>
      <c r="B1824" t="s">
        <v>85</v>
      </c>
      <c r="C1824" s="1">
        <f>HYPERLINK("https://cao.dolgi.msk.ru/account/1011325796/", 1011325796)</f>
        <v>1011325796</v>
      </c>
      <c r="D1824">
        <v>0</v>
      </c>
    </row>
    <row r="1825" spans="1:4" hidden="1" x14ac:dyDescent="0.3">
      <c r="A1825" t="s">
        <v>282</v>
      </c>
      <c r="B1825" t="s">
        <v>102</v>
      </c>
      <c r="C1825" s="1">
        <f>HYPERLINK("https://cao.dolgi.msk.ru/account/1011326094/", 1011326094)</f>
        <v>1011326094</v>
      </c>
      <c r="D1825">
        <v>0</v>
      </c>
    </row>
    <row r="1826" spans="1:4" hidden="1" x14ac:dyDescent="0.3">
      <c r="A1826" t="s">
        <v>282</v>
      </c>
      <c r="B1826" t="s">
        <v>103</v>
      </c>
      <c r="C1826" s="1">
        <f>HYPERLINK("https://cao.dolgi.msk.ru/account/1011325593/", 1011325593)</f>
        <v>1011325593</v>
      </c>
      <c r="D1826">
        <v>-9966.5300000000007</v>
      </c>
    </row>
    <row r="1827" spans="1:4" hidden="1" x14ac:dyDescent="0.3">
      <c r="A1827" t="s">
        <v>282</v>
      </c>
      <c r="B1827" t="s">
        <v>104</v>
      </c>
      <c r="C1827" s="1">
        <f>HYPERLINK("https://cao.dolgi.msk.ru/account/1011326051/", 1011326051)</f>
        <v>1011326051</v>
      </c>
      <c r="D1827">
        <v>-9803.7000000000007</v>
      </c>
    </row>
    <row r="1828" spans="1:4" hidden="1" x14ac:dyDescent="0.3">
      <c r="A1828" t="s">
        <v>283</v>
      </c>
      <c r="B1828" t="s">
        <v>6</v>
      </c>
      <c r="C1828" s="1">
        <f>HYPERLINK("https://cao.dolgi.msk.ru/account/1011444613/", 1011444613)</f>
        <v>1011444613</v>
      </c>
      <c r="D1828">
        <v>0</v>
      </c>
    </row>
    <row r="1829" spans="1:4" hidden="1" x14ac:dyDescent="0.3">
      <c r="A1829" t="s">
        <v>283</v>
      </c>
      <c r="B1829" t="s">
        <v>28</v>
      </c>
      <c r="C1829" s="1">
        <f>HYPERLINK("https://cao.dolgi.msk.ru/account/1011444234/", 1011444234)</f>
        <v>1011444234</v>
      </c>
      <c r="D1829">
        <v>-2623.38</v>
      </c>
    </row>
    <row r="1830" spans="1:4" x14ac:dyDescent="0.3">
      <c r="A1830" t="s">
        <v>283</v>
      </c>
      <c r="B1830" t="s">
        <v>35</v>
      </c>
      <c r="C1830" s="1">
        <f>HYPERLINK("https://cao.dolgi.msk.ru/account/1011444445/", 1011444445)</f>
        <v>1011444445</v>
      </c>
      <c r="D1830">
        <v>17506.55</v>
      </c>
    </row>
    <row r="1831" spans="1:4" hidden="1" x14ac:dyDescent="0.3">
      <c r="A1831" t="s">
        <v>283</v>
      </c>
      <c r="B1831" t="s">
        <v>5</v>
      </c>
      <c r="C1831" s="1">
        <f>HYPERLINK("https://cao.dolgi.msk.ru/account/1011445077/", 1011445077)</f>
        <v>1011445077</v>
      </c>
      <c r="D1831">
        <v>-230</v>
      </c>
    </row>
    <row r="1832" spans="1:4" hidden="1" x14ac:dyDescent="0.3">
      <c r="A1832" t="s">
        <v>283</v>
      </c>
      <c r="B1832" t="s">
        <v>7</v>
      </c>
      <c r="C1832" s="1">
        <f>HYPERLINK("https://cao.dolgi.msk.ru/account/1011444242/", 1011444242)</f>
        <v>1011444242</v>
      </c>
      <c r="D1832">
        <v>-262.63</v>
      </c>
    </row>
    <row r="1833" spans="1:4" x14ac:dyDescent="0.3">
      <c r="A1833" t="s">
        <v>283</v>
      </c>
      <c r="B1833" t="s">
        <v>8</v>
      </c>
      <c r="C1833" s="1">
        <f>HYPERLINK("https://cao.dolgi.msk.ru/account/1011444269/", 1011444269)</f>
        <v>1011444269</v>
      </c>
      <c r="D1833">
        <v>7882.3</v>
      </c>
    </row>
    <row r="1834" spans="1:4" hidden="1" x14ac:dyDescent="0.3">
      <c r="A1834" t="s">
        <v>283</v>
      </c>
      <c r="B1834" t="s">
        <v>31</v>
      </c>
      <c r="C1834" s="1">
        <f>HYPERLINK("https://cao.dolgi.msk.ru/account/1011444162/", 1011444162)</f>
        <v>1011444162</v>
      </c>
      <c r="D1834">
        <v>-201.8</v>
      </c>
    </row>
    <row r="1835" spans="1:4" hidden="1" x14ac:dyDescent="0.3">
      <c r="A1835" t="s">
        <v>283</v>
      </c>
      <c r="B1835" t="s">
        <v>9</v>
      </c>
      <c r="C1835" s="1">
        <f>HYPERLINK("https://cao.dolgi.msk.ru/account/1011444437/", 1011444437)</f>
        <v>1011444437</v>
      </c>
      <c r="D1835">
        <v>0</v>
      </c>
    </row>
    <row r="1836" spans="1:4" hidden="1" x14ac:dyDescent="0.3">
      <c r="A1836" t="s">
        <v>283</v>
      </c>
      <c r="B1836" t="s">
        <v>10</v>
      </c>
      <c r="C1836" s="1">
        <f>HYPERLINK("https://cao.dolgi.msk.ru/account/1011444218/", 1011444218)</f>
        <v>1011444218</v>
      </c>
      <c r="D1836">
        <v>0</v>
      </c>
    </row>
    <row r="1837" spans="1:4" hidden="1" x14ac:dyDescent="0.3">
      <c r="A1837" t="s">
        <v>283</v>
      </c>
      <c r="B1837" t="s">
        <v>10</v>
      </c>
      <c r="C1837" s="1">
        <f>HYPERLINK("https://cao.dolgi.msk.ru/account/1011445165/", 1011445165)</f>
        <v>1011445165</v>
      </c>
      <c r="D1837">
        <v>0</v>
      </c>
    </row>
    <row r="1838" spans="1:4" hidden="1" x14ac:dyDescent="0.3">
      <c r="A1838" t="s">
        <v>283</v>
      </c>
      <c r="B1838" t="s">
        <v>11</v>
      </c>
      <c r="C1838" s="1">
        <f>HYPERLINK("https://cao.dolgi.msk.ru/account/1011444891/", 1011444891)</f>
        <v>1011444891</v>
      </c>
      <c r="D1838">
        <v>0</v>
      </c>
    </row>
    <row r="1839" spans="1:4" hidden="1" x14ac:dyDescent="0.3">
      <c r="A1839" t="s">
        <v>283</v>
      </c>
      <c r="B1839" t="s">
        <v>12</v>
      </c>
      <c r="C1839" s="1">
        <f>HYPERLINK("https://cao.dolgi.msk.ru/account/1011444592/", 1011444592)</f>
        <v>1011444592</v>
      </c>
      <c r="D1839">
        <v>0</v>
      </c>
    </row>
    <row r="1840" spans="1:4" hidden="1" x14ac:dyDescent="0.3">
      <c r="A1840" t="s">
        <v>283</v>
      </c>
      <c r="B1840" t="s">
        <v>23</v>
      </c>
      <c r="C1840" s="1">
        <f>HYPERLINK("https://cao.dolgi.msk.ru/account/1011445085/", 1011445085)</f>
        <v>1011445085</v>
      </c>
      <c r="D1840">
        <v>0</v>
      </c>
    </row>
    <row r="1841" spans="1:4" hidden="1" x14ac:dyDescent="0.3">
      <c r="A1841" t="s">
        <v>283</v>
      </c>
      <c r="B1841" t="s">
        <v>13</v>
      </c>
      <c r="C1841" s="1">
        <f>HYPERLINK("https://cao.dolgi.msk.ru/account/1011444904/", 1011444904)</f>
        <v>1011444904</v>
      </c>
      <c r="D1841">
        <v>-11006.1</v>
      </c>
    </row>
    <row r="1842" spans="1:4" hidden="1" x14ac:dyDescent="0.3">
      <c r="A1842" t="s">
        <v>283</v>
      </c>
      <c r="B1842" t="s">
        <v>14</v>
      </c>
      <c r="C1842" s="1">
        <f>HYPERLINK("https://cao.dolgi.msk.ru/account/1011444779/", 1011444779)</f>
        <v>1011444779</v>
      </c>
      <c r="D1842">
        <v>0</v>
      </c>
    </row>
    <row r="1843" spans="1:4" hidden="1" x14ac:dyDescent="0.3">
      <c r="A1843" t="s">
        <v>283</v>
      </c>
      <c r="B1843" t="s">
        <v>16</v>
      </c>
      <c r="C1843" s="1">
        <f>HYPERLINK("https://cao.dolgi.msk.ru/account/1011444752/", 1011444752)</f>
        <v>1011444752</v>
      </c>
      <c r="D1843">
        <v>0</v>
      </c>
    </row>
    <row r="1844" spans="1:4" hidden="1" x14ac:dyDescent="0.3">
      <c r="A1844" t="s">
        <v>283</v>
      </c>
      <c r="B1844" t="s">
        <v>17</v>
      </c>
      <c r="C1844" s="1">
        <f>HYPERLINK("https://cao.dolgi.msk.ru/account/1011444365/", 1011444365)</f>
        <v>1011444365</v>
      </c>
      <c r="D1844">
        <v>-9392.49</v>
      </c>
    </row>
    <row r="1845" spans="1:4" x14ac:dyDescent="0.3">
      <c r="A1845" t="s">
        <v>283</v>
      </c>
      <c r="B1845" t="s">
        <v>18</v>
      </c>
      <c r="C1845" s="1">
        <f>HYPERLINK("https://cao.dolgi.msk.ru/account/1011444605/", 1011444605)</f>
        <v>1011444605</v>
      </c>
      <c r="D1845">
        <v>6584.84</v>
      </c>
    </row>
    <row r="1846" spans="1:4" hidden="1" x14ac:dyDescent="0.3">
      <c r="A1846" t="s">
        <v>283</v>
      </c>
      <c r="B1846" t="s">
        <v>19</v>
      </c>
      <c r="C1846" s="1">
        <f>HYPERLINK("https://cao.dolgi.msk.ru/account/1011445093/", 1011445093)</f>
        <v>1011445093</v>
      </c>
      <c r="D1846">
        <v>0</v>
      </c>
    </row>
    <row r="1847" spans="1:4" hidden="1" x14ac:dyDescent="0.3">
      <c r="A1847" t="s">
        <v>283</v>
      </c>
      <c r="B1847" t="s">
        <v>20</v>
      </c>
      <c r="C1847" s="1">
        <f>HYPERLINK("https://cao.dolgi.msk.ru/account/1011444381/", 1011444381)</f>
        <v>1011444381</v>
      </c>
      <c r="D1847">
        <v>0</v>
      </c>
    </row>
    <row r="1848" spans="1:4" hidden="1" x14ac:dyDescent="0.3">
      <c r="A1848" t="s">
        <v>283</v>
      </c>
      <c r="B1848" t="s">
        <v>21</v>
      </c>
      <c r="C1848" s="1">
        <f>HYPERLINK("https://cao.dolgi.msk.ru/account/1011445157/", 1011445157)</f>
        <v>1011445157</v>
      </c>
      <c r="D1848">
        <v>0</v>
      </c>
    </row>
    <row r="1849" spans="1:4" hidden="1" x14ac:dyDescent="0.3">
      <c r="A1849" t="s">
        <v>283</v>
      </c>
      <c r="B1849" t="s">
        <v>22</v>
      </c>
      <c r="C1849" s="1">
        <f>HYPERLINK("https://cao.dolgi.msk.ru/account/1011444648/", 1011444648)</f>
        <v>1011444648</v>
      </c>
      <c r="D1849">
        <v>-7440.96</v>
      </c>
    </row>
    <row r="1850" spans="1:4" x14ac:dyDescent="0.3">
      <c r="A1850" t="s">
        <v>283</v>
      </c>
      <c r="B1850" t="s">
        <v>24</v>
      </c>
      <c r="C1850" s="1">
        <f>HYPERLINK("https://cao.dolgi.msk.ru/account/1011445026/", 1011445026)</f>
        <v>1011445026</v>
      </c>
      <c r="D1850">
        <v>6587.96</v>
      </c>
    </row>
    <row r="1851" spans="1:4" hidden="1" x14ac:dyDescent="0.3">
      <c r="A1851" t="s">
        <v>283</v>
      </c>
      <c r="B1851" t="s">
        <v>25</v>
      </c>
      <c r="C1851" s="1">
        <f>HYPERLINK("https://cao.dolgi.msk.ru/account/1011444955/", 1011444955)</f>
        <v>1011444955</v>
      </c>
      <c r="D1851">
        <v>0</v>
      </c>
    </row>
    <row r="1852" spans="1:4" x14ac:dyDescent="0.3">
      <c r="A1852" t="s">
        <v>283</v>
      </c>
      <c r="B1852" t="s">
        <v>26</v>
      </c>
      <c r="C1852" s="1">
        <f>HYPERLINK("https://cao.dolgi.msk.ru/account/1011444568/", 1011444568)</f>
        <v>1011444568</v>
      </c>
      <c r="D1852">
        <v>15797.82</v>
      </c>
    </row>
    <row r="1853" spans="1:4" x14ac:dyDescent="0.3">
      <c r="A1853" t="s">
        <v>283</v>
      </c>
      <c r="B1853" t="s">
        <v>27</v>
      </c>
      <c r="C1853" s="1">
        <f>HYPERLINK("https://cao.dolgi.msk.ru/account/1011444736/", 1011444736)</f>
        <v>1011444736</v>
      </c>
      <c r="D1853">
        <v>13639.15</v>
      </c>
    </row>
    <row r="1854" spans="1:4" x14ac:dyDescent="0.3">
      <c r="A1854" t="s">
        <v>283</v>
      </c>
      <c r="B1854" t="s">
        <v>29</v>
      </c>
      <c r="C1854" s="1">
        <f>HYPERLINK("https://cao.dolgi.msk.ru/account/1011444429/", 1011444429)</f>
        <v>1011444429</v>
      </c>
      <c r="D1854">
        <v>6238.44</v>
      </c>
    </row>
    <row r="1855" spans="1:4" hidden="1" x14ac:dyDescent="0.3">
      <c r="A1855" t="s">
        <v>283</v>
      </c>
      <c r="B1855" t="s">
        <v>38</v>
      </c>
      <c r="C1855" s="1">
        <f>HYPERLINK("https://cao.dolgi.msk.ru/account/1011444322/", 1011444322)</f>
        <v>1011444322</v>
      </c>
      <c r="D1855">
        <v>0</v>
      </c>
    </row>
    <row r="1856" spans="1:4" hidden="1" x14ac:dyDescent="0.3">
      <c r="A1856" t="s">
        <v>283</v>
      </c>
      <c r="B1856" t="s">
        <v>39</v>
      </c>
      <c r="C1856" s="1">
        <f>HYPERLINK("https://cao.dolgi.msk.ru/account/1011445034/", 1011445034)</f>
        <v>1011445034</v>
      </c>
      <c r="D1856">
        <v>0</v>
      </c>
    </row>
    <row r="1857" spans="1:4" hidden="1" x14ac:dyDescent="0.3">
      <c r="A1857" t="s">
        <v>283</v>
      </c>
      <c r="B1857" t="s">
        <v>40</v>
      </c>
      <c r="C1857" s="1">
        <f>HYPERLINK("https://cao.dolgi.msk.ru/account/1011444357/", 1011444357)</f>
        <v>1011444357</v>
      </c>
      <c r="D1857">
        <v>0</v>
      </c>
    </row>
    <row r="1858" spans="1:4" x14ac:dyDescent="0.3">
      <c r="A1858" t="s">
        <v>283</v>
      </c>
      <c r="B1858" t="s">
        <v>41</v>
      </c>
      <c r="C1858" s="1">
        <f>HYPERLINK("https://cao.dolgi.msk.ru/account/1011444496/", 1011444496)</f>
        <v>1011444496</v>
      </c>
      <c r="D1858">
        <v>3583.14</v>
      </c>
    </row>
    <row r="1859" spans="1:4" hidden="1" x14ac:dyDescent="0.3">
      <c r="A1859" t="s">
        <v>283</v>
      </c>
      <c r="B1859" t="s">
        <v>51</v>
      </c>
      <c r="C1859" s="1">
        <f>HYPERLINK("https://cao.dolgi.msk.ru/account/1011444787/", 1011444787)</f>
        <v>1011444787</v>
      </c>
      <c r="D1859">
        <v>0</v>
      </c>
    </row>
    <row r="1860" spans="1:4" hidden="1" x14ac:dyDescent="0.3">
      <c r="A1860" t="s">
        <v>283</v>
      </c>
      <c r="B1860" t="s">
        <v>52</v>
      </c>
      <c r="C1860" s="1">
        <f>HYPERLINK("https://cao.dolgi.msk.ru/account/1011444744/", 1011444744)</f>
        <v>1011444744</v>
      </c>
      <c r="D1860">
        <v>-5263.73</v>
      </c>
    </row>
    <row r="1861" spans="1:4" hidden="1" x14ac:dyDescent="0.3">
      <c r="A1861" t="s">
        <v>283</v>
      </c>
      <c r="B1861" t="s">
        <v>53</v>
      </c>
      <c r="C1861" s="1">
        <f>HYPERLINK("https://cao.dolgi.msk.ru/account/1011444509/", 1011444509)</f>
        <v>1011444509</v>
      </c>
      <c r="D1861">
        <v>-5966.35</v>
      </c>
    </row>
    <row r="1862" spans="1:4" hidden="1" x14ac:dyDescent="0.3">
      <c r="A1862" t="s">
        <v>283</v>
      </c>
      <c r="B1862" t="s">
        <v>54</v>
      </c>
      <c r="C1862" s="1">
        <f>HYPERLINK("https://cao.dolgi.msk.ru/account/1011444533/", 1011444533)</f>
        <v>1011444533</v>
      </c>
      <c r="D1862">
        <v>0</v>
      </c>
    </row>
    <row r="1863" spans="1:4" hidden="1" x14ac:dyDescent="0.3">
      <c r="A1863" t="s">
        <v>283</v>
      </c>
      <c r="B1863" t="s">
        <v>55</v>
      </c>
      <c r="C1863" s="1">
        <f>HYPERLINK("https://cao.dolgi.msk.ru/account/1011445149/", 1011445149)</f>
        <v>1011445149</v>
      </c>
      <c r="D1863">
        <v>-7678.86</v>
      </c>
    </row>
    <row r="1864" spans="1:4" x14ac:dyDescent="0.3">
      <c r="A1864" t="s">
        <v>283</v>
      </c>
      <c r="B1864" t="s">
        <v>56</v>
      </c>
      <c r="C1864" s="1">
        <f>HYPERLINK("https://cao.dolgi.msk.ru/account/1011444867/", 1011444867)</f>
        <v>1011444867</v>
      </c>
      <c r="D1864">
        <v>55618.7</v>
      </c>
    </row>
    <row r="1865" spans="1:4" x14ac:dyDescent="0.3">
      <c r="A1865" t="s">
        <v>283</v>
      </c>
      <c r="B1865" t="s">
        <v>87</v>
      </c>
      <c r="C1865" s="1">
        <f>HYPERLINK("https://cao.dolgi.msk.ru/account/1011444576/", 1011444576)</f>
        <v>1011444576</v>
      </c>
      <c r="D1865">
        <v>13153.08</v>
      </c>
    </row>
    <row r="1866" spans="1:4" hidden="1" x14ac:dyDescent="0.3">
      <c r="A1866" t="s">
        <v>283</v>
      </c>
      <c r="B1866" t="s">
        <v>88</v>
      </c>
      <c r="C1866" s="1">
        <f>HYPERLINK("https://cao.dolgi.msk.ru/account/1011444154/", 1011444154)</f>
        <v>1011444154</v>
      </c>
      <c r="D1866">
        <v>0</v>
      </c>
    </row>
    <row r="1867" spans="1:4" hidden="1" x14ac:dyDescent="0.3">
      <c r="A1867" t="s">
        <v>283</v>
      </c>
      <c r="B1867" t="s">
        <v>89</v>
      </c>
      <c r="C1867" s="1">
        <f>HYPERLINK("https://cao.dolgi.msk.ru/account/1011444189/", 1011444189)</f>
        <v>1011444189</v>
      </c>
      <c r="D1867">
        <v>-63696.63</v>
      </c>
    </row>
    <row r="1868" spans="1:4" hidden="1" x14ac:dyDescent="0.3">
      <c r="A1868" t="s">
        <v>283</v>
      </c>
      <c r="B1868" t="s">
        <v>90</v>
      </c>
      <c r="C1868" s="1">
        <f>HYPERLINK("https://cao.dolgi.msk.ru/account/1011444306/", 1011444306)</f>
        <v>1011444306</v>
      </c>
      <c r="D1868">
        <v>0</v>
      </c>
    </row>
    <row r="1869" spans="1:4" hidden="1" x14ac:dyDescent="0.3">
      <c r="A1869" t="s">
        <v>283</v>
      </c>
      <c r="B1869" t="s">
        <v>96</v>
      </c>
      <c r="C1869" s="1">
        <f>HYPERLINK("https://cao.dolgi.msk.ru/account/1011444517/", 1011444517)</f>
        <v>1011444517</v>
      </c>
      <c r="D1869">
        <v>-6888.3</v>
      </c>
    </row>
    <row r="1870" spans="1:4" x14ac:dyDescent="0.3">
      <c r="A1870" t="s">
        <v>283</v>
      </c>
      <c r="B1870" t="s">
        <v>97</v>
      </c>
      <c r="C1870" s="1">
        <f>HYPERLINK("https://cao.dolgi.msk.ru/account/1011445069/", 1011445069)</f>
        <v>1011445069</v>
      </c>
      <c r="D1870">
        <v>18638.580000000002</v>
      </c>
    </row>
    <row r="1871" spans="1:4" hidden="1" x14ac:dyDescent="0.3">
      <c r="A1871" t="s">
        <v>283</v>
      </c>
      <c r="B1871" t="s">
        <v>98</v>
      </c>
      <c r="C1871" s="1">
        <f>HYPERLINK("https://cao.dolgi.msk.ru/account/1011444277/", 1011444277)</f>
        <v>1011444277</v>
      </c>
      <c r="D1871">
        <v>0</v>
      </c>
    </row>
    <row r="1872" spans="1:4" hidden="1" x14ac:dyDescent="0.3">
      <c r="A1872" t="s">
        <v>283</v>
      </c>
      <c r="B1872" t="s">
        <v>58</v>
      </c>
      <c r="C1872" s="1">
        <f>HYPERLINK("https://cao.dolgi.msk.ru/account/1011445018/", 1011445018)</f>
        <v>1011445018</v>
      </c>
      <c r="D1872">
        <v>0</v>
      </c>
    </row>
    <row r="1873" spans="1:4" x14ac:dyDescent="0.3">
      <c r="A1873" t="s">
        <v>283</v>
      </c>
      <c r="B1873" t="s">
        <v>59</v>
      </c>
      <c r="C1873" s="1">
        <f>HYPERLINK("https://cao.dolgi.msk.ru/account/1011444971/", 1011444971)</f>
        <v>1011444971</v>
      </c>
      <c r="D1873">
        <v>25221.86</v>
      </c>
    </row>
    <row r="1874" spans="1:4" hidden="1" x14ac:dyDescent="0.3">
      <c r="A1874" t="s">
        <v>283</v>
      </c>
      <c r="B1874" t="s">
        <v>60</v>
      </c>
      <c r="C1874" s="1">
        <f>HYPERLINK("https://cao.dolgi.msk.ru/account/1011444314/", 1011444314)</f>
        <v>1011444314</v>
      </c>
      <c r="D1874">
        <v>0</v>
      </c>
    </row>
    <row r="1875" spans="1:4" hidden="1" x14ac:dyDescent="0.3">
      <c r="A1875" t="s">
        <v>283</v>
      </c>
      <c r="B1875" t="s">
        <v>61</v>
      </c>
      <c r="C1875" s="1">
        <f>HYPERLINK("https://cao.dolgi.msk.ru/account/1011444656/", 1011444656)</f>
        <v>1011444656</v>
      </c>
      <c r="D1875">
        <v>0</v>
      </c>
    </row>
    <row r="1876" spans="1:4" hidden="1" x14ac:dyDescent="0.3">
      <c r="A1876" t="s">
        <v>283</v>
      </c>
      <c r="B1876" t="s">
        <v>62</v>
      </c>
      <c r="C1876" s="1">
        <f>HYPERLINK("https://cao.dolgi.msk.ru/account/1011444699/", 1011444699)</f>
        <v>1011444699</v>
      </c>
      <c r="D1876">
        <v>0</v>
      </c>
    </row>
    <row r="1877" spans="1:4" hidden="1" x14ac:dyDescent="0.3">
      <c r="A1877" t="s">
        <v>283</v>
      </c>
      <c r="B1877" t="s">
        <v>63</v>
      </c>
      <c r="C1877" s="1">
        <f>HYPERLINK("https://cao.dolgi.msk.ru/account/1011444373/", 1011444373)</f>
        <v>1011444373</v>
      </c>
      <c r="D1877">
        <v>0</v>
      </c>
    </row>
    <row r="1878" spans="1:4" hidden="1" x14ac:dyDescent="0.3">
      <c r="A1878" t="s">
        <v>283</v>
      </c>
      <c r="B1878" t="s">
        <v>64</v>
      </c>
      <c r="C1878" s="1">
        <f>HYPERLINK("https://cao.dolgi.msk.ru/account/1011444285/", 1011444285)</f>
        <v>1011444285</v>
      </c>
      <c r="D1878">
        <v>0</v>
      </c>
    </row>
    <row r="1879" spans="1:4" hidden="1" x14ac:dyDescent="0.3">
      <c r="A1879" t="s">
        <v>283</v>
      </c>
      <c r="B1879" t="s">
        <v>65</v>
      </c>
      <c r="C1879" s="1">
        <f>HYPERLINK("https://cao.dolgi.msk.ru/account/1011445106/", 1011445106)</f>
        <v>1011445106</v>
      </c>
      <c r="D1879">
        <v>-533.73</v>
      </c>
    </row>
    <row r="1880" spans="1:4" hidden="1" x14ac:dyDescent="0.3">
      <c r="A1880" t="s">
        <v>283</v>
      </c>
      <c r="B1880" t="s">
        <v>66</v>
      </c>
      <c r="C1880" s="1">
        <f>HYPERLINK("https://cao.dolgi.msk.ru/account/1011444488/", 1011444488)</f>
        <v>1011444488</v>
      </c>
      <c r="D1880">
        <v>-14808.41</v>
      </c>
    </row>
    <row r="1881" spans="1:4" hidden="1" x14ac:dyDescent="0.3">
      <c r="A1881" t="s">
        <v>283</v>
      </c>
      <c r="B1881" t="s">
        <v>66</v>
      </c>
      <c r="C1881" s="1">
        <f>HYPERLINK("https://cao.dolgi.msk.ru/account/1011444963/", 1011444963)</f>
        <v>1011444963</v>
      </c>
      <c r="D1881">
        <v>-11042.57</v>
      </c>
    </row>
    <row r="1882" spans="1:4" x14ac:dyDescent="0.3">
      <c r="A1882" t="s">
        <v>283</v>
      </c>
      <c r="B1882" t="s">
        <v>67</v>
      </c>
      <c r="C1882" s="1">
        <f>HYPERLINK("https://cao.dolgi.msk.ru/account/1011445114/", 1011445114)</f>
        <v>1011445114</v>
      </c>
      <c r="D1882">
        <v>562.41</v>
      </c>
    </row>
    <row r="1883" spans="1:4" x14ac:dyDescent="0.3">
      <c r="A1883" t="s">
        <v>283</v>
      </c>
      <c r="B1883" t="s">
        <v>68</v>
      </c>
      <c r="C1883" s="1">
        <f>HYPERLINK("https://cao.dolgi.msk.ru/account/1011444816/", 1011444816)</f>
        <v>1011444816</v>
      </c>
      <c r="D1883">
        <v>9691.1299999999992</v>
      </c>
    </row>
    <row r="1884" spans="1:4" hidden="1" x14ac:dyDescent="0.3">
      <c r="A1884" t="s">
        <v>283</v>
      </c>
      <c r="B1884" t="s">
        <v>69</v>
      </c>
      <c r="C1884" s="1">
        <f>HYPERLINK("https://cao.dolgi.msk.ru/account/1011444584/", 1011444584)</f>
        <v>1011444584</v>
      </c>
      <c r="D1884">
        <v>-243.76</v>
      </c>
    </row>
    <row r="1885" spans="1:4" hidden="1" x14ac:dyDescent="0.3">
      <c r="A1885" t="s">
        <v>283</v>
      </c>
      <c r="B1885" t="s">
        <v>70</v>
      </c>
      <c r="C1885" s="1">
        <f>HYPERLINK("https://cao.dolgi.msk.ru/account/1011444795/", 1011444795)</f>
        <v>1011444795</v>
      </c>
      <c r="D1885">
        <v>-8202.7000000000007</v>
      </c>
    </row>
    <row r="1886" spans="1:4" x14ac:dyDescent="0.3">
      <c r="A1886" t="s">
        <v>283</v>
      </c>
      <c r="B1886" t="s">
        <v>259</v>
      </c>
      <c r="C1886" s="1">
        <f>HYPERLINK("https://cao.dolgi.msk.ru/account/1011444875/", 1011444875)</f>
        <v>1011444875</v>
      </c>
      <c r="D1886">
        <v>6273.31</v>
      </c>
    </row>
    <row r="1887" spans="1:4" hidden="1" x14ac:dyDescent="0.3">
      <c r="A1887" t="s">
        <v>283</v>
      </c>
      <c r="B1887" t="s">
        <v>100</v>
      </c>
      <c r="C1887" s="1">
        <f>HYPERLINK("https://cao.dolgi.msk.ru/account/1011444912/", 1011444912)</f>
        <v>1011444912</v>
      </c>
      <c r="D1887">
        <v>0</v>
      </c>
    </row>
    <row r="1888" spans="1:4" hidden="1" x14ac:dyDescent="0.3">
      <c r="A1888" t="s">
        <v>283</v>
      </c>
      <c r="B1888" t="s">
        <v>72</v>
      </c>
      <c r="C1888" s="1">
        <f>HYPERLINK("https://cao.dolgi.msk.ru/account/1011444453/", 1011444453)</f>
        <v>1011444453</v>
      </c>
      <c r="D1888">
        <v>0</v>
      </c>
    </row>
    <row r="1889" spans="1:4" hidden="1" x14ac:dyDescent="0.3">
      <c r="A1889" t="s">
        <v>283</v>
      </c>
      <c r="B1889" t="s">
        <v>73</v>
      </c>
      <c r="C1889" s="1">
        <f>HYPERLINK("https://cao.dolgi.msk.ru/account/1011444859/", 1011444859)</f>
        <v>1011444859</v>
      </c>
      <c r="D1889">
        <v>-6557.32</v>
      </c>
    </row>
    <row r="1890" spans="1:4" hidden="1" x14ac:dyDescent="0.3">
      <c r="A1890" t="s">
        <v>283</v>
      </c>
      <c r="B1890" t="s">
        <v>74</v>
      </c>
      <c r="C1890" s="1">
        <f>HYPERLINK("https://cao.dolgi.msk.ru/account/1011445122/", 1011445122)</f>
        <v>1011445122</v>
      </c>
      <c r="D1890">
        <v>-8895.49</v>
      </c>
    </row>
    <row r="1891" spans="1:4" x14ac:dyDescent="0.3">
      <c r="A1891" t="s">
        <v>283</v>
      </c>
      <c r="B1891" t="s">
        <v>75</v>
      </c>
      <c r="C1891" s="1">
        <f>HYPERLINK("https://cao.dolgi.msk.ru/account/1011444525/", 1011444525)</f>
        <v>1011444525</v>
      </c>
      <c r="D1891">
        <v>4641.9399999999996</v>
      </c>
    </row>
    <row r="1892" spans="1:4" x14ac:dyDescent="0.3">
      <c r="A1892" t="s">
        <v>283</v>
      </c>
      <c r="B1892" t="s">
        <v>76</v>
      </c>
      <c r="C1892" s="1">
        <f>HYPERLINK("https://cao.dolgi.msk.ru/account/1011444461/", 1011444461)</f>
        <v>1011444461</v>
      </c>
      <c r="D1892">
        <v>4595.5600000000004</v>
      </c>
    </row>
    <row r="1893" spans="1:4" hidden="1" x14ac:dyDescent="0.3">
      <c r="A1893" t="s">
        <v>283</v>
      </c>
      <c r="B1893" t="s">
        <v>77</v>
      </c>
      <c r="C1893" s="1">
        <f>HYPERLINK("https://cao.dolgi.msk.ru/account/1011444701/", 1011444701)</f>
        <v>1011444701</v>
      </c>
      <c r="D1893">
        <v>0</v>
      </c>
    </row>
    <row r="1894" spans="1:4" hidden="1" x14ac:dyDescent="0.3">
      <c r="A1894" t="s">
        <v>283</v>
      </c>
      <c r="B1894" t="s">
        <v>78</v>
      </c>
      <c r="C1894" s="1">
        <f>HYPERLINK("https://cao.dolgi.msk.ru/account/1011444664/", 1011444664)</f>
        <v>1011444664</v>
      </c>
      <c r="D1894">
        <v>-4.01</v>
      </c>
    </row>
    <row r="1895" spans="1:4" x14ac:dyDescent="0.3">
      <c r="A1895" t="s">
        <v>283</v>
      </c>
      <c r="B1895" t="s">
        <v>79</v>
      </c>
      <c r="C1895" s="1">
        <f>HYPERLINK("https://cao.dolgi.msk.ru/account/1011444402/", 1011444402)</f>
        <v>1011444402</v>
      </c>
      <c r="D1895">
        <v>13558.3</v>
      </c>
    </row>
    <row r="1896" spans="1:4" hidden="1" x14ac:dyDescent="0.3">
      <c r="A1896" t="s">
        <v>283</v>
      </c>
      <c r="B1896" t="s">
        <v>80</v>
      </c>
      <c r="C1896" s="1">
        <f>HYPERLINK("https://cao.dolgi.msk.ru/account/1011444349/", 1011444349)</f>
        <v>1011444349</v>
      </c>
      <c r="D1896">
        <v>0</v>
      </c>
    </row>
    <row r="1897" spans="1:4" hidden="1" x14ac:dyDescent="0.3">
      <c r="A1897" t="s">
        <v>283</v>
      </c>
      <c r="B1897" t="s">
        <v>81</v>
      </c>
      <c r="C1897" s="1">
        <f>HYPERLINK("https://cao.dolgi.msk.ru/account/1011444226/", 1011444226)</f>
        <v>1011444226</v>
      </c>
      <c r="D1897">
        <v>0</v>
      </c>
    </row>
    <row r="1898" spans="1:4" hidden="1" x14ac:dyDescent="0.3">
      <c r="A1898" t="s">
        <v>283</v>
      </c>
      <c r="B1898" t="s">
        <v>101</v>
      </c>
      <c r="C1898" s="1">
        <f>HYPERLINK("https://cao.dolgi.msk.ru/account/1011444728/", 1011444728)</f>
        <v>1011444728</v>
      </c>
      <c r="D1898">
        <v>0</v>
      </c>
    </row>
    <row r="1899" spans="1:4" hidden="1" x14ac:dyDescent="0.3">
      <c r="A1899" t="s">
        <v>283</v>
      </c>
      <c r="B1899" t="s">
        <v>82</v>
      </c>
      <c r="C1899" s="1">
        <f>HYPERLINK("https://cao.dolgi.msk.ru/account/1011444832/", 1011444832)</f>
        <v>1011444832</v>
      </c>
      <c r="D1899">
        <v>0</v>
      </c>
    </row>
    <row r="1900" spans="1:4" hidden="1" x14ac:dyDescent="0.3">
      <c r="A1900" t="s">
        <v>283</v>
      </c>
      <c r="B1900" t="s">
        <v>83</v>
      </c>
      <c r="C1900" s="1">
        <f>HYPERLINK("https://cao.dolgi.msk.ru/account/1011444998/", 1011444998)</f>
        <v>1011444998</v>
      </c>
      <c r="D1900">
        <v>0</v>
      </c>
    </row>
    <row r="1901" spans="1:4" hidden="1" x14ac:dyDescent="0.3">
      <c r="A1901" t="s">
        <v>283</v>
      </c>
      <c r="B1901" t="s">
        <v>84</v>
      </c>
      <c r="C1901" s="1">
        <f>HYPERLINK("https://cao.dolgi.msk.ru/account/1011444197/", 1011444197)</f>
        <v>1011444197</v>
      </c>
      <c r="D1901">
        <v>0</v>
      </c>
    </row>
    <row r="1902" spans="1:4" hidden="1" x14ac:dyDescent="0.3">
      <c r="A1902" t="s">
        <v>283</v>
      </c>
      <c r="B1902" t="s">
        <v>85</v>
      </c>
      <c r="C1902" s="1">
        <f>HYPERLINK("https://cao.dolgi.msk.ru/account/1011444808/", 1011444808)</f>
        <v>1011444808</v>
      </c>
      <c r="D1902">
        <v>-1397.74</v>
      </c>
    </row>
    <row r="1903" spans="1:4" x14ac:dyDescent="0.3">
      <c r="A1903" t="s">
        <v>283</v>
      </c>
      <c r="B1903" t="s">
        <v>102</v>
      </c>
      <c r="C1903" s="1">
        <f>HYPERLINK("https://cao.dolgi.msk.ru/account/1011444672/", 1011444672)</f>
        <v>1011444672</v>
      </c>
      <c r="D1903">
        <v>16872.27</v>
      </c>
    </row>
    <row r="1904" spans="1:4" hidden="1" x14ac:dyDescent="0.3">
      <c r="A1904" t="s">
        <v>283</v>
      </c>
      <c r="B1904" t="s">
        <v>103</v>
      </c>
      <c r="C1904" s="1">
        <f>HYPERLINK("https://cao.dolgi.msk.ru/account/1011445042/", 1011445042)</f>
        <v>1011445042</v>
      </c>
      <c r="D1904">
        <v>-48207.03</v>
      </c>
    </row>
    <row r="1905" spans="1:4" hidden="1" x14ac:dyDescent="0.3">
      <c r="A1905" t="s">
        <v>283</v>
      </c>
      <c r="B1905" t="s">
        <v>104</v>
      </c>
      <c r="C1905" s="1">
        <f>HYPERLINK("https://cao.dolgi.msk.ru/account/1011444541/", 1011444541)</f>
        <v>1011444541</v>
      </c>
      <c r="D1905">
        <v>0</v>
      </c>
    </row>
    <row r="1906" spans="1:4" hidden="1" x14ac:dyDescent="0.3">
      <c r="A1906" t="s">
        <v>283</v>
      </c>
      <c r="B1906" t="s">
        <v>105</v>
      </c>
      <c r="C1906" s="1">
        <f>HYPERLINK("https://cao.dolgi.msk.ru/account/1011444824/", 1011444824)</f>
        <v>1011444824</v>
      </c>
      <c r="D1906">
        <v>0</v>
      </c>
    </row>
    <row r="1907" spans="1:4" hidden="1" x14ac:dyDescent="0.3">
      <c r="A1907" t="s">
        <v>283</v>
      </c>
      <c r="B1907" t="s">
        <v>106</v>
      </c>
      <c r="C1907" s="1">
        <f>HYPERLINK("https://cao.dolgi.msk.ru/account/1011444939/", 1011444939)</f>
        <v>1011444939</v>
      </c>
      <c r="D1907">
        <v>0</v>
      </c>
    </row>
    <row r="1908" spans="1:4" hidden="1" x14ac:dyDescent="0.3">
      <c r="A1908" t="s">
        <v>283</v>
      </c>
      <c r="B1908" t="s">
        <v>107</v>
      </c>
      <c r="C1908" s="1">
        <f>HYPERLINK("https://cao.dolgi.msk.ru/account/1011444293/", 1011444293)</f>
        <v>1011444293</v>
      </c>
      <c r="D1908">
        <v>-7810.89</v>
      </c>
    </row>
    <row r="1909" spans="1:4" x14ac:dyDescent="0.3">
      <c r="A1909" t="s">
        <v>283</v>
      </c>
      <c r="B1909" t="s">
        <v>108</v>
      </c>
      <c r="C1909" s="1">
        <f>HYPERLINK("https://cao.dolgi.msk.ru/account/1011444621/", 1011444621)</f>
        <v>1011444621</v>
      </c>
      <c r="D1909">
        <v>268.33</v>
      </c>
    </row>
    <row r="1910" spans="1:4" x14ac:dyDescent="0.3">
      <c r="A1910" t="s">
        <v>283</v>
      </c>
      <c r="B1910" t="s">
        <v>109</v>
      </c>
      <c r="C1910" s="1">
        <f>HYPERLINK("https://cao.dolgi.msk.ru/account/1011444883/", 1011444883)</f>
        <v>1011444883</v>
      </c>
      <c r="D1910">
        <v>6680.39</v>
      </c>
    </row>
    <row r="1911" spans="1:4" x14ac:dyDescent="0.3">
      <c r="A1911" t="s">
        <v>284</v>
      </c>
      <c r="B1911" t="s">
        <v>6</v>
      </c>
      <c r="C1911" s="1">
        <f>HYPERLINK("https://cao.dolgi.msk.ru/account/1011071095/", 1011071095)</f>
        <v>1011071095</v>
      </c>
      <c r="D1911">
        <v>13977.06</v>
      </c>
    </row>
    <row r="1912" spans="1:4" hidden="1" x14ac:dyDescent="0.3">
      <c r="A1912" t="s">
        <v>284</v>
      </c>
      <c r="B1912" t="s">
        <v>28</v>
      </c>
      <c r="C1912" s="1">
        <f>HYPERLINK("https://cao.dolgi.msk.ru/account/1011071247/", 1011071247)</f>
        <v>1011071247</v>
      </c>
      <c r="D1912">
        <v>0</v>
      </c>
    </row>
    <row r="1913" spans="1:4" x14ac:dyDescent="0.3">
      <c r="A1913" t="s">
        <v>284</v>
      </c>
      <c r="B1913" t="s">
        <v>35</v>
      </c>
      <c r="C1913" s="1">
        <f>HYPERLINK("https://cao.dolgi.msk.ru/account/1011071028/", 1011071028)</f>
        <v>1011071028</v>
      </c>
      <c r="D1913">
        <v>52673.52</v>
      </c>
    </row>
    <row r="1914" spans="1:4" hidden="1" x14ac:dyDescent="0.3">
      <c r="A1914" t="s">
        <v>284</v>
      </c>
      <c r="B1914" t="s">
        <v>5</v>
      </c>
      <c r="C1914" s="1">
        <f>HYPERLINK("https://cao.dolgi.msk.ru/account/1011071159/", 1011071159)</f>
        <v>1011071159</v>
      </c>
      <c r="D1914">
        <v>-167.79</v>
      </c>
    </row>
    <row r="1915" spans="1:4" hidden="1" x14ac:dyDescent="0.3">
      <c r="A1915" t="s">
        <v>284</v>
      </c>
      <c r="B1915" t="s">
        <v>7</v>
      </c>
      <c r="C1915" s="1">
        <f>HYPERLINK("https://cao.dolgi.msk.ru/account/1011071183/", 1011071183)</f>
        <v>1011071183</v>
      </c>
      <c r="D1915">
        <v>-49.11</v>
      </c>
    </row>
    <row r="1916" spans="1:4" hidden="1" x14ac:dyDescent="0.3">
      <c r="A1916" t="s">
        <v>284</v>
      </c>
      <c r="B1916" t="s">
        <v>8</v>
      </c>
      <c r="C1916" s="1">
        <f>HYPERLINK("https://cao.dolgi.msk.ru/account/1011071394/", 1011071394)</f>
        <v>1011071394</v>
      </c>
      <c r="D1916">
        <v>-377.65</v>
      </c>
    </row>
    <row r="1917" spans="1:4" hidden="1" x14ac:dyDescent="0.3">
      <c r="A1917" t="s">
        <v>284</v>
      </c>
      <c r="B1917" t="s">
        <v>31</v>
      </c>
      <c r="C1917" s="1">
        <f>HYPERLINK("https://cao.dolgi.msk.ru/account/1011070877/", 1011070877)</f>
        <v>1011070877</v>
      </c>
      <c r="D1917">
        <v>-5950.65</v>
      </c>
    </row>
    <row r="1918" spans="1:4" hidden="1" x14ac:dyDescent="0.3">
      <c r="A1918" t="s">
        <v>284</v>
      </c>
      <c r="B1918" t="s">
        <v>9</v>
      </c>
      <c r="C1918" s="1">
        <f>HYPERLINK("https://cao.dolgi.msk.ru/account/1011071589/", 1011071589)</f>
        <v>1011071589</v>
      </c>
      <c r="D1918">
        <v>0</v>
      </c>
    </row>
    <row r="1919" spans="1:4" hidden="1" x14ac:dyDescent="0.3">
      <c r="A1919" t="s">
        <v>284</v>
      </c>
      <c r="B1919" t="s">
        <v>10</v>
      </c>
      <c r="C1919" s="1">
        <f>HYPERLINK("https://cao.dolgi.msk.ru/account/1011071319/", 1011071319)</f>
        <v>1011071319</v>
      </c>
      <c r="D1919">
        <v>0</v>
      </c>
    </row>
    <row r="1920" spans="1:4" hidden="1" x14ac:dyDescent="0.3">
      <c r="A1920" t="s">
        <v>284</v>
      </c>
      <c r="B1920" t="s">
        <v>11</v>
      </c>
      <c r="C1920" s="1">
        <f>HYPERLINK("https://cao.dolgi.msk.ru/account/1011071087/", 1011071087)</f>
        <v>1011071087</v>
      </c>
      <c r="D1920">
        <v>-160</v>
      </c>
    </row>
    <row r="1921" spans="1:4" hidden="1" x14ac:dyDescent="0.3">
      <c r="A1921" t="s">
        <v>284</v>
      </c>
      <c r="B1921" t="s">
        <v>12</v>
      </c>
      <c r="C1921" s="1">
        <f>HYPERLINK("https://cao.dolgi.msk.ru/account/1011070906/", 1011070906)</f>
        <v>1011070906</v>
      </c>
      <c r="D1921">
        <v>-2398.34</v>
      </c>
    </row>
    <row r="1922" spans="1:4" hidden="1" x14ac:dyDescent="0.3">
      <c r="A1922" t="s">
        <v>284</v>
      </c>
      <c r="B1922" t="s">
        <v>23</v>
      </c>
      <c r="C1922" s="1">
        <f>HYPERLINK("https://cao.dolgi.msk.ru/account/1011070738/", 1011070738)</f>
        <v>1011070738</v>
      </c>
      <c r="D1922">
        <v>0</v>
      </c>
    </row>
    <row r="1923" spans="1:4" hidden="1" x14ac:dyDescent="0.3">
      <c r="A1923" t="s">
        <v>284</v>
      </c>
      <c r="B1923" t="s">
        <v>13</v>
      </c>
      <c r="C1923" s="1">
        <f>HYPERLINK("https://cao.dolgi.msk.ru/account/1011071634/", 1011071634)</f>
        <v>1011071634</v>
      </c>
      <c r="D1923">
        <v>0</v>
      </c>
    </row>
    <row r="1924" spans="1:4" hidden="1" x14ac:dyDescent="0.3">
      <c r="A1924" t="s">
        <v>284</v>
      </c>
      <c r="B1924" t="s">
        <v>14</v>
      </c>
      <c r="C1924" s="1">
        <f>HYPERLINK("https://cao.dolgi.msk.ru/account/1011070674/", 1011070674)</f>
        <v>1011070674</v>
      </c>
      <c r="D1924">
        <v>0</v>
      </c>
    </row>
    <row r="1925" spans="1:4" x14ac:dyDescent="0.3">
      <c r="A1925" t="s">
        <v>284</v>
      </c>
      <c r="B1925" t="s">
        <v>16</v>
      </c>
      <c r="C1925" s="1">
        <f>HYPERLINK("https://cao.dolgi.msk.ru/account/1011070762/", 1011070762)</f>
        <v>1011070762</v>
      </c>
      <c r="D1925">
        <v>6980.02</v>
      </c>
    </row>
    <row r="1926" spans="1:4" hidden="1" x14ac:dyDescent="0.3">
      <c r="A1926" t="s">
        <v>284</v>
      </c>
      <c r="B1926" t="s">
        <v>17</v>
      </c>
      <c r="C1926" s="1">
        <f>HYPERLINK("https://cao.dolgi.msk.ru/account/1011070658/", 1011070658)</f>
        <v>1011070658</v>
      </c>
      <c r="D1926">
        <v>0</v>
      </c>
    </row>
    <row r="1927" spans="1:4" hidden="1" x14ac:dyDescent="0.3">
      <c r="A1927" t="s">
        <v>284</v>
      </c>
      <c r="B1927" t="s">
        <v>18</v>
      </c>
      <c r="C1927" s="1">
        <f>HYPERLINK("https://cao.dolgi.msk.ru/account/1011071132/", 1011071132)</f>
        <v>1011071132</v>
      </c>
      <c r="D1927">
        <v>0</v>
      </c>
    </row>
    <row r="1928" spans="1:4" x14ac:dyDescent="0.3">
      <c r="A1928" t="s">
        <v>284</v>
      </c>
      <c r="B1928" t="s">
        <v>19</v>
      </c>
      <c r="C1928" s="1">
        <f>HYPERLINK("https://cao.dolgi.msk.ru/account/1011071466/", 1011071466)</f>
        <v>1011071466</v>
      </c>
      <c r="D1928">
        <v>5794.55</v>
      </c>
    </row>
    <row r="1929" spans="1:4" hidden="1" x14ac:dyDescent="0.3">
      <c r="A1929" t="s">
        <v>284</v>
      </c>
      <c r="B1929" t="s">
        <v>20</v>
      </c>
      <c r="C1929" s="1">
        <f>HYPERLINK("https://cao.dolgi.msk.ru/account/1011071474/", 1011071474)</f>
        <v>1011071474</v>
      </c>
      <c r="D1929">
        <v>-15.93</v>
      </c>
    </row>
    <row r="1930" spans="1:4" hidden="1" x14ac:dyDescent="0.3">
      <c r="A1930" t="s">
        <v>284</v>
      </c>
      <c r="B1930" t="s">
        <v>21</v>
      </c>
      <c r="C1930" s="1">
        <f>HYPERLINK("https://cao.dolgi.msk.ru/account/1011071052/", 1011071052)</f>
        <v>1011071052</v>
      </c>
      <c r="D1930">
        <v>0</v>
      </c>
    </row>
    <row r="1931" spans="1:4" hidden="1" x14ac:dyDescent="0.3">
      <c r="A1931" t="s">
        <v>284</v>
      </c>
      <c r="B1931" t="s">
        <v>22</v>
      </c>
      <c r="C1931" s="1">
        <f>HYPERLINK("https://cao.dolgi.msk.ru/account/1011071175/", 1011071175)</f>
        <v>1011071175</v>
      </c>
      <c r="D1931">
        <v>0</v>
      </c>
    </row>
    <row r="1932" spans="1:4" x14ac:dyDescent="0.3">
      <c r="A1932" t="s">
        <v>284</v>
      </c>
      <c r="B1932" t="s">
        <v>24</v>
      </c>
      <c r="C1932" s="1">
        <f>HYPERLINK("https://cao.dolgi.msk.ru/account/1011071669/", 1011071669)</f>
        <v>1011071669</v>
      </c>
      <c r="D1932">
        <v>67179.490000000005</v>
      </c>
    </row>
    <row r="1933" spans="1:4" hidden="1" x14ac:dyDescent="0.3">
      <c r="A1933" t="s">
        <v>284</v>
      </c>
      <c r="B1933" t="s">
        <v>25</v>
      </c>
      <c r="C1933" s="1">
        <f>HYPERLINK("https://cao.dolgi.msk.ru/account/1011071423/", 1011071423)</f>
        <v>1011071423</v>
      </c>
      <c r="D1933">
        <v>-3278.61</v>
      </c>
    </row>
    <row r="1934" spans="1:4" hidden="1" x14ac:dyDescent="0.3">
      <c r="A1934" t="s">
        <v>284</v>
      </c>
      <c r="B1934" t="s">
        <v>26</v>
      </c>
      <c r="C1934" s="1">
        <f>HYPERLINK("https://cao.dolgi.msk.ru/account/1011070834/", 1011070834)</f>
        <v>1011070834</v>
      </c>
      <c r="D1934">
        <v>0</v>
      </c>
    </row>
    <row r="1935" spans="1:4" hidden="1" x14ac:dyDescent="0.3">
      <c r="A1935" t="s">
        <v>284</v>
      </c>
      <c r="B1935" t="s">
        <v>27</v>
      </c>
      <c r="C1935" s="1">
        <f>HYPERLINK("https://cao.dolgi.msk.ru/account/1011071431/", 1011071431)</f>
        <v>1011071431</v>
      </c>
      <c r="D1935">
        <v>0</v>
      </c>
    </row>
    <row r="1936" spans="1:4" hidden="1" x14ac:dyDescent="0.3">
      <c r="A1936" t="s">
        <v>284</v>
      </c>
      <c r="B1936" t="s">
        <v>29</v>
      </c>
      <c r="C1936" s="1">
        <f>HYPERLINK("https://cao.dolgi.msk.ru/account/1011071116/", 1011071116)</f>
        <v>1011071116</v>
      </c>
      <c r="D1936">
        <v>-33.21</v>
      </c>
    </row>
    <row r="1937" spans="1:4" hidden="1" x14ac:dyDescent="0.3">
      <c r="A1937" t="s">
        <v>284</v>
      </c>
      <c r="B1937" t="s">
        <v>38</v>
      </c>
      <c r="C1937" s="1">
        <f>HYPERLINK("https://cao.dolgi.msk.ru/account/1011071191/", 1011071191)</f>
        <v>1011071191</v>
      </c>
      <c r="D1937">
        <v>-1543.93</v>
      </c>
    </row>
    <row r="1938" spans="1:4" hidden="1" x14ac:dyDescent="0.3">
      <c r="A1938" t="s">
        <v>284</v>
      </c>
      <c r="B1938" t="s">
        <v>39</v>
      </c>
      <c r="C1938" s="1">
        <f>HYPERLINK("https://cao.dolgi.msk.ru/account/1011071503/", 1011071503)</f>
        <v>1011071503</v>
      </c>
      <c r="D1938">
        <v>-300</v>
      </c>
    </row>
    <row r="1939" spans="1:4" x14ac:dyDescent="0.3">
      <c r="A1939" t="s">
        <v>284</v>
      </c>
      <c r="B1939" t="s">
        <v>40</v>
      </c>
      <c r="C1939" s="1">
        <f>HYPERLINK("https://cao.dolgi.msk.ru/account/1011071597/", 1011071597)</f>
        <v>1011071597</v>
      </c>
      <c r="D1939">
        <v>7202.8</v>
      </c>
    </row>
    <row r="1940" spans="1:4" x14ac:dyDescent="0.3">
      <c r="A1940" t="s">
        <v>284</v>
      </c>
      <c r="B1940" t="s">
        <v>41</v>
      </c>
      <c r="C1940" s="1">
        <f>HYPERLINK("https://cao.dolgi.msk.ru/account/1011071001/", 1011071001)</f>
        <v>1011071001</v>
      </c>
      <c r="D1940">
        <v>19640.509999999998</v>
      </c>
    </row>
    <row r="1941" spans="1:4" hidden="1" x14ac:dyDescent="0.3">
      <c r="A1941" t="s">
        <v>284</v>
      </c>
      <c r="B1941" t="s">
        <v>51</v>
      </c>
      <c r="C1941" s="1">
        <f>HYPERLINK("https://cao.dolgi.msk.ru/account/1011070754/", 1011070754)</f>
        <v>1011070754</v>
      </c>
      <c r="D1941">
        <v>0</v>
      </c>
    </row>
    <row r="1942" spans="1:4" hidden="1" x14ac:dyDescent="0.3">
      <c r="A1942" t="s">
        <v>284</v>
      </c>
      <c r="B1942" t="s">
        <v>52</v>
      </c>
      <c r="C1942" s="1">
        <f>HYPERLINK("https://cao.dolgi.msk.ru/account/1011071458/", 1011071458)</f>
        <v>1011071458</v>
      </c>
      <c r="D1942">
        <v>-16.52</v>
      </c>
    </row>
    <row r="1943" spans="1:4" x14ac:dyDescent="0.3">
      <c r="A1943" t="s">
        <v>284</v>
      </c>
      <c r="B1943" t="s">
        <v>53</v>
      </c>
      <c r="C1943" s="1">
        <f>HYPERLINK("https://cao.dolgi.msk.ru/account/1011070746/", 1011070746)</f>
        <v>1011070746</v>
      </c>
      <c r="D1943">
        <v>3955</v>
      </c>
    </row>
    <row r="1944" spans="1:4" hidden="1" x14ac:dyDescent="0.3">
      <c r="A1944" t="s">
        <v>284</v>
      </c>
      <c r="B1944" t="s">
        <v>54</v>
      </c>
      <c r="C1944" s="1">
        <f>HYPERLINK("https://cao.dolgi.msk.ru/account/1011070818/", 1011070818)</f>
        <v>1011070818</v>
      </c>
      <c r="D1944">
        <v>0</v>
      </c>
    </row>
    <row r="1945" spans="1:4" hidden="1" x14ac:dyDescent="0.3">
      <c r="A1945" t="s">
        <v>284</v>
      </c>
      <c r="B1945" t="s">
        <v>55</v>
      </c>
      <c r="C1945" s="1">
        <f>HYPERLINK("https://cao.dolgi.msk.ru/account/1011070869/", 1011070869)</f>
        <v>1011070869</v>
      </c>
      <c r="D1945">
        <v>0</v>
      </c>
    </row>
    <row r="1946" spans="1:4" hidden="1" x14ac:dyDescent="0.3">
      <c r="A1946" t="s">
        <v>284</v>
      </c>
      <c r="B1946" t="s">
        <v>56</v>
      </c>
      <c r="C1946" s="1">
        <f>HYPERLINK("https://cao.dolgi.msk.ru/account/1011070885/", 1011070885)</f>
        <v>1011070885</v>
      </c>
      <c r="D1946">
        <v>-7121.63</v>
      </c>
    </row>
    <row r="1947" spans="1:4" hidden="1" x14ac:dyDescent="0.3">
      <c r="A1947" t="s">
        <v>284</v>
      </c>
      <c r="B1947" t="s">
        <v>87</v>
      </c>
      <c r="C1947" s="1">
        <f>HYPERLINK("https://cao.dolgi.msk.ru/account/1011071351/", 1011071351)</f>
        <v>1011071351</v>
      </c>
      <c r="D1947">
        <v>0</v>
      </c>
    </row>
    <row r="1948" spans="1:4" hidden="1" x14ac:dyDescent="0.3">
      <c r="A1948" t="s">
        <v>284</v>
      </c>
      <c r="B1948" t="s">
        <v>88</v>
      </c>
      <c r="C1948" s="1">
        <f>HYPERLINK("https://cao.dolgi.msk.ru/account/1011071255/", 1011071255)</f>
        <v>1011071255</v>
      </c>
      <c r="D1948">
        <v>0</v>
      </c>
    </row>
    <row r="1949" spans="1:4" hidden="1" x14ac:dyDescent="0.3">
      <c r="A1949" t="s">
        <v>284</v>
      </c>
      <c r="B1949" t="s">
        <v>89</v>
      </c>
      <c r="C1949" s="1">
        <f>HYPERLINK("https://cao.dolgi.msk.ru/account/1011071482/", 1011071482)</f>
        <v>1011071482</v>
      </c>
      <c r="D1949">
        <v>0</v>
      </c>
    </row>
    <row r="1950" spans="1:4" hidden="1" x14ac:dyDescent="0.3">
      <c r="A1950" t="s">
        <v>284</v>
      </c>
      <c r="B1950" t="s">
        <v>90</v>
      </c>
      <c r="C1950" s="1">
        <f>HYPERLINK("https://cao.dolgi.msk.ru/account/1011070981/", 1011070981)</f>
        <v>1011070981</v>
      </c>
      <c r="D1950">
        <v>0</v>
      </c>
    </row>
    <row r="1951" spans="1:4" hidden="1" x14ac:dyDescent="0.3">
      <c r="A1951" t="s">
        <v>284</v>
      </c>
      <c r="B1951" t="s">
        <v>96</v>
      </c>
      <c r="C1951" s="1">
        <f>HYPERLINK("https://cao.dolgi.msk.ru/account/1011071511/", 1011071511)</f>
        <v>1011071511</v>
      </c>
      <c r="D1951">
        <v>-296.22000000000003</v>
      </c>
    </row>
    <row r="1952" spans="1:4" hidden="1" x14ac:dyDescent="0.3">
      <c r="A1952" t="s">
        <v>284</v>
      </c>
      <c r="B1952" t="s">
        <v>97</v>
      </c>
      <c r="C1952" s="1">
        <f>HYPERLINK("https://cao.dolgi.msk.ru/account/1011071263/", 1011071263)</f>
        <v>1011071263</v>
      </c>
      <c r="D1952">
        <v>-4282.6099999999997</v>
      </c>
    </row>
    <row r="1953" spans="1:4" hidden="1" x14ac:dyDescent="0.3">
      <c r="A1953" t="s">
        <v>284</v>
      </c>
      <c r="B1953" t="s">
        <v>98</v>
      </c>
      <c r="C1953" s="1">
        <f>HYPERLINK("https://cao.dolgi.msk.ru/account/1011070789/", 1011070789)</f>
        <v>1011070789</v>
      </c>
      <c r="D1953">
        <v>-60</v>
      </c>
    </row>
    <row r="1954" spans="1:4" hidden="1" x14ac:dyDescent="0.3">
      <c r="A1954" t="s">
        <v>284</v>
      </c>
      <c r="B1954" t="s">
        <v>58</v>
      </c>
      <c r="C1954" s="1">
        <f>HYPERLINK("https://cao.dolgi.msk.ru/account/1011071407/", 1011071407)</f>
        <v>1011071407</v>
      </c>
      <c r="D1954">
        <v>0</v>
      </c>
    </row>
    <row r="1955" spans="1:4" hidden="1" x14ac:dyDescent="0.3">
      <c r="A1955" t="s">
        <v>284</v>
      </c>
      <c r="B1955" t="s">
        <v>59</v>
      </c>
      <c r="C1955" s="1">
        <f>HYPERLINK("https://cao.dolgi.msk.ru/account/1011071044/", 1011071044)</f>
        <v>1011071044</v>
      </c>
      <c r="D1955">
        <v>0</v>
      </c>
    </row>
    <row r="1956" spans="1:4" hidden="1" x14ac:dyDescent="0.3">
      <c r="A1956" t="s">
        <v>284</v>
      </c>
      <c r="B1956" t="s">
        <v>60</v>
      </c>
      <c r="C1956" s="1">
        <f>HYPERLINK("https://cao.dolgi.msk.ru/account/1011070893/", 1011070893)</f>
        <v>1011070893</v>
      </c>
      <c r="D1956">
        <v>-110</v>
      </c>
    </row>
    <row r="1957" spans="1:4" hidden="1" x14ac:dyDescent="0.3">
      <c r="A1957" t="s">
        <v>284</v>
      </c>
      <c r="B1957" t="s">
        <v>61</v>
      </c>
      <c r="C1957" s="1">
        <f>HYPERLINK("https://cao.dolgi.msk.ru/account/1011070682/", 1011070682)</f>
        <v>1011070682</v>
      </c>
      <c r="D1957">
        <v>-0.28000000000000003</v>
      </c>
    </row>
    <row r="1958" spans="1:4" hidden="1" x14ac:dyDescent="0.3">
      <c r="A1958" t="s">
        <v>284</v>
      </c>
      <c r="B1958" t="s">
        <v>62</v>
      </c>
      <c r="C1958" s="1">
        <f>HYPERLINK("https://cao.dolgi.msk.ru/account/1011070703/", 1011070703)</f>
        <v>1011070703</v>
      </c>
      <c r="D1958">
        <v>0</v>
      </c>
    </row>
    <row r="1959" spans="1:4" hidden="1" x14ac:dyDescent="0.3">
      <c r="A1959" t="s">
        <v>284</v>
      </c>
      <c r="B1959" t="s">
        <v>63</v>
      </c>
      <c r="C1959" s="1">
        <f>HYPERLINK("https://cao.dolgi.msk.ru/account/1011070797/", 1011070797)</f>
        <v>1011070797</v>
      </c>
      <c r="D1959">
        <v>0</v>
      </c>
    </row>
    <row r="1960" spans="1:4" hidden="1" x14ac:dyDescent="0.3">
      <c r="A1960" t="s">
        <v>284</v>
      </c>
      <c r="B1960" t="s">
        <v>64</v>
      </c>
      <c r="C1960" s="1">
        <f>HYPERLINK("https://cao.dolgi.msk.ru/account/1011071378/", 1011071378)</f>
        <v>1011071378</v>
      </c>
      <c r="D1960">
        <v>-7262.44</v>
      </c>
    </row>
    <row r="1961" spans="1:4" hidden="1" x14ac:dyDescent="0.3">
      <c r="A1961" t="s">
        <v>284</v>
      </c>
      <c r="B1961" t="s">
        <v>65</v>
      </c>
      <c r="C1961" s="1">
        <f>HYPERLINK("https://cao.dolgi.msk.ru/account/1011070965/", 1011070965)</f>
        <v>1011070965</v>
      </c>
      <c r="D1961">
        <v>-4503.8999999999996</v>
      </c>
    </row>
    <row r="1962" spans="1:4" hidden="1" x14ac:dyDescent="0.3">
      <c r="A1962" t="s">
        <v>284</v>
      </c>
      <c r="B1962" t="s">
        <v>66</v>
      </c>
      <c r="C1962" s="1">
        <f>HYPERLINK("https://cao.dolgi.msk.ru/account/1011070973/", 1011070973)</f>
        <v>1011070973</v>
      </c>
      <c r="D1962">
        <v>-338.25</v>
      </c>
    </row>
    <row r="1963" spans="1:4" hidden="1" x14ac:dyDescent="0.3">
      <c r="A1963" t="s">
        <v>284</v>
      </c>
      <c r="B1963" t="s">
        <v>66</v>
      </c>
      <c r="C1963" s="1">
        <f>HYPERLINK("https://cao.dolgi.msk.ru/account/1011071124/", 1011071124)</f>
        <v>1011071124</v>
      </c>
      <c r="D1963">
        <v>0</v>
      </c>
    </row>
    <row r="1964" spans="1:4" hidden="1" x14ac:dyDescent="0.3">
      <c r="A1964" t="s">
        <v>284</v>
      </c>
      <c r="B1964" t="s">
        <v>67</v>
      </c>
      <c r="C1964" s="1">
        <f>HYPERLINK("https://cao.dolgi.msk.ru/account/1011071298/", 1011071298)</f>
        <v>1011071298</v>
      </c>
      <c r="D1964">
        <v>-52.36</v>
      </c>
    </row>
    <row r="1965" spans="1:4" hidden="1" x14ac:dyDescent="0.3">
      <c r="A1965" t="s">
        <v>284</v>
      </c>
      <c r="B1965" t="s">
        <v>68</v>
      </c>
      <c r="C1965" s="1">
        <f>HYPERLINK("https://cao.dolgi.msk.ru/account/1011071546/", 1011071546)</f>
        <v>1011071546</v>
      </c>
      <c r="D1965">
        <v>0</v>
      </c>
    </row>
    <row r="1966" spans="1:4" hidden="1" x14ac:dyDescent="0.3">
      <c r="A1966" t="s">
        <v>284</v>
      </c>
      <c r="B1966" t="s">
        <v>69</v>
      </c>
      <c r="C1966" s="1">
        <f>HYPERLINK("https://cao.dolgi.msk.ru/account/1011070914/", 1011070914)</f>
        <v>1011070914</v>
      </c>
      <c r="D1966">
        <v>-2121.08</v>
      </c>
    </row>
    <row r="1967" spans="1:4" hidden="1" x14ac:dyDescent="0.3">
      <c r="A1967" t="s">
        <v>284</v>
      </c>
      <c r="B1967" t="s">
        <v>70</v>
      </c>
      <c r="C1967" s="1">
        <f>HYPERLINK("https://cao.dolgi.msk.ru/account/1011071204/", 1011071204)</f>
        <v>1011071204</v>
      </c>
      <c r="D1967">
        <v>0</v>
      </c>
    </row>
    <row r="1968" spans="1:4" hidden="1" x14ac:dyDescent="0.3">
      <c r="A1968" t="s">
        <v>284</v>
      </c>
      <c r="B1968" t="s">
        <v>259</v>
      </c>
      <c r="C1968" s="1">
        <f>HYPERLINK("https://cao.dolgi.msk.ru/account/1011071327/", 1011071327)</f>
        <v>1011071327</v>
      </c>
      <c r="D1968">
        <v>0</v>
      </c>
    </row>
    <row r="1969" spans="1:4" hidden="1" x14ac:dyDescent="0.3">
      <c r="A1969" t="s">
        <v>284</v>
      </c>
      <c r="B1969" t="s">
        <v>100</v>
      </c>
      <c r="C1969" s="1">
        <f>HYPERLINK("https://cao.dolgi.msk.ru/account/1011071618/", 1011071618)</f>
        <v>1011071618</v>
      </c>
      <c r="D1969">
        <v>-5968.14</v>
      </c>
    </row>
    <row r="1970" spans="1:4" hidden="1" x14ac:dyDescent="0.3">
      <c r="A1970" t="s">
        <v>284</v>
      </c>
      <c r="B1970" t="s">
        <v>72</v>
      </c>
      <c r="C1970" s="1">
        <f>HYPERLINK("https://cao.dolgi.msk.ru/account/1011070949/", 1011070949)</f>
        <v>1011070949</v>
      </c>
      <c r="D1970">
        <v>0</v>
      </c>
    </row>
    <row r="1971" spans="1:4" hidden="1" x14ac:dyDescent="0.3">
      <c r="A1971" t="s">
        <v>284</v>
      </c>
      <c r="B1971" t="s">
        <v>73</v>
      </c>
      <c r="C1971" s="1">
        <f>HYPERLINK("https://cao.dolgi.msk.ru/account/1011071108/", 1011071108)</f>
        <v>1011071108</v>
      </c>
      <c r="D1971">
        <v>0</v>
      </c>
    </row>
    <row r="1972" spans="1:4" hidden="1" x14ac:dyDescent="0.3">
      <c r="A1972" t="s">
        <v>284</v>
      </c>
      <c r="B1972" t="s">
        <v>74</v>
      </c>
      <c r="C1972" s="1">
        <f>HYPERLINK("https://cao.dolgi.msk.ru/account/1011071212/", 1011071212)</f>
        <v>1011071212</v>
      </c>
      <c r="D1972">
        <v>-3110.06</v>
      </c>
    </row>
    <row r="1973" spans="1:4" x14ac:dyDescent="0.3">
      <c r="A1973" t="s">
        <v>284</v>
      </c>
      <c r="B1973" t="s">
        <v>75</v>
      </c>
      <c r="C1973" s="1">
        <f>HYPERLINK("https://cao.dolgi.msk.ru/account/1011070842/", 1011070842)</f>
        <v>1011070842</v>
      </c>
      <c r="D1973">
        <v>6033.72</v>
      </c>
    </row>
    <row r="1974" spans="1:4" x14ac:dyDescent="0.3">
      <c r="A1974" t="s">
        <v>284</v>
      </c>
      <c r="B1974" t="s">
        <v>76</v>
      </c>
      <c r="C1974" s="1">
        <f>HYPERLINK("https://cao.dolgi.msk.ru/account/1011071239/", 1011071239)</f>
        <v>1011071239</v>
      </c>
      <c r="D1974">
        <v>3867.92</v>
      </c>
    </row>
    <row r="1975" spans="1:4" hidden="1" x14ac:dyDescent="0.3">
      <c r="A1975" t="s">
        <v>284</v>
      </c>
      <c r="B1975" t="s">
        <v>77</v>
      </c>
      <c r="C1975" s="1">
        <f>HYPERLINK("https://cao.dolgi.msk.ru/account/1011071036/", 1011071036)</f>
        <v>1011071036</v>
      </c>
      <c r="D1975">
        <v>-838.18</v>
      </c>
    </row>
    <row r="1976" spans="1:4" hidden="1" x14ac:dyDescent="0.3">
      <c r="A1976" t="s">
        <v>284</v>
      </c>
      <c r="B1976" t="s">
        <v>78</v>
      </c>
      <c r="C1976" s="1">
        <f>HYPERLINK("https://cao.dolgi.msk.ru/account/1011071677/", 1011071677)</f>
        <v>1011071677</v>
      </c>
      <c r="D1976">
        <v>-331.88</v>
      </c>
    </row>
    <row r="1977" spans="1:4" hidden="1" x14ac:dyDescent="0.3">
      <c r="A1977" t="s">
        <v>284</v>
      </c>
      <c r="B1977" t="s">
        <v>79</v>
      </c>
      <c r="C1977" s="1">
        <f>HYPERLINK("https://cao.dolgi.msk.ru/account/1011071538/", 1011071538)</f>
        <v>1011071538</v>
      </c>
      <c r="D1977">
        <v>-3252.39</v>
      </c>
    </row>
    <row r="1978" spans="1:4" hidden="1" x14ac:dyDescent="0.3">
      <c r="A1978" t="s">
        <v>284</v>
      </c>
      <c r="B1978" t="s">
        <v>80</v>
      </c>
      <c r="C1978" s="1">
        <f>HYPERLINK("https://cao.dolgi.msk.ru/account/1011071554/", 1011071554)</f>
        <v>1011071554</v>
      </c>
      <c r="D1978">
        <v>-4703.8100000000004</v>
      </c>
    </row>
    <row r="1979" spans="1:4" hidden="1" x14ac:dyDescent="0.3">
      <c r="A1979" t="s">
        <v>284</v>
      </c>
      <c r="B1979" t="s">
        <v>81</v>
      </c>
      <c r="C1979" s="1">
        <f>HYPERLINK("https://cao.dolgi.msk.ru/account/1011071167/", 1011071167)</f>
        <v>1011071167</v>
      </c>
      <c r="D1979">
        <v>-272.41000000000003</v>
      </c>
    </row>
    <row r="1980" spans="1:4" hidden="1" x14ac:dyDescent="0.3">
      <c r="A1980" t="s">
        <v>284</v>
      </c>
      <c r="B1980" t="s">
        <v>101</v>
      </c>
      <c r="C1980" s="1">
        <f>HYPERLINK("https://cao.dolgi.msk.ru/account/1011070957/", 1011070957)</f>
        <v>1011070957</v>
      </c>
      <c r="D1980">
        <v>-116.86</v>
      </c>
    </row>
    <row r="1981" spans="1:4" hidden="1" x14ac:dyDescent="0.3">
      <c r="A1981" t="s">
        <v>284</v>
      </c>
      <c r="B1981" t="s">
        <v>82</v>
      </c>
      <c r="C1981" s="1">
        <f>HYPERLINK("https://cao.dolgi.msk.ru/account/1011070666/", 1011070666)</f>
        <v>1011070666</v>
      </c>
      <c r="D1981">
        <v>0</v>
      </c>
    </row>
    <row r="1982" spans="1:4" x14ac:dyDescent="0.3">
      <c r="A1982" t="s">
        <v>284</v>
      </c>
      <c r="B1982" t="s">
        <v>83</v>
      </c>
      <c r="C1982" s="1">
        <f>HYPERLINK("https://cao.dolgi.msk.ru/account/1011071626/", 1011071626)</f>
        <v>1011071626</v>
      </c>
      <c r="D1982">
        <v>12164.62</v>
      </c>
    </row>
    <row r="1983" spans="1:4" hidden="1" x14ac:dyDescent="0.3">
      <c r="A1983" t="s">
        <v>284</v>
      </c>
      <c r="B1983" t="s">
        <v>84</v>
      </c>
      <c r="C1983" s="1">
        <f>HYPERLINK("https://cao.dolgi.msk.ru/account/1011071335/", 1011071335)</f>
        <v>1011071335</v>
      </c>
      <c r="D1983">
        <v>0</v>
      </c>
    </row>
    <row r="1984" spans="1:4" hidden="1" x14ac:dyDescent="0.3">
      <c r="A1984" t="s">
        <v>284</v>
      </c>
      <c r="B1984" t="s">
        <v>85</v>
      </c>
      <c r="C1984" s="1">
        <f>HYPERLINK("https://cao.dolgi.msk.ru/account/1011071415/", 1011071415)</f>
        <v>1011071415</v>
      </c>
      <c r="D1984">
        <v>-15143.18</v>
      </c>
    </row>
    <row r="1985" spans="1:4" hidden="1" x14ac:dyDescent="0.3">
      <c r="A1985" t="s">
        <v>284</v>
      </c>
      <c r="B1985" t="s">
        <v>102</v>
      </c>
      <c r="C1985" s="1">
        <f>HYPERLINK("https://cao.dolgi.msk.ru/account/1011071079/", 1011071079)</f>
        <v>1011071079</v>
      </c>
      <c r="D1985">
        <v>-7535.19</v>
      </c>
    </row>
    <row r="1986" spans="1:4" hidden="1" x14ac:dyDescent="0.3">
      <c r="A1986" t="s">
        <v>284</v>
      </c>
      <c r="B1986" t="s">
        <v>103</v>
      </c>
      <c r="C1986" s="1">
        <f>HYPERLINK("https://cao.dolgi.msk.ru/account/1011071562/", 1011071562)</f>
        <v>1011071562</v>
      </c>
      <c r="D1986">
        <v>-4173.05</v>
      </c>
    </row>
    <row r="1987" spans="1:4" hidden="1" x14ac:dyDescent="0.3">
      <c r="A1987" t="s">
        <v>284</v>
      </c>
      <c r="B1987" t="s">
        <v>104</v>
      </c>
      <c r="C1987" s="1">
        <f>HYPERLINK("https://cao.dolgi.msk.ru/account/1011070711/", 1011070711)</f>
        <v>1011070711</v>
      </c>
      <c r="D1987">
        <v>-10654.17</v>
      </c>
    </row>
    <row r="1988" spans="1:4" x14ac:dyDescent="0.3">
      <c r="A1988" t="s">
        <v>284</v>
      </c>
      <c r="B1988" t="s">
        <v>105</v>
      </c>
      <c r="C1988" s="1">
        <f>HYPERLINK("https://cao.dolgi.msk.ru/account/1011070826/", 1011070826)</f>
        <v>1011070826</v>
      </c>
      <c r="D1988">
        <v>9425.06</v>
      </c>
    </row>
    <row r="1989" spans="1:4" hidden="1" x14ac:dyDescent="0.3">
      <c r="A1989" t="s">
        <v>284</v>
      </c>
      <c r="B1989" t="s">
        <v>106</v>
      </c>
      <c r="C1989" s="1">
        <f>HYPERLINK("https://cao.dolgi.msk.ru/account/1011071343/", 1011071343)</f>
        <v>1011071343</v>
      </c>
      <c r="D1989">
        <v>-180</v>
      </c>
    </row>
    <row r="1990" spans="1:4" hidden="1" x14ac:dyDescent="0.3">
      <c r="A1990" t="s">
        <v>284</v>
      </c>
      <c r="B1990" t="s">
        <v>107</v>
      </c>
      <c r="C1990" s="1">
        <f>HYPERLINK("https://cao.dolgi.msk.ru/account/1011071386/", 1011071386)</f>
        <v>1011071386</v>
      </c>
      <c r="D1990">
        <v>-6048.21</v>
      </c>
    </row>
    <row r="1991" spans="1:4" x14ac:dyDescent="0.3">
      <c r="A1991" t="s">
        <v>284</v>
      </c>
      <c r="B1991" t="s">
        <v>108</v>
      </c>
      <c r="C1991" s="1">
        <f>HYPERLINK("https://cao.dolgi.msk.ru/account/1011071642/", 1011071642)</f>
        <v>1011071642</v>
      </c>
      <c r="D1991">
        <v>902.77</v>
      </c>
    </row>
    <row r="1992" spans="1:4" hidden="1" x14ac:dyDescent="0.3">
      <c r="A1992" t="s">
        <v>284</v>
      </c>
      <c r="B1992" t="s">
        <v>109</v>
      </c>
      <c r="C1992" s="1">
        <f>HYPERLINK("https://cao.dolgi.msk.ru/account/1011071271/", 1011071271)</f>
        <v>1011071271</v>
      </c>
      <c r="D1992">
        <v>-60</v>
      </c>
    </row>
    <row r="1993" spans="1:4" hidden="1" x14ac:dyDescent="0.3">
      <c r="A1993" t="s">
        <v>284</v>
      </c>
      <c r="B1993" t="s">
        <v>110</v>
      </c>
      <c r="C1993" s="1">
        <f>HYPERLINK("https://cao.dolgi.msk.ru/account/1011070631/", 1011070631)</f>
        <v>1011070631</v>
      </c>
      <c r="D1993">
        <v>-4179.01</v>
      </c>
    </row>
    <row r="1994" spans="1:4" hidden="1" x14ac:dyDescent="0.3">
      <c r="A1994" t="s">
        <v>284</v>
      </c>
      <c r="B1994" t="s">
        <v>111</v>
      </c>
      <c r="C1994" s="1">
        <f>HYPERLINK("https://cao.dolgi.msk.ru/account/1011070922/", 1011070922)</f>
        <v>1011070922</v>
      </c>
      <c r="D1994">
        <v>-3673.71</v>
      </c>
    </row>
    <row r="1995" spans="1:4" hidden="1" x14ac:dyDescent="0.3">
      <c r="A1995" t="s">
        <v>285</v>
      </c>
      <c r="B1995" t="s">
        <v>6</v>
      </c>
      <c r="C1995" s="1">
        <f>HYPERLINK("https://cao.dolgi.msk.ru/account/1011520946/", 1011520946)</f>
        <v>1011520946</v>
      </c>
      <c r="D1995">
        <v>-5177.25</v>
      </c>
    </row>
    <row r="1996" spans="1:4" hidden="1" x14ac:dyDescent="0.3">
      <c r="A1996" t="s">
        <v>285</v>
      </c>
      <c r="B1996" t="s">
        <v>28</v>
      </c>
      <c r="C1996" s="1">
        <f>HYPERLINK("https://cao.dolgi.msk.ru/account/1011515696/", 1011515696)</f>
        <v>1011515696</v>
      </c>
      <c r="D1996">
        <v>-7346.44</v>
      </c>
    </row>
    <row r="1997" spans="1:4" hidden="1" x14ac:dyDescent="0.3">
      <c r="A1997" t="s">
        <v>285</v>
      </c>
      <c r="B1997" t="s">
        <v>35</v>
      </c>
      <c r="C1997" s="1">
        <f>HYPERLINK("https://cao.dolgi.msk.ru/account/1011527267/", 1011527267)</f>
        <v>1011527267</v>
      </c>
      <c r="D1997">
        <v>-5306.01</v>
      </c>
    </row>
    <row r="1998" spans="1:4" x14ac:dyDescent="0.3">
      <c r="A1998" t="s">
        <v>285</v>
      </c>
      <c r="B1998" t="s">
        <v>5</v>
      </c>
      <c r="C1998" s="1">
        <f>HYPERLINK("https://cao.dolgi.msk.ru/account/1011530749/", 1011530749)</f>
        <v>1011530749</v>
      </c>
      <c r="D1998">
        <v>2798.27</v>
      </c>
    </row>
    <row r="1999" spans="1:4" x14ac:dyDescent="0.3">
      <c r="A1999" t="s">
        <v>285</v>
      </c>
      <c r="B1999" t="s">
        <v>7</v>
      </c>
      <c r="C1999" s="1">
        <f>HYPERLINK("https://cao.dolgi.msk.ru/account/1011516074/", 1011516074)</f>
        <v>1011516074</v>
      </c>
      <c r="D1999">
        <v>656.2</v>
      </c>
    </row>
    <row r="2000" spans="1:4" hidden="1" x14ac:dyDescent="0.3">
      <c r="A2000" t="s">
        <v>285</v>
      </c>
      <c r="B2000" t="s">
        <v>31</v>
      </c>
      <c r="C2000" s="1">
        <f>HYPERLINK("https://cao.dolgi.msk.ru/account/1011519953/", 1011519953)</f>
        <v>1011519953</v>
      </c>
      <c r="D2000">
        <v>0</v>
      </c>
    </row>
    <row r="2001" spans="1:4" hidden="1" x14ac:dyDescent="0.3">
      <c r="A2001" t="s">
        <v>285</v>
      </c>
      <c r="B2001" t="s">
        <v>9</v>
      </c>
      <c r="C2001" s="1">
        <f>HYPERLINK("https://cao.dolgi.msk.ru/account/1011520997/", 1011520997)</f>
        <v>1011520997</v>
      </c>
      <c r="D2001">
        <v>-6239.11</v>
      </c>
    </row>
    <row r="2002" spans="1:4" hidden="1" x14ac:dyDescent="0.3">
      <c r="A2002" t="s">
        <v>285</v>
      </c>
      <c r="B2002" t="s">
        <v>10</v>
      </c>
      <c r="C2002" s="1">
        <f>HYPERLINK("https://cao.dolgi.msk.ru/account/1011516832/", 1011516832)</f>
        <v>1011516832</v>
      </c>
      <c r="D2002">
        <v>-4391.12</v>
      </c>
    </row>
    <row r="2003" spans="1:4" x14ac:dyDescent="0.3">
      <c r="A2003" t="s">
        <v>285</v>
      </c>
      <c r="B2003" t="s">
        <v>11</v>
      </c>
      <c r="C2003" s="1">
        <f>HYPERLINK("https://cao.dolgi.msk.ru/account/1011519339/", 1011519339)</f>
        <v>1011519339</v>
      </c>
      <c r="D2003">
        <v>4527.55</v>
      </c>
    </row>
    <row r="2004" spans="1:4" hidden="1" x14ac:dyDescent="0.3">
      <c r="A2004" t="s">
        <v>285</v>
      </c>
      <c r="B2004" t="s">
        <v>12</v>
      </c>
      <c r="C2004" s="1">
        <f>HYPERLINK("https://cao.dolgi.msk.ru/account/1011517456/", 1011517456)</f>
        <v>1011517456</v>
      </c>
      <c r="D2004">
        <v>0</v>
      </c>
    </row>
    <row r="2005" spans="1:4" hidden="1" x14ac:dyDescent="0.3">
      <c r="A2005" t="s">
        <v>285</v>
      </c>
      <c r="B2005" t="s">
        <v>13</v>
      </c>
      <c r="C2005" s="1">
        <f>HYPERLINK("https://cao.dolgi.msk.ru/account/1011516648/", 1011516648)</f>
        <v>1011516648</v>
      </c>
      <c r="D2005">
        <v>0</v>
      </c>
    </row>
    <row r="2006" spans="1:4" hidden="1" x14ac:dyDescent="0.3">
      <c r="A2006" t="s">
        <v>285</v>
      </c>
      <c r="B2006" t="s">
        <v>14</v>
      </c>
      <c r="C2006" s="1">
        <f>HYPERLINK("https://cao.dolgi.msk.ru/account/1011517202/", 1011517202)</f>
        <v>1011517202</v>
      </c>
      <c r="D2006">
        <v>0</v>
      </c>
    </row>
    <row r="2007" spans="1:4" hidden="1" x14ac:dyDescent="0.3">
      <c r="A2007" t="s">
        <v>285</v>
      </c>
      <c r="B2007" t="s">
        <v>16</v>
      </c>
      <c r="C2007" s="1">
        <f>HYPERLINK("https://cao.dolgi.msk.ru/account/1011519988/", 1011519988)</f>
        <v>1011519988</v>
      </c>
      <c r="D2007">
        <v>-4854.57</v>
      </c>
    </row>
    <row r="2008" spans="1:4" hidden="1" x14ac:dyDescent="0.3">
      <c r="A2008" t="s">
        <v>285</v>
      </c>
      <c r="B2008" t="s">
        <v>17</v>
      </c>
      <c r="C2008" s="1">
        <f>HYPERLINK("https://cao.dolgi.msk.ru/account/1011516912/", 1011516912)</f>
        <v>1011516912</v>
      </c>
      <c r="D2008">
        <v>-3291.63</v>
      </c>
    </row>
    <row r="2009" spans="1:4" hidden="1" x14ac:dyDescent="0.3">
      <c r="A2009" t="s">
        <v>285</v>
      </c>
      <c r="B2009" t="s">
        <v>18</v>
      </c>
      <c r="C2009" s="1">
        <f>HYPERLINK("https://cao.dolgi.msk.ru/account/1011517958/", 1011517958)</f>
        <v>1011517958</v>
      </c>
      <c r="D2009">
        <v>-29.89</v>
      </c>
    </row>
    <row r="2010" spans="1:4" hidden="1" x14ac:dyDescent="0.3">
      <c r="A2010" t="s">
        <v>285</v>
      </c>
      <c r="B2010" t="s">
        <v>20</v>
      </c>
      <c r="C2010" s="1">
        <f>HYPERLINK("https://cao.dolgi.msk.ru/account/1011526336/", 1011526336)</f>
        <v>1011526336</v>
      </c>
      <c r="D2010">
        <v>0</v>
      </c>
    </row>
    <row r="2011" spans="1:4" hidden="1" x14ac:dyDescent="0.3">
      <c r="A2011" t="s">
        <v>285</v>
      </c>
      <c r="B2011" t="s">
        <v>21</v>
      </c>
      <c r="C2011" s="1">
        <f>HYPERLINK("https://cao.dolgi.msk.ru/account/1011516728/", 1011516728)</f>
        <v>1011516728</v>
      </c>
      <c r="D2011">
        <v>0</v>
      </c>
    </row>
    <row r="2012" spans="1:4" hidden="1" x14ac:dyDescent="0.3">
      <c r="A2012" t="s">
        <v>285</v>
      </c>
      <c r="B2012" t="s">
        <v>22</v>
      </c>
      <c r="C2012" s="1">
        <f>HYPERLINK("https://cao.dolgi.msk.ru/account/1011518731/", 1011518731)</f>
        <v>1011518731</v>
      </c>
      <c r="D2012">
        <v>0</v>
      </c>
    </row>
    <row r="2013" spans="1:4" hidden="1" x14ac:dyDescent="0.3">
      <c r="A2013" t="s">
        <v>285</v>
      </c>
      <c r="B2013" t="s">
        <v>24</v>
      </c>
      <c r="C2013" s="1">
        <f>HYPERLINK("https://cao.dolgi.msk.ru/account/1011516752/", 1011516752)</f>
        <v>1011516752</v>
      </c>
      <c r="D2013">
        <v>0</v>
      </c>
    </row>
    <row r="2014" spans="1:4" hidden="1" x14ac:dyDescent="0.3">
      <c r="A2014" t="s">
        <v>285</v>
      </c>
      <c r="B2014" t="s">
        <v>25</v>
      </c>
      <c r="C2014" s="1">
        <f>HYPERLINK("https://cao.dolgi.msk.ru/account/1011517595/", 1011517595)</f>
        <v>1011517595</v>
      </c>
      <c r="D2014">
        <v>0</v>
      </c>
    </row>
    <row r="2015" spans="1:4" hidden="1" x14ac:dyDescent="0.3">
      <c r="A2015" t="s">
        <v>285</v>
      </c>
      <c r="B2015" t="s">
        <v>27</v>
      </c>
      <c r="C2015" s="1">
        <f>HYPERLINK("https://cao.dolgi.msk.ru/account/1011519021/", 1011519021)</f>
        <v>1011519021</v>
      </c>
      <c r="D2015">
        <v>0</v>
      </c>
    </row>
    <row r="2016" spans="1:4" hidden="1" x14ac:dyDescent="0.3">
      <c r="A2016" t="s">
        <v>285</v>
      </c>
      <c r="B2016" t="s">
        <v>29</v>
      </c>
      <c r="C2016" s="1">
        <f>HYPERLINK("https://cao.dolgi.msk.ru/account/1011515944/", 1011515944)</f>
        <v>1011515944</v>
      </c>
      <c r="D2016">
        <v>0</v>
      </c>
    </row>
    <row r="2017" spans="1:4" hidden="1" x14ac:dyDescent="0.3">
      <c r="A2017" t="s">
        <v>285</v>
      </c>
      <c r="B2017" t="s">
        <v>38</v>
      </c>
      <c r="C2017" s="1">
        <f>HYPERLINK("https://cao.dolgi.msk.ru/account/1011516891/", 1011516891)</f>
        <v>1011516891</v>
      </c>
      <c r="D2017">
        <v>-6119.85</v>
      </c>
    </row>
    <row r="2018" spans="1:4" hidden="1" x14ac:dyDescent="0.3">
      <c r="A2018" t="s">
        <v>285</v>
      </c>
      <c r="B2018" t="s">
        <v>39</v>
      </c>
      <c r="C2018" s="1">
        <f>HYPERLINK("https://cao.dolgi.msk.ru/account/1011526299/", 1011526299)</f>
        <v>1011526299</v>
      </c>
      <c r="D2018">
        <v>0</v>
      </c>
    </row>
    <row r="2019" spans="1:4" hidden="1" x14ac:dyDescent="0.3">
      <c r="A2019" t="s">
        <v>285</v>
      </c>
      <c r="B2019" t="s">
        <v>40</v>
      </c>
      <c r="C2019" s="1">
        <f>HYPERLINK("https://cao.dolgi.msk.ru/account/1011518512/", 1011518512)</f>
        <v>1011518512</v>
      </c>
      <c r="D2019">
        <v>0</v>
      </c>
    </row>
    <row r="2020" spans="1:4" hidden="1" x14ac:dyDescent="0.3">
      <c r="A2020" t="s">
        <v>285</v>
      </c>
      <c r="B2020" t="s">
        <v>41</v>
      </c>
      <c r="C2020" s="1">
        <f>HYPERLINK("https://cao.dolgi.msk.ru/account/1011521041/", 1011521041)</f>
        <v>1011521041</v>
      </c>
      <c r="D2020">
        <v>0</v>
      </c>
    </row>
    <row r="2021" spans="1:4" hidden="1" x14ac:dyDescent="0.3">
      <c r="A2021" t="s">
        <v>285</v>
      </c>
      <c r="B2021" t="s">
        <v>51</v>
      </c>
      <c r="C2021" s="1">
        <f>HYPERLINK("https://cao.dolgi.msk.ru/account/1011516031/", 1011516031)</f>
        <v>1011516031</v>
      </c>
      <c r="D2021">
        <v>-55.6</v>
      </c>
    </row>
    <row r="2022" spans="1:4" hidden="1" x14ac:dyDescent="0.3">
      <c r="A2022" t="s">
        <v>285</v>
      </c>
      <c r="B2022" t="s">
        <v>52</v>
      </c>
      <c r="C2022" s="1">
        <f>HYPERLINK("https://cao.dolgi.msk.ru/account/1011521068/", 1011521068)</f>
        <v>1011521068</v>
      </c>
      <c r="D2022">
        <v>-7964.44</v>
      </c>
    </row>
    <row r="2023" spans="1:4" hidden="1" x14ac:dyDescent="0.3">
      <c r="A2023" t="s">
        <v>285</v>
      </c>
      <c r="B2023" t="s">
        <v>53</v>
      </c>
      <c r="C2023" s="1">
        <f>HYPERLINK("https://cao.dolgi.msk.ru/account/1011518774/", 1011518774)</f>
        <v>1011518774</v>
      </c>
      <c r="D2023">
        <v>-15143.54</v>
      </c>
    </row>
    <row r="2024" spans="1:4" hidden="1" x14ac:dyDescent="0.3">
      <c r="A2024" t="s">
        <v>285</v>
      </c>
      <c r="B2024" t="s">
        <v>54</v>
      </c>
      <c r="C2024" s="1">
        <f>HYPERLINK("https://cao.dolgi.msk.ru/account/1011521092/", 1011521092)</f>
        <v>1011521092</v>
      </c>
      <c r="D2024">
        <v>-80.489999999999995</v>
      </c>
    </row>
    <row r="2025" spans="1:4" hidden="1" x14ac:dyDescent="0.3">
      <c r="A2025" t="s">
        <v>285</v>
      </c>
      <c r="B2025" t="s">
        <v>55</v>
      </c>
      <c r="C2025" s="1">
        <f>HYPERLINK("https://cao.dolgi.msk.ru/account/1011521105/", 1011521105)</f>
        <v>1011521105</v>
      </c>
      <c r="D2025">
        <v>-6628.49</v>
      </c>
    </row>
    <row r="2026" spans="1:4" hidden="1" x14ac:dyDescent="0.3">
      <c r="A2026" t="s">
        <v>285</v>
      </c>
      <c r="B2026" t="s">
        <v>56</v>
      </c>
      <c r="C2026" s="1">
        <f>HYPERLINK("https://cao.dolgi.msk.ru/account/1011521113/", 1011521113)</f>
        <v>1011521113</v>
      </c>
      <c r="D2026">
        <v>-2361.4499999999998</v>
      </c>
    </row>
    <row r="2027" spans="1:4" hidden="1" x14ac:dyDescent="0.3">
      <c r="A2027" t="s">
        <v>285</v>
      </c>
      <c r="B2027" t="s">
        <v>87</v>
      </c>
      <c r="C2027" s="1">
        <f>HYPERLINK("https://cao.dolgi.msk.ru/account/1011521148/", 1011521148)</f>
        <v>1011521148</v>
      </c>
      <c r="D2027">
        <v>0</v>
      </c>
    </row>
    <row r="2028" spans="1:4" hidden="1" x14ac:dyDescent="0.3">
      <c r="A2028" t="s">
        <v>285</v>
      </c>
      <c r="B2028" t="s">
        <v>88</v>
      </c>
      <c r="C2028" s="1">
        <f>HYPERLINK("https://cao.dolgi.msk.ru/account/1011516808/", 1011516808)</f>
        <v>1011516808</v>
      </c>
      <c r="D2028">
        <v>0</v>
      </c>
    </row>
    <row r="2029" spans="1:4" hidden="1" x14ac:dyDescent="0.3">
      <c r="A2029" t="s">
        <v>285</v>
      </c>
      <c r="B2029" t="s">
        <v>89</v>
      </c>
      <c r="C2029" s="1">
        <f>HYPERLINK("https://cao.dolgi.msk.ru/account/1011517499/", 1011517499)</f>
        <v>1011517499</v>
      </c>
      <c r="D2029">
        <v>-7145.56</v>
      </c>
    </row>
    <row r="2030" spans="1:4" hidden="1" x14ac:dyDescent="0.3">
      <c r="A2030" t="s">
        <v>285</v>
      </c>
      <c r="B2030" t="s">
        <v>89</v>
      </c>
      <c r="C2030" s="1">
        <f>HYPERLINK("https://cao.dolgi.msk.ru/account/1011517843/", 1011517843)</f>
        <v>1011517843</v>
      </c>
      <c r="D2030">
        <v>-2384.46</v>
      </c>
    </row>
    <row r="2031" spans="1:4" hidden="1" x14ac:dyDescent="0.3">
      <c r="A2031" t="s">
        <v>285</v>
      </c>
      <c r="B2031" t="s">
        <v>90</v>
      </c>
      <c r="C2031" s="1">
        <f>HYPERLINK("https://cao.dolgi.msk.ru/account/1011518109/", 1011518109)</f>
        <v>1011518109</v>
      </c>
      <c r="D2031">
        <v>0</v>
      </c>
    </row>
    <row r="2032" spans="1:4" hidden="1" x14ac:dyDescent="0.3">
      <c r="A2032" t="s">
        <v>285</v>
      </c>
      <c r="B2032" t="s">
        <v>96</v>
      </c>
      <c r="C2032" s="1">
        <f>HYPERLINK("https://cao.dolgi.msk.ru/account/1011517309/", 1011517309)</f>
        <v>1011517309</v>
      </c>
      <c r="D2032">
        <v>0</v>
      </c>
    </row>
    <row r="2033" spans="1:4" hidden="1" x14ac:dyDescent="0.3">
      <c r="A2033" t="s">
        <v>285</v>
      </c>
      <c r="B2033" t="s">
        <v>97</v>
      </c>
      <c r="C2033" s="1">
        <f>HYPERLINK("https://cao.dolgi.msk.ru/account/1011521164/", 1011521164)</f>
        <v>1011521164</v>
      </c>
      <c r="D2033">
        <v>-98915.16</v>
      </c>
    </row>
    <row r="2034" spans="1:4" hidden="1" x14ac:dyDescent="0.3">
      <c r="A2034" t="s">
        <v>285</v>
      </c>
      <c r="B2034" t="s">
        <v>98</v>
      </c>
      <c r="C2034" s="1">
        <f>HYPERLINK("https://cao.dolgi.msk.ru/account/1011521199/", 1011521199)</f>
        <v>1011521199</v>
      </c>
      <c r="D2034">
        <v>0</v>
      </c>
    </row>
    <row r="2035" spans="1:4" hidden="1" x14ac:dyDescent="0.3">
      <c r="A2035" t="s">
        <v>285</v>
      </c>
      <c r="B2035" t="s">
        <v>59</v>
      </c>
      <c r="C2035" s="1">
        <f>HYPERLINK("https://cao.dolgi.msk.ru/account/1011518678/", 1011518678)</f>
        <v>1011518678</v>
      </c>
      <c r="D2035">
        <v>0</v>
      </c>
    </row>
    <row r="2036" spans="1:4" hidden="1" x14ac:dyDescent="0.3">
      <c r="A2036" t="s">
        <v>285</v>
      </c>
      <c r="B2036" t="s">
        <v>60</v>
      </c>
      <c r="C2036" s="1">
        <f>HYPERLINK("https://cao.dolgi.msk.ru/account/1011541405/", 1011541405)</f>
        <v>1011541405</v>
      </c>
      <c r="D2036">
        <v>0</v>
      </c>
    </row>
    <row r="2037" spans="1:4" x14ac:dyDescent="0.3">
      <c r="A2037" t="s">
        <v>285</v>
      </c>
      <c r="B2037" t="s">
        <v>61</v>
      </c>
      <c r="C2037" s="1">
        <f>HYPERLINK("https://cao.dolgi.msk.ru/account/1011521201/", 1011521201)</f>
        <v>1011521201</v>
      </c>
      <c r="D2037">
        <v>45378.21</v>
      </c>
    </row>
    <row r="2038" spans="1:4" hidden="1" x14ac:dyDescent="0.3">
      <c r="A2038" t="s">
        <v>285</v>
      </c>
      <c r="B2038" t="s">
        <v>62</v>
      </c>
      <c r="C2038" s="1">
        <f>HYPERLINK("https://cao.dolgi.msk.ru/account/1011542459/", 1011542459)</f>
        <v>1011542459</v>
      </c>
      <c r="D2038">
        <v>0</v>
      </c>
    </row>
    <row r="2039" spans="1:4" hidden="1" x14ac:dyDescent="0.3">
      <c r="A2039" t="s">
        <v>285</v>
      </c>
      <c r="B2039" t="s">
        <v>63</v>
      </c>
      <c r="C2039" s="1">
        <f>HYPERLINK("https://cao.dolgi.msk.ru/account/1011516285/", 1011516285)</f>
        <v>1011516285</v>
      </c>
      <c r="D2039">
        <v>0</v>
      </c>
    </row>
    <row r="2040" spans="1:4" hidden="1" x14ac:dyDescent="0.3">
      <c r="A2040" t="s">
        <v>285</v>
      </c>
      <c r="B2040" t="s">
        <v>64</v>
      </c>
      <c r="C2040" s="1">
        <f>HYPERLINK("https://cao.dolgi.msk.ru/account/1011526934/", 1011526934)</f>
        <v>1011526934</v>
      </c>
      <c r="D2040">
        <v>-953.2</v>
      </c>
    </row>
    <row r="2041" spans="1:4" hidden="1" x14ac:dyDescent="0.3">
      <c r="A2041" t="s">
        <v>285</v>
      </c>
      <c r="B2041" t="s">
        <v>65</v>
      </c>
      <c r="C2041" s="1">
        <f>HYPERLINK("https://cao.dolgi.msk.ru/account/1011518125/", 1011518125)</f>
        <v>1011518125</v>
      </c>
      <c r="D2041">
        <v>0</v>
      </c>
    </row>
    <row r="2042" spans="1:4" hidden="1" x14ac:dyDescent="0.3">
      <c r="A2042" t="s">
        <v>285</v>
      </c>
      <c r="B2042" t="s">
        <v>66</v>
      </c>
      <c r="C2042" s="1">
        <f>HYPERLINK("https://cao.dolgi.msk.ru/account/1011521252/", 1011521252)</f>
        <v>1011521252</v>
      </c>
      <c r="D2042">
        <v>-5687.42</v>
      </c>
    </row>
    <row r="2043" spans="1:4" hidden="1" x14ac:dyDescent="0.3">
      <c r="A2043" t="s">
        <v>285</v>
      </c>
      <c r="B2043" t="s">
        <v>67</v>
      </c>
      <c r="C2043" s="1">
        <f>HYPERLINK("https://cao.dolgi.msk.ru/account/1011530351/", 1011530351)</f>
        <v>1011530351</v>
      </c>
      <c r="D2043">
        <v>-5872.88</v>
      </c>
    </row>
    <row r="2044" spans="1:4" hidden="1" x14ac:dyDescent="0.3">
      <c r="A2044" t="s">
        <v>285</v>
      </c>
      <c r="B2044" t="s">
        <v>69</v>
      </c>
      <c r="C2044" s="1">
        <f>HYPERLINK("https://cao.dolgi.msk.ru/account/1011517974/", 1011517974)</f>
        <v>1011517974</v>
      </c>
      <c r="D2044">
        <v>0</v>
      </c>
    </row>
    <row r="2045" spans="1:4" hidden="1" x14ac:dyDescent="0.3">
      <c r="A2045" t="s">
        <v>285</v>
      </c>
      <c r="B2045" t="s">
        <v>70</v>
      </c>
      <c r="C2045" s="1">
        <f>HYPERLINK("https://cao.dolgi.msk.ru/account/1011516947/", 1011516947)</f>
        <v>1011516947</v>
      </c>
      <c r="D2045">
        <v>-8361.5</v>
      </c>
    </row>
    <row r="2046" spans="1:4" hidden="1" x14ac:dyDescent="0.3">
      <c r="A2046" t="s">
        <v>285</v>
      </c>
      <c r="B2046" t="s">
        <v>259</v>
      </c>
      <c r="C2046" s="1">
        <f>HYPERLINK("https://cao.dolgi.msk.ru/account/1011515645/", 1011515645)</f>
        <v>1011515645</v>
      </c>
      <c r="D2046">
        <v>0</v>
      </c>
    </row>
    <row r="2047" spans="1:4" hidden="1" x14ac:dyDescent="0.3">
      <c r="A2047" t="s">
        <v>285</v>
      </c>
      <c r="B2047" t="s">
        <v>100</v>
      </c>
      <c r="C2047" s="1">
        <f>HYPERLINK("https://cao.dolgi.msk.ru/account/1011516306/", 1011516306)</f>
        <v>1011516306</v>
      </c>
      <c r="D2047">
        <v>0</v>
      </c>
    </row>
    <row r="2048" spans="1:4" hidden="1" x14ac:dyDescent="0.3">
      <c r="A2048" t="s">
        <v>285</v>
      </c>
      <c r="B2048" t="s">
        <v>72</v>
      </c>
      <c r="C2048" s="1">
        <f>HYPERLINK("https://cao.dolgi.msk.ru/account/1011515629/", 1011515629)</f>
        <v>1011515629</v>
      </c>
      <c r="D2048">
        <v>-6471.28</v>
      </c>
    </row>
    <row r="2049" spans="1:4" hidden="1" x14ac:dyDescent="0.3">
      <c r="A2049" t="s">
        <v>285</v>
      </c>
      <c r="B2049" t="s">
        <v>73</v>
      </c>
      <c r="C2049" s="1">
        <f>HYPERLINK("https://cao.dolgi.msk.ru/account/1011521308/", 1011521308)</f>
        <v>1011521308</v>
      </c>
      <c r="D2049">
        <v>-1975.67</v>
      </c>
    </row>
    <row r="2050" spans="1:4" hidden="1" x14ac:dyDescent="0.3">
      <c r="A2050" t="s">
        <v>285</v>
      </c>
      <c r="B2050" t="s">
        <v>74</v>
      </c>
      <c r="C2050" s="1">
        <f>HYPERLINK("https://cao.dolgi.msk.ru/account/1011520057/", 1011520057)</f>
        <v>1011520057</v>
      </c>
      <c r="D2050">
        <v>-6834.49</v>
      </c>
    </row>
    <row r="2051" spans="1:4" hidden="1" x14ac:dyDescent="0.3">
      <c r="A2051" t="s">
        <v>285</v>
      </c>
      <c r="B2051" t="s">
        <v>75</v>
      </c>
      <c r="C2051" s="1">
        <f>HYPERLINK("https://cao.dolgi.msk.ru/account/1011516509/", 1011516509)</f>
        <v>1011516509</v>
      </c>
      <c r="D2051">
        <v>0</v>
      </c>
    </row>
    <row r="2052" spans="1:4" x14ac:dyDescent="0.3">
      <c r="A2052" t="s">
        <v>285</v>
      </c>
      <c r="B2052" t="s">
        <v>76</v>
      </c>
      <c r="C2052" s="1">
        <f>HYPERLINK("https://cao.dolgi.msk.ru/account/1011519056/", 1011519056)</f>
        <v>1011519056</v>
      </c>
      <c r="D2052">
        <v>3749.41</v>
      </c>
    </row>
    <row r="2053" spans="1:4" hidden="1" x14ac:dyDescent="0.3">
      <c r="A2053" t="s">
        <v>285</v>
      </c>
      <c r="B2053" t="s">
        <v>77</v>
      </c>
      <c r="C2053" s="1">
        <f>HYPERLINK("https://cao.dolgi.msk.ru/account/1011518416/", 1011518416)</f>
        <v>1011518416</v>
      </c>
      <c r="D2053">
        <v>0</v>
      </c>
    </row>
    <row r="2054" spans="1:4" x14ac:dyDescent="0.3">
      <c r="A2054" t="s">
        <v>285</v>
      </c>
      <c r="B2054" t="s">
        <v>78</v>
      </c>
      <c r="C2054" s="1">
        <f>HYPERLINK("https://cao.dolgi.msk.ru/account/1011526635/", 1011526635)</f>
        <v>1011526635</v>
      </c>
      <c r="D2054">
        <v>12239.63</v>
      </c>
    </row>
    <row r="2055" spans="1:4" hidden="1" x14ac:dyDescent="0.3">
      <c r="A2055" t="s">
        <v>285</v>
      </c>
      <c r="B2055" t="s">
        <v>79</v>
      </c>
      <c r="C2055" s="1">
        <f>HYPERLINK("https://cao.dolgi.msk.ru/account/1011515549/", 1011515549)</f>
        <v>1011515549</v>
      </c>
      <c r="D2055">
        <v>-4971.78</v>
      </c>
    </row>
    <row r="2056" spans="1:4" hidden="1" x14ac:dyDescent="0.3">
      <c r="A2056" t="s">
        <v>285</v>
      </c>
      <c r="B2056" t="s">
        <v>80</v>
      </c>
      <c r="C2056" s="1">
        <f>HYPERLINK("https://cao.dolgi.msk.ru/account/1011521316/", 1011521316)</f>
        <v>1011521316</v>
      </c>
      <c r="D2056">
        <v>0</v>
      </c>
    </row>
    <row r="2057" spans="1:4" x14ac:dyDescent="0.3">
      <c r="A2057" t="s">
        <v>285</v>
      </c>
      <c r="B2057" t="s">
        <v>81</v>
      </c>
      <c r="C2057" s="1">
        <f>HYPERLINK("https://cao.dolgi.msk.ru/account/1011515987/", 1011515987)</f>
        <v>1011515987</v>
      </c>
      <c r="D2057">
        <v>307.89999999999998</v>
      </c>
    </row>
    <row r="2058" spans="1:4" hidden="1" x14ac:dyDescent="0.3">
      <c r="A2058" t="s">
        <v>285</v>
      </c>
      <c r="B2058" t="s">
        <v>101</v>
      </c>
      <c r="C2058" s="1">
        <f>HYPERLINK("https://cao.dolgi.msk.ru/account/1011526707/", 1011526707)</f>
        <v>1011526707</v>
      </c>
      <c r="D2058">
        <v>-7205.93</v>
      </c>
    </row>
    <row r="2059" spans="1:4" hidden="1" x14ac:dyDescent="0.3">
      <c r="A2059" t="s">
        <v>285</v>
      </c>
      <c r="B2059" t="s">
        <v>82</v>
      </c>
      <c r="C2059" s="1">
        <f>HYPERLINK("https://cao.dolgi.msk.ru/account/1011521324/", 1011521324)</f>
        <v>1011521324</v>
      </c>
      <c r="D2059">
        <v>-12220.51</v>
      </c>
    </row>
    <row r="2060" spans="1:4" x14ac:dyDescent="0.3">
      <c r="A2060" t="s">
        <v>285</v>
      </c>
      <c r="B2060" t="s">
        <v>83</v>
      </c>
      <c r="C2060" s="1">
        <f>HYPERLINK("https://cao.dolgi.msk.ru/account/1011516445/", 1011516445)</f>
        <v>1011516445</v>
      </c>
      <c r="D2060">
        <v>5498.77</v>
      </c>
    </row>
    <row r="2061" spans="1:4" hidden="1" x14ac:dyDescent="0.3">
      <c r="A2061" t="s">
        <v>285</v>
      </c>
      <c r="B2061" t="s">
        <v>83</v>
      </c>
      <c r="C2061" s="1">
        <f>HYPERLINK("https://cao.dolgi.msk.ru/account/1011518504/", 1011518504)</f>
        <v>1011518504</v>
      </c>
      <c r="D2061">
        <v>-3189.69</v>
      </c>
    </row>
    <row r="2062" spans="1:4" hidden="1" x14ac:dyDescent="0.3">
      <c r="A2062" t="s">
        <v>285</v>
      </c>
      <c r="B2062" t="s">
        <v>84</v>
      </c>
      <c r="C2062" s="1">
        <f>HYPERLINK("https://cao.dolgi.msk.ru/account/1011516875/", 1011516875)</f>
        <v>1011516875</v>
      </c>
      <c r="D2062">
        <v>-175.26</v>
      </c>
    </row>
    <row r="2063" spans="1:4" hidden="1" x14ac:dyDescent="0.3">
      <c r="A2063" t="s">
        <v>285</v>
      </c>
      <c r="B2063" t="s">
        <v>85</v>
      </c>
      <c r="C2063" s="1">
        <f>HYPERLINK("https://cao.dolgi.msk.ru/account/1011516533/", 1011516533)</f>
        <v>1011516533</v>
      </c>
      <c r="D2063">
        <v>-2343.6999999999998</v>
      </c>
    </row>
    <row r="2064" spans="1:4" hidden="1" x14ac:dyDescent="0.3">
      <c r="A2064" t="s">
        <v>285</v>
      </c>
      <c r="B2064" t="s">
        <v>102</v>
      </c>
      <c r="C2064" s="1">
        <f>HYPERLINK("https://cao.dolgi.msk.ru/account/1011515979/", 1011515979)</f>
        <v>1011515979</v>
      </c>
      <c r="D2064">
        <v>0</v>
      </c>
    </row>
    <row r="2065" spans="1:4" x14ac:dyDescent="0.3">
      <c r="A2065" t="s">
        <v>285</v>
      </c>
      <c r="B2065" t="s">
        <v>103</v>
      </c>
      <c r="C2065" s="1">
        <f>HYPERLINK("https://cao.dolgi.msk.ru/account/1011521332/", 1011521332)</f>
        <v>1011521332</v>
      </c>
      <c r="D2065">
        <v>4650.08</v>
      </c>
    </row>
    <row r="2066" spans="1:4" hidden="1" x14ac:dyDescent="0.3">
      <c r="A2066" t="s">
        <v>285</v>
      </c>
      <c r="B2066" t="s">
        <v>104</v>
      </c>
      <c r="C2066" s="1">
        <f>HYPERLINK("https://cao.dolgi.msk.ru/account/1011516963/", 1011516963)</f>
        <v>1011516963</v>
      </c>
      <c r="D2066">
        <v>-5127.72</v>
      </c>
    </row>
    <row r="2067" spans="1:4" hidden="1" x14ac:dyDescent="0.3">
      <c r="A2067" t="s">
        <v>285</v>
      </c>
      <c r="B2067" t="s">
        <v>105</v>
      </c>
      <c r="C2067" s="1">
        <f>HYPERLINK("https://cao.dolgi.msk.ru/account/1011517106/", 1011517106)</f>
        <v>1011517106</v>
      </c>
      <c r="D2067">
        <v>0</v>
      </c>
    </row>
    <row r="2068" spans="1:4" hidden="1" x14ac:dyDescent="0.3">
      <c r="A2068" t="s">
        <v>285</v>
      </c>
      <c r="B2068" t="s">
        <v>106</v>
      </c>
      <c r="C2068" s="1">
        <f>HYPERLINK("https://cao.dolgi.msk.ru/account/1011516234/", 1011516234)</f>
        <v>1011516234</v>
      </c>
      <c r="D2068">
        <v>0</v>
      </c>
    </row>
    <row r="2069" spans="1:4" hidden="1" x14ac:dyDescent="0.3">
      <c r="A2069" t="s">
        <v>285</v>
      </c>
      <c r="B2069" t="s">
        <v>107</v>
      </c>
      <c r="C2069" s="1">
        <f>HYPERLINK("https://cao.dolgi.msk.ru/account/1011517632/", 1011517632)</f>
        <v>1011517632</v>
      </c>
      <c r="D2069">
        <v>0</v>
      </c>
    </row>
    <row r="2070" spans="1:4" x14ac:dyDescent="0.3">
      <c r="A2070" t="s">
        <v>285</v>
      </c>
      <c r="B2070" t="s">
        <v>108</v>
      </c>
      <c r="C2070" s="1">
        <f>HYPERLINK("https://cao.dolgi.msk.ru/account/1011517333/", 1011517333)</f>
        <v>1011517333</v>
      </c>
      <c r="D2070">
        <v>4258.88</v>
      </c>
    </row>
    <row r="2071" spans="1:4" hidden="1" x14ac:dyDescent="0.3">
      <c r="A2071" t="s">
        <v>285</v>
      </c>
      <c r="B2071" t="s">
        <v>109</v>
      </c>
      <c r="C2071" s="1">
        <f>HYPERLINK("https://cao.dolgi.msk.ru/account/1011521367/", 1011521367)</f>
        <v>1011521367</v>
      </c>
      <c r="D2071">
        <v>-5867.34</v>
      </c>
    </row>
    <row r="2072" spans="1:4" hidden="1" x14ac:dyDescent="0.3">
      <c r="A2072" t="s">
        <v>285</v>
      </c>
      <c r="B2072" t="s">
        <v>110</v>
      </c>
      <c r="C2072" s="1">
        <f>HYPERLINK("https://cao.dolgi.msk.ru/account/1011517798/", 1011517798)</f>
        <v>1011517798</v>
      </c>
      <c r="D2072">
        <v>-1816.95</v>
      </c>
    </row>
    <row r="2073" spans="1:4" hidden="1" x14ac:dyDescent="0.3">
      <c r="A2073" t="s">
        <v>285</v>
      </c>
      <c r="B2073" t="s">
        <v>111</v>
      </c>
      <c r="C2073" s="1">
        <f>HYPERLINK("https://cao.dolgi.msk.ru/account/1011517691/", 1011517691)</f>
        <v>1011517691</v>
      </c>
      <c r="D2073">
        <v>0</v>
      </c>
    </row>
    <row r="2074" spans="1:4" hidden="1" x14ac:dyDescent="0.3">
      <c r="A2074" t="s">
        <v>285</v>
      </c>
      <c r="B2074" t="s">
        <v>112</v>
      </c>
      <c r="C2074" s="1">
        <f>HYPERLINK("https://cao.dolgi.msk.ru/account/1011515821/", 1011515821)</f>
        <v>1011515821</v>
      </c>
      <c r="D2074">
        <v>0</v>
      </c>
    </row>
    <row r="2075" spans="1:4" hidden="1" x14ac:dyDescent="0.3">
      <c r="A2075" t="s">
        <v>285</v>
      </c>
      <c r="B2075" t="s">
        <v>113</v>
      </c>
      <c r="C2075" s="1">
        <f>HYPERLINK("https://cao.dolgi.msk.ru/account/1011530394/", 1011530394)</f>
        <v>1011530394</v>
      </c>
      <c r="D2075">
        <v>0</v>
      </c>
    </row>
    <row r="2076" spans="1:4" hidden="1" x14ac:dyDescent="0.3">
      <c r="A2076" t="s">
        <v>285</v>
      </c>
      <c r="B2076" t="s">
        <v>114</v>
      </c>
      <c r="C2076" s="1">
        <f>HYPERLINK("https://cao.dolgi.msk.ru/account/1011521383/", 1011521383)</f>
        <v>1011521383</v>
      </c>
      <c r="D2076">
        <v>0</v>
      </c>
    </row>
    <row r="2077" spans="1:4" hidden="1" x14ac:dyDescent="0.3">
      <c r="A2077" t="s">
        <v>285</v>
      </c>
      <c r="B2077" t="s">
        <v>114</v>
      </c>
      <c r="C2077" s="1">
        <f>HYPERLINK("https://cao.dolgi.msk.ru/account/1011541659/", 1011541659)</f>
        <v>1011541659</v>
      </c>
      <c r="D2077">
        <v>-955.92</v>
      </c>
    </row>
    <row r="2078" spans="1:4" hidden="1" x14ac:dyDescent="0.3">
      <c r="A2078" t="s">
        <v>285</v>
      </c>
      <c r="B2078" t="s">
        <v>115</v>
      </c>
      <c r="C2078" s="1">
        <f>HYPERLINK("https://cao.dolgi.msk.ru/account/1011515864/", 1011515864)</f>
        <v>1011515864</v>
      </c>
      <c r="D2078">
        <v>-1256.31</v>
      </c>
    </row>
    <row r="2079" spans="1:4" hidden="1" x14ac:dyDescent="0.3">
      <c r="A2079" t="s">
        <v>285</v>
      </c>
      <c r="B2079" t="s">
        <v>116</v>
      </c>
      <c r="C2079" s="1">
        <f>HYPERLINK("https://cao.dolgi.msk.ru/account/1011516314/", 1011516314)</f>
        <v>1011516314</v>
      </c>
      <c r="D2079">
        <v>0</v>
      </c>
    </row>
    <row r="2080" spans="1:4" x14ac:dyDescent="0.3">
      <c r="A2080" t="s">
        <v>285</v>
      </c>
      <c r="B2080" t="s">
        <v>266</v>
      </c>
      <c r="C2080" s="1">
        <f>HYPERLINK("https://cao.dolgi.msk.ru/account/1011517501/", 1011517501)</f>
        <v>1011517501</v>
      </c>
      <c r="D2080">
        <v>462.89</v>
      </c>
    </row>
    <row r="2081" spans="1:4" hidden="1" x14ac:dyDescent="0.3">
      <c r="A2081" t="s">
        <v>285</v>
      </c>
      <c r="B2081" t="s">
        <v>117</v>
      </c>
      <c r="C2081" s="1">
        <f>HYPERLINK("https://cao.dolgi.msk.ru/account/1011516322/", 1011516322)</f>
        <v>1011516322</v>
      </c>
      <c r="D2081">
        <v>0</v>
      </c>
    </row>
    <row r="2082" spans="1:4" hidden="1" x14ac:dyDescent="0.3">
      <c r="A2082" t="s">
        <v>285</v>
      </c>
      <c r="B2082" t="s">
        <v>118</v>
      </c>
      <c r="C2082" s="1">
        <f>HYPERLINK("https://cao.dolgi.msk.ru/account/1011521404/", 1011521404)</f>
        <v>1011521404</v>
      </c>
      <c r="D2082">
        <v>-2823.61</v>
      </c>
    </row>
    <row r="2083" spans="1:4" hidden="1" x14ac:dyDescent="0.3">
      <c r="A2083" t="s">
        <v>285</v>
      </c>
      <c r="B2083" t="s">
        <v>119</v>
      </c>
      <c r="C2083" s="1">
        <f>HYPERLINK("https://cao.dolgi.msk.ru/account/1011541747/", 1011541747)</f>
        <v>1011541747</v>
      </c>
      <c r="D2083">
        <v>-2979.41</v>
      </c>
    </row>
    <row r="2084" spans="1:4" hidden="1" x14ac:dyDescent="0.3">
      <c r="A2084" t="s">
        <v>285</v>
      </c>
      <c r="B2084" t="s">
        <v>120</v>
      </c>
      <c r="C2084" s="1">
        <f>HYPERLINK("https://cao.dolgi.msk.ru/account/1011526184/", 1011526184)</f>
        <v>1011526184</v>
      </c>
      <c r="D2084">
        <v>0</v>
      </c>
    </row>
    <row r="2085" spans="1:4" hidden="1" x14ac:dyDescent="0.3">
      <c r="A2085" t="s">
        <v>285</v>
      </c>
      <c r="B2085" t="s">
        <v>121</v>
      </c>
      <c r="C2085" s="1">
        <f>HYPERLINK("https://cao.dolgi.msk.ru/account/1011516162/", 1011516162)</f>
        <v>1011516162</v>
      </c>
      <c r="D2085">
        <v>-19453.61</v>
      </c>
    </row>
    <row r="2086" spans="1:4" hidden="1" x14ac:dyDescent="0.3">
      <c r="A2086" t="s">
        <v>285</v>
      </c>
      <c r="B2086" t="s">
        <v>122</v>
      </c>
      <c r="C2086" s="1">
        <f>HYPERLINK("https://cao.dolgi.msk.ru/account/1011521471/", 1011521471)</f>
        <v>1011521471</v>
      </c>
      <c r="D2086">
        <v>0</v>
      </c>
    </row>
    <row r="2087" spans="1:4" hidden="1" x14ac:dyDescent="0.3">
      <c r="A2087" t="s">
        <v>285</v>
      </c>
      <c r="B2087" t="s">
        <v>122</v>
      </c>
      <c r="C2087" s="1">
        <f>HYPERLINK("https://cao.dolgi.msk.ru/account/1011538935/", 1011538935)</f>
        <v>1011538935</v>
      </c>
      <c r="D2087">
        <v>-2848.04</v>
      </c>
    </row>
    <row r="2088" spans="1:4" hidden="1" x14ac:dyDescent="0.3">
      <c r="A2088" t="s">
        <v>285</v>
      </c>
      <c r="B2088" t="s">
        <v>123</v>
      </c>
      <c r="C2088" s="1">
        <f>HYPERLINK("https://cao.dolgi.msk.ru/account/1011517149/", 1011517149)</f>
        <v>1011517149</v>
      </c>
      <c r="D2088">
        <v>-290.64</v>
      </c>
    </row>
    <row r="2089" spans="1:4" hidden="1" x14ac:dyDescent="0.3">
      <c r="A2089" t="s">
        <v>285</v>
      </c>
      <c r="B2089" t="s">
        <v>124</v>
      </c>
      <c r="C2089" s="1">
        <f>HYPERLINK("https://cao.dolgi.msk.ru/account/1011517667/", 1011517667)</f>
        <v>1011517667</v>
      </c>
      <c r="D2089">
        <v>0</v>
      </c>
    </row>
    <row r="2090" spans="1:4" hidden="1" x14ac:dyDescent="0.3">
      <c r="A2090" t="s">
        <v>285</v>
      </c>
      <c r="B2090" t="s">
        <v>125</v>
      </c>
      <c r="C2090" s="1">
        <f>HYPERLINK("https://cao.dolgi.msk.ru/account/1011516242/", 1011516242)</f>
        <v>1011516242</v>
      </c>
      <c r="D2090">
        <v>-6629.89</v>
      </c>
    </row>
    <row r="2091" spans="1:4" hidden="1" x14ac:dyDescent="0.3">
      <c r="A2091" t="s">
        <v>285</v>
      </c>
      <c r="B2091" t="s">
        <v>126</v>
      </c>
      <c r="C2091" s="1">
        <f>HYPERLINK("https://cao.dolgi.msk.ru/account/1011517982/", 1011517982)</f>
        <v>1011517982</v>
      </c>
      <c r="D2091">
        <v>-1455.3</v>
      </c>
    </row>
    <row r="2092" spans="1:4" hidden="1" x14ac:dyDescent="0.3">
      <c r="A2092" t="s">
        <v>285</v>
      </c>
      <c r="B2092" t="s">
        <v>127</v>
      </c>
      <c r="C2092" s="1">
        <f>HYPERLINK("https://cao.dolgi.msk.ru/account/1011515813/", 1011515813)</f>
        <v>1011515813</v>
      </c>
      <c r="D2092">
        <v>-8840.19</v>
      </c>
    </row>
    <row r="2093" spans="1:4" hidden="1" x14ac:dyDescent="0.3">
      <c r="A2093" t="s">
        <v>285</v>
      </c>
      <c r="B2093" t="s">
        <v>262</v>
      </c>
      <c r="C2093" s="1">
        <f>HYPERLINK("https://cao.dolgi.msk.ru/account/1011517317/", 1011517317)</f>
        <v>1011517317</v>
      </c>
      <c r="D2093">
        <v>-6931.32</v>
      </c>
    </row>
    <row r="2094" spans="1:4" x14ac:dyDescent="0.3">
      <c r="A2094" t="s">
        <v>285</v>
      </c>
      <c r="B2094" t="s">
        <v>128</v>
      </c>
      <c r="C2094" s="1">
        <f>HYPERLINK("https://cao.dolgi.msk.ru/account/1011518387/", 1011518387)</f>
        <v>1011518387</v>
      </c>
      <c r="D2094">
        <v>5473.57</v>
      </c>
    </row>
    <row r="2095" spans="1:4" hidden="1" x14ac:dyDescent="0.3">
      <c r="A2095" t="s">
        <v>285</v>
      </c>
      <c r="B2095" t="s">
        <v>129</v>
      </c>
      <c r="C2095" s="1">
        <f>HYPERLINK("https://cao.dolgi.msk.ru/account/1011525958/", 1011525958)</f>
        <v>1011525958</v>
      </c>
      <c r="D2095">
        <v>-5084.62</v>
      </c>
    </row>
    <row r="2096" spans="1:4" hidden="1" x14ac:dyDescent="0.3">
      <c r="A2096" t="s">
        <v>285</v>
      </c>
      <c r="B2096" t="s">
        <v>130</v>
      </c>
      <c r="C2096" s="1">
        <f>HYPERLINK("https://cao.dolgi.msk.ru/account/1011515952/", 1011515952)</f>
        <v>1011515952</v>
      </c>
      <c r="D2096">
        <v>0</v>
      </c>
    </row>
    <row r="2097" spans="1:4" hidden="1" x14ac:dyDescent="0.3">
      <c r="A2097" t="s">
        <v>285</v>
      </c>
      <c r="B2097" t="s">
        <v>131</v>
      </c>
      <c r="C2097" s="1">
        <f>HYPERLINK("https://cao.dolgi.msk.ru/account/1011519064/", 1011519064)</f>
        <v>1011519064</v>
      </c>
      <c r="D2097">
        <v>0</v>
      </c>
    </row>
    <row r="2098" spans="1:4" hidden="1" x14ac:dyDescent="0.3">
      <c r="A2098" t="s">
        <v>285</v>
      </c>
      <c r="B2098" t="s">
        <v>132</v>
      </c>
      <c r="C2098" s="1">
        <f>HYPERLINK("https://cao.dolgi.msk.ru/account/1011516197/", 1011516197)</f>
        <v>1011516197</v>
      </c>
      <c r="D2098">
        <v>0</v>
      </c>
    </row>
    <row r="2099" spans="1:4" hidden="1" x14ac:dyDescent="0.3">
      <c r="A2099" t="s">
        <v>285</v>
      </c>
      <c r="B2099" t="s">
        <v>133</v>
      </c>
      <c r="C2099" s="1">
        <f>HYPERLINK("https://cao.dolgi.msk.ru/account/1011521543/", 1011521543)</f>
        <v>1011521543</v>
      </c>
      <c r="D2099">
        <v>0</v>
      </c>
    </row>
    <row r="2100" spans="1:4" hidden="1" x14ac:dyDescent="0.3">
      <c r="A2100" t="s">
        <v>285</v>
      </c>
      <c r="B2100" t="s">
        <v>134</v>
      </c>
      <c r="C2100" s="1">
        <f>HYPERLINK("https://cao.dolgi.msk.ru/account/1011516592/", 1011516592)</f>
        <v>1011516592</v>
      </c>
      <c r="D2100">
        <v>-4600.49</v>
      </c>
    </row>
    <row r="2101" spans="1:4" hidden="1" x14ac:dyDescent="0.3">
      <c r="A2101" t="s">
        <v>285</v>
      </c>
      <c r="B2101" t="s">
        <v>135</v>
      </c>
      <c r="C2101" s="1">
        <f>HYPERLINK("https://cao.dolgi.msk.ru/account/1011519347/", 1011519347)</f>
        <v>1011519347</v>
      </c>
      <c r="D2101">
        <v>-30.08</v>
      </c>
    </row>
    <row r="2102" spans="1:4" hidden="1" x14ac:dyDescent="0.3">
      <c r="A2102" t="s">
        <v>285</v>
      </c>
      <c r="B2102" t="s">
        <v>264</v>
      </c>
      <c r="C2102" s="1">
        <f>HYPERLINK("https://cao.dolgi.msk.ru/account/1011518133/", 1011518133)</f>
        <v>1011518133</v>
      </c>
      <c r="D2102">
        <v>0</v>
      </c>
    </row>
    <row r="2103" spans="1:4" hidden="1" x14ac:dyDescent="0.3">
      <c r="A2103" t="s">
        <v>285</v>
      </c>
      <c r="B2103" t="s">
        <v>136</v>
      </c>
      <c r="C2103" s="1">
        <f>HYPERLINK("https://cao.dolgi.msk.ru/account/1011515709/", 1011515709)</f>
        <v>1011515709</v>
      </c>
      <c r="D2103">
        <v>0</v>
      </c>
    </row>
    <row r="2104" spans="1:4" hidden="1" x14ac:dyDescent="0.3">
      <c r="A2104" t="s">
        <v>285</v>
      </c>
      <c r="B2104" t="s">
        <v>137</v>
      </c>
      <c r="C2104" s="1">
        <f>HYPERLINK("https://cao.dolgi.msk.ru/account/1011517325/", 1011517325)</f>
        <v>1011517325</v>
      </c>
      <c r="D2104">
        <v>0</v>
      </c>
    </row>
    <row r="2105" spans="1:4" hidden="1" x14ac:dyDescent="0.3">
      <c r="A2105" t="s">
        <v>285</v>
      </c>
      <c r="B2105" t="s">
        <v>138</v>
      </c>
      <c r="C2105" s="1">
        <f>HYPERLINK("https://cao.dolgi.msk.ru/account/1011516525/", 1011516525)</f>
        <v>1011516525</v>
      </c>
      <c r="D2105">
        <v>-5135.28</v>
      </c>
    </row>
    <row r="2106" spans="1:4" hidden="1" x14ac:dyDescent="0.3">
      <c r="A2106" t="s">
        <v>285</v>
      </c>
      <c r="B2106" t="s">
        <v>139</v>
      </c>
      <c r="C2106" s="1">
        <f>HYPERLINK("https://cao.dolgi.msk.ru/account/1011530386/", 1011530386)</f>
        <v>1011530386</v>
      </c>
      <c r="D2106">
        <v>-4040.08</v>
      </c>
    </row>
    <row r="2107" spans="1:4" hidden="1" x14ac:dyDescent="0.3">
      <c r="A2107" t="s">
        <v>285</v>
      </c>
      <c r="B2107" t="s">
        <v>140</v>
      </c>
      <c r="C2107" s="1">
        <f>HYPERLINK("https://cao.dolgi.msk.ru/account/1011516429/", 1011516429)</f>
        <v>1011516429</v>
      </c>
      <c r="D2107">
        <v>0</v>
      </c>
    </row>
    <row r="2108" spans="1:4" hidden="1" x14ac:dyDescent="0.3">
      <c r="A2108" t="s">
        <v>285</v>
      </c>
      <c r="B2108" t="s">
        <v>141</v>
      </c>
      <c r="C2108" s="1">
        <f>HYPERLINK("https://cao.dolgi.msk.ru/account/1011516613/", 1011516613)</f>
        <v>1011516613</v>
      </c>
      <c r="D2108">
        <v>0</v>
      </c>
    </row>
    <row r="2109" spans="1:4" hidden="1" x14ac:dyDescent="0.3">
      <c r="A2109" t="s">
        <v>285</v>
      </c>
      <c r="B2109" t="s">
        <v>142</v>
      </c>
      <c r="C2109" s="1">
        <f>HYPERLINK("https://cao.dolgi.msk.ru/account/1011516218/", 1011516218)</f>
        <v>1011516218</v>
      </c>
      <c r="D2109">
        <v>0</v>
      </c>
    </row>
    <row r="2110" spans="1:4" hidden="1" x14ac:dyDescent="0.3">
      <c r="A2110" t="s">
        <v>285</v>
      </c>
      <c r="B2110" t="s">
        <v>143</v>
      </c>
      <c r="C2110" s="1">
        <f>HYPERLINK("https://cao.dolgi.msk.ru/account/1011521578/", 1011521578)</f>
        <v>1011521578</v>
      </c>
      <c r="D2110">
        <v>0</v>
      </c>
    </row>
    <row r="2111" spans="1:4" hidden="1" x14ac:dyDescent="0.3">
      <c r="A2111" t="s">
        <v>285</v>
      </c>
      <c r="B2111" t="s">
        <v>144</v>
      </c>
      <c r="C2111" s="1">
        <f>HYPERLINK("https://cao.dolgi.msk.ru/account/1011517368/", 1011517368)</f>
        <v>1011517368</v>
      </c>
      <c r="D2111">
        <v>-10779.8</v>
      </c>
    </row>
    <row r="2112" spans="1:4" hidden="1" x14ac:dyDescent="0.3">
      <c r="A2112" t="s">
        <v>285</v>
      </c>
      <c r="B2112" t="s">
        <v>145</v>
      </c>
      <c r="C2112" s="1">
        <f>HYPERLINK("https://cao.dolgi.msk.ru/account/1011517448/", 1011517448)</f>
        <v>1011517448</v>
      </c>
      <c r="D2112">
        <v>-4787.24</v>
      </c>
    </row>
    <row r="2113" spans="1:4" hidden="1" x14ac:dyDescent="0.3">
      <c r="A2113" t="s">
        <v>285</v>
      </c>
      <c r="B2113" t="s">
        <v>146</v>
      </c>
      <c r="C2113" s="1">
        <f>HYPERLINK("https://cao.dolgi.msk.ru/account/1011521594/", 1011521594)</f>
        <v>1011521594</v>
      </c>
      <c r="D2113">
        <v>-820.99</v>
      </c>
    </row>
    <row r="2114" spans="1:4" hidden="1" x14ac:dyDescent="0.3">
      <c r="A2114" t="s">
        <v>285</v>
      </c>
      <c r="B2114" t="s">
        <v>147</v>
      </c>
      <c r="C2114" s="1">
        <f>HYPERLINK("https://cao.dolgi.msk.ru/account/1011521607/", 1011521607)</f>
        <v>1011521607</v>
      </c>
      <c r="D2114">
        <v>0</v>
      </c>
    </row>
    <row r="2115" spans="1:4" hidden="1" x14ac:dyDescent="0.3">
      <c r="A2115" t="s">
        <v>285</v>
      </c>
      <c r="B2115" t="s">
        <v>148</v>
      </c>
      <c r="C2115" s="1">
        <f>HYPERLINK("https://cao.dolgi.msk.ru/account/1011519232/", 1011519232)</f>
        <v>1011519232</v>
      </c>
      <c r="D2115">
        <v>-3.13</v>
      </c>
    </row>
    <row r="2116" spans="1:4" hidden="1" x14ac:dyDescent="0.3">
      <c r="A2116" t="s">
        <v>285</v>
      </c>
      <c r="B2116" t="s">
        <v>149</v>
      </c>
      <c r="C2116" s="1">
        <f>HYPERLINK("https://cao.dolgi.msk.ru/account/1011518547/", 1011518547)</f>
        <v>1011518547</v>
      </c>
      <c r="D2116">
        <v>0</v>
      </c>
    </row>
    <row r="2117" spans="1:4" hidden="1" x14ac:dyDescent="0.3">
      <c r="A2117" t="s">
        <v>285</v>
      </c>
      <c r="B2117" t="s">
        <v>150</v>
      </c>
      <c r="C2117" s="1">
        <f>HYPERLINK("https://cao.dolgi.msk.ru/account/1011516349/", 1011516349)</f>
        <v>1011516349</v>
      </c>
      <c r="D2117">
        <v>0</v>
      </c>
    </row>
    <row r="2118" spans="1:4" hidden="1" x14ac:dyDescent="0.3">
      <c r="A2118" t="s">
        <v>285</v>
      </c>
      <c r="B2118" t="s">
        <v>151</v>
      </c>
      <c r="C2118" s="1">
        <f>HYPERLINK("https://cao.dolgi.msk.ru/account/1011519101/", 1011519101)</f>
        <v>1011519101</v>
      </c>
      <c r="D2118">
        <v>0</v>
      </c>
    </row>
    <row r="2119" spans="1:4" hidden="1" x14ac:dyDescent="0.3">
      <c r="A2119" t="s">
        <v>285</v>
      </c>
      <c r="B2119" t="s">
        <v>152</v>
      </c>
      <c r="C2119" s="1">
        <f>HYPERLINK("https://cao.dolgi.msk.ru/account/1011517552/", 1011517552)</f>
        <v>1011517552</v>
      </c>
      <c r="D2119">
        <v>-7329.07</v>
      </c>
    </row>
    <row r="2120" spans="1:4" hidden="1" x14ac:dyDescent="0.3">
      <c r="A2120" t="s">
        <v>285</v>
      </c>
      <c r="B2120" t="s">
        <v>153</v>
      </c>
      <c r="C2120" s="1">
        <f>HYPERLINK("https://cao.dolgi.msk.ru/account/1011519128/", 1011519128)</f>
        <v>1011519128</v>
      </c>
      <c r="D2120">
        <v>0</v>
      </c>
    </row>
    <row r="2121" spans="1:4" hidden="1" x14ac:dyDescent="0.3">
      <c r="A2121" t="s">
        <v>285</v>
      </c>
      <c r="B2121" t="s">
        <v>154</v>
      </c>
      <c r="C2121" s="1">
        <f>HYPERLINK("https://cao.dolgi.msk.ru/account/1011516736/", 1011516736)</f>
        <v>1011516736</v>
      </c>
      <c r="D2121">
        <v>-5514.52</v>
      </c>
    </row>
    <row r="2122" spans="1:4" hidden="1" x14ac:dyDescent="0.3">
      <c r="A2122" t="s">
        <v>285</v>
      </c>
      <c r="B2122" t="s">
        <v>155</v>
      </c>
      <c r="C2122" s="1">
        <f>HYPERLINK("https://cao.dolgi.msk.ru/account/1011516269/", 1011516269)</f>
        <v>1011516269</v>
      </c>
      <c r="D2122">
        <v>0</v>
      </c>
    </row>
    <row r="2123" spans="1:4" hidden="1" x14ac:dyDescent="0.3">
      <c r="A2123" t="s">
        <v>285</v>
      </c>
      <c r="B2123" t="s">
        <v>156</v>
      </c>
      <c r="C2123" s="1">
        <f>HYPERLINK("https://cao.dolgi.msk.ru/account/1011539372/", 1011539372)</f>
        <v>1011539372</v>
      </c>
      <c r="D2123">
        <v>-1973.84</v>
      </c>
    </row>
    <row r="2124" spans="1:4" hidden="1" x14ac:dyDescent="0.3">
      <c r="A2124" t="s">
        <v>285</v>
      </c>
      <c r="B2124" t="s">
        <v>157</v>
      </c>
      <c r="C2124" s="1">
        <f>HYPERLINK("https://cao.dolgi.msk.ru/account/1011516226/", 1011516226)</f>
        <v>1011516226</v>
      </c>
      <c r="D2124">
        <v>0</v>
      </c>
    </row>
    <row r="2125" spans="1:4" x14ac:dyDescent="0.3">
      <c r="A2125" t="s">
        <v>285</v>
      </c>
      <c r="B2125" t="s">
        <v>158</v>
      </c>
      <c r="C2125" s="1">
        <f>HYPERLINK("https://cao.dolgi.msk.ru/account/1011521703/", 1011521703)</f>
        <v>1011521703</v>
      </c>
      <c r="D2125">
        <v>7851.51</v>
      </c>
    </row>
    <row r="2126" spans="1:4" hidden="1" x14ac:dyDescent="0.3">
      <c r="A2126" t="s">
        <v>285</v>
      </c>
      <c r="B2126" t="s">
        <v>159</v>
      </c>
      <c r="C2126" s="1">
        <f>HYPERLINK("https://cao.dolgi.msk.ru/account/1011515733/", 1011515733)</f>
        <v>1011515733</v>
      </c>
      <c r="D2126">
        <v>-125.61</v>
      </c>
    </row>
    <row r="2127" spans="1:4" hidden="1" x14ac:dyDescent="0.3">
      <c r="A2127" t="s">
        <v>285</v>
      </c>
      <c r="B2127" t="s">
        <v>160</v>
      </c>
      <c r="C2127" s="1">
        <f>HYPERLINK("https://cao.dolgi.msk.ru/account/1011521711/", 1011521711)</f>
        <v>1011521711</v>
      </c>
      <c r="D2127">
        <v>0</v>
      </c>
    </row>
    <row r="2128" spans="1:4" hidden="1" x14ac:dyDescent="0.3">
      <c r="A2128" t="s">
        <v>285</v>
      </c>
      <c r="B2128" t="s">
        <v>161</v>
      </c>
      <c r="C2128" s="1">
        <f>HYPERLINK("https://cao.dolgi.msk.ru/account/1011540023/", 1011540023)</f>
        <v>1011540023</v>
      </c>
      <c r="D2128">
        <v>-1719.12</v>
      </c>
    </row>
    <row r="2129" spans="1:4" hidden="1" x14ac:dyDescent="0.3">
      <c r="A2129" t="s">
        <v>285</v>
      </c>
      <c r="B2129" t="s">
        <v>161</v>
      </c>
      <c r="C2129" s="1">
        <f>HYPERLINK("https://cao.dolgi.msk.ru/account/1011541245/", 1011541245)</f>
        <v>1011541245</v>
      </c>
      <c r="D2129">
        <v>-871.39</v>
      </c>
    </row>
    <row r="2130" spans="1:4" x14ac:dyDescent="0.3">
      <c r="A2130" t="s">
        <v>285</v>
      </c>
      <c r="B2130" t="s">
        <v>161</v>
      </c>
      <c r="C2130" s="1">
        <f>HYPERLINK("https://cao.dolgi.msk.ru/account/1011541253/", 1011541253)</f>
        <v>1011541253</v>
      </c>
      <c r="D2130">
        <v>3367.15</v>
      </c>
    </row>
    <row r="2131" spans="1:4" hidden="1" x14ac:dyDescent="0.3">
      <c r="A2131" t="s">
        <v>285</v>
      </c>
      <c r="B2131" t="s">
        <v>161</v>
      </c>
      <c r="C2131" s="1">
        <f>HYPERLINK("https://cao.dolgi.msk.ru/account/1011541261/", 1011541261)</f>
        <v>1011541261</v>
      </c>
      <c r="D2131">
        <v>-1881</v>
      </c>
    </row>
    <row r="2132" spans="1:4" hidden="1" x14ac:dyDescent="0.3">
      <c r="A2132" t="s">
        <v>285</v>
      </c>
      <c r="B2132" t="s">
        <v>162</v>
      </c>
      <c r="C2132" s="1">
        <f>HYPERLINK("https://cao.dolgi.msk.ru/account/1011517245/", 1011517245)</f>
        <v>1011517245</v>
      </c>
      <c r="D2132">
        <v>0</v>
      </c>
    </row>
    <row r="2133" spans="1:4" hidden="1" x14ac:dyDescent="0.3">
      <c r="A2133" t="s">
        <v>285</v>
      </c>
      <c r="B2133" t="s">
        <v>163</v>
      </c>
      <c r="C2133" s="1">
        <f>HYPERLINK("https://cao.dolgi.msk.ru/account/1011518037/", 1011518037)</f>
        <v>1011518037</v>
      </c>
      <c r="D2133">
        <v>0</v>
      </c>
    </row>
    <row r="2134" spans="1:4" x14ac:dyDescent="0.3">
      <c r="A2134" t="s">
        <v>285</v>
      </c>
      <c r="B2134" t="s">
        <v>163</v>
      </c>
      <c r="C2134" s="1">
        <f>HYPERLINK("https://cao.dolgi.msk.ru/account/1011527048/", 1011527048)</f>
        <v>1011527048</v>
      </c>
      <c r="D2134">
        <v>29969.98</v>
      </c>
    </row>
    <row r="2135" spans="1:4" hidden="1" x14ac:dyDescent="0.3">
      <c r="A2135" t="s">
        <v>285</v>
      </c>
      <c r="B2135" t="s">
        <v>164</v>
      </c>
      <c r="C2135" s="1">
        <f>HYPERLINK("https://cao.dolgi.msk.ru/account/1011526627/", 1011526627)</f>
        <v>1011526627</v>
      </c>
      <c r="D2135">
        <v>0</v>
      </c>
    </row>
    <row r="2136" spans="1:4" hidden="1" x14ac:dyDescent="0.3">
      <c r="A2136" t="s">
        <v>285</v>
      </c>
      <c r="B2136" t="s">
        <v>165</v>
      </c>
      <c r="C2136" s="1">
        <f>HYPERLINK("https://cao.dolgi.msk.ru/account/1011516402/", 1011516402)</f>
        <v>1011516402</v>
      </c>
      <c r="D2136">
        <v>0</v>
      </c>
    </row>
    <row r="2137" spans="1:4" x14ac:dyDescent="0.3">
      <c r="A2137" t="s">
        <v>285</v>
      </c>
      <c r="B2137" t="s">
        <v>167</v>
      </c>
      <c r="C2137" s="1">
        <f>HYPERLINK("https://cao.dolgi.msk.ru/account/1011517114/", 1011517114)</f>
        <v>1011517114</v>
      </c>
      <c r="D2137">
        <v>7020.8</v>
      </c>
    </row>
    <row r="2138" spans="1:4" hidden="1" x14ac:dyDescent="0.3">
      <c r="A2138" t="s">
        <v>285</v>
      </c>
      <c r="B2138" t="s">
        <v>168</v>
      </c>
      <c r="C2138" s="1">
        <f>HYPERLINK("https://cao.dolgi.msk.ru/account/1011517261/", 1011517261)</f>
        <v>1011517261</v>
      </c>
      <c r="D2138">
        <v>-8582</v>
      </c>
    </row>
    <row r="2139" spans="1:4" hidden="1" x14ac:dyDescent="0.3">
      <c r="A2139" t="s">
        <v>285</v>
      </c>
      <c r="B2139" t="s">
        <v>169</v>
      </c>
      <c r="C2139" s="1">
        <f>HYPERLINK("https://cao.dolgi.msk.ru/account/1011521746/", 1011521746)</f>
        <v>1011521746</v>
      </c>
      <c r="D2139">
        <v>-6796.07</v>
      </c>
    </row>
    <row r="2140" spans="1:4" hidden="1" x14ac:dyDescent="0.3">
      <c r="A2140" t="s">
        <v>285</v>
      </c>
      <c r="B2140" t="s">
        <v>170</v>
      </c>
      <c r="C2140" s="1">
        <f>HYPERLINK("https://cao.dolgi.msk.ru/account/1011516883/", 1011516883)</f>
        <v>1011516883</v>
      </c>
      <c r="D2140">
        <v>-95.14</v>
      </c>
    </row>
    <row r="2141" spans="1:4" hidden="1" x14ac:dyDescent="0.3">
      <c r="A2141" t="s">
        <v>285</v>
      </c>
      <c r="B2141" t="s">
        <v>171</v>
      </c>
      <c r="C2141" s="1">
        <f>HYPERLINK("https://cao.dolgi.msk.ru/account/1011519144/", 1011519144)</f>
        <v>1011519144</v>
      </c>
      <c r="D2141">
        <v>-5750.84</v>
      </c>
    </row>
    <row r="2142" spans="1:4" hidden="1" x14ac:dyDescent="0.3">
      <c r="A2142" t="s">
        <v>285</v>
      </c>
      <c r="B2142" t="s">
        <v>172</v>
      </c>
      <c r="C2142" s="1">
        <f>HYPERLINK("https://cao.dolgi.msk.ru/account/1011516146/", 1011516146)</f>
        <v>1011516146</v>
      </c>
      <c r="D2142">
        <v>0</v>
      </c>
    </row>
    <row r="2143" spans="1:4" hidden="1" x14ac:dyDescent="0.3">
      <c r="A2143" t="s">
        <v>285</v>
      </c>
      <c r="B2143" t="s">
        <v>173</v>
      </c>
      <c r="C2143" s="1">
        <f>HYPERLINK("https://cao.dolgi.msk.ru/account/1011517018/", 1011517018)</f>
        <v>1011517018</v>
      </c>
      <c r="D2143">
        <v>-7864.5</v>
      </c>
    </row>
    <row r="2144" spans="1:4" hidden="1" x14ac:dyDescent="0.3">
      <c r="A2144" t="s">
        <v>285</v>
      </c>
      <c r="B2144" t="s">
        <v>174</v>
      </c>
      <c r="C2144" s="1">
        <f>HYPERLINK("https://cao.dolgi.msk.ru/account/1011515805/", 1011515805)</f>
        <v>1011515805</v>
      </c>
      <c r="D2144">
        <v>-5707.42</v>
      </c>
    </row>
    <row r="2145" spans="1:4" hidden="1" x14ac:dyDescent="0.3">
      <c r="A2145" t="s">
        <v>285</v>
      </c>
      <c r="B2145" t="s">
        <v>175</v>
      </c>
      <c r="C2145" s="1">
        <f>HYPERLINK("https://cao.dolgi.msk.ru/account/1011521754/", 1011521754)</f>
        <v>1011521754</v>
      </c>
      <c r="D2145">
        <v>-7221</v>
      </c>
    </row>
    <row r="2146" spans="1:4" x14ac:dyDescent="0.3">
      <c r="A2146" t="s">
        <v>285</v>
      </c>
      <c r="B2146" t="s">
        <v>176</v>
      </c>
      <c r="C2146" s="1">
        <f>HYPERLINK("https://cao.dolgi.msk.ru/account/1011530597/", 1011530597)</f>
        <v>1011530597</v>
      </c>
      <c r="D2146">
        <v>342.07</v>
      </c>
    </row>
    <row r="2147" spans="1:4" hidden="1" x14ac:dyDescent="0.3">
      <c r="A2147" t="s">
        <v>285</v>
      </c>
      <c r="B2147" t="s">
        <v>177</v>
      </c>
      <c r="C2147" s="1">
        <f>HYPERLINK("https://cao.dolgi.msk.ru/account/1011519419/", 1011519419)</f>
        <v>1011519419</v>
      </c>
      <c r="D2147">
        <v>0</v>
      </c>
    </row>
    <row r="2148" spans="1:4" hidden="1" x14ac:dyDescent="0.3">
      <c r="A2148" t="s">
        <v>285</v>
      </c>
      <c r="B2148" t="s">
        <v>178</v>
      </c>
      <c r="C2148" s="1">
        <f>HYPERLINK("https://cao.dolgi.msk.ru/account/1011521789/", 1011521789)</f>
        <v>1011521789</v>
      </c>
      <c r="D2148">
        <v>0</v>
      </c>
    </row>
    <row r="2149" spans="1:4" hidden="1" x14ac:dyDescent="0.3">
      <c r="A2149" t="s">
        <v>285</v>
      </c>
      <c r="B2149" t="s">
        <v>179</v>
      </c>
      <c r="C2149" s="1">
        <f>HYPERLINK("https://cao.dolgi.msk.ru/account/1011521797/", 1011521797)</f>
        <v>1011521797</v>
      </c>
      <c r="D2149">
        <v>0</v>
      </c>
    </row>
    <row r="2150" spans="1:4" hidden="1" x14ac:dyDescent="0.3">
      <c r="A2150" t="s">
        <v>285</v>
      </c>
      <c r="B2150" t="s">
        <v>273</v>
      </c>
      <c r="C2150" s="1">
        <f>HYPERLINK("https://cao.dolgi.msk.ru/account/1011519152/", 1011519152)</f>
        <v>1011519152</v>
      </c>
      <c r="D2150">
        <v>0</v>
      </c>
    </row>
    <row r="2151" spans="1:4" hidden="1" x14ac:dyDescent="0.3">
      <c r="A2151" t="s">
        <v>285</v>
      </c>
      <c r="B2151" t="s">
        <v>180</v>
      </c>
      <c r="C2151" s="1">
        <f>HYPERLINK("https://cao.dolgi.msk.ru/account/1011516488/", 1011516488)</f>
        <v>1011516488</v>
      </c>
      <c r="D2151">
        <v>0</v>
      </c>
    </row>
    <row r="2152" spans="1:4" hidden="1" x14ac:dyDescent="0.3">
      <c r="A2152" t="s">
        <v>285</v>
      </c>
      <c r="B2152" t="s">
        <v>181</v>
      </c>
      <c r="C2152" s="1">
        <f>HYPERLINK("https://cao.dolgi.msk.ru/account/1011517616/", 1011517616)</f>
        <v>1011517616</v>
      </c>
      <c r="D2152">
        <v>-16.72</v>
      </c>
    </row>
    <row r="2153" spans="1:4" hidden="1" x14ac:dyDescent="0.3">
      <c r="A2153" t="s">
        <v>285</v>
      </c>
      <c r="B2153" t="s">
        <v>182</v>
      </c>
      <c r="C2153" s="1">
        <f>HYPERLINK("https://cao.dolgi.msk.ru/account/1011518539/", 1011518539)</f>
        <v>1011518539</v>
      </c>
      <c r="D2153">
        <v>-980.1</v>
      </c>
    </row>
    <row r="2154" spans="1:4" x14ac:dyDescent="0.3">
      <c r="A2154" t="s">
        <v>285</v>
      </c>
      <c r="B2154" t="s">
        <v>183</v>
      </c>
      <c r="C2154" s="1">
        <f>HYPERLINK("https://cao.dolgi.msk.ru/account/1011521818/", 1011521818)</f>
        <v>1011521818</v>
      </c>
      <c r="D2154">
        <v>9524.59</v>
      </c>
    </row>
    <row r="2155" spans="1:4" hidden="1" x14ac:dyDescent="0.3">
      <c r="A2155" t="s">
        <v>285</v>
      </c>
      <c r="B2155" t="s">
        <v>184</v>
      </c>
      <c r="C2155" s="1">
        <f>HYPERLINK("https://cao.dolgi.msk.ru/account/1011526862/", 1011526862)</f>
        <v>1011526862</v>
      </c>
      <c r="D2155">
        <v>-38970.28</v>
      </c>
    </row>
    <row r="2156" spans="1:4" hidden="1" x14ac:dyDescent="0.3">
      <c r="A2156" t="s">
        <v>285</v>
      </c>
      <c r="B2156" t="s">
        <v>185</v>
      </c>
      <c r="C2156" s="1">
        <f>HYPERLINK("https://cao.dolgi.msk.ru/account/1011518555/", 1011518555)</f>
        <v>1011518555</v>
      </c>
      <c r="D2156">
        <v>0</v>
      </c>
    </row>
    <row r="2157" spans="1:4" hidden="1" x14ac:dyDescent="0.3">
      <c r="A2157" t="s">
        <v>285</v>
      </c>
      <c r="B2157" t="s">
        <v>274</v>
      </c>
      <c r="C2157" s="1">
        <f>HYPERLINK("https://cao.dolgi.msk.ru/account/1011517026/", 1011517026)</f>
        <v>1011517026</v>
      </c>
      <c r="D2157">
        <v>0</v>
      </c>
    </row>
    <row r="2158" spans="1:4" hidden="1" x14ac:dyDescent="0.3">
      <c r="A2158" t="s">
        <v>285</v>
      </c>
      <c r="B2158" t="s">
        <v>186</v>
      </c>
      <c r="C2158" s="1">
        <f>HYPERLINK("https://cao.dolgi.msk.ru/account/1011517528/", 1011517528)</f>
        <v>1011517528</v>
      </c>
      <c r="D2158">
        <v>0</v>
      </c>
    </row>
    <row r="2159" spans="1:4" hidden="1" x14ac:dyDescent="0.3">
      <c r="A2159" t="s">
        <v>285</v>
      </c>
      <c r="B2159" t="s">
        <v>188</v>
      </c>
      <c r="C2159" s="1">
        <f>HYPERLINK("https://cao.dolgi.msk.ru/account/1011516007/", 1011516007)</f>
        <v>1011516007</v>
      </c>
      <c r="D2159">
        <v>0</v>
      </c>
    </row>
    <row r="2160" spans="1:4" hidden="1" x14ac:dyDescent="0.3">
      <c r="A2160" t="s">
        <v>285</v>
      </c>
      <c r="B2160" t="s">
        <v>189</v>
      </c>
      <c r="C2160" s="1">
        <f>HYPERLINK("https://cao.dolgi.msk.ru/account/1011518141/", 1011518141)</f>
        <v>1011518141</v>
      </c>
      <c r="D2160">
        <v>-1468.05</v>
      </c>
    </row>
    <row r="2161" spans="1:4" hidden="1" x14ac:dyDescent="0.3">
      <c r="A2161" t="s">
        <v>285</v>
      </c>
      <c r="B2161" t="s">
        <v>190</v>
      </c>
      <c r="C2161" s="1">
        <f>HYPERLINK("https://cao.dolgi.msk.ru/account/1011520292/", 1011520292)</f>
        <v>1011520292</v>
      </c>
      <c r="D2161">
        <v>-343.58</v>
      </c>
    </row>
    <row r="2162" spans="1:4" x14ac:dyDescent="0.3">
      <c r="A2162" t="s">
        <v>285</v>
      </c>
      <c r="B2162" t="s">
        <v>191</v>
      </c>
      <c r="C2162" s="1">
        <f>HYPERLINK("https://cao.dolgi.msk.ru/account/1011521842/", 1011521842)</f>
        <v>1011521842</v>
      </c>
      <c r="D2162">
        <v>3282.03</v>
      </c>
    </row>
    <row r="2163" spans="1:4" hidden="1" x14ac:dyDescent="0.3">
      <c r="A2163" t="s">
        <v>285</v>
      </c>
      <c r="B2163" t="s">
        <v>192</v>
      </c>
      <c r="C2163" s="1">
        <f>HYPERLINK("https://cao.dolgi.msk.ru/account/1011516779/", 1011516779)</f>
        <v>1011516779</v>
      </c>
      <c r="D2163">
        <v>0</v>
      </c>
    </row>
    <row r="2164" spans="1:4" hidden="1" x14ac:dyDescent="0.3">
      <c r="A2164" t="s">
        <v>285</v>
      </c>
      <c r="B2164" t="s">
        <v>193</v>
      </c>
      <c r="C2164" s="1">
        <f>HYPERLINK("https://cao.dolgi.msk.ru/account/1011515637/", 1011515637)</f>
        <v>1011515637</v>
      </c>
      <c r="D2164">
        <v>0</v>
      </c>
    </row>
    <row r="2165" spans="1:4" hidden="1" x14ac:dyDescent="0.3">
      <c r="A2165" t="s">
        <v>285</v>
      </c>
      <c r="B2165" t="s">
        <v>194</v>
      </c>
      <c r="C2165" s="1">
        <f>HYPERLINK("https://cao.dolgi.msk.ru/account/1011517085/", 1011517085)</f>
        <v>1011517085</v>
      </c>
      <c r="D2165">
        <v>-3702.13</v>
      </c>
    </row>
    <row r="2166" spans="1:4" hidden="1" x14ac:dyDescent="0.3">
      <c r="A2166" t="s">
        <v>285</v>
      </c>
      <c r="B2166" t="s">
        <v>195</v>
      </c>
      <c r="C2166" s="1">
        <f>HYPERLINK("https://cao.dolgi.msk.ru/account/1011517464/", 1011517464)</f>
        <v>1011517464</v>
      </c>
      <c r="D2166">
        <v>-9293.36</v>
      </c>
    </row>
    <row r="2167" spans="1:4" hidden="1" x14ac:dyDescent="0.3">
      <c r="A2167" t="s">
        <v>285</v>
      </c>
      <c r="B2167" t="s">
        <v>196</v>
      </c>
      <c r="C2167" s="1">
        <f>HYPERLINK("https://cao.dolgi.msk.ru/account/1011521869/", 1011521869)</f>
        <v>1011521869</v>
      </c>
      <c r="D2167">
        <v>-12458.14</v>
      </c>
    </row>
    <row r="2168" spans="1:4" hidden="1" x14ac:dyDescent="0.3">
      <c r="A2168" t="s">
        <v>285</v>
      </c>
      <c r="B2168" t="s">
        <v>197</v>
      </c>
      <c r="C2168" s="1">
        <f>HYPERLINK("https://cao.dolgi.msk.ru/account/1011519427/", 1011519427)</f>
        <v>1011519427</v>
      </c>
      <c r="D2168">
        <v>-111.12</v>
      </c>
    </row>
    <row r="2169" spans="1:4" x14ac:dyDescent="0.3">
      <c r="A2169" t="s">
        <v>285</v>
      </c>
      <c r="B2169" t="s">
        <v>199</v>
      </c>
      <c r="C2169" s="1">
        <f>HYPERLINK("https://cao.dolgi.msk.ru/account/1011516576/", 1011516576)</f>
        <v>1011516576</v>
      </c>
      <c r="D2169">
        <v>7069.81</v>
      </c>
    </row>
    <row r="2170" spans="1:4" hidden="1" x14ac:dyDescent="0.3">
      <c r="A2170" t="s">
        <v>285</v>
      </c>
      <c r="B2170" t="s">
        <v>200</v>
      </c>
      <c r="C2170" s="1">
        <f>HYPERLINK("https://cao.dolgi.msk.ru/account/1011516541/", 1011516541)</f>
        <v>1011516541</v>
      </c>
      <c r="D2170">
        <v>-7313.17</v>
      </c>
    </row>
    <row r="2171" spans="1:4" hidden="1" x14ac:dyDescent="0.3">
      <c r="A2171" t="s">
        <v>285</v>
      </c>
      <c r="B2171" t="s">
        <v>201</v>
      </c>
      <c r="C2171" s="1">
        <f>HYPERLINK("https://cao.dolgi.msk.ru/account/1011516904/", 1011516904)</f>
        <v>1011516904</v>
      </c>
      <c r="D2171">
        <v>-483.44</v>
      </c>
    </row>
    <row r="2172" spans="1:4" hidden="1" x14ac:dyDescent="0.3">
      <c r="A2172" t="s">
        <v>285</v>
      </c>
      <c r="B2172" t="s">
        <v>202</v>
      </c>
      <c r="C2172" s="1">
        <f>HYPERLINK("https://cao.dolgi.msk.ru/account/1011517069/", 1011517069)</f>
        <v>1011517069</v>
      </c>
      <c r="D2172">
        <v>0</v>
      </c>
    </row>
    <row r="2173" spans="1:4" hidden="1" x14ac:dyDescent="0.3">
      <c r="A2173" t="s">
        <v>285</v>
      </c>
      <c r="B2173" t="s">
        <v>203</v>
      </c>
      <c r="C2173" s="1">
        <f>HYPERLINK("https://cao.dolgi.msk.ru/account/1011526045/", 1011526045)</f>
        <v>1011526045</v>
      </c>
      <c r="D2173">
        <v>0</v>
      </c>
    </row>
    <row r="2174" spans="1:4" hidden="1" x14ac:dyDescent="0.3">
      <c r="A2174" t="s">
        <v>285</v>
      </c>
      <c r="B2174" t="s">
        <v>204</v>
      </c>
      <c r="C2174" s="1">
        <f>HYPERLINK("https://cao.dolgi.msk.ru/account/1011519195/", 1011519195)</f>
        <v>1011519195</v>
      </c>
      <c r="D2174">
        <v>0</v>
      </c>
    </row>
    <row r="2175" spans="1:4" hidden="1" x14ac:dyDescent="0.3">
      <c r="A2175" t="s">
        <v>285</v>
      </c>
      <c r="B2175" t="s">
        <v>205</v>
      </c>
      <c r="C2175" s="1">
        <f>HYPERLINK("https://cao.dolgi.msk.ru/account/1011516293/", 1011516293)</f>
        <v>1011516293</v>
      </c>
      <c r="D2175">
        <v>-8.11</v>
      </c>
    </row>
    <row r="2176" spans="1:4" hidden="1" x14ac:dyDescent="0.3">
      <c r="A2176" t="s">
        <v>285</v>
      </c>
      <c r="B2176" t="s">
        <v>206</v>
      </c>
      <c r="C2176" s="1">
        <f>HYPERLINK("https://cao.dolgi.msk.ru/account/1011518993/", 1011518993)</f>
        <v>1011518993</v>
      </c>
      <c r="D2176">
        <v>0</v>
      </c>
    </row>
    <row r="2177" spans="1:4" hidden="1" x14ac:dyDescent="0.3">
      <c r="A2177" t="s">
        <v>285</v>
      </c>
      <c r="B2177" t="s">
        <v>207</v>
      </c>
      <c r="C2177" s="1">
        <f>HYPERLINK("https://cao.dolgi.msk.ru/account/1011516023/", 1011516023)</f>
        <v>1011516023</v>
      </c>
      <c r="D2177">
        <v>0</v>
      </c>
    </row>
    <row r="2178" spans="1:4" hidden="1" x14ac:dyDescent="0.3">
      <c r="A2178" t="s">
        <v>285</v>
      </c>
      <c r="B2178" t="s">
        <v>208</v>
      </c>
      <c r="C2178" s="1">
        <f>HYPERLINK("https://cao.dolgi.msk.ru/account/1011520305/", 1011520305)</f>
        <v>1011520305</v>
      </c>
      <c r="D2178">
        <v>0</v>
      </c>
    </row>
    <row r="2179" spans="1:4" hidden="1" x14ac:dyDescent="0.3">
      <c r="A2179" t="s">
        <v>285</v>
      </c>
      <c r="B2179" t="s">
        <v>209</v>
      </c>
      <c r="C2179" s="1">
        <f>HYPERLINK("https://cao.dolgi.msk.ru/account/1011518168/", 1011518168)</f>
        <v>1011518168</v>
      </c>
      <c r="D2179">
        <v>0</v>
      </c>
    </row>
    <row r="2180" spans="1:4" hidden="1" x14ac:dyDescent="0.3">
      <c r="A2180" t="s">
        <v>285</v>
      </c>
      <c r="B2180" t="s">
        <v>210</v>
      </c>
      <c r="C2180" s="1">
        <f>HYPERLINK("https://cao.dolgi.msk.ru/account/1011515725/", 1011515725)</f>
        <v>1011515725</v>
      </c>
      <c r="D2180">
        <v>0</v>
      </c>
    </row>
    <row r="2181" spans="1:4" hidden="1" x14ac:dyDescent="0.3">
      <c r="A2181" t="s">
        <v>285</v>
      </c>
      <c r="B2181" t="s">
        <v>211</v>
      </c>
      <c r="C2181" s="1">
        <f>HYPERLINK("https://cao.dolgi.msk.ru/account/1011521893/", 1011521893)</f>
        <v>1011521893</v>
      </c>
      <c r="D2181">
        <v>-6279.04</v>
      </c>
    </row>
    <row r="2182" spans="1:4" hidden="1" x14ac:dyDescent="0.3">
      <c r="A2182" t="s">
        <v>285</v>
      </c>
      <c r="B2182" t="s">
        <v>212</v>
      </c>
      <c r="C2182" s="1">
        <f>HYPERLINK("https://cao.dolgi.msk.ru/account/1011517122/", 1011517122)</f>
        <v>1011517122</v>
      </c>
      <c r="D2182">
        <v>-148.71</v>
      </c>
    </row>
    <row r="2183" spans="1:4" hidden="1" x14ac:dyDescent="0.3">
      <c r="A2183" t="s">
        <v>285</v>
      </c>
      <c r="B2183" t="s">
        <v>213</v>
      </c>
      <c r="C2183" s="1">
        <f>HYPERLINK("https://cao.dolgi.msk.ru/account/1011517405/", 1011517405)</f>
        <v>1011517405</v>
      </c>
      <c r="D2183">
        <v>0</v>
      </c>
    </row>
    <row r="2184" spans="1:4" hidden="1" x14ac:dyDescent="0.3">
      <c r="A2184" t="s">
        <v>285</v>
      </c>
      <c r="B2184" t="s">
        <v>215</v>
      </c>
      <c r="C2184" s="1">
        <f>HYPERLINK("https://cao.dolgi.msk.ru/account/1011517747/", 1011517747)</f>
        <v>1011517747</v>
      </c>
      <c r="D2184">
        <v>-6222.96</v>
      </c>
    </row>
    <row r="2185" spans="1:4" hidden="1" x14ac:dyDescent="0.3">
      <c r="A2185" t="s">
        <v>285</v>
      </c>
      <c r="B2185" t="s">
        <v>216</v>
      </c>
      <c r="C2185" s="1">
        <f>HYPERLINK("https://cao.dolgi.msk.ru/account/1011527419/", 1011527419)</f>
        <v>1011527419</v>
      </c>
      <c r="D2185">
        <v>-1530.66</v>
      </c>
    </row>
    <row r="2186" spans="1:4" x14ac:dyDescent="0.3">
      <c r="A2186" t="s">
        <v>285</v>
      </c>
      <c r="B2186" t="s">
        <v>286</v>
      </c>
      <c r="C2186" s="1">
        <f>HYPERLINK("https://cao.dolgi.msk.ru/account/1011520321/", 1011520321)</f>
        <v>1011520321</v>
      </c>
      <c r="D2186">
        <v>7708.71</v>
      </c>
    </row>
    <row r="2187" spans="1:4" hidden="1" x14ac:dyDescent="0.3">
      <c r="A2187" t="s">
        <v>285</v>
      </c>
      <c r="B2187" t="s">
        <v>287</v>
      </c>
      <c r="C2187" s="1">
        <f>HYPERLINK("https://cao.dolgi.msk.ru/account/1011515848/", 1011515848)</f>
        <v>1011515848</v>
      </c>
      <c r="D2187">
        <v>0</v>
      </c>
    </row>
    <row r="2188" spans="1:4" x14ac:dyDescent="0.3">
      <c r="A2188" t="s">
        <v>285</v>
      </c>
      <c r="B2188" t="s">
        <v>217</v>
      </c>
      <c r="C2188" s="1">
        <f>HYPERLINK("https://cao.dolgi.msk.ru/account/1011517157/", 1011517157)</f>
        <v>1011517157</v>
      </c>
      <c r="D2188">
        <v>2901.15</v>
      </c>
    </row>
    <row r="2189" spans="1:4" x14ac:dyDescent="0.3">
      <c r="A2189" t="s">
        <v>285</v>
      </c>
      <c r="B2189" t="s">
        <v>218</v>
      </c>
      <c r="C2189" s="1">
        <f>HYPERLINK("https://cao.dolgi.msk.ru/account/1011517173/", 1011517173)</f>
        <v>1011517173</v>
      </c>
      <c r="D2189">
        <v>3048.46</v>
      </c>
    </row>
    <row r="2190" spans="1:4" hidden="1" x14ac:dyDescent="0.3">
      <c r="A2190" t="s">
        <v>285</v>
      </c>
      <c r="B2190" t="s">
        <v>219</v>
      </c>
      <c r="C2190" s="1">
        <f>HYPERLINK("https://cao.dolgi.msk.ru/account/1011518045/", 1011518045)</f>
        <v>1011518045</v>
      </c>
      <c r="D2190">
        <v>0</v>
      </c>
    </row>
    <row r="2191" spans="1:4" hidden="1" x14ac:dyDescent="0.3">
      <c r="A2191" t="s">
        <v>285</v>
      </c>
      <c r="B2191" t="s">
        <v>220</v>
      </c>
      <c r="C2191" s="1">
        <f>HYPERLINK("https://cao.dolgi.msk.ru/account/1011517077/", 1011517077)</f>
        <v>1011517077</v>
      </c>
      <c r="D2191">
        <v>0</v>
      </c>
    </row>
    <row r="2192" spans="1:4" hidden="1" x14ac:dyDescent="0.3">
      <c r="A2192" t="s">
        <v>285</v>
      </c>
      <c r="B2192" t="s">
        <v>221</v>
      </c>
      <c r="C2192" s="1">
        <f>HYPERLINK("https://cao.dolgi.msk.ru/account/1011518707/", 1011518707)</f>
        <v>1011518707</v>
      </c>
      <c r="D2192">
        <v>-439.8</v>
      </c>
    </row>
    <row r="2193" spans="1:4" hidden="1" x14ac:dyDescent="0.3">
      <c r="A2193" t="s">
        <v>285</v>
      </c>
      <c r="B2193" t="s">
        <v>222</v>
      </c>
      <c r="C2193" s="1">
        <f>HYPERLINK("https://cao.dolgi.msk.ru/account/1011521922/", 1011521922)</f>
        <v>1011521922</v>
      </c>
      <c r="D2193">
        <v>-6078.72</v>
      </c>
    </row>
    <row r="2194" spans="1:4" hidden="1" x14ac:dyDescent="0.3">
      <c r="A2194" t="s">
        <v>285</v>
      </c>
      <c r="B2194" t="s">
        <v>223</v>
      </c>
      <c r="C2194" s="1">
        <f>HYPERLINK("https://cao.dolgi.msk.ru/account/1011519208/", 1011519208)</f>
        <v>1011519208</v>
      </c>
      <c r="D2194">
        <v>-13490.14</v>
      </c>
    </row>
    <row r="2195" spans="1:4" hidden="1" x14ac:dyDescent="0.3">
      <c r="A2195" t="s">
        <v>285</v>
      </c>
      <c r="B2195" t="s">
        <v>224</v>
      </c>
      <c r="C2195" s="1">
        <f>HYPERLINK("https://cao.dolgi.msk.ru/account/1011522036/", 1011522036)</f>
        <v>1011522036</v>
      </c>
      <c r="D2195">
        <v>0</v>
      </c>
    </row>
    <row r="2196" spans="1:4" hidden="1" x14ac:dyDescent="0.3">
      <c r="A2196" t="s">
        <v>285</v>
      </c>
      <c r="B2196" t="s">
        <v>225</v>
      </c>
      <c r="C2196" s="1">
        <f>HYPERLINK("https://cao.dolgi.msk.ru/account/1011519224/", 1011519224)</f>
        <v>1011519224</v>
      </c>
      <c r="D2196">
        <v>-4326.22</v>
      </c>
    </row>
    <row r="2197" spans="1:4" hidden="1" x14ac:dyDescent="0.3">
      <c r="A2197" t="s">
        <v>285</v>
      </c>
      <c r="B2197" t="s">
        <v>226</v>
      </c>
      <c r="C2197" s="1">
        <f>HYPERLINK("https://cao.dolgi.msk.ru/account/1011517712/", 1011517712)</f>
        <v>1011517712</v>
      </c>
      <c r="D2197">
        <v>0</v>
      </c>
    </row>
    <row r="2198" spans="1:4" hidden="1" x14ac:dyDescent="0.3">
      <c r="A2198" t="s">
        <v>285</v>
      </c>
      <c r="B2198" t="s">
        <v>227</v>
      </c>
      <c r="C2198" s="1">
        <f>HYPERLINK("https://cao.dolgi.msk.ru/account/1011522052/", 1011522052)</f>
        <v>1011522052</v>
      </c>
      <c r="D2198">
        <v>0</v>
      </c>
    </row>
    <row r="2199" spans="1:4" hidden="1" x14ac:dyDescent="0.3">
      <c r="A2199" t="s">
        <v>285</v>
      </c>
      <c r="B2199" t="s">
        <v>228</v>
      </c>
      <c r="C2199" s="1">
        <f>HYPERLINK("https://cao.dolgi.msk.ru/account/1011517229/", 1011517229)</f>
        <v>1011517229</v>
      </c>
      <c r="D2199">
        <v>0</v>
      </c>
    </row>
    <row r="2200" spans="1:4" hidden="1" x14ac:dyDescent="0.3">
      <c r="A2200" t="s">
        <v>285</v>
      </c>
      <c r="B2200" t="s">
        <v>229</v>
      </c>
      <c r="C2200" s="1">
        <f>HYPERLINK("https://cao.dolgi.msk.ru/account/1011515784/", 1011515784)</f>
        <v>1011515784</v>
      </c>
      <c r="D2200">
        <v>0</v>
      </c>
    </row>
    <row r="2201" spans="1:4" hidden="1" x14ac:dyDescent="0.3">
      <c r="A2201" t="s">
        <v>285</v>
      </c>
      <c r="B2201" t="s">
        <v>230</v>
      </c>
      <c r="C2201" s="1">
        <f>HYPERLINK("https://cao.dolgi.msk.ru/account/1011516971/", 1011516971)</f>
        <v>1011516971</v>
      </c>
      <c r="D2201">
        <v>-3917.76</v>
      </c>
    </row>
    <row r="2202" spans="1:4" hidden="1" x14ac:dyDescent="0.3">
      <c r="A2202" t="s">
        <v>285</v>
      </c>
      <c r="B2202" t="s">
        <v>231</v>
      </c>
      <c r="C2202" s="1">
        <f>HYPERLINK("https://cao.dolgi.msk.ru/account/1011516496/", 1011516496)</f>
        <v>1011516496</v>
      </c>
      <c r="D2202">
        <v>0</v>
      </c>
    </row>
    <row r="2203" spans="1:4" hidden="1" x14ac:dyDescent="0.3">
      <c r="A2203" t="s">
        <v>285</v>
      </c>
      <c r="B2203" t="s">
        <v>232</v>
      </c>
      <c r="C2203" s="1">
        <f>HYPERLINK("https://cao.dolgi.msk.ru/account/1011522079/", 1011522079)</f>
        <v>1011522079</v>
      </c>
      <c r="D2203">
        <v>0</v>
      </c>
    </row>
    <row r="2204" spans="1:4" hidden="1" x14ac:dyDescent="0.3">
      <c r="A2204" t="s">
        <v>285</v>
      </c>
      <c r="B2204" t="s">
        <v>233</v>
      </c>
      <c r="C2204" s="1">
        <f>HYPERLINK("https://cao.dolgi.msk.ru/account/1011526379/", 1011526379)</f>
        <v>1011526379</v>
      </c>
      <c r="D2204">
        <v>-14532.61</v>
      </c>
    </row>
    <row r="2205" spans="1:4" hidden="1" x14ac:dyDescent="0.3">
      <c r="A2205" t="s">
        <v>285</v>
      </c>
      <c r="B2205" t="s">
        <v>234</v>
      </c>
      <c r="C2205" s="1">
        <f>HYPERLINK("https://cao.dolgi.msk.ru/account/1011518176/", 1011518176)</f>
        <v>1011518176</v>
      </c>
      <c r="D2205">
        <v>-18643.23</v>
      </c>
    </row>
    <row r="2206" spans="1:4" hidden="1" x14ac:dyDescent="0.3">
      <c r="A2206" t="s">
        <v>285</v>
      </c>
      <c r="B2206" t="s">
        <v>235</v>
      </c>
      <c r="C2206" s="1">
        <f>HYPERLINK("https://cao.dolgi.msk.ru/account/1011516699/", 1011516699)</f>
        <v>1011516699</v>
      </c>
      <c r="D2206">
        <v>-5388.48</v>
      </c>
    </row>
    <row r="2207" spans="1:4" hidden="1" x14ac:dyDescent="0.3">
      <c r="A2207" t="s">
        <v>285</v>
      </c>
      <c r="B2207" t="s">
        <v>288</v>
      </c>
      <c r="C2207" s="1">
        <f>HYPERLINK("https://cao.dolgi.msk.ru/account/1011516584/", 1011516584)</f>
        <v>1011516584</v>
      </c>
      <c r="D2207">
        <v>-10437.280000000001</v>
      </c>
    </row>
    <row r="2208" spans="1:4" hidden="1" x14ac:dyDescent="0.3">
      <c r="A2208" t="s">
        <v>285</v>
      </c>
      <c r="B2208" t="s">
        <v>236</v>
      </c>
      <c r="C2208" s="1">
        <f>HYPERLINK("https://cao.dolgi.msk.ru/account/1011515856/", 1011515856)</f>
        <v>1011515856</v>
      </c>
      <c r="D2208">
        <v>-4924.24</v>
      </c>
    </row>
    <row r="2209" spans="1:4" hidden="1" x14ac:dyDescent="0.3">
      <c r="A2209" t="s">
        <v>285</v>
      </c>
      <c r="B2209" t="s">
        <v>237</v>
      </c>
      <c r="C2209" s="1">
        <f>HYPERLINK("https://cao.dolgi.msk.ru/account/1011516277/", 1011516277)</f>
        <v>1011516277</v>
      </c>
      <c r="D2209">
        <v>0</v>
      </c>
    </row>
    <row r="2210" spans="1:4" hidden="1" x14ac:dyDescent="0.3">
      <c r="A2210" t="s">
        <v>285</v>
      </c>
      <c r="B2210" t="s">
        <v>238</v>
      </c>
      <c r="C2210" s="1">
        <f>HYPERLINK("https://cao.dolgi.msk.ru/account/1011526598/", 1011526598)</f>
        <v>1011526598</v>
      </c>
      <c r="D2210">
        <v>0</v>
      </c>
    </row>
    <row r="2211" spans="1:4" hidden="1" x14ac:dyDescent="0.3">
      <c r="A2211" t="s">
        <v>285</v>
      </c>
      <c r="B2211" t="s">
        <v>239</v>
      </c>
      <c r="C2211" s="1">
        <f>HYPERLINK("https://cao.dolgi.msk.ru/account/1011517421/", 1011517421)</f>
        <v>1011517421</v>
      </c>
      <c r="D2211">
        <v>0</v>
      </c>
    </row>
    <row r="2212" spans="1:4" hidden="1" x14ac:dyDescent="0.3">
      <c r="A2212" t="s">
        <v>285</v>
      </c>
      <c r="B2212" t="s">
        <v>240</v>
      </c>
      <c r="C2212" s="1">
        <f>HYPERLINK("https://cao.dolgi.msk.ru/account/1011517579/", 1011517579)</f>
        <v>1011517579</v>
      </c>
      <c r="D2212">
        <v>0</v>
      </c>
    </row>
    <row r="2213" spans="1:4" x14ac:dyDescent="0.3">
      <c r="A2213" t="s">
        <v>285</v>
      </c>
      <c r="B2213" t="s">
        <v>241</v>
      </c>
      <c r="C2213" s="1">
        <f>HYPERLINK("https://cao.dolgi.msk.ru/account/1011518053/", 1011518053)</f>
        <v>1011518053</v>
      </c>
      <c r="D2213">
        <v>14487.64</v>
      </c>
    </row>
    <row r="2214" spans="1:4" hidden="1" x14ac:dyDescent="0.3">
      <c r="A2214" t="s">
        <v>285</v>
      </c>
      <c r="B2214" t="s">
        <v>242</v>
      </c>
      <c r="C2214" s="1">
        <f>HYPERLINK("https://cao.dolgi.msk.ru/account/1011517296/", 1011517296)</f>
        <v>1011517296</v>
      </c>
      <c r="D2214">
        <v>-2.34</v>
      </c>
    </row>
    <row r="2215" spans="1:4" hidden="1" x14ac:dyDescent="0.3">
      <c r="A2215" t="s">
        <v>285</v>
      </c>
      <c r="B2215" t="s">
        <v>289</v>
      </c>
      <c r="C2215" s="1">
        <f>HYPERLINK("https://cao.dolgi.msk.ru/account/1011515717/", 1011515717)</f>
        <v>1011515717</v>
      </c>
      <c r="D2215">
        <v>0</v>
      </c>
    </row>
    <row r="2216" spans="1:4" hidden="1" x14ac:dyDescent="0.3">
      <c r="A2216" t="s">
        <v>285</v>
      </c>
      <c r="B2216" t="s">
        <v>243</v>
      </c>
      <c r="C2216" s="1">
        <f>HYPERLINK("https://cao.dolgi.msk.ru/account/1011517181/", 1011517181)</f>
        <v>1011517181</v>
      </c>
      <c r="D2216">
        <v>0</v>
      </c>
    </row>
    <row r="2217" spans="1:4" hidden="1" x14ac:dyDescent="0.3">
      <c r="A2217" t="s">
        <v>285</v>
      </c>
      <c r="B2217" t="s">
        <v>244</v>
      </c>
      <c r="C2217" s="1">
        <f>HYPERLINK("https://cao.dolgi.msk.ru/account/1011522108/", 1011522108)</f>
        <v>1011522108</v>
      </c>
      <c r="D2217">
        <v>0</v>
      </c>
    </row>
    <row r="2218" spans="1:4" x14ac:dyDescent="0.3">
      <c r="A2218" t="s">
        <v>285</v>
      </c>
      <c r="B2218" t="s">
        <v>245</v>
      </c>
      <c r="C2218" s="1">
        <f>HYPERLINK("https://cao.dolgi.msk.ru/account/1011519451/", 1011519451)</f>
        <v>1011519451</v>
      </c>
      <c r="D2218">
        <v>6792.45</v>
      </c>
    </row>
    <row r="2219" spans="1:4" hidden="1" x14ac:dyDescent="0.3">
      <c r="A2219" t="s">
        <v>285</v>
      </c>
      <c r="B2219" t="s">
        <v>246</v>
      </c>
      <c r="C2219" s="1">
        <f>HYPERLINK("https://cao.dolgi.msk.ru/account/1011526694/", 1011526694)</f>
        <v>1011526694</v>
      </c>
      <c r="D2219">
        <v>0</v>
      </c>
    </row>
    <row r="2220" spans="1:4" hidden="1" x14ac:dyDescent="0.3">
      <c r="A2220" t="s">
        <v>285</v>
      </c>
      <c r="B2220" t="s">
        <v>247</v>
      </c>
      <c r="C2220" s="1">
        <f>HYPERLINK("https://cao.dolgi.msk.ru/account/1011517034/", 1011517034)</f>
        <v>1011517034</v>
      </c>
      <c r="D2220">
        <v>0</v>
      </c>
    </row>
    <row r="2221" spans="1:4" hidden="1" x14ac:dyDescent="0.3">
      <c r="A2221" t="s">
        <v>285</v>
      </c>
      <c r="B2221" t="s">
        <v>248</v>
      </c>
      <c r="C2221" s="1">
        <f>HYPERLINK("https://cao.dolgi.msk.ru/account/1011516621/", 1011516621)</f>
        <v>1011516621</v>
      </c>
      <c r="D2221">
        <v>0</v>
      </c>
    </row>
    <row r="2222" spans="1:4" hidden="1" x14ac:dyDescent="0.3">
      <c r="A2222" t="s">
        <v>285</v>
      </c>
      <c r="B2222" t="s">
        <v>290</v>
      </c>
      <c r="C2222" s="1">
        <f>HYPERLINK("https://cao.dolgi.msk.ru/account/1011516859/", 1011516859)</f>
        <v>1011516859</v>
      </c>
      <c r="D2222">
        <v>-8395.33</v>
      </c>
    </row>
    <row r="2223" spans="1:4" x14ac:dyDescent="0.3">
      <c r="A2223" t="s">
        <v>285</v>
      </c>
      <c r="B2223" t="s">
        <v>249</v>
      </c>
      <c r="C2223" s="1">
        <f>HYPERLINK("https://cao.dolgi.msk.ru/account/1011515768/", 1011515768)</f>
        <v>1011515768</v>
      </c>
      <c r="D2223">
        <v>7714.57</v>
      </c>
    </row>
    <row r="2224" spans="1:4" hidden="1" x14ac:dyDescent="0.3">
      <c r="A2224" t="s">
        <v>285</v>
      </c>
      <c r="B2224" t="s">
        <v>250</v>
      </c>
      <c r="C2224" s="1">
        <f>HYPERLINK("https://cao.dolgi.msk.ru/account/1011516867/", 1011516867)</f>
        <v>1011516867</v>
      </c>
      <c r="D2224">
        <v>0</v>
      </c>
    </row>
    <row r="2225" spans="1:4" hidden="1" x14ac:dyDescent="0.3">
      <c r="A2225" t="s">
        <v>285</v>
      </c>
      <c r="B2225" t="s">
        <v>251</v>
      </c>
      <c r="C2225" s="1">
        <f>HYPERLINK("https://cao.dolgi.msk.ru/account/1011515936/", 1011515936)</f>
        <v>1011515936</v>
      </c>
      <c r="D2225">
        <v>-4619.2</v>
      </c>
    </row>
    <row r="2226" spans="1:4" hidden="1" x14ac:dyDescent="0.3">
      <c r="A2226" t="s">
        <v>285</v>
      </c>
      <c r="B2226" t="s">
        <v>252</v>
      </c>
      <c r="C2226" s="1">
        <f>HYPERLINK("https://cao.dolgi.msk.ru/account/1011522124/", 1011522124)</f>
        <v>1011522124</v>
      </c>
      <c r="D2226">
        <v>-24710.240000000002</v>
      </c>
    </row>
    <row r="2227" spans="1:4" hidden="1" x14ac:dyDescent="0.3">
      <c r="A2227" t="s">
        <v>285</v>
      </c>
      <c r="B2227" t="s">
        <v>253</v>
      </c>
      <c r="C2227" s="1">
        <f>HYPERLINK("https://cao.dolgi.msk.ru/account/1011522159/", 1011522159)</f>
        <v>1011522159</v>
      </c>
      <c r="D2227">
        <v>-3802.02</v>
      </c>
    </row>
    <row r="2228" spans="1:4" hidden="1" x14ac:dyDescent="0.3">
      <c r="A2228" t="s">
        <v>285</v>
      </c>
      <c r="B2228" t="s">
        <v>254</v>
      </c>
      <c r="C2228" s="1">
        <f>HYPERLINK("https://cao.dolgi.msk.ru/account/1011517675/", 1011517675)</f>
        <v>1011517675</v>
      </c>
      <c r="D2228">
        <v>0</v>
      </c>
    </row>
    <row r="2229" spans="1:4" x14ac:dyDescent="0.3">
      <c r="A2229" t="s">
        <v>285</v>
      </c>
      <c r="B2229" t="s">
        <v>255</v>
      </c>
      <c r="C2229" s="1">
        <f>HYPERLINK("https://cao.dolgi.msk.ru/account/1011525595/", 1011525595)</f>
        <v>1011525595</v>
      </c>
      <c r="D2229">
        <v>4037.77</v>
      </c>
    </row>
    <row r="2230" spans="1:4" x14ac:dyDescent="0.3">
      <c r="A2230" t="s">
        <v>285</v>
      </c>
      <c r="B2230" t="s">
        <v>256</v>
      </c>
      <c r="C2230" s="1">
        <f>HYPERLINK("https://cao.dolgi.msk.ru/account/1011522183/", 1011522183)</f>
        <v>1011522183</v>
      </c>
      <c r="D2230">
        <v>8417.56</v>
      </c>
    </row>
    <row r="2231" spans="1:4" hidden="1" x14ac:dyDescent="0.3">
      <c r="A2231" t="s">
        <v>285</v>
      </c>
      <c r="B2231" t="s">
        <v>257</v>
      </c>
      <c r="C2231" s="1">
        <f>HYPERLINK("https://cao.dolgi.msk.ru/account/1011517413/", 1011517413)</f>
        <v>1011517413</v>
      </c>
      <c r="D2231">
        <v>0</v>
      </c>
    </row>
    <row r="2232" spans="1:4" hidden="1" x14ac:dyDescent="0.3">
      <c r="A2232" t="s">
        <v>285</v>
      </c>
      <c r="B2232" t="s">
        <v>291</v>
      </c>
      <c r="C2232" s="1">
        <f>HYPERLINK("https://cao.dolgi.msk.ru/account/1011517341/", 1011517341)</f>
        <v>1011517341</v>
      </c>
      <c r="D2232">
        <v>-6155.27</v>
      </c>
    </row>
    <row r="2233" spans="1:4" x14ac:dyDescent="0.3">
      <c r="A2233" t="s">
        <v>285</v>
      </c>
      <c r="B2233" t="s">
        <v>292</v>
      </c>
      <c r="C2233" s="1">
        <f>HYPERLINK("https://cao.dolgi.msk.ru/account/1011526766/", 1011526766)</f>
        <v>1011526766</v>
      </c>
      <c r="D2233">
        <v>368.89</v>
      </c>
    </row>
    <row r="2234" spans="1:4" hidden="1" x14ac:dyDescent="0.3">
      <c r="A2234" t="s">
        <v>285</v>
      </c>
      <c r="B2234" t="s">
        <v>293</v>
      </c>
      <c r="C2234" s="1">
        <f>HYPERLINK("https://cao.dolgi.msk.ru/account/1011522212/", 1011522212)</f>
        <v>1011522212</v>
      </c>
      <c r="D2234">
        <v>0</v>
      </c>
    </row>
    <row r="2235" spans="1:4" hidden="1" x14ac:dyDescent="0.3">
      <c r="A2235" t="s">
        <v>285</v>
      </c>
      <c r="B2235" t="s">
        <v>294</v>
      </c>
      <c r="C2235" s="1">
        <f>HYPERLINK("https://cao.dolgi.msk.ru/account/1011515901/", 1011515901)</f>
        <v>1011515901</v>
      </c>
      <c r="D2235">
        <v>0</v>
      </c>
    </row>
    <row r="2236" spans="1:4" hidden="1" x14ac:dyDescent="0.3">
      <c r="A2236" t="s">
        <v>285</v>
      </c>
      <c r="B2236" t="s">
        <v>295</v>
      </c>
      <c r="C2236" s="1">
        <f>HYPERLINK("https://cao.dolgi.msk.ru/account/1011515776/", 1011515776)</f>
        <v>1011515776</v>
      </c>
      <c r="D2236">
        <v>0</v>
      </c>
    </row>
    <row r="2237" spans="1:4" hidden="1" x14ac:dyDescent="0.3">
      <c r="A2237" t="s">
        <v>285</v>
      </c>
      <c r="B2237" t="s">
        <v>296</v>
      </c>
      <c r="C2237" s="1">
        <f>HYPERLINK("https://cao.dolgi.msk.ru/account/1011515792/", 1011515792)</f>
        <v>1011515792</v>
      </c>
      <c r="D2237">
        <v>0</v>
      </c>
    </row>
    <row r="2238" spans="1:4" x14ac:dyDescent="0.3">
      <c r="A2238" t="s">
        <v>285</v>
      </c>
      <c r="B2238" t="s">
        <v>297</v>
      </c>
      <c r="C2238" s="1">
        <f>HYPERLINK("https://cao.dolgi.msk.ru/account/1011522239/", 1011522239)</f>
        <v>1011522239</v>
      </c>
      <c r="D2238">
        <v>13513.09</v>
      </c>
    </row>
    <row r="2239" spans="1:4" hidden="1" x14ac:dyDescent="0.3">
      <c r="A2239" t="s">
        <v>285</v>
      </c>
      <c r="B2239" t="s">
        <v>298</v>
      </c>
      <c r="C2239" s="1">
        <f>HYPERLINK("https://cao.dolgi.msk.ru/account/1011522247/", 1011522247)</f>
        <v>1011522247</v>
      </c>
      <c r="D2239">
        <v>0</v>
      </c>
    </row>
    <row r="2240" spans="1:4" x14ac:dyDescent="0.3">
      <c r="A2240" t="s">
        <v>285</v>
      </c>
      <c r="B2240" t="s">
        <v>299</v>
      </c>
      <c r="C2240" s="1">
        <f>HYPERLINK("https://cao.dolgi.msk.ru/account/1011518483/", 1011518483)</f>
        <v>1011518483</v>
      </c>
      <c r="D2240">
        <v>3646.04</v>
      </c>
    </row>
    <row r="2241" spans="1:4" hidden="1" x14ac:dyDescent="0.3">
      <c r="A2241" t="s">
        <v>285</v>
      </c>
      <c r="B2241" t="s">
        <v>300</v>
      </c>
      <c r="C2241" s="1">
        <f>HYPERLINK("https://cao.dolgi.msk.ru/account/1011515899/", 1011515899)</f>
        <v>1011515899</v>
      </c>
      <c r="D2241">
        <v>-13346.38</v>
      </c>
    </row>
    <row r="2242" spans="1:4" hidden="1" x14ac:dyDescent="0.3">
      <c r="A2242" t="s">
        <v>285</v>
      </c>
      <c r="B2242" t="s">
        <v>301</v>
      </c>
      <c r="C2242" s="1">
        <f>HYPERLINK("https://cao.dolgi.msk.ru/account/1011516998/", 1011516998)</f>
        <v>1011516998</v>
      </c>
      <c r="D2242">
        <v>0</v>
      </c>
    </row>
    <row r="2243" spans="1:4" x14ac:dyDescent="0.3">
      <c r="A2243" t="s">
        <v>285</v>
      </c>
      <c r="B2243" t="s">
        <v>302</v>
      </c>
      <c r="C2243" s="1">
        <f>HYPERLINK("https://cao.dolgi.msk.ru/account/1011516103/", 1011516103)</f>
        <v>1011516103</v>
      </c>
      <c r="D2243">
        <v>11141.93</v>
      </c>
    </row>
    <row r="2244" spans="1:4" hidden="1" x14ac:dyDescent="0.3">
      <c r="A2244" t="s">
        <v>285</v>
      </c>
      <c r="B2244" t="s">
        <v>303</v>
      </c>
      <c r="C2244" s="1">
        <f>HYPERLINK("https://cao.dolgi.msk.ru/account/1011516816/", 1011516816)</f>
        <v>1011516816</v>
      </c>
      <c r="D2244">
        <v>-4528.46</v>
      </c>
    </row>
    <row r="2245" spans="1:4" hidden="1" x14ac:dyDescent="0.3">
      <c r="A2245" t="s">
        <v>285</v>
      </c>
      <c r="B2245" t="s">
        <v>304</v>
      </c>
      <c r="C2245" s="1">
        <f>HYPERLINK("https://cao.dolgi.msk.ru/account/1011516795/", 1011516795)</f>
        <v>1011516795</v>
      </c>
      <c r="D2245">
        <v>-5769.56</v>
      </c>
    </row>
    <row r="2246" spans="1:4" hidden="1" x14ac:dyDescent="0.3">
      <c r="A2246" t="s">
        <v>285</v>
      </c>
      <c r="B2246" t="s">
        <v>305</v>
      </c>
      <c r="C2246" s="1">
        <f>HYPERLINK("https://cao.dolgi.msk.ru/account/1011516824/", 1011516824)</f>
        <v>1011516824</v>
      </c>
      <c r="D2246">
        <v>0</v>
      </c>
    </row>
    <row r="2247" spans="1:4" hidden="1" x14ac:dyDescent="0.3">
      <c r="A2247" t="s">
        <v>285</v>
      </c>
      <c r="B2247" t="s">
        <v>306</v>
      </c>
      <c r="C2247" s="1">
        <f>HYPERLINK("https://cao.dolgi.msk.ru/account/1011518715/", 1011518715)</f>
        <v>1011518715</v>
      </c>
      <c r="D2247">
        <v>-8693.3799999999992</v>
      </c>
    </row>
    <row r="2248" spans="1:4" hidden="1" x14ac:dyDescent="0.3">
      <c r="A2248" t="s">
        <v>285</v>
      </c>
      <c r="B2248" t="s">
        <v>307</v>
      </c>
      <c r="C2248" s="1">
        <f>HYPERLINK("https://cao.dolgi.msk.ru/account/1011516189/", 1011516189)</f>
        <v>1011516189</v>
      </c>
      <c r="D2248">
        <v>0</v>
      </c>
    </row>
    <row r="2249" spans="1:4" hidden="1" x14ac:dyDescent="0.3">
      <c r="A2249" t="s">
        <v>285</v>
      </c>
      <c r="B2249" t="s">
        <v>308</v>
      </c>
      <c r="C2249" s="1">
        <f>HYPERLINK("https://cao.dolgi.msk.ru/account/1011516453/", 1011516453)</f>
        <v>1011516453</v>
      </c>
      <c r="D2249">
        <v>-4072.69</v>
      </c>
    </row>
    <row r="2250" spans="1:4" hidden="1" x14ac:dyDescent="0.3">
      <c r="A2250" t="s">
        <v>285</v>
      </c>
      <c r="B2250" t="s">
        <v>309</v>
      </c>
      <c r="C2250" s="1">
        <f>HYPERLINK("https://cao.dolgi.msk.ru/account/1011516365/", 1011516365)</f>
        <v>1011516365</v>
      </c>
      <c r="D2250">
        <v>0</v>
      </c>
    </row>
    <row r="2251" spans="1:4" hidden="1" x14ac:dyDescent="0.3">
      <c r="A2251" t="s">
        <v>285</v>
      </c>
      <c r="B2251" t="s">
        <v>310</v>
      </c>
      <c r="C2251" s="1">
        <f>HYPERLINK("https://cao.dolgi.msk.ru/account/1011517237/", 1011517237)</f>
        <v>1011517237</v>
      </c>
      <c r="D2251">
        <v>-6724.73</v>
      </c>
    </row>
    <row r="2252" spans="1:4" hidden="1" x14ac:dyDescent="0.3">
      <c r="A2252" t="s">
        <v>285</v>
      </c>
      <c r="B2252" t="s">
        <v>311</v>
      </c>
      <c r="C2252" s="1">
        <f>HYPERLINK("https://cao.dolgi.msk.ru/account/1011516517/", 1011516517)</f>
        <v>1011516517</v>
      </c>
      <c r="D2252">
        <v>0</v>
      </c>
    </row>
    <row r="2253" spans="1:4" x14ac:dyDescent="0.3">
      <c r="A2253" t="s">
        <v>285</v>
      </c>
      <c r="B2253" t="s">
        <v>312</v>
      </c>
      <c r="C2253" s="1">
        <f>HYPERLINK("https://cao.dolgi.msk.ru/account/1011517659/", 1011517659)</f>
        <v>1011517659</v>
      </c>
      <c r="D2253">
        <v>5851.82</v>
      </c>
    </row>
    <row r="2254" spans="1:4" hidden="1" x14ac:dyDescent="0.3">
      <c r="A2254" t="s">
        <v>285</v>
      </c>
      <c r="B2254" t="s">
        <v>313</v>
      </c>
      <c r="C2254" s="1">
        <f>HYPERLINK("https://cao.dolgi.msk.ru/account/1011517536/", 1011517536)</f>
        <v>1011517536</v>
      </c>
      <c r="D2254">
        <v>-1487.27</v>
      </c>
    </row>
    <row r="2255" spans="1:4" hidden="1" x14ac:dyDescent="0.3">
      <c r="A2255" t="s">
        <v>285</v>
      </c>
      <c r="B2255" t="s">
        <v>314</v>
      </c>
      <c r="C2255" s="1">
        <f>HYPERLINK("https://cao.dolgi.msk.ru/account/1011518934/", 1011518934)</f>
        <v>1011518934</v>
      </c>
      <c r="D2255">
        <v>-810.22</v>
      </c>
    </row>
    <row r="2256" spans="1:4" hidden="1" x14ac:dyDescent="0.3">
      <c r="A2256" t="s">
        <v>285</v>
      </c>
      <c r="B2256" t="s">
        <v>315</v>
      </c>
      <c r="C2256" s="1">
        <f>HYPERLINK("https://cao.dolgi.msk.ru/account/1011516138/", 1011516138)</f>
        <v>1011516138</v>
      </c>
      <c r="D2256">
        <v>0</v>
      </c>
    </row>
    <row r="2257" spans="1:4" hidden="1" x14ac:dyDescent="0.3">
      <c r="A2257" t="s">
        <v>285</v>
      </c>
      <c r="B2257" t="s">
        <v>316</v>
      </c>
      <c r="C2257" s="1">
        <f>HYPERLINK("https://cao.dolgi.msk.ru/account/1011516111/", 1011516111)</f>
        <v>1011516111</v>
      </c>
      <c r="D2257">
        <v>0</v>
      </c>
    </row>
    <row r="2258" spans="1:4" hidden="1" x14ac:dyDescent="0.3">
      <c r="A2258" t="s">
        <v>285</v>
      </c>
      <c r="B2258" t="s">
        <v>317</v>
      </c>
      <c r="C2258" s="1">
        <f>HYPERLINK("https://cao.dolgi.msk.ru/account/1011520866/", 1011520866)</f>
        <v>1011520866</v>
      </c>
      <c r="D2258">
        <v>-8.57</v>
      </c>
    </row>
    <row r="2259" spans="1:4" hidden="1" x14ac:dyDescent="0.3">
      <c r="A2259" t="s">
        <v>285</v>
      </c>
      <c r="B2259" t="s">
        <v>318</v>
      </c>
      <c r="C2259" s="1">
        <f>HYPERLINK("https://cao.dolgi.msk.ru/account/1011516787/", 1011516787)</f>
        <v>1011516787</v>
      </c>
      <c r="D2259">
        <v>0</v>
      </c>
    </row>
    <row r="2260" spans="1:4" hidden="1" x14ac:dyDescent="0.3">
      <c r="A2260" t="s">
        <v>285</v>
      </c>
      <c r="B2260" t="s">
        <v>319</v>
      </c>
      <c r="C2260" s="1">
        <f>HYPERLINK("https://cao.dolgi.msk.ru/account/1011530482/", 1011530482)</f>
        <v>1011530482</v>
      </c>
      <c r="D2260">
        <v>-582.69000000000005</v>
      </c>
    </row>
    <row r="2261" spans="1:4" x14ac:dyDescent="0.3">
      <c r="A2261" t="s">
        <v>285</v>
      </c>
      <c r="B2261" t="s">
        <v>320</v>
      </c>
      <c r="C2261" s="1">
        <f>HYPERLINK("https://cao.dolgi.msk.ru/account/1011517544/", 1011517544)</f>
        <v>1011517544</v>
      </c>
      <c r="D2261">
        <v>6401.13</v>
      </c>
    </row>
    <row r="2262" spans="1:4" hidden="1" x14ac:dyDescent="0.3">
      <c r="A2262" t="s">
        <v>285</v>
      </c>
      <c r="B2262" t="s">
        <v>321</v>
      </c>
      <c r="C2262" s="1">
        <f>HYPERLINK("https://cao.dolgi.msk.ru/account/1011517704/", 1011517704)</f>
        <v>1011517704</v>
      </c>
      <c r="D2262">
        <v>-9557.25</v>
      </c>
    </row>
    <row r="2263" spans="1:4" hidden="1" x14ac:dyDescent="0.3">
      <c r="A2263" t="s">
        <v>285</v>
      </c>
      <c r="B2263" t="s">
        <v>322</v>
      </c>
      <c r="C2263" s="1">
        <f>HYPERLINK("https://cao.dolgi.msk.ru/account/1011518889/", 1011518889)</f>
        <v>1011518889</v>
      </c>
      <c r="D2263">
        <v>-8787.81</v>
      </c>
    </row>
    <row r="2264" spans="1:4" hidden="1" x14ac:dyDescent="0.3">
      <c r="A2264" t="s">
        <v>323</v>
      </c>
      <c r="B2264" t="s">
        <v>39</v>
      </c>
      <c r="C2264" s="1">
        <f>HYPERLINK("https://cao.dolgi.msk.ru/account/1011121101/", 1011121101)</f>
        <v>1011121101</v>
      </c>
      <c r="D2264">
        <v>-119.29</v>
      </c>
    </row>
    <row r="2265" spans="1:4" hidden="1" x14ac:dyDescent="0.3">
      <c r="A2265" t="s">
        <v>324</v>
      </c>
      <c r="B2265" t="s">
        <v>6</v>
      </c>
      <c r="C2265" s="1">
        <f>HYPERLINK("https://cao.dolgi.msk.ru/account/1011464729/", 1011464729)</f>
        <v>1011464729</v>
      </c>
      <c r="D2265">
        <v>-33852.71</v>
      </c>
    </row>
    <row r="2266" spans="1:4" x14ac:dyDescent="0.3">
      <c r="A2266" t="s">
        <v>324</v>
      </c>
      <c r="B2266" t="s">
        <v>28</v>
      </c>
      <c r="C2266" s="1">
        <f>HYPERLINK("https://cao.dolgi.msk.ru/account/1011464497/", 1011464497)</f>
        <v>1011464497</v>
      </c>
      <c r="D2266">
        <v>9414.49</v>
      </c>
    </row>
    <row r="2267" spans="1:4" hidden="1" x14ac:dyDescent="0.3">
      <c r="A2267" t="s">
        <v>324</v>
      </c>
      <c r="B2267" t="s">
        <v>35</v>
      </c>
      <c r="C2267" s="1">
        <f>HYPERLINK("https://cao.dolgi.msk.ru/account/1011463259/", 1011463259)</f>
        <v>1011463259</v>
      </c>
      <c r="D2267">
        <v>0</v>
      </c>
    </row>
    <row r="2268" spans="1:4" hidden="1" x14ac:dyDescent="0.3">
      <c r="A2268" t="s">
        <v>324</v>
      </c>
      <c r="B2268" t="s">
        <v>5</v>
      </c>
      <c r="C2268" s="1">
        <f>HYPERLINK("https://cao.dolgi.msk.ru/account/1011465027/", 1011465027)</f>
        <v>1011465027</v>
      </c>
      <c r="D2268">
        <v>-2311.34</v>
      </c>
    </row>
    <row r="2269" spans="1:4" hidden="1" x14ac:dyDescent="0.3">
      <c r="A2269" t="s">
        <v>324</v>
      </c>
      <c r="B2269" t="s">
        <v>7</v>
      </c>
      <c r="C2269" s="1">
        <f>HYPERLINK("https://cao.dolgi.msk.ru/account/1011463582/", 1011463582)</f>
        <v>1011463582</v>
      </c>
      <c r="D2269">
        <v>-4460.01</v>
      </c>
    </row>
    <row r="2270" spans="1:4" hidden="1" x14ac:dyDescent="0.3">
      <c r="A2270" t="s">
        <v>324</v>
      </c>
      <c r="B2270" t="s">
        <v>8</v>
      </c>
      <c r="C2270" s="1">
        <f>HYPERLINK("https://cao.dolgi.msk.ru/account/1011464331/", 1011464331)</f>
        <v>1011464331</v>
      </c>
      <c r="D2270">
        <v>-8931.33</v>
      </c>
    </row>
    <row r="2271" spans="1:4" hidden="1" x14ac:dyDescent="0.3">
      <c r="A2271" t="s">
        <v>324</v>
      </c>
      <c r="B2271" t="s">
        <v>31</v>
      </c>
      <c r="C2271" s="1">
        <f>HYPERLINK("https://cao.dolgi.msk.ru/account/1011464382/", 1011464382)</f>
        <v>1011464382</v>
      </c>
      <c r="D2271">
        <v>0</v>
      </c>
    </row>
    <row r="2272" spans="1:4" hidden="1" x14ac:dyDescent="0.3">
      <c r="A2272" t="s">
        <v>324</v>
      </c>
      <c r="B2272" t="s">
        <v>9</v>
      </c>
      <c r="C2272" s="1">
        <f>HYPERLINK("https://cao.dolgi.msk.ru/account/1011463136/", 1011463136)</f>
        <v>1011463136</v>
      </c>
      <c r="D2272">
        <v>-2429.63</v>
      </c>
    </row>
    <row r="2273" spans="1:4" hidden="1" x14ac:dyDescent="0.3">
      <c r="A2273" t="s">
        <v>324</v>
      </c>
      <c r="B2273" t="s">
        <v>10</v>
      </c>
      <c r="C2273" s="1">
        <f>HYPERLINK("https://cao.dolgi.msk.ru/account/1011463398/", 1011463398)</f>
        <v>1011463398</v>
      </c>
      <c r="D2273">
        <v>0</v>
      </c>
    </row>
    <row r="2274" spans="1:4" x14ac:dyDescent="0.3">
      <c r="A2274" t="s">
        <v>324</v>
      </c>
      <c r="B2274" t="s">
        <v>11</v>
      </c>
      <c r="C2274" s="1">
        <f>HYPERLINK("https://cao.dolgi.msk.ru/account/1011464892/", 1011464892)</f>
        <v>1011464892</v>
      </c>
      <c r="D2274">
        <v>2522.13</v>
      </c>
    </row>
    <row r="2275" spans="1:4" hidden="1" x14ac:dyDescent="0.3">
      <c r="A2275" t="s">
        <v>324</v>
      </c>
      <c r="B2275" t="s">
        <v>12</v>
      </c>
      <c r="C2275" s="1">
        <f>HYPERLINK("https://cao.dolgi.msk.ru/account/1011463144/", 1011463144)</f>
        <v>1011463144</v>
      </c>
      <c r="D2275">
        <v>0</v>
      </c>
    </row>
    <row r="2276" spans="1:4" hidden="1" x14ac:dyDescent="0.3">
      <c r="A2276" t="s">
        <v>324</v>
      </c>
      <c r="B2276" t="s">
        <v>23</v>
      </c>
      <c r="C2276" s="1">
        <f>HYPERLINK("https://cao.dolgi.msk.ru/account/1011462707/", 1011462707)</f>
        <v>1011462707</v>
      </c>
      <c r="D2276">
        <v>-3.24</v>
      </c>
    </row>
    <row r="2277" spans="1:4" hidden="1" x14ac:dyDescent="0.3">
      <c r="A2277" t="s">
        <v>324</v>
      </c>
      <c r="B2277" t="s">
        <v>13</v>
      </c>
      <c r="C2277" s="1">
        <f>HYPERLINK("https://cao.dolgi.msk.ru/account/1011463152/", 1011463152)</f>
        <v>1011463152</v>
      </c>
      <c r="D2277">
        <v>-7427.71</v>
      </c>
    </row>
    <row r="2278" spans="1:4" hidden="1" x14ac:dyDescent="0.3">
      <c r="A2278" t="s">
        <v>324</v>
      </c>
      <c r="B2278" t="s">
        <v>14</v>
      </c>
      <c r="C2278" s="1">
        <f>HYPERLINK("https://cao.dolgi.msk.ru/account/1011463208/", 1011463208)</f>
        <v>1011463208</v>
      </c>
      <c r="D2278">
        <v>0</v>
      </c>
    </row>
    <row r="2279" spans="1:4" hidden="1" x14ac:dyDescent="0.3">
      <c r="A2279" t="s">
        <v>324</v>
      </c>
      <c r="B2279" t="s">
        <v>16</v>
      </c>
      <c r="C2279" s="1">
        <f>HYPERLINK("https://cao.dolgi.msk.ru/account/1011463849/", 1011463849)</f>
        <v>1011463849</v>
      </c>
      <c r="D2279">
        <v>-2244.38</v>
      </c>
    </row>
    <row r="2280" spans="1:4" hidden="1" x14ac:dyDescent="0.3">
      <c r="A2280" t="s">
        <v>324</v>
      </c>
      <c r="B2280" t="s">
        <v>17</v>
      </c>
      <c r="C2280" s="1">
        <f>HYPERLINK("https://cao.dolgi.msk.ru/account/1011463048/", 1011463048)</f>
        <v>1011463048</v>
      </c>
      <c r="D2280">
        <v>0</v>
      </c>
    </row>
    <row r="2281" spans="1:4" x14ac:dyDescent="0.3">
      <c r="A2281" t="s">
        <v>324</v>
      </c>
      <c r="B2281" t="s">
        <v>18</v>
      </c>
      <c r="C2281" s="1">
        <f>HYPERLINK("https://cao.dolgi.msk.ru/account/1011464614/", 1011464614)</f>
        <v>1011464614</v>
      </c>
      <c r="D2281">
        <v>14988.67</v>
      </c>
    </row>
    <row r="2282" spans="1:4" hidden="1" x14ac:dyDescent="0.3">
      <c r="A2282" t="s">
        <v>324</v>
      </c>
      <c r="B2282" t="s">
        <v>19</v>
      </c>
      <c r="C2282" s="1">
        <f>HYPERLINK("https://cao.dolgi.msk.ru/account/1011463435/", 1011463435)</f>
        <v>1011463435</v>
      </c>
      <c r="D2282">
        <v>0</v>
      </c>
    </row>
    <row r="2283" spans="1:4" hidden="1" x14ac:dyDescent="0.3">
      <c r="A2283" t="s">
        <v>324</v>
      </c>
      <c r="B2283" t="s">
        <v>20</v>
      </c>
      <c r="C2283" s="1">
        <f>HYPERLINK("https://cao.dolgi.msk.ru/account/1011464155/", 1011464155)</f>
        <v>1011464155</v>
      </c>
      <c r="D2283">
        <v>0</v>
      </c>
    </row>
    <row r="2284" spans="1:4" hidden="1" x14ac:dyDescent="0.3">
      <c r="A2284" t="s">
        <v>324</v>
      </c>
      <c r="B2284" t="s">
        <v>21</v>
      </c>
      <c r="C2284" s="1">
        <f>HYPERLINK("https://cao.dolgi.msk.ru/account/1011462854/", 1011462854)</f>
        <v>1011462854</v>
      </c>
      <c r="D2284">
        <v>0</v>
      </c>
    </row>
    <row r="2285" spans="1:4" hidden="1" x14ac:dyDescent="0.3">
      <c r="A2285" t="s">
        <v>324</v>
      </c>
      <c r="B2285" t="s">
        <v>22</v>
      </c>
      <c r="C2285" s="1">
        <f>HYPERLINK("https://cao.dolgi.msk.ru/account/1011463638/", 1011463638)</f>
        <v>1011463638</v>
      </c>
      <c r="D2285">
        <v>0</v>
      </c>
    </row>
    <row r="2286" spans="1:4" hidden="1" x14ac:dyDescent="0.3">
      <c r="A2286" t="s">
        <v>324</v>
      </c>
      <c r="B2286" t="s">
        <v>24</v>
      </c>
      <c r="C2286" s="1">
        <f>HYPERLINK("https://cao.dolgi.msk.ru/account/1011464817/", 1011464817)</f>
        <v>1011464817</v>
      </c>
      <c r="D2286">
        <v>0</v>
      </c>
    </row>
    <row r="2287" spans="1:4" hidden="1" x14ac:dyDescent="0.3">
      <c r="A2287" t="s">
        <v>324</v>
      </c>
      <c r="B2287" t="s">
        <v>25</v>
      </c>
      <c r="C2287" s="1">
        <f>HYPERLINK("https://cao.dolgi.msk.ru/account/1011463531/", 1011463531)</f>
        <v>1011463531</v>
      </c>
      <c r="D2287">
        <v>0</v>
      </c>
    </row>
    <row r="2288" spans="1:4" hidden="1" x14ac:dyDescent="0.3">
      <c r="A2288" t="s">
        <v>324</v>
      </c>
      <c r="B2288" t="s">
        <v>26</v>
      </c>
      <c r="C2288" s="1">
        <f>HYPERLINK("https://cao.dolgi.msk.ru/account/1011462811/", 1011462811)</f>
        <v>1011462811</v>
      </c>
      <c r="D2288">
        <v>0</v>
      </c>
    </row>
    <row r="2289" spans="1:4" hidden="1" x14ac:dyDescent="0.3">
      <c r="A2289" t="s">
        <v>324</v>
      </c>
      <c r="B2289" t="s">
        <v>27</v>
      </c>
      <c r="C2289" s="1">
        <f>HYPERLINK("https://cao.dolgi.msk.ru/account/1011463187/", 1011463187)</f>
        <v>1011463187</v>
      </c>
      <c r="D2289">
        <v>0</v>
      </c>
    </row>
    <row r="2290" spans="1:4" x14ac:dyDescent="0.3">
      <c r="A2290" t="s">
        <v>324</v>
      </c>
      <c r="B2290" t="s">
        <v>29</v>
      </c>
      <c r="C2290" s="1">
        <f>HYPERLINK("https://cao.dolgi.msk.ru/account/1011462862/", 1011462862)</f>
        <v>1011462862</v>
      </c>
      <c r="D2290">
        <v>3894.79</v>
      </c>
    </row>
    <row r="2291" spans="1:4" hidden="1" x14ac:dyDescent="0.3">
      <c r="A2291" t="s">
        <v>324</v>
      </c>
      <c r="B2291" t="s">
        <v>38</v>
      </c>
      <c r="C2291" s="1">
        <f>HYPERLINK("https://cao.dolgi.msk.ru/account/1011464112/", 1011464112)</f>
        <v>1011464112</v>
      </c>
      <c r="D2291">
        <v>0</v>
      </c>
    </row>
    <row r="2292" spans="1:4" x14ac:dyDescent="0.3">
      <c r="A2292" t="s">
        <v>324</v>
      </c>
      <c r="B2292" t="s">
        <v>39</v>
      </c>
      <c r="C2292" s="1">
        <f>HYPERLINK("https://cao.dolgi.msk.ru/account/1011464163/", 1011464163)</f>
        <v>1011464163</v>
      </c>
      <c r="D2292">
        <v>6849.73</v>
      </c>
    </row>
    <row r="2293" spans="1:4" hidden="1" x14ac:dyDescent="0.3">
      <c r="A2293" t="s">
        <v>324</v>
      </c>
      <c r="B2293" t="s">
        <v>40</v>
      </c>
      <c r="C2293" s="1">
        <f>HYPERLINK("https://cao.dolgi.msk.ru/account/1011464032/", 1011464032)</f>
        <v>1011464032</v>
      </c>
      <c r="D2293">
        <v>0</v>
      </c>
    </row>
    <row r="2294" spans="1:4" hidden="1" x14ac:dyDescent="0.3">
      <c r="A2294" t="s">
        <v>324</v>
      </c>
      <c r="B2294" t="s">
        <v>41</v>
      </c>
      <c r="C2294" s="1">
        <f>HYPERLINK("https://cao.dolgi.msk.ru/account/1011463179/", 1011463179)</f>
        <v>1011463179</v>
      </c>
      <c r="D2294">
        <v>0</v>
      </c>
    </row>
    <row r="2295" spans="1:4" hidden="1" x14ac:dyDescent="0.3">
      <c r="A2295" t="s">
        <v>324</v>
      </c>
      <c r="B2295" t="s">
        <v>51</v>
      </c>
      <c r="C2295" s="1">
        <f>HYPERLINK("https://cao.dolgi.msk.ru/account/1011464737/", 1011464737)</f>
        <v>1011464737</v>
      </c>
      <c r="D2295">
        <v>-4046.14</v>
      </c>
    </row>
    <row r="2296" spans="1:4" hidden="1" x14ac:dyDescent="0.3">
      <c r="A2296" t="s">
        <v>324</v>
      </c>
      <c r="B2296" t="s">
        <v>52</v>
      </c>
      <c r="C2296" s="1">
        <f>HYPERLINK("https://cao.dolgi.msk.ru/account/1011463902/", 1011463902)</f>
        <v>1011463902</v>
      </c>
      <c r="D2296">
        <v>0</v>
      </c>
    </row>
    <row r="2297" spans="1:4" hidden="1" x14ac:dyDescent="0.3">
      <c r="A2297" t="s">
        <v>324</v>
      </c>
      <c r="B2297" t="s">
        <v>53</v>
      </c>
      <c r="C2297" s="1">
        <f>HYPERLINK("https://cao.dolgi.msk.ru/account/1011462838/", 1011462838)</f>
        <v>1011462838</v>
      </c>
      <c r="D2297">
        <v>-10.15</v>
      </c>
    </row>
    <row r="2298" spans="1:4" x14ac:dyDescent="0.3">
      <c r="A2298" t="s">
        <v>324</v>
      </c>
      <c r="B2298" t="s">
        <v>54</v>
      </c>
      <c r="C2298" s="1">
        <f>HYPERLINK("https://cao.dolgi.msk.ru/account/1011462504/", 1011462504)</f>
        <v>1011462504</v>
      </c>
      <c r="D2298">
        <v>4459.3500000000004</v>
      </c>
    </row>
    <row r="2299" spans="1:4" x14ac:dyDescent="0.3">
      <c r="A2299" t="s">
        <v>324</v>
      </c>
      <c r="B2299" t="s">
        <v>55</v>
      </c>
      <c r="C2299" s="1">
        <f>HYPERLINK("https://cao.dolgi.msk.ru/account/1011462512/", 1011462512)</f>
        <v>1011462512</v>
      </c>
      <c r="D2299">
        <v>24030.99</v>
      </c>
    </row>
    <row r="2300" spans="1:4" hidden="1" x14ac:dyDescent="0.3">
      <c r="A2300" t="s">
        <v>324</v>
      </c>
      <c r="B2300" t="s">
        <v>56</v>
      </c>
      <c r="C2300" s="1">
        <f>HYPERLINK("https://cao.dolgi.msk.ru/account/1011463443/", 1011463443)</f>
        <v>1011463443</v>
      </c>
      <c r="D2300">
        <v>0</v>
      </c>
    </row>
    <row r="2301" spans="1:4" x14ac:dyDescent="0.3">
      <c r="A2301" t="s">
        <v>324</v>
      </c>
      <c r="B2301" t="s">
        <v>87</v>
      </c>
      <c r="C2301" s="1">
        <f>HYPERLINK("https://cao.dolgi.msk.ru/account/1011463769/", 1011463769)</f>
        <v>1011463769</v>
      </c>
      <c r="D2301">
        <v>16554.46</v>
      </c>
    </row>
    <row r="2302" spans="1:4" hidden="1" x14ac:dyDescent="0.3">
      <c r="A2302" t="s">
        <v>324</v>
      </c>
      <c r="B2302" t="s">
        <v>88</v>
      </c>
      <c r="C2302" s="1">
        <f>HYPERLINK("https://cao.dolgi.msk.ru/account/1011464294/", 1011464294)</f>
        <v>1011464294</v>
      </c>
      <c r="D2302">
        <v>-478.66</v>
      </c>
    </row>
    <row r="2303" spans="1:4" hidden="1" x14ac:dyDescent="0.3">
      <c r="A2303" t="s">
        <v>324</v>
      </c>
      <c r="B2303" t="s">
        <v>89</v>
      </c>
      <c r="C2303" s="1">
        <f>HYPERLINK("https://cao.dolgi.msk.ru/account/1011464171/", 1011464171)</f>
        <v>1011464171</v>
      </c>
      <c r="D2303">
        <v>0</v>
      </c>
    </row>
    <row r="2304" spans="1:4" hidden="1" x14ac:dyDescent="0.3">
      <c r="A2304" t="s">
        <v>324</v>
      </c>
      <c r="B2304" t="s">
        <v>90</v>
      </c>
      <c r="C2304" s="1">
        <f>HYPERLINK("https://cao.dolgi.msk.ru/account/1011526723/", 1011526723)</f>
        <v>1011526723</v>
      </c>
      <c r="D2304">
        <v>-5194.8</v>
      </c>
    </row>
    <row r="2305" spans="1:4" hidden="1" x14ac:dyDescent="0.3">
      <c r="A2305" t="s">
        <v>324</v>
      </c>
      <c r="B2305" t="s">
        <v>96</v>
      </c>
      <c r="C2305" s="1">
        <f>HYPERLINK("https://cao.dolgi.msk.ru/account/1011464198/", 1011464198)</f>
        <v>1011464198</v>
      </c>
      <c r="D2305">
        <v>0</v>
      </c>
    </row>
    <row r="2306" spans="1:4" hidden="1" x14ac:dyDescent="0.3">
      <c r="A2306" t="s">
        <v>324</v>
      </c>
      <c r="B2306" t="s">
        <v>97</v>
      </c>
      <c r="C2306" s="1">
        <f>HYPERLINK("https://cao.dolgi.msk.ru/account/1011464833/", 1011464833)</f>
        <v>1011464833</v>
      </c>
      <c r="D2306">
        <v>0</v>
      </c>
    </row>
    <row r="2307" spans="1:4" x14ac:dyDescent="0.3">
      <c r="A2307" t="s">
        <v>324</v>
      </c>
      <c r="B2307" t="s">
        <v>98</v>
      </c>
      <c r="C2307" s="1">
        <f>HYPERLINK("https://cao.dolgi.msk.ru/account/1011463961/", 1011463961)</f>
        <v>1011463961</v>
      </c>
      <c r="D2307">
        <v>7079.79</v>
      </c>
    </row>
    <row r="2308" spans="1:4" hidden="1" x14ac:dyDescent="0.3">
      <c r="A2308" t="s">
        <v>324</v>
      </c>
      <c r="B2308" t="s">
        <v>58</v>
      </c>
      <c r="C2308" s="1">
        <f>HYPERLINK("https://cao.dolgi.msk.ru/account/1011462993/", 1011462993)</f>
        <v>1011462993</v>
      </c>
      <c r="D2308">
        <v>0</v>
      </c>
    </row>
    <row r="2309" spans="1:4" hidden="1" x14ac:dyDescent="0.3">
      <c r="A2309" t="s">
        <v>324</v>
      </c>
      <c r="B2309" t="s">
        <v>59</v>
      </c>
      <c r="C2309" s="1">
        <f>HYPERLINK("https://cao.dolgi.msk.ru/account/1011463777/", 1011463777)</f>
        <v>1011463777</v>
      </c>
      <c r="D2309">
        <v>-234.31</v>
      </c>
    </row>
    <row r="2310" spans="1:4" hidden="1" x14ac:dyDescent="0.3">
      <c r="A2310" t="s">
        <v>324</v>
      </c>
      <c r="B2310" t="s">
        <v>60</v>
      </c>
      <c r="C2310" s="1">
        <f>HYPERLINK("https://cao.dolgi.msk.ru/account/1011464999/", 1011464999)</f>
        <v>1011464999</v>
      </c>
      <c r="D2310">
        <v>0</v>
      </c>
    </row>
    <row r="2311" spans="1:4" hidden="1" x14ac:dyDescent="0.3">
      <c r="A2311" t="s">
        <v>324</v>
      </c>
      <c r="B2311" t="s">
        <v>61</v>
      </c>
      <c r="C2311" s="1">
        <f>HYPERLINK("https://cao.dolgi.msk.ru/account/1011464905/", 1011464905)</f>
        <v>1011464905</v>
      </c>
      <c r="D2311">
        <v>0</v>
      </c>
    </row>
    <row r="2312" spans="1:4" hidden="1" x14ac:dyDescent="0.3">
      <c r="A2312" t="s">
        <v>324</v>
      </c>
      <c r="B2312" t="s">
        <v>62</v>
      </c>
      <c r="C2312" s="1">
        <f>HYPERLINK("https://cao.dolgi.msk.ru/account/1011464569/", 1011464569)</f>
        <v>1011464569</v>
      </c>
      <c r="D2312">
        <v>-5953.19</v>
      </c>
    </row>
    <row r="2313" spans="1:4" hidden="1" x14ac:dyDescent="0.3">
      <c r="A2313" t="s">
        <v>324</v>
      </c>
      <c r="B2313" t="s">
        <v>63</v>
      </c>
      <c r="C2313" s="1">
        <f>HYPERLINK("https://cao.dolgi.msk.ru/account/1011463988/", 1011463988)</f>
        <v>1011463988</v>
      </c>
      <c r="D2313">
        <v>0</v>
      </c>
    </row>
    <row r="2314" spans="1:4" hidden="1" x14ac:dyDescent="0.3">
      <c r="A2314" t="s">
        <v>324</v>
      </c>
      <c r="B2314" t="s">
        <v>64</v>
      </c>
      <c r="C2314" s="1">
        <f>HYPERLINK("https://cao.dolgi.msk.ru/account/1011463312/", 1011463312)</f>
        <v>1011463312</v>
      </c>
      <c r="D2314">
        <v>0</v>
      </c>
    </row>
    <row r="2315" spans="1:4" hidden="1" x14ac:dyDescent="0.3">
      <c r="A2315" t="s">
        <v>324</v>
      </c>
      <c r="B2315" t="s">
        <v>65</v>
      </c>
      <c r="C2315" s="1">
        <f>HYPERLINK("https://cao.dolgi.msk.ru/account/1011462715/", 1011462715)</f>
        <v>1011462715</v>
      </c>
      <c r="D2315">
        <v>0</v>
      </c>
    </row>
    <row r="2316" spans="1:4" x14ac:dyDescent="0.3">
      <c r="A2316" t="s">
        <v>324</v>
      </c>
      <c r="B2316" t="s">
        <v>66</v>
      </c>
      <c r="C2316" s="1">
        <f>HYPERLINK("https://cao.dolgi.msk.ru/account/1011465019/", 1011465019)</f>
        <v>1011465019</v>
      </c>
      <c r="D2316">
        <v>14742.67</v>
      </c>
    </row>
    <row r="2317" spans="1:4" x14ac:dyDescent="0.3">
      <c r="A2317" t="s">
        <v>324</v>
      </c>
      <c r="B2317" t="s">
        <v>67</v>
      </c>
      <c r="C2317" s="1">
        <f>HYPERLINK("https://cao.dolgi.msk.ru/account/1011462619/", 1011462619)</f>
        <v>1011462619</v>
      </c>
      <c r="D2317">
        <v>8696.85</v>
      </c>
    </row>
    <row r="2318" spans="1:4" hidden="1" x14ac:dyDescent="0.3">
      <c r="A2318" t="s">
        <v>324</v>
      </c>
      <c r="B2318" t="s">
        <v>68</v>
      </c>
      <c r="C2318" s="1">
        <f>HYPERLINK("https://cao.dolgi.msk.ru/account/1011462723/", 1011462723)</f>
        <v>1011462723</v>
      </c>
      <c r="D2318">
        <v>-11508.45</v>
      </c>
    </row>
    <row r="2319" spans="1:4" hidden="1" x14ac:dyDescent="0.3">
      <c r="A2319" t="s">
        <v>324</v>
      </c>
      <c r="B2319" t="s">
        <v>69</v>
      </c>
      <c r="C2319" s="1">
        <f>HYPERLINK("https://cao.dolgi.msk.ru/account/1011463005/", 1011463005)</f>
        <v>1011463005</v>
      </c>
      <c r="D2319">
        <v>0</v>
      </c>
    </row>
    <row r="2320" spans="1:4" hidden="1" x14ac:dyDescent="0.3">
      <c r="A2320" t="s">
        <v>324</v>
      </c>
      <c r="B2320" t="s">
        <v>69</v>
      </c>
      <c r="C2320" s="1">
        <f>HYPERLINK("https://cao.dolgi.msk.ru/account/1011463929/", 1011463929)</f>
        <v>1011463929</v>
      </c>
      <c r="D2320">
        <v>-547.76</v>
      </c>
    </row>
    <row r="2321" spans="1:4" hidden="1" x14ac:dyDescent="0.3">
      <c r="A2321" t="s">
        <v>324</v>
      </c>
      <c r="B2321" t="s">
        <v>70</v>
      </c>
      <c r="C2321" s="1">
        <f>HYPERLINK("https://cao.dolgi.msk.ru/account/1011464323/", 1011464323)</f>
        <v>1011464323</v>
      </c>
      <c r="D2321">
        <v>0</v>
      </c>
    </row>
    <row r="2322" spans="1:4" hidden="1" x14ac:dyDescent="0.3">
      <c r="A2322" t="s">
        <v>324</v>
      </c>
      <c r="B2322" t="s">
        <v>259</v>
      </c>
      <c r="C2322" s="1">
        <f>HYPERLINK("https://cao.dolgi.msk.ru/account/1011464577/", 1011464577)</f>
        <v>1011464577</v>
      </c>
      <c r="D2322">
        <v>0</v>
      </c>
    </row>
    <row r="2323" spans="1:4" hidden="1" x14ac:dyDescent="0.3">
      <c r="A2323" t="s">
        <v>324</v>
      </c>
      <c r="B2323" t="s">
        <v>100</v>
      </c>
      <c r="C2323" s="1">
        <f>HYPERLINK("https://cao.dolgi.msk.ru/account/1011465035/", 1011465035)</f>
        <v>1011465035</v>
      </c>
      <c r="D2323">
        <v>-1726.31</v>
      </c>
    </row>
    <row r="2324" spans="1:4" hidden="1" x14ac:dyDescent="0.3">
      <c r="A2324" t="s">
        <v>324</v>
      </c>
      <c r="B2324" t="s">
        <v>72</v>
      </c>
      <c r="C2324" s="1">
        <f>HYPERLINK("https://cao.dolgi.msk.ru/account/1011462774/", 1011462774)</f>
        <v>1011462774</v>
      </c>
      <c r="D2324">
        <v>0</v>
      </c>
    </row>
    <row r="2325" spans="1:4" hidden="1" x14ac:dyDescent="0.3">
      <c r="A2325" t="s">
        <v>324</v>
      </c>
      <c r="B2325" t="s">
        <v>73</v>
      </c>
      <c r="C2325" s="1">
        <f>HYPERLINK("https://cao.dolgi.msk.ru/account/1011463857/", 1011463857)</f>
        <v>1011463857</v>
      </c>
      <c r="D2325">
        <v>0</v>
      </c>
    </row>
    <row r="2326" spans="1:4" hidden="1" x14ac:dyDescent="0.3">
      <c r="A2326" t="s">
        <v>324</v>
      </c>
      <c r="B2326" t="s">
        <v>74</v>
      </c>
      <c r="C2326" s="1">
        <f>HYPERLINK("https://cao.dolgi.msk.ru/account/1011464403/", 1011464403)</f>
        <v>1011464403</v>
      </c>
      <c r="D2326">
        <v>0</v>
      </c>
    </row>
    <row r="2327" spans="1:4" hidden="1" x14ac:dyDescent="0.3">
      <c r="A2327" t="s">
        <v>324</v>
      </c>
      <c r="B2327" t="s">
        <v>75</v>
      </c>
      <c r="C2327" s="1">
        <f>HYPERLINK("https://cao.dolgi.msk.ru/account/1011464411/", 1011464411)</f>
        <v>1011464411</v>
      </c>
      <c r="D2327">
        <v>0</v>
      </c>
    </row>
    <row r="2328" spans="1:4" hidden="1" x14ac:dyDescent="0.3">
      <c r="A2328" t="s">
        <v>324</v>
      </c>
      <c r="B2328" t="s">
        <v>76</v>
      </c>
      <c r="C2328" s="1">
        <f>HYPERLINK("https://cao.dolgi.msk.ru/account/1011463419/", 1011463419)</f>
        <v>1011463419</v>
      </c>
      <c r="D2328">
        <v>-7200.73</v>
      </c>
    </row>
    <row r="2329" spans="1:4" hidden="1" x14ac:dyDescent="0.3">
      <c r="A2329" t="s">
        <v>324</v>
      </c>
      <c r="B2329" t="s">
        <v>77</v>
      </c>
      <c r="C2329" s="1">
        <f>HYPERLINK("https://cao.dolgi.msk.ru/account/1011465043/", 1011465043)</f>
        <v>1011465043</v>
      </c>
      <c r="D2329">
        <v>-6625.9</v>
      </c>
    </row>
    <row r="2330" spans="1:4" hidden="1" x14ac:dyDescent="0.3">
      <c r="A2330" t="s">
        <v>324</v>
      </c>
      <c r="B2330" t="s">
        <v>78</v>
      </c>
      <c r="C2330" s="1">
        <f>HYPERLINK("https://cao.dolgi.msk.ru/account/1011462782/", 1011462782)</f>
        <v>1011462782</v>
      </c>
      <c r="D2330">
        <v>0</v>
      </c>
    </row>
    <row r="2331" spans="1:4" hidden="1" x14ac:dyDescent="0.3">
      <c r="A2331" t="s">
        <v>324</v>
      </c>
      <c r="B2331" t="s">
        <v>79</v>
      </c>
      <c r="C2331" s="1">
        <f>HYPERLINK("https://cao.dolgi.msk.ru/account/1011463718/", 1011463718)</f>
        <v>1011463718</v>
      </c>
      <c r="D2331">
        <v>0</v>
      </c>
    </row>
    <row r="2332" spans="1:4" hidden="1" x14ac:dyDescent="0.3">
      <c r="A2332" t="s">
        <v>324</v>
      </c>
      <c r="B2332" t="s">
        <v>80</v>
      </c>
      <c r="C2332" s="1">
        <f>HYPERLINK("https://cao.dolgi.msk.ru/account/1011463267/", 1011463267)</f>
        <v>1011463267</v>
      </c>
      <c r="D2332">
        <v>-360.6</v>
      </c>
    </row>
    <row r="2333" spans="1:4" hidden="1" x14ac:dyDescent="0.3">
      <c r="A2333" t="s">
        <v>324</v>
      </c>
      <c r="B2333" t="s">
        <v>81</v>
      </c>
      <c r="C2333" s="1">
        <f>HYPERLINK("https://cao.dolgi.msk.ru/account/1011530183/", 1011530183)</f>
        <v>1011530183</v>
      </c>
      <c r="D2333">
        <v>-138.96</v>
      </c>
    </row>
    <row r="2334" spans="1:4" hidden="1" x14ac:dyDescent="0.3">
      <c r="A2334" t="s">
        <v>324</v>
      </c>
      <c r="B2334" t="s">
        <v>101</v>
      </c>
      <c r="C2334" s="1">
        <f>HYPERLINK("https://cao.dolgi.msk.ru/account/1011464016/", 1011464016)</f>
        <v>1011464016</v>
      </c>
      <c r="D2334">
        <v>0</v>
      </c>
    </row>
    <row r="2335" spans="1:4" hidden="1" x14ac:dyDescent="0.3">
      <c r="A2335" t="s">
        <v>324</v>
      </c>
      <c r="B2335" t="s">
        <v>82</v>
      </c>
      <c r="C2335" s="1">
        <f>HYPERLINK("https://cao.dolgi.msk.ru/account/1011463603/", 1011463603)</f>
        <v>1011463603</v>
      </c>
      <c r="D2335">
        <v>-8336.5</v>
      </c>
    </row>
    <row r="2336" spans="1:4" hidden="1" x14ac:dyDescent="0.3">
      <c r="A2336" t="s">
        <v>324</v>
      </c>
      <c r="B2336" t="s">
        <v>83</v>
      </c>
      <c r="C2336" s="1">
        <f>HYPERLINK("https://cao.dolgi.msk.ru/account/1011464585/", 1011464585)</f>
        <v>1011464585</v>
      </c>
      <c r="D2336">
        <v>0</v>
      </c>
    </row>
    <row r="2337" spans="1:4" hidden="1" x14ac:dyDescent="0.3">
      <c r="A2337" t="s">
        <v>324</v>
      </c>
      <c r="B2337" t="s">
        <v>84</v>
      </c>
      <c r="C2337" s="1">
        <f>HYPERLINK("https://cao.dolgi.msk.ru/account/1011463611/", 1011463611)</f>
        <v>1011463611</v>
      </c>
      <c r="D2337">
        <v>0</v>
      </c>
    </row>
    <row r="2338" spans="1:4" hidden="1" x14ac:dyDescent="0.3">
      <c r="A2338" t="s">
        <v>324</v>
      </c>
      <c r="B2338" t="s">
        <v>85</v>
      </c>
      <c r="C2338" s="1">
        <f>HYPERLINK("https://cao.dolgi.msk.ru/account/1011464315/", 1011464315)</f>
        <v>1011464315</v>
      </c>
      <c r="D2338">
        <v>0</v>
      </c>
    </row>
    <row r="2339" spans="1:4" hidden="1" x14ac:dyDescent="0.3">
      <c r="A2339" t="s">
        <v>324</v>
      </c>
      <c r="B2339" t="s">
        <v>102</v>
      </c>
      <c r="C2339" s="1">
        <f>HYPERLINK("https://cao.dolgi.msk.ru/account/1011464358/", 1011464358)</f>
        <v>1011464358</v>
      </c>
      <c r="D2339">
        <v>0</v>
      </c>
    </row>
    <row r="2340" spans="1:4" hidden="1" x14ac:dyDescent="0.3">
      <c r="A2340" t="s">
        <v>324</v>
      </c>
      <c r="B2340" t="s">
        <v>103</v>
      </c>
      <c r="C2340" s="1">
        <f>HYPERLINK("https://cao.dolgi.msk.ru/account/1011462731/", 1011462731)</f>
        <v>1011462731</v>
      </c>
      <c r="D2340">
        <v>-302.14</v>
      </c>
    </row>
    <row r="2341" spans="1:4" hidden="1" x14ac:dyDescent="0.3">
      <c r="A2341" t="s">
        <v>324</v>
      </c>
      <c r="B2341" t="s">
        <v>104</v>
      </c>
      <c r="C2341" s="1">
        <f>HYPERLINK("https://cao.dolgi.msk.ru/account/1011463515/", 1011463515)</f>
        <v>1011463515</v>
      </c>
      <c r="D2341">
        <v>0</v>
      </c>
    </row>
    <row r="2342" spans="1:4" hidden="1" x14ac:dyDescent="0.3">
      <c r="A2342" t="s">
        <v>324</v>
      </c>
      <c r="B2342" t="s">
        <v>105</v>
      </c>
      <c r="C2342" s="1">
        <f>HYPERLINK("https://cao.dolgi.msk.ru/account/1011465051/", 1011465051)</f>
        <v>1011465051</v>
      </c>
      <c r="D2342">
        <v>-24.6</v>
      </c>
    </row>
    <row r="2343" spans="1:4" hidden="1" x14ac:dyDescent="0.3">
      <c r="A2343" t="s">
        <v>324</v>
      </c>
      <c r="B2343" t="s">
        <v>106</v>
      </c>
      <c r="C2343" s="1">
        <f>HYPERLINK("https://cao.dolgi.msk.ru/account/1011464702/", 1011464702)</f>
        <v>1011464702</v>
      </c>
      <c r="D2343">
        <v>-6117.53</v>
      </c>
    </row>
    <row r="2344" spans="1:4" hidden="1" x14ac:dyDescent="0.3">
      <c r="A2344" t="s">
        <v>324</v>
      </c>
      <c r="B2344" t="s">
        <v>107</v>
      </c>
      <c r="C2344" s="1">
        <f>HYPERLINK("https://cao.dolgi.msk.ru/account/1011463216/", 1011463216)</f>
        <v>1011463216</v>
      </c>
      <c r="D2344">
        <v>0</v>
      </c>
    </row>
    <row r="2345" spans="1:4" hidden="1" x14ac:dyDescent="0.3">
      <c r="A2345" t="s">
        <v>324</v>
      </c>
      <c r="B2345" t="s">
        <v>108</v>
      </c>
      <c r="C2345" s="1">
        <f>HYPERLINK("https://cao.dolgi.msk.ru/account/1011464243/", 1011464243)</f>
        <v>1011464243</v>
      </c>
      <c r="D2345">
        <v>-50451.53</v>
      </c>
    </row>
    <row r="2346" spans="1:4" hidden="1" x14ac:dyDescent="0.3">
      <c r="A2346" t="s">
        <v>324</v>
      </c>
      <c r="B2346" t="s">
        <v>109</v>
      </c>
      <c r="C2346" s="1">
        <f>HYPERLINK("https://cao.dolgi.msk.ru/account/1011464745/", 1011464745)</f>
        <v>1011464745</v>
      </c>
      <c r="D2346">
        <v>-26554.22</v>
      </c>
    </row>
    <row r="2347" spans="1:4" hidden="1" x14ac:dyDescent="0.3">
      <c r="A2347" t="s">
        <v>324</v>
      </c>
      <c r="B2347" t="s">
        <v>110</v>
      </c>
      <c r="C2347" s="1">
        <f>HYPERLINK("https://cao.dolgi.msk.ru/account/1011463558/", 1011463558)</f>
        <v>1011463558</v>
      </c>
      <c r="D2347">
        <v>0</v>
      </c>
    </row>
    <row r="2348" spans="1:4" hidden="1" x14ac:dyDescent="0.3">
      <c r="A2348" t="s">
        <v>324</v>
      </c>
      <c r="B2348" t="s">
        <v>111</v>
      </c>
      <c r="C2348" s="1">
        <f>HYPERLINK("https://cao.dolgi.msk.ru/account/1011463339/", 1011463339)</f>
        <v>1011463339</v>
      </c>
      <c r="D2348">
        <v>-145.26</v>
      </c>
    </row>
    <row r="2349" spans="1:4" hidden="1" x14ac:dyDescent="0.3">
      <c r="A2349" t="s">
        <v>324</v>
      </c>
      <c r="B2349" t="s">
        <v>112</v>
      </c>
      <c r="C2349" s="1">
        <f>HYPERLINK("https://cao.dolgi.msk.ru/account/1011463806/", 1011463806)</f>
        <v>1011463806</v>
      </c>
      <c r="D2349">
        <v>0</v>
      </c>
    </row>
    <row r="2350" spans="1:4" hidden="1" x14ac:dyDescent="0.3">
      <c r="A2350" t="s">
        <v>324</v>
      </c>
      <c r="B2350" t="s">
        <v>113</v>
      </c>
      <c r="C2350" s="1">
        <f>HYPERLINK("https://cao.dolgi.msk.ru/account/1011462539/", 1011462539)</f>
        <v>1011462539</v>
      </c>
      <c r="D2350">
        <v>0</v>
      </c>
    </row>
    <row r="2351" spans="1:4" hidden="1" x14ac:dyDescent="0.3">
      <c r="A2351" t="s">
        <v>324</v>
      </c>
      <c r="B2351" t="s">
        <v>114</v>
      </c>
      <c r="C2351" s="1">
        <f>HYPERLINK("https://cao.dolgi.msk.ru/account/1011464913/", 1011464913)</f>
        <v>1011464913</v>
      </c>
      <c r="D2351">
        <v>0</v>
      </c>
    </row>
    <row r="2352" spans="1:4" hidden="1" x14ac:dyDescent="0.3">
      <c r="A2352" t="s">
        <v>324</v>
      </c>
      <c r="B2352" t="s">
        <v>115</v>
      </c>
      <c r="C2352" s="1">
        <f>HYPERLINK("https://cao.dolgi.msk.ru/account/1011465086/", 1011465086)</f>
        <v>1011465086</v>
      </c>
      <c r="D2352">
        <v>0</v>
      </c>
    </row>
    <row r="2353" spans="1:4" hidden="1" x14ac:dyDescent="0.3">
      <c r="A2353" t="s">
        <v>324</v>
      </c>
      <c r="B2353" t="s">
        <v>116</v>
      </c>
      <c r="C2353" s="1">
        <f>HYPERLINK("https://cao.dolgi.msk.ru/account/1011464593/", 1011464593)</f>
        <v>1011464593</v>
      </c>
      <c r="D2353">
        <v>0</v>
      </c>
    </row>
    <row r="2354" spans="1:4" hidden="1" x14ac:dyDescent="0.3">
      <c r="A2354" t="s">
        <v>324</v>
      </c>
      <c r="B2354" t="s">
        <v>266</v>
      </c>
      <c r="C2354" s="1">
        <f>HYPERLINK("https://cao.dolgi.msk.ru/account/1011463726/", 1011463726)</f>
        <v>1011463726</v>
      </c>
      <c r="D2354">
        <v>-19749.79</v>
      </c>
    </row>
    <row r="2355" spans="1:4" x14ac:dyDescent="0.3">
      <c r="A2355" t="s">
        <v>324</v>
      </c>
      <c r="B2355" t="s">
        <v>117</v>
      </c>
      <c r="C2355" s="1">
        <f>HYPERLINK("https://cao.dolgi.msk.ru/account/1011463734/", 1011463734)</f>
        <v>1011463734</v>
      </c>
      <c r="D2355">
        <v>5911.34</v>
      </c>
    </row>
    <row r="2356" spans="1:4" hidden="1" x14ac:dyDescent="0.3">
      <c r="A2356" t="s">
        <v>324</v>
      </c>
      <c r="B2356" t="s">
        <v>118</v>
      </c>
      <c r="C2356" s="1">
        <f>HYPERLINK("https://cao.dolgi.msk.ru/account/1011463814/", 1011463814)</f>
        <v>1011463814</v>
      </c>
      <c r="D2356">
        <v>0</v>
      </c>
    </row>
    <row r="2357" spans="1:4" hidden="1" x14ac:dyDescent="0.3">
      <c r="A2357" t="s">
        <v>324</v>
      </c>
      <c r="B2357" t="s">
        <v>119</v>
      </c>
      <c r="C2357" s="1">
        <f>HYPERLINK("https://cao.dolgi.msk.ru/account/1011464921/", 1011464921)</f>
        <v>1011464921</v>
      </c>
      <c r="D2357">
        <v>-4410.5600000000004</v>
      </c>
    </row>
    <row r="2358" spans="1:4" hidden="1" x14ac:dyDescent="0.3">
      <c r="A2358" t="s">
        <v>324</v>
      </c>
      <c r="B2358" t="s">
        <v>120</v>
      </c>
      <c r="C2358" s="1">
        <f>HYPERLINK("https://cao.dolgi.msk.ru/account/1011462926/", 1011462926)</f>
        <v>1011462926</v>
      </c>
      <c r="D2358">
        <v>-7156.61</v>
      </c>
    </row>
    <row r="2359" spans="1:4" hidden="1" x14ac:dyDescent="0.3">
      <c r="A2359" t="s">
        <v>324</v>
      </c>
      <c r="B2359" t="s">
        <v>121</v>
      </c>
      <c r="C2359" s="1">
        <f>HYPERLINK("https://cao.dolgi.msk.ru/account/1011463785/", 1011463785)</f>
        <v>1011463785</v>
      </c>
      <c r="D2359">
        <v>0</v>
      </c>
    </row>
    <row r="2360" spans="1:4" x14ac:dyDescent="0.3">
      <c r="A2360" t="s">
        <v>324</v>
      </c>
      <c r="B2360" t="s">
        <v>122</v>
      </c>
      <c r="C2360" s="1">
        <f>HYPERLINK("https://cao.dolgi.msk.ru/account/1011464622/", 1011464622)</f>
        <v>1011464622</v>
      </c>
      <c r="D2360">
        <v>5163.51</v>
      </c>
    </row>
    <row r="2361" spans="1:4" hidden="1" x14ac:dyDescent="0.3">
      <c r="A2361" t="s">
        <v>324</v>
      </c>
      <c r="B2361" t="s">
        <v>123</v>
      </c>
      <c r="C2361" s="1">
        <f>HYPERLINK("https://cao.dolgi.msk.ru/account/1011464753/", 1011464753)</f>
        <v>1011464753</v>
      </c>
      <c r="D2361">
        <v>-9279.91</v>
      </c>
    </row>
    <row r="2362" spans="1:4" hidden="1" x14ac:dyDescent="0.3">
      <c r="A2362" t="s">
        <v>324</v>
      </c>
      <c r="B2362" t="s">
        <v>124</v>
      </c>
      <c r="C2362" s="1">
        <f>HYPERLINK("https://cao.dolgi.msk.ru/account/1011464761/", 1011464761)</f>
        <v>1011464761</v>
      </c>
      <c r="D2362">
        <v>-205.74</v>
      </c>
    </row>
    <row r="2363" spans="1:4" hidden="1" x14ac:dyDescent="0.3">
      <c r="A2363" t="s">
        <v>324</v>
      </c>
      <c r="B2363" t="s">
        <v>125</v>
      </c>
      <c r="C2363" s="1">
        <f>HYPERLINK("https://cao.dolgi.msk.ru/account/1011463056/", 1011463056)</f>
        <v>1011463056</v>
      </c>
      <c r="D2363">
        <v>-26954.86</v>
      </c>
    </row>
    <row r="2364" spans="1:4" hidden="1" x14ac:dyDescent="0.3">
      <c r="A2364" t="s">
        <v>324</v>
      </c>
      <c r="B2364" t="s">
        <v>126</v>
      </c>
      <c r="C2364" s="1">
        <f>HYPERLINK("https://cao.dolgi.msk.ru/account/1011462643/", 1011462643)</f>
        <v>1011462643</v>
      </c>
      <c r="D2364">
        <v>0</v>
      </c>
    </row>
    <row r="2365" spans="1:4" x14ac:dyDescent="0.3">
      <c r="A2365" t="s">
        <v>324</v>
      </c>
      <c r="B2365" t="s">
        <v>127</v>
      </c>
      <c r="C2365" s="1">
        <f>HYPERLINK("https://cao.dolgi.msk.ru/account/1011464059/", 1011464059)</f>
        <v>1011464059</v>
      </c>
      <c r="D2365">
        <v>657.16</v>
      </c>
    </row>
    <row r="2366" spans="1:4" hidden="1" x14ac:dyDescent="0.3">
      <c r="A2366" t="s">
        <v>324</v>
      </c>
      <c r="B2366" t="s">
        <v>262</v>
      </c>
      <c r="C2366" s="1">
        <f>HYPERLINK("https://cao.dolgi.msk.ru/account/1011462571/", 1011462571)</f>
        <v>1011462571</v>
      </c>
      <c r="D2366">
        <v>-5946.59</v>
      </c>
    </row>
    <row r="2367" spans="1:4" hidden="1" x14ac:dyDescent="0.3">
      <c r="A2367" t="s">
        <v>324</v>
      </c>
      <c r="B2367" t="s">
        <v>128</v>
      </c>
      <c r="C2367" s="1">
        <f>HYPERLINK("https://cao.dolgi.msk.ru/account/1011465094/", 1011465094)</f>
        <v>1011465094</v>
      </c>
      <c r="D2367">
        <v>0</v>
      </c>
    </row>
    <row r="2368" spans="1:4" x14ac:dyDescent="0.3">
      <c r="A2368" t="s">
        <v>324</v>
      </c>
      <c r="B2368" t="s">
        <v>129</v>
      </c>
      <c r="C2368" s="1">
        <f>HYPERLINK("https://cao.dolgi.msk.ru/account/1011464841/", 1011464841)</f>
        <v>1011464841</v>
      </c>
      <c r="D2368">
        <v>12114.2</v>
      </c>
    </row>
    <row r="2369" spans="1:4" hidden="1" x14ac:dyDescent="0.3">
      <c r="A2369" t="s">
        <v>324</v>
      </c>
      <c r="B2369" t="s">
        <v>130</v>
      </c>
      <c r="C2369" s="1">
        <f>HYPERLINK("https://cao.dolgi.msk.ru/account/1011464219/", 1011464219)</f>
        <v>1011464219</v>
      </c>
      <c r="D2369">
        <v>0</v>
      </c>
    </row>
    <row r="2370" spans="1:4" hidden="1" x14ac:dyDescent="0.3">
      <c r="A2370" t="s">
        <v>324</v>
      </c>
      <c r="B2370" t="s">
        <v>131</v>
      </c>
      <c r="C2370" s="1">
        <f>HYPERLINK("https://cao.dolgi.msk.ru/account/1011464534/", 1011464534)</f>
        <v>1011464534</v>
      </c>
      <c r="D2370">
        <v>-10.15</v>
      </c>
    </row>
    <row r="2371" spans="1:4" hidden="1" x14ac:dyDescent="0.3">
      <c r="A2371" t="s">
        <v>324</v>
      </c>
      <c r="B2371" t="s">
        <v>132</v>
      </c>
      <c r="C2371" s="1">
        <f>HYPERLINK("https://cao.dolgi.msk.ru/account/1011464083/", 1011464083)</f>
        <v>1011464083</v>
      </c>
      <c r="D2371">
        <v>0</v>
      </c>
    </row>
    <row r="2372" spans="1:4" x14ac:dyDescent="0.3">
      <c r="A2372" t="s">
        <v>324</v>
      </c>
      <c r="B2372" t="s">
        <v>133</v>
      </c>
      <c r="C2372" s="1">
        <f>HYPERLINK("https://cao.dolgi.msk.ru/account/1011463451/", 1011463451)</f>
        <v>1011463451</v>
      </c>
      <c r="D2372">
        <v>34793.120000000003</v>
      </c>
    </row>
    <row r="2373" spans="1:4" x14ac:dyDescent="0.3">
      <c r="A2373" t="s">
        <v>324</v>
      </c>
      <c r="B2373" t="s">
        <v>134</v>
      </c>
      <c r="C2373" s="1">
        <f>HYPERLINK("https://cao.dolgi.msk.ru/account/1011463013/", 1011463013)</f>
        <v>1011463013</v>
      </c>
      <c r="D2373">
        <v>15325.95</v>
      </c>
    </row>
    <row r="2374" spans="1:4" hidden="1" x14ac:dyDescent="0.3">
      <c r="A2374" t="s">
        <v>324</v>
      </c>
      <c r="B2374" t="s">
        <v>135</v>
      </c>
      <c r="C2374" s="1">
        <f>HYPERLINK("https://cao.dolgi.msk.ru/account/1011463646/", 1011463646)</f>
        <v>1011463646</v>
      </c>
      <c r="D2374">
        <v>0</v>
      </c>
    </row>
    <row r="2375" spans="1:4" hidden="1" x14ac:dyDescent="0.3">
      <c r="A2375" t="s">
        <v>324</v>
      </c>
      <c r="B2375" t="s">
        <v>264</v>
      </c>
      <c r="C2375" s="1">
        <f>HYPERLINK("https://cao.dolgi.msk.ru/account/1011463021/", 1011463021)</f>
        <v>1011463021</v>
      </c>
      <c r="D2375">
        <v>-5686.63</v>
      </c>
    </row>
    <row r="2376" spans="1:4" hidden="1" x14ac:dyDescent="0.3">
      <c r="A2376" t="s">
        <v>324</v>
      </c>
      <c r="B2376" t="s">
        <v>136</v>
      </c>
      <c r="C2376" s="1">
        <f>HYPERLINK("https://cao.dolgi.msk.ru/account/1011463566/", 1011463566)</f>
        <v>1011463566</v>
      </c>
      <c r="D2376">
        <v>0</v>
      </c>
    </row>
    <row r="2377" spans="1:4" hidden="1" x14ac:dyDescent="0.3">
      <c r="A2377" t="s">
        <v>324</v>
      </c>
      <c r="B2377" t="s">
        <v>138</v>
      </c>
      <c r="C2377" s="1">
        <f>HYPERLINK("https://cao.dolgi.msk.ru/account/1011463881/", 1011463881)</f>
        <v>1011463881</v>
      </c>
      <c r="D2377">
        <v>-5263.87</v>
      </c>
    </row>
    <row r="2378" spans="1:4" x14ac:dyDescent="0.3">
      <c r="A2378" t="s">
        <v>324</v>
      </c>
      <c r="B2378" t="s">
        <v>139</v>
      </c>
      <c r="C2378" s="1">
        <f>HYPERLINK("https://cao.dolgi.msk.ru/account/1011464251/", 1011464251)</f>
        <v>1011464251</v>
      </c>
      <c r="D2378">
        <v>16873.419999999998</v>
      </c>
    </row>
    <row r="2379" spans="1:4" hidden="1" x14ac:dyDescent="0.3">
      <c r="A2379" t="s">
        <v>324</v>
      </c>
      <c r="B2379" t="s">
        <v>140</v>
      </c>
      <c r="C2379" s="1">
        <f>HYPERLINK("https://cao.dolgi.msk.ru/account/1011464956/", 1011464956)</f>
        <v>1011464956</v>
      </c>
      <c r="D2379">
        <v>-2121.2600000000002</v>
      </c>
    </row>
    <row r="2380" spans="1:4" x14ac:dyDescent="0.3">
      <c r="A2380" t="s">
        <v>324</v>
      </c>
      <c r="B2380" t="s">
        <v>141</v>
      </c>
      <c r="C2380" s="1">
        <f>HYPERLINK("https://cao.dolgi.msk.ru/account/1011463347/", 1011463347)</f>
        <v>1011463347</v>
      </c>
      <c r="D2380">
        <v>8334.48</v>
      </c>
    </row>
    <row r="2381" spans="1:4" hidden="1" x14ac:dyDescent="0.3">
      <c r="A2381" t="s">
        <v>324</v>
      </c>
      <c r="B2381" t="s">
        <v>142</v>
      </c>
      <c r="C2381" s="1">
        <f>HYPERLINK("https://cao.dolgi.msk.ru/account/1011464139/", 1011464139)</f>
        <v>1011464139</v>
      </c>
      <c r="D2381">
        <v>0</v>
      </c>
    </row>
    <row r="2382" spans="1:4" x14ac:dyDescent="0.3">
      <c r="A2382" t="s">
        <v>324</v>
      </c>
      <c r="B2382" t="s">
        <v>143</v>
      </c>
      <c r="C2382" s="1">
        <f>HYPERLINK("https://cao.dolgi.msk.ru/account/1011464796/", 1011464796)</f>
        <v>1011464796</v>
      </c>
      <c r="D2382">
        <v>31956.799999999999</v>
      </c>
    </row>
    <row r="2383" spans="1:4" hidden="1" x14ac:dyDescent="0.3">
      <c r="A2383" t="s">
        <v>324</v>
      </c>
      <c r="B2383" t="s">
        <v>144</v>
      </c>
      <c r="C2383" s="1">
        <f>HYPERLINK("https://cao.dolgi.msk.ru/account/1011463654/", 1011463654)</f>
        <v>1011463654</v>
      </c>
      <c r="D2383">
        <v>-3593.43</v>
      </c>
    </row>
    <row r="2384" spans="1:4" hidden="1" x14ac:dyDescent="0.3">
      <c r="A2384" t="s">
        <v>324</v>
      </c>
      <c r="B2384" t="s">
        <v>145</v>
      </c>
      <c r="C2384" s="1">
        <f>HYPERLINK("https://cao.dolgi.msk.ru/account/1011463507/", 1011463507)</f>
        <v>1011463507</v>
      </c>
      <c r="D2384">
        <v>-11609</v>
      </c>
    </row>
    <row r="2385" spans="1:4" hidden="1" x14ac:dyDescent="0.3">
      <c r="A2385" t="s">
        <v>324</v>
      </c>
      <c r="B2385" t="s">
        <v>146</v>
      </c>
      <c r="C2385" s="1">
        <f>HYPERLINK("https://cao.dolgi.msk.ru/account/1011463275/", 1011463275)</f>
        <v>1011463275</v>
      </c>
      <c r="D2385">
        <v>0</v>
      </c>
    </row>
    <row r="2386" spans="1:4" hidden="1" x14ac:dyDescent="0.3">
      <c r="A2386" t="s">
        <v>324</v>
      </c>
      <c r="B2386" t="s">
        <v>147</v>
      </c>
      <c r="C2386" s="1">
        <f>HYPERLINK("https://cao.dolgi.msk.ru/account/1011464446/", 1011464446)</f>
        <v>1011464446</v>
      </c>
      <c r="D2386">
        <v>-208.07</v>
      </c>
    </row>
    <row r="2387" spans="1:4" hidden="1" x14ac:dyDescent="0.3">
      <c r="A2387" t="s">
        <v>324</v>
      </c>
      <c r="B2387" t="s">
        <v>148</v>
      </c>
      <c r="C2387" s="1">
        <f>HYPERLINK("https://cao.dolgi.msk.ru/account/1011462758/", 1011462758)</f>
        <v>1011462758</v>
      </c>
      <c r="D2387">
        <v>0</v>
      </c>
    </row>
    <row r="2388" spans="1:4" hidden="1" x14ac:dyDescent="0.3">
      <c r="A2388" t="s">
        <v>324</v>
      </c>
      <c r="B2388" t="s">
        <v>149</v>
      </c>
      <c r="C2388" s="1">
        <f>HYPERLINK("https://cao.dolgi.msk.ru/account/1011463064/", 1011463064)</f>
        <v>1011463064</v>
      </c>
      <c r="D2388">
        <v>-2712.09</v>
      </c>
    </row>
    <row r="2389" spans="1:4" hidden="1" x14ac:dyDescent="0.3">
      <c r="A2389" t="s">
        <v>324</v>
      </c>
      <c r="B2389" t="s">
        <v>150</v>
      </c>
      <c r="C2389" s="1">
        <f>HYPERLINK("https://cao.dolgi.msk.ru/account/1011463937/", 1011463937)</f>
        <v>1011463937</v>
      </c>
      <c r="D2389">
        <v>-4062.7</v>
      </c>
    </row>
    <row r="2390" spans="1:4" hidden="1" x14ac:dyDescent="0.3">
      <c r="A2390" t="s">
        <v>324</v>
      </c>
      <c r="B2390" t="s">
        <v>151</v>
      </c>
      <c r="C2390" s="1">
        <f>HYPERLINK("https://cao.dolgi.msk.ru/account/1011465078/", 1011465078)</f>
        <v>1011465078</v>
      </c>
      <c r="D2390">
        <v>-5228.91</v>
      </c>
    </row>
    <row r="2391" spans="1:4" hidden="1" x14ac:dyDescent="0.3">
      <c r="A2391" t="s">
        <v>324</v>
      </c>
      <c r="B2391" t="s">
        <v>152</v>
      </c>
      <c r="C2391" s="1">
        <f>HYPERLINK("https://cao.dolgi.msk.ru/account/1011464649/", 1011464649)</f>
        <v>1011464649</v>
      </c>
      <c r="D2391">
        <v>0</v>
      </c>
    </row>
    <row r="2392" spans="1:4" hidden="1" x14ac:dyDescent="0.3">
      <c r="A2392" t="s">
        <v>324</v>
      </c>
      <c r="B2392" t="s">
        <v>153</v>
      </c>
      <c r="C2392" s="1">
        <f>HYPERLINK("https://cao.dolgi.msk.ru/account/1011462651/", 1011462651)</f>
        <v>1011462651</v>
      </c>
      <c r="D2392">
        <v>0</v>
      </c>
    </row>
    <row r="2393" spans="1:4" hidden="1" x14ac:dyDescent="0.3">
      <c r="A2393" t="s">
        <v>324</v>
      </c>
      <c r="B2393" t="s">
        <v>154</v>
      </c>
      <c r="C2393" s="1">
        <f>HYPERLINK("https://cao.dolgi.msk.ru/account/1011463822/", 1011463822)</f>
        <v>1011463822</v>
      </c>
      <c r="D2393">
        <v>-9662.6</v>
      </c>
    </row>
    <row r="2394" spans="1:4" hidden="1" x14ac:dyDescent="0.3">
      <c r="A2394" t="s">
        <v>324</v>
      </c>
      <c r="B2394" t="s">
        <v>155</v>
      </c>
      <c r="C2394" s="1">
        <f>HYPERLINK("https://cao.dolgi.msk.ru/account/1011464657/", 1011464657)</f>
        <v>1011464657</v>
      </c>
      <c r="D2394">
        <v>0</v>
      </c>
    </row>
    <row r="2395" spans="1:4" hidden="1" x14ac:dyDescent="0.3">
      <c r="A2395" t="s">
        <v>324</v>
      </c>
      <c r="B2395" t="s">
        <v>156</v>
      </c>
      <c r="C2395" s="1">
        <f>HYPERLINK("https://cao.dolgi.msk.ru/account/1011464788/", 1011464788)</f>
        <v>1011464788</v>
      </c>
      <c r="D2395">
        <v>-782.77</v>
      </c>
    </row>
    <row r="2396" spans="1:4" hidden="1" x14ac:dyDescent="0.3">
      <c r="A2396" t="s">
        <v>324</v>
      </c>
      <c r="B2396" t="s">
        <v>157</v>
      </c>
      <c r="C2396" s="1">
        <f>HYPERLINK("https://cao.dolgi.msk.ru/account/1011464868/", 1011464868)</f>
        <v>1011464868</v>
      </c>
      <c r="D2396">
        <v>0</v>
      </c>
    </row>
    <row r="2397" spans="1:4" hidden="1" x14ac:dyDescent="0.3">
      <c r="A2397" t="s">
        <v>324</v>
      </c>
      <c r="B2397" t="s">
        <v>158</v>
      </c>
      <c r="C2397" s="1">
        <f>HYPERLINK("https://cao.dolgi.msk.ru/account/1011463072/", 1011463072)</f>
        <v>1011463072</v>
      </c>
      <c r="D2397">
        <v>0</v>
      </c>
    </row>
    <row r="2398" spans="1:4" hidden="1" x14ac:dyDescent="0.3">
      <c r="A2398" t="s">
        <v>324</v>
      </c>
      <c r="B2398" t="s">
        <v>159</v>
      </c>
      <c r="C2398" s="1">
        <f>HYPERLINK("https://cao.dolgi.msk.ru/account/1011463865/", 1011463865)</f>
        <v>1011463865</v>
      </c>
      <c r="D2398">
        <v>-5209</v>
      </c>
    </row>
    <row r="2399" spans="1:4" x14ac:dyDescent="0.3">
      <c r="A2399" t="s">
        <v>324</v>
      </c>
      <c r="B2399" t="s">
        <v>160</v>
      </c>
      <c r="C2399" s="1">
        <f>HYPERLINK("https://cao.dolgi.msk.ru/account/1011464091/", 1011464091)</f>
        <v>1011464091</v>
      </c>
      <c r="D2399">
        <v>3605.52</v>
      </c>
    </row>
    <row r="2400" spans="1:4" hidden="1" x14ac:dyDescent="0.3">
      <c r="A2400" t="s">
        <v>324</v>
      </c>
      <c r="B2400" t="s">
        <v>161</v>
      </c>
      <c r="C2400" s="1">
        <f>HYPERLINK("https://cao.dolgi.msk.ru/account/1011463478/", 1011463478)</f>
        <v>1011463478</v>
      </c>
      <c r="D2400">
        <v>-33.950000000000003</v>
      </c>
    </row>
    <row r="2401" spans="1:4" hidden="1" x14ac:dyDescent="0.3">
      <c r="A2401" t="s">
        <v>324</v>
      </c>
      <c r="B2401" t="s">
        <v>162</v>
      </c>
      <c r="C2401" s="1">
        <f>HYPERLINK("https://cao.dolgi.msk.ru/account/1011462846/", 1011462846)</f>
        <v>1011462846</v>
      </c>
      <c r="D2401">
        <v>0</v>
      </c>
    </row>
    <row r="2402" spans="1:4" x14ac:dyDescent="0.3">
      <c r="A2402" t="s">
        <v>324</v>
      </c>
      <c r="B2402" t="s">
        <v>163</v>
      </c>
      <c r="C2402" s="1">
        <f>HYPERLINK("https://cao.dolgi.msk.ru/account/1011463662/", 1011463662)</f>
        <v>1011463662</v>
      </c>
      <c r="D2402">
        <v>5799.48</v>
      </c>
    </row>
    <row r="2403" spans="1:4" hidden="1" x14ac:dyDescent="0.3">
      <c r="A2403" t="s">
        <v>324</v>
      </c>
      <c r="B2403" t="s">
        <v>164</v>
      </c>
      <c r="C2403" s="1">
        <f>HYPERLINK("https://cao.dolgi.msk.ru/account/1011464809/", 1011464809)</f>
        <v>1011464809</v>
      </c>
      <c r="D2403">
        <v>-2477.7199999999998</v>
      </c>
    </row>
    <row r="2404" spans="1:4" hidden="1" x14ac:dyDescent="0.3">
      <c r="A2404" t="s">
        <v>324</v>
      </c>
      <c r="B2404" t="s">
        <v>165</v>
      </c>
      <c r="C2404" s="1">
        <f>HYPERLINK("https://cao.dolgi.msk.ru/account/1011463283/", 1011463283)</f>
        <v>1011463283</v>
      </c>
      <c r="D2404">
        <v>-5873.16</v>
      </c>
    </row>
    <row r="2405" spans="1:4" hidden="1" x14ac:dyDescent="0.3">
      <c r="A2405" t="s">
        <v>324</v>
      </c>
      <c r="B2405" t="s">
        <v>166</v>
      </c>
      <c r="C2405" s="1">
        <f>HYPERLINK("https://cao.dolgi.msk.ru/account/1011505201/", 1011505201)</f>
        <v>1011505201</v>
      </c>
      <c r="D2405">
        <v>0</v>
      </c>
    </row>
    <row r="2406" spans="1:4" hidden="1" x14ac:dyDescent="0.3">
      <c r="A2406" t="s">
        <v>324</v>
      </c>
      <c r="B2406" t="s">
        <v>167</v>
      </c>
      <c r="C2406" s="1">
        <f>HYPERLINK("https://cao.dolgi.msk.ru/account/1011538775/", 1011538775)</f>
        <v>1011538775</v>
      </c>
      <c r="D2406">
        <v>0</v>
      </c>
    </row>
    <row r="2407" spans="1:4" x14ac:dyDescent="0.3">
      <c r="A2407" t="s">
        <v>324</v>
      </c>
      <c r="B2407" t="s">
        <v>168</v>
      </c>
      <c r="C2407" s="1">
        <f>HYPERLINK("https://cao.dolgi.msk.ru/account/1011464227/", 1011464227)</f>
        <v>1011464227</v>
      </c>
      <c r="D2407">
        <v>5460.21</v>
      </c>
    </row>
    <row r="2408" spans="1:4" hidden="1" x14ac:dyDescent="0.3">
      <c r="A2408" t="s">
        <v>324</v>
      </c>
      <c r="B2408" t="s">
        <v>169</v>
      </c>
      <c r="C2408" s="1">
        <f>HYPERLINK("https://cao.dolgi.msk.ru/account/1011464665/", 1011464665)</f>
        <v>1011464665</v>
      </c>
      <c r="D2408">
        <v>0</v>
      </c>
    </row>
    <row r="2409" spans="1:4" hidden="1" x14ac:dyDescent="0.3">
      <c r="A2409" t="s">
        <v>324</v>
      </c>
      <c r="B2409" t="s">
        <v>170</v>
      </c>
      <c r="C2409" s="1">
        <f>HYPERLINK("https://cao.dolgi.msk.ru/account/1011463224/", 1011463224)</f>
        <v>1011463224</v>
      </c>
      <c r="D2409">
        <v>0</v>
      </c>
    </row>
    <row r="2410" spans="1:4" x14ac:dyDescent="0.3">
      <c r="A2410" t="s">
        <v>324</v>
      </c>
      <c r="B2410" t="s">
        <v>171</v>
      </c>
      <c r="C2410" s="1">
        <f>HYPERLINK("https://cao.dolgi.msk.ru/account/1011464526/", 1011464526)</f>
        <v>1011464526</v>
      </c>
      <c r="D2410">
        <v>7047.71</v>
      </c>
    </row>
    <row r="2411" spans="1:4" hidden="1" x14ac:dyDescent="0.3">
      <c r="A2411" t="s">
        <v>324</v>
      </c>
      <c r="B2411" t="s">
        <v>172</v>
      </c>
      <c r="C2411" s="1">
        <f>HYPERLINK("https://cao.dolgi.msk.ru/account/1011464673/", 1011464673)</f>
        <v>1011464673</v>
      </c>
      <c r="D2411">
        <v>0</v>
      </c>
    </row>
    <row r="2412" spans="1:4" hidden="1" x14ac:dyDescent="0.3">
      <c r="A2412" t="s">
        <v>324</v>
      </c>
      <c r="B2412" t="s">
        <v>173</v>
      </c>
      <c r="C2412" s="1">
        <f>HYPERLINK("https://cao.dolgi.msk.ru/account/1011462934/", 1011462934)</f>
        <v>1011462934</v>
      </c>
      <c r="D2412">
        <v>0</v>
      </c>
    </row>
    <row r="2413" spans="1:4" hidden="1" x14ac:dyDescent="0.3">
      <c r="A2413" t="s">
        <v>324</v>
      </c>
      <c r="B2413" t="s">
        <v>174</v>
      </c>
      <c r="C2413" s="1">
        <f>HYPERLINK("https://cao.dolgi.msk.ru/account/1011463486/", 1011463486)</f>
        <v>1011463486</v>
      </c>
      <c r="D2413">
        <v>0</v>
      </c>
    </row>
    <row r="2414" spans="1:4" hidden="1" x14ac:dyDescent="0.3">
      <c r="A2414" t="s">
        <v>324</v>
      </c>
      <c r="B2414" t="s">
        <v>175</v>
      </c>
      <c r="C2414" s="1">
        <f>HYPERLINK("https://cao.dolgi.msk.ru/account/1011464454/", 1011464454)</f>
        <v>1011464454</v>
      </c>
      <c r="D2414">
        <v>0</v>
      </c>
    </row>
    <row r="2415" spans="1:4" hidden="1" x14ac:dyDescent="0.3">
      <c r="A2415" t="s">
        <v>324</v>
      </c>
      <c r="B2415" t="s">
        <v>176</v>
      </c>
      <c r="C2415" s="1">
        <f>HYPERLINK("https://cao.dolgi.msk.ru/account/1011540138/", 1011540138)</f>
        <v>1011540138</v>
      </c>
      <c r="D2415">
        <v>0</v>
      </c>
    </row>
    <row r="2416" spans="1:4" hidden="1" x14ac:dyDescent="0.3">
      <c r="A2416" t="s">
        <v>324</v>
      </c>
      <c r="B2416" t="s">
        <v>177</v>
      </c>
      <c r="C2416" s="1">
        <f>HYPERLINK("https://cao.dolgi.msk.ru/account/1011463232/", 1011463232)</f>
        <v>1011463232</v>
      </c>
      <c r="D2416">
        <v>0</v>
      </c>
    </row>
    <row r="2417" spans="1:4" hidden="1" x14ac:dyDescent="0.3">
      <c r="A2417" t="s">
        <v>324</v>
      </c>
      <c r="B2417" t="s">
        <v>178</v>
      </c>
      <c r="C2417" s="1">
        <f>HYPERLINK("https://cao.dolgi.msk.ru/account/1011464438/", 1011464438)</f>
        <v>1011464438</v>
      </c>
      <c r="D2417">
        <v>0</v>
      </c>
    </row>
    <row r="2418" spans="1:4" hidden="1" x14ac:dyDescent="0.3">
      <c r="A2418" t="s">
        <v>324</v>
      </c>
      <c r="B2418" t="s">
        <v>179</v>
      </c>
      <c r="C2418" s="1">
        <f>HYPERLINK("https://cao.dolgi.msk.ru/account/1011462766/", 1011462766)</f>
        <v>1011462766</v>
      </c>
      <c r="D2418">
        <v>-3581.05</v>
      </c>
    </row>
    <row r="2419" spans="1:4" hidden="1" x14ac:dyDescent="0.3">
      <c r="A2419" t="s">
        <v>324</v>
      </c>
      <c r="B2419" t="s">
        <v>273</v>
      </c>
      <c r="C2419" s="1">
        <f>HYPERLINK("https://cao.dolgi.msk.ru/account/1011463427/", 1011463427)</f>
        <v>1011463427</v>
      </c>
      <c r="D2419">
        <v>0</v>
      </c>
    </row>
    <row r="2420" spans="1:4" hidden="1" x14ac:dyDescent="0.3">
      <c r="A2420" t="s">
        <v>324</v>
      </c>
      <c r="B2420" t="s">
        <v>180</v>
      </c>
      <c r="C2420" s="1">
        <f>HYPERLINK("https://cao.dolgi.msk.ru/account/1011463355/", 1011463355)</f>
        <v>1011463355</v>
      </c>
      <c r="D2420">
        <v>0</v>
      </c>
    </row>
    <row r="2421" spans="1:4" x14ac:dyDescent="0.3">
      <c r="A2421" t="s">
        <v>324</v>
      </c>
      <c r="B2421" t="s">
        <v>181</v>
      </c>
      <c r="C2421" s="1">
        <f>HYPERLINK("https://cao.dolgi.msk.ru/account/1011463291/", 1011463291)</f>
        <v>1011463291</v>
      </c>
      <c r="D2421">
        <v>11060.82</v>
      </c>
    </row>
    <row r="2422" spans="1:4" hidden="1" x14ac:dyDescent="0.3">
      <c r="A2422" t="s">
        <v>324</v>
      </c>
      <c r="B2422" t="s">
        <v>182</v>
      </c>
      <c r="C2422" s="1">
        <f>HYPERLINK("https://cao.dolgi.msk.ru/account/1011463873/", 1011463873)</f>
        <v>1011463873</v>
      </c>
      <c r="D2422">
        <v>0</v>
      </c>
    </row>
    <row r="2423" spans="1:4" hidden="1" x14ac:dyDescent="0.3">
      <c r="A2423" t="s">
        <v>324</v>
      </c>
      <c r="B2423" t="s">
        <v>183</v>
      </c>
      <c r="C2423" s="1">
        <f>HYPERLINK("https://cao.dolgi.msk.ru/account/1011462547/", 1011462547)</f>
        <v>1011462547</v>
      </c>
      <c r="D2423">
        <v>0</v>
      </c>
    </row>
    <row r="2424" spans="1:4" hidden="1" x14ac:dyDescent="0.3">
      <c r="A2424" t="s">
        <v>324</v>
      </c>
      <c r="B2424" t="s">
        <v>184</v>
      </c>
      <c r="C2424" s="1">
        <f>HYPERLINK("https://cao.dolgi.msk.ru/account/1011463099/", 1011463099)</f>
        <v>1011463099</v>
      </c>
      <c r="D2424">
        <v>0</v>
      </c>
    </row>
    <row r="2425" spans="1:4" x14ac:dyDescent="0.3">
      <c r="A2425" t="s">
        <v>324</v>
      </c>
      <c r="B2425" t="s">
        <v>185</v>
      </c>
      <c r="C2425" s="1">
        <f>HYPERLINK("https://cao.dolgi.msk.ru/account/1011464462/", 1011464462)</f>
        <v>1011464462</v>
      </c>
      <c r="D2425">
        <v>6274.29</v>
      </c>
    </row>
    <row r="2426" spans="1:4" hidden="1" x14ac:dyDescent="0.3">
      <c r="A2426" t="s">
        <v>324</v>
      </c>
      <c r="B2426" t="s">
        <v>274</v>
      </c>
      <c r="C2426" s="1">
        <f>HYPERLINK("https://cao.dolgi.msk.ru/account/1011464964/", 1011464964)</f>
        <v>1011464964</v>
      </c>
      <c r="D2426">
        <v>-674.71</v>
      </c>
    </row>
    <row r="2427" spans="1:4" hidden="1" x14ac:dyDescent="0.3">
      <c r="A2427" t="s">
        <v>324</v>
      </c>
      <c r="B2427" t="s">
        <v>186</v>
      </c>
      <c r="C2427" s="1">
        <f>HYPERLINK("https://cao.dolgi.msk.ru/account/1011464278/", 1011464278)</f>
        <v>1011464278</v>
      </c>
      <c r="D2427">
        <v>-217.36</v>
      </c>
    </row>
    <row r="2428" spans="1:4" hidden="1" x14ac:dyDescent="0.3">
      <c r="A2428" t="s">
        <v>324</v>
      </c>
      <c r="B2428" t="s">
        <v>187</v>
      </c>
      <c r="C2428" s="1">
        <f>HYPERLINK("https://cao.dolgi.msk.ru/account/1011464286/", 1011464286)</f>
        <v>1011464286</v>
      </c>
      <c r="D2428">
        <v>0</v>
      </c>
    </row>
    <row r="2429" spans="1:4" hidden="1" x14ac:dyDescent="0.3">
      <c r="A2429" t="s">
        <v>324</v>
      </c>
      <c r="B2429" t="s">
        <v>188</v>
      </c>
      <c r="C2429" s="1">
        <f>HYPERLINK("https://cao.dolgi.msk.ru/account/1011462889/", 1011462889)</f>
        <v>1011462889</v>
      </c>
      <c r="D2429">
        <v>-1226.24</v>
      </c>
    </row>
    <row r="2430" spans="1:4" hidden="1" x14ac:dyDescent="0.3">
      <c r="A2430" t="s">
        <v>324</v>
      </c>
      <c r="B2430" t="s">
        <v>188</v>
      </c>
      <c r="C2430" s="1">
        <f>HYPERLINK("https://cao.dolgi.msk.ru/account/1011463793/", 1011463793)</f>
        <v>1011463793</v>
      </c>
      <c r="D2430">
        <v>-7357.52</v>
      </c>
    </row>
    <row r="2431" spans="1:4" hidden="1" x14ac:dyDescent="0.3">
      <c r="A2431" t="s">
        <v>324</v>
      </c>
      <c r="B2431" t="s">
        <v>189</v>
      </c>
      <c r="C2431" s="1">
        <f>HYPERLINK("https://cao.dolgi.msk.ru/account/1011462678/", 1011462678)</f>
        <v>1011462678</v>
      </c>
      <c r="D2431">
        <v>0</v>
      </c>
    </row>
    <row r="2432" spans="1:4" hidden="1" x14ac:dyDescent="0.3">
      <c r="A2432" t="s">
        <v>324</v>
      </c>
      <c r="B2432" t="s">
        <v>190</v>
      </c>
      <c r="C2432" s="1">
        <f>HYPERLINK("https://cao.dolgi.msk.ru/account/1011464366/", 1011464366)</f>
        <v>1011464366</v>
      </c>
      <c r="D2432">
        <v>-245</v>
      </c>
    </row>
    <row r="2433" spans="1:4" hidden="1" x14ac:dyDescent="0.3">
      <c r="A2433" t="s">
        <v>324</v>
      </c>
      <c r="B2433" t="s">
        <v>191</v>
      </c>
      <c r="C2433" s="1">
        <f>HYPERLINK("https://cao.dolgi.msk.ru/account/1011464374/", 1011464374)</f>
        <v>1011464374</v>
      </c>
      <c r="D2433">
        <v>-7044.9</v>
      </c>
    </row>
    <row r="2434" spans="1:4" hidden="1" x14ac:dyDescent="0.3">
      <c r="A2434" t="s">
        <v>324</v>
      </c>
      <c r="B2434" t="s">
        <v>192</v>
      </c>
      <c r="C2434" s="1">
        <f>HYPERLINK("https://cao.dolgi.msk.ru/account/1011463996/", 1011463996)</f>
        <v>1011463996</v>
      </c>
      <c r="D2434">
        <v>0</v>
      </c>
    </row>
    <row r="2435" spans="1:4" hidden="1" x14ac:dyDescent="0.3">
      <c r="A2435" t="s">
        <v>324</v>
      </c>
      <c r="B2435" t="s">
        <v>325</v>
      </c>
      <c r="C2435" s="1">
        <f>HYPERLINK("https://cao.dolgi.msk.ru/account/1011462803/", 1011462803)</f>
        <v>1011462803</v>
      </c>
      <c r="D2435">
        <v>-4257.2700000000004</v>
      </c>
    </row>
    <row r="2436" spans="1:4" hidden="1" x14ac:dyDescent="0.3">
      <c r="A2436" t="s">
        <v>324</v>
      </c>
      <c r="B2436" t="s">
        <v>193</v>
      </c>
      <c r="C2436" s="1">
        <f>HYPERLINK("https://cao.dolgi.msk.ru/account/1011463304/", 1011463304)</f>
        <v>1011463304</v>
      </c>
      <c r="D2436">
        <v>0</v>
      </c>
    </row>
    <row r="2437" spans="1:4" hidden="1" x14ac:dyDescent="0.3">
      <c r="A2437" t="s">
        <v>324</v>
      </c>
      <c r="B2437" t="s">
        <v>194</v>
      </c>
      <c r="C2437" s="1">
        <f>HYPERLINK("https://cao.dolgi.msk.ru/account/1011463523/", 1011463523)</f>
        <v>1011463523</v>
      </c>
      <c r="D2437">
        <v>0</v>
      </c>
    </row>
    <row r="2438" spans="1:4" hidden="1" x14ac:dyDescent="0.3">
      <c r="A2438" t="s">
        <v>324</v>
      </c>
      <c r="B2438" t="s">
        <v>195</v>
      </c>
      <c r="C2438" s="1">
        <f>HYPERLINK("https://cao.dolgi.msk.ru/account/1011462555/", 1011462555)</f>
        <v>1011462555</v>
      </c>
      <c r="D2438">
        <v>0</v>
      </c>
    </row>
    <row r="2439" spans="1:4" x14ac:dyDescent="0.3">
      <c r="A2439" t="s">
        <v>324</v>
      </c>
      <c r="B2439" t="s">
        <v>196</v>
      </c>
      <c r="C2439" s="1">
        <f>HYPERLINK("https://cao.dolgi.msk.ru/account/1011463195/", 1011463195)</f>
        <v>1011463195</v>
      </c>
      <c r="D2439">
        <v>6128.57</v>
      </c>
    </row>
    <row r="2440" spans="1:4" hidden="1" x14ac:dyDescent="0.3">
      <c r="A2440" t="s">
        <v>324</v>
      </c>
      <c r="B2440" t="s">
        <v>196</v>
      </c>
      <c r="C2440" s="1">
        <f>HYPERLINK("https://cao.dolgi.msk.ru/account/1011542432/", 1011542432)</f>
        <v>1011542432</v>
      </c>
      <c r="D2440">
        <v>0</v>
      </c>
    </row>
    <row r="2441" spans="1:4" hidden="1" x14ac:dyDescent="0.3">
      <c r="A2441" t="s">
        <v>324</v>
      </c>
      <c r="B2441" t="s">
        <v>197</v>
      </c>
      <c r="C2441" s="1">
        <f>HYPERLINK("https://cao.dolgi.msk.ru/account/1011463574/", 1011463574)</f>
        <v>1011463574</v>
      </c>
      <c r="D2441">
        <v>0</v>
      </c>
    </row>
    <row r="2442" spans="1:4" hidden="1" x14ac:dyDescent="0.3">
      <c r="A2442" t="s">
        <v>324</v>
      </c>
      <c r="B2442" t="s">
        <v>198</v>
      </c>
      <c r="C2442" s="1">
        <f>HYPERLINK("https://cao.dolgi.msk.ru/account/1011462977/", 1011462977)</f>
        <v>1011462977</v>
      </c>
      <c r="D2442">
        <v>0</v>
      </c>
    </row>
    <row r="2443" spans="1:4" hidden="1" x14ac:dyDescent="0.3">
      <c r="A2443" t="s">
        <v>324</v>
      </c>
      <c r="B2443" t="s">
        <v>199</v>
      </c>
      <c r="C2443" s="1">
        <f>HYPERLINK("https://cao.dolgi.msk.ru/account/1011463742/", 1011463742)</f>
        <v>1011463742</v>
      </c>
      <c r="D2443">
        <v>0</v>
      </c>
    </row>
    <row r="2444" spans="1:4" x14ac:dyDescent="0.3">
      <c r="A2444" t="s">
        <v>324</v>
      </c>
      <c r="B2444" t="s">
        <v>200</v>
      </c>
      <c r="C2444" s="1">
        <f>HYPERLINK("https://cao.dolgi.msk.ru/account/1011462985/", 1011462985)</f>
        <v>1011462985</v>
      </c>
      <c r="D2444">
        <v>15955.87</v>
      </c>
    </row>
    <row r="2445" spans="1:4" hidden="1" x14ac:dyDescent="0.3">
      <c r="A2445" t="s">
        <v>324</v>
      </c>
      <c r="B2445" t="s">
        <v>201</v>
      </c>
      <c r="C2445" s="1">
        <f>HYPERLINK("https://cao.dolgi.msk.ru/account/1011463945/", 1011463945)</f>
        <v>1011463945</v>
      </c>
      <c r="D2445">
        <v>0</v>
      </c>
    </row>
    <row r="2446" spans="1:4" hidden="1" x14ac:dyDescent="0.3">
      <c r="A2446" t="s">
        <v>324</v>
      </c>
      <c r="B2446" t="s">
        <v>202</v>
      </c>
      <c r="C2446" s="1">
        <f>HYPERLINK("https://cao.dolgi.msk.ru/account/1011463494/", 1011463494)</f>
        <v>1011463494</v>
      </c>
      <c r="D2446">
        <v>-374.05</v>
      </c>
    </row>
    <row r="2447" spans="1:4" hidden="1" x14ac:dyDescent="0.3">
      <c r="A2447" t="s">
        <v>324</v>
      </c>
      <c r="B2447" t="s">
        <v>203</v>
      </c>
      <c r="C2447" s="1">
        <f>HYPERLINK("https://cao.dolgi.msk.ru/account/1011462686/", 1011462686)</f>
        <v>1011462686</v>
      </c>
      <c r="D2447">
        <v>0</v>
      </c>
    </row>
    <row r="2448" spans="1:4" hidden="1" x14ac:dyDescent="0.3">
      <c r="A2448" t="s">
        <v>324</v>
      </c>
      <c r="B2448" t="s">
        <v>326</v>
      </c>
      <c r="C2448" s="1">
        <f>HYPERLINK("https://cao.dolgi.msk.ru/account/1011463363/", 1011463363)</f>
        <v>1011463363</v>
      </c>
      <c r="D2448">
        <v>0</v>
      </c>
    </row>
    <row r="2449" spans="1:4" hidden="1" x14ac:dyDescent="0.3">
      <c r="A2449" t="s">
        <v>324</v>
      </c>
      <c r="B2449" t="s">
        <v>204</v>
      </c>
      <c r="C2449" s="1">
        <f>HYPERLINK("https://cao.dolgi.msk.ru/account/1011464542/", 1011464542)</f>
        <v>1011464542</v>
      </c>
      <c r="D2449">
        <v>0</v>
      </c>
    </row>
    <row r="2450" spans="1:4" hidden="1" x14ac:dyDescent="0.3">
      <c r="A2450" t="s">
        <v>324</v>
      </c>
      <c r="B2450" t="s">
        <v>205</v>
      </c>
      <c r="C2450" s="1">
        <f>HYPERLINK("https://cao.dolgi.msk.ru/account/1011464948/", 1011464948)</f>
        <v>1011464948</v>
      </c>
      <c r="D2450">
        <v>-5173.29</v>
      </c>
    </row>
    <row r="2451" spans="1:4" hidden="1" x14ac:dyDescent="0.3">
      <c r="A2451" t="s">
        <v>324</v>
      </c>
      <c r="B2451" t="s">
        <v>206</v>
      </c>
      <c r="C2451" s="1">
        <f>HYPERLINK("https://cao.dolgi.msk.ru/account/1011463689/", 1011463689)</f>
        <v>1011463689</v>
      </c>
      <c r="D2451">
        <v>-4212</v>
      </c>
    </row>
    <row r="2452" spans="1:4" x14ac:dyDescent="0.3">
      <c r="A2452" t="s">
        <v>324</v>
      </c>
      <c r="B2452" t="s">
        <v>207</v>
      </c>
      <c r="C2452" s="1">
        <f>HYPERLINK("https://cao.dolgi.msk.ru/account/1011462598/", 1011462598)</f>
        <v>1011462598</v>
      </c>
      <c r="D2452">
        <v>4800.71</v>
      </c>
    </row>
    <row r="2453" spans="1:4" hidden="1" x14ac:dyDescent="0.3">
      <c r="A2453" t="s">
        <v>324</v>
      </c>
      <c r="B2453" t="s">
        <v>208</v>
      </c>
      <c r="C2453" s="1">
        <f>HYPERLINK("https://cao.dolgi.msk.ru/account/1011463101/", 1011463101)</f>
        <v>1011463101</v>
      </c>
      <c r="D2453">
        <v>0</v>
      </c>
    </row>
    <row r="2454" spans="1:4" x14ac:dyDescent="0.3">
      <c r="A2454" t="s">
        <v>324</v>
      </c>
      <c r="B2454" t="s">
        <v>327</v>
      </c>
      <c r="C2454" s="1">
        <f>HYPERLINK("https://cao.dolgi.msk.ru/account/1011464972/", 1011464972)</f>
        <v>1011464972</v>
      </c>
      <c r="D2454">
        <v>4227.7</v>
      </c>
    </row>
    <row r="2455" spans="1:4" hidden="1" x14ac:dyDescent="0.3">
      <c r="A2455" t="s">
        <v>324</v>
      </c>
      <c r="B2455" t="s">
        <v>209</v>
      </c>
      <c r="C2455" s="1">
        <f>HYPERLINK("https://cao.dolgi.msk.ru/account/1011465107/", 1011465107)</f>
        <v>1011465107</v>
      </c>
      <c r="D2455">
        <v>0</v>
      </c>
    </row>
    <row r="2456" spans="1:4" hidden="1" x14ac:dyDescent="0.3">
      <c r="A2456" t="s">
        <v>324</v>
      </c>
      <c r="B2456" t="s">
        <v>210</v>
      </c>
      <c r="C2456" s="1">
        <f>HYPERLINK("https://cao.dolgi.msk.ru/account/1011464876/", 1011464876)</f>
        <v>1011464876</v>
      </c>
      <c r="D2456">
        <v>0</v>
      </c>
    </row>
    <row r="2457" spans="1:4" hidden="1" x14ac:dyDescent="0.3">
      <c r="A2457" t="s">
        <v>324</v>
      </c>
      <c r="B2457" t="s">
        <v>211</v>
      </c>
      <c r="C2457" s="1">
        <f>HYPERLINK("https://cao.dolgi.msk.ru/account/1011464147/", 1011464147)</f>
        <v>1011464147</v>
      </c>
      <c r="D2457">
        <v>-7932.08</v>
      </c>
    </row>
    <row r="2458" spans="1:4" hidden="1" x14ac:dyDescent="0.3">
      <c r="A2458" t="s">
        <v>324</v>
      </c>
      <c r="B2458" t="s">
        <v>212</v>
      </c>
      <c r="C2458" s="1">
        <f>HYPERLINK("https://cao.dolgi.msk.ru/account/1011464008/", 1011464008)</f>
        <v>1011464008</v>
      </c>
      <c r="D2458">
        <v>-7466.6</v>
      </c>
    </row>
    <row r="2459" spans="1:4" hidden="1" x14ac:dyDescent="0.3">
      <c r="A2459" t="s">
        <v>324</v>
      </c>
      <c r="B2459" t="s">
        <v>213</v>
      </c>
      <c r="C2459" s="1">
        <f>HYPERLINK("https://cao.dolgi.msk.ru/account/1011463128/", 1011463128)</f>
        <v>1011463128</v>
      </c>
      <c r="D2459">
        <v>-5217.5200000000004</v>
      </c>
    </row>
    <row r="2460" spans="1:4" hidden="1" x14ac:dyDescent="0.3">
      <c r="A2460" t="s">
        <v>324</v>
      </c>
      <c r="B2460" t="s">
        <v>214</v>
      </c>
      <c r="C2460" s="1">
        <f>HYPERLINK("https://cao.dolgi.msk.ru/account/1011464681/", 1011464681)</f>
        <v>1011464681</v>
      </c>
      <c r="D2460">
        <v>-5362.94</v>
      </c>
    </row>
    <row r="2461" spans="1:4" hidden="1" x14ac:dyDescent="0.3">
      <c r="A2461" t="s">
        <v>324</v>
      </c>
      <c r="B2461" t="s">
        <v>215</v>
      </c>
      <c r="C2461" s="1">
        <f>HYPERLINK("https://cao.dolgi.msk.ru/account/1011462694/", 1011462694)</f>
        <v>1011462694</v>
      </c>
      <c r="D2461">
        <v>-634.35</v>
      </c>
    </row>
    <row r="2462" spans="1:4" hidden="1" x14ac:dyDescent="0.3">
      <c r="A2462" t="s">
        <v>324</v>
      </c>
      <c r="B2462" t="s">
        <v>216</v>
      </c>
      <c r="C2462" s="1">
        <f>HYPERLINK("https://cao.dolgi.msk.ru/account/1011463697/", 1011463697)</f>
        <v>1011463697</v>
      </c>
      <c r="D2462">
        <v>0</v>
      </c>
    </row>
    <row r="2463" spans="1:4" hidden="1" x14ac:dyDescent="0.3">
      <c r="A2463" t="s">
        <v>324</v>
      </c>
      <c r="B2463" t="s">
        <v>286</v>
      </c>
      <c r="C2463" s="1">
        <f>HYPERLINK("https://cao.dolgi.msk.ru/account/1011464067/", 1011464067)</f>
        <v>1011464067</v>
      </c>
      <c r="D2463">
        <v>0</v>
      </c>
    </row>
    <row r="2464" spans="1:4" hidden="1" x14ac:dyDescent="0.3">
      <c r="A2464" t="s">
        <v>324</v>
      </c>
      <c r="B2464" t="s">
        <v>287</v>
      </c>
      <c r="C2464" s="1">
        <f>HYPERLINK("https://cao.dolgi.msk.ru/account/1011463371/", 1011463371)</f>
        <v>1011463371</v>
      </c>
      <c r="D2464">
        <v>0</v>
      </c>
    </row>
    <row r="2465" spans="1:4" hidden="1" x14ac:dyDescent="0.3">
      <c r="A2465" t="s">
        <v>324</v>
      </c>
      <c r="B2465" t="s">
        <v>217</v>
      </c>
      <c r="C2465" s="1">
        <f>HYPERLINK("https://cao.dolgi.msk.ru/account/1011462563/", 1011462563)</f>
        <v>1011462563</v>
      </c>
      <c r="D2465">
        <v>-7122.24</v>
      </c>
    </row>
    <row r="2466" spans="1:4" x14ac:dyDescent="0.3">
      <c r="A2466" t="s">
        <v>324</v>
      </c>
      <c r="B2466" t="s">
        <v>218</v>
      </c>
      <c r="C2466" s="1">
        <f>HYPERLINK("https://cao.dolgi.msk.ru/account/1011464884/", 1011464884)</f>
        <v>1011464884</v>
      </c>
      <c r="D2466">
        <v>8459.66</v>
      </c>
    </row>
    <row r="2467" spans="1:4" hidden="1" x14ac:dyDescent="0.3">
      <c r="A2467" t="s">
        <v>324</v>
      </c>
      <c r="B2467" t="s">
        <v>219</v>
      </c>
      <c r="C2467" s="1">
        <f>HYPERLINK("https://cao.dolgi.msk.ru/account/1011464489/", 1011464489)</f>
        <v>1011464489</v>
      </c>
      <c r="D2467">
        <v>0</v>
      </c>
    </row>
    <row r="2468" spans="1:4" x14ac:dyDescent="0.3">
      <c r="A2468" t="s">
        <v>324</v>
      </c>
      <c r="B2468" t="s">
        <v>220</v>
      </c>
      <c r="C2468" s="1">
        <f>HYPERLINK("https://cao.dolgi.msk.ru/account/1011462635/", 1011462635)</f>
        <v>1011462635</v>
      </c>
      <c r="D2468">
        <v>30004.47</v>
      </c>
    </row>
    <row r="2469" spans="1:4" hidden="1" x14ac:dyDescent="0.3">
      <c r="A2469" t="s">
        <v>324</v>
      </c>
      <c r="B2469" t="s">
        <v>221</v>
      </c>
      <c r="C2469" s="1">
        <f>HYPERLINK("https://cao.dolgi.msk.ru/account/1011465115/", 1011465115)</f>
        <v>1011465115</v>
      </c>
      <c r="D2469">
        <v>0</v>
      </c>
    </row>
    <row r="2470" spans="1:4" hidden="1" x14ac:dyDescent="0.3">
      <c r="A2470" t="s">
        <v>324</v>
      </c>
      <c r="B2470" t="s">
        <v>222</v>
      </c>
      <c r="C2470" s="1">
        <f>HYPERLINK("https://cao.dolgi.msk.ru/account/1011462942/", 1011462942)</f>
        <v>1011462942</v>
      </c>
      <c r="D2470">
        <v>0</v>
      </c>
    </row>
    <row r="2471" spans="1:4" hidden="1" x14ac:dyDescent="0.3">
      <c r="A2471" t="s">
        <v>324</v>
      </c>
      <c r="B2471" t="s">
        <v>223</v>
      </c>
      <c r="C2471" s="1">
        <f>HYPERLINK("https://cao.dolgi.msk.ru/account/1011464606/", 1011464606)</f>
        <v>1011464606</v>
      </c>
      <c r="D2471">
        <v>0</v>
      </c>
    </row>
    <row r="2472" spans="1:4" hidden="1" x14ac:dyDescent="0.3">
      <c r="A2472" t="s">
        <v>324</v>
      </c>
      <c r="B2472" t="s">
        <v>224</v>
      </c>
      <c r="C2472" s="1">
        <f>HYPERLINK("https://cao.dolgi.msk.ru/account/1011463953/", 1011463953)</f>
        <v>1011463953</v>
      </c>
      <c r="D2472">
        <v>-4044.72</v>
      </c>
    </row>
    <row r="2473" spans="1:4" x14ac:dyDescent="0.3">
      <c r="A2473" t="s">
        <v>324</v>
      </c>
      <c r="B2473" t="s">
        <v>225</v>
      </c>
      <c r="C2473" s="1">
        <f>HYPERLINK("https://cao.dolgi.msk.ru/account/1011464235/", 1011464235)</f>
        <v>1011464235</v>
      </c>
      <c r="D2473">
        <v>21808.78</v>
      </c>
    </row>
    <row r="2474" spans="1:4" hidden="1" x14ac:dyDescent="0.3">
      <c r="A2474" t="s">
        <v>324</v>
      </c>
      <c r="B2474" t="s">
        <v>226</v>
      </c>
      <c r="C2474" s="1">
        <f>HYPERLINK("https://cao.dolgi.msk.ru/account/1011464104/", 1011464104)</f>
        <v>1011464104</v>
      </c>
      <c r="D2474">
        <v>-0.8</v>
      </c>
    </row>
    <row r="2475" spans="1:4" hidden="1" x14ac:dyDescent="0.3">
      <c r="A2475" t="s">
        <v>324</v>
      </c>
      <c r="B2475" t="s">
        <v>227</v>
      </c>
      <c r="C2475" s="1">
        <f>HYPERLINK("https://cao.dolgi.msk.ru/account/1011464075/", 1011464075)</f>
        <v>1011464075</v>
      </c>
      <c r="D2475">
        <v>0</v>
      </c>
    </row>
    <row r="2476" spans="1:4" hidden="1" x14ac:dyDescent="0.3">
      <c r="A2476" t="s">
        <v>324</v>
      </c>
      <c r="B2476" t="s">
        <v>228</v>
      </c>
      <c r="C2476" s="1">
        <f>HYPERLINK("https://cao.dolgi.msk.ru/account/1011464024/", 1011464024)</f>
        <v>1011464024</v>
      </c>
      <c r="D2476">
        <v>0</v>
      </c>
    </row>
    <row r="2477" spans="1:4" hidden="1" x14ac:dyDescent="0.3">
      <c r="A2477" t="s">
        <v>324</v>
      </c>
      <c r="B2477" t="s">
        <v>229</v>
      </c>
      <c r="C2477" s="1">
        <f>HYPERLINK("https://cao.dolgi.msk.ru/account/1011462897/", 1011462897)</f>
        <v>1011462897</v>
      </c>
      <c r="D2477">
        <v>0</v>
      </c>
    </row>
    <row r="2478" spans="1:4" hidden="1" x14ac:dyDescent="0.3">
      <c r="A2478" t="s">
        <v>324</v>
      </c>
      <c r="B2478" t="s">
        <v>230</v>
      </c>
      <c r="C2478" s="1">
        <f>HYPERLINK("https://cao.dolgi.msk.ru/account/1011462918/", 1011462918)</f>
        <v>1011462918</v>
      </c>
      <c r="D2478">
        <v>0</v>
      </c>
    </row>
    <row r="2479" spans="1:4" hidden="1" x14ac:dyDescent="0.3">
      <c r="A2479" t="s">
        <v>328</v>
      </c>
      <c r="B2479" t="s">
        <v>35</v>
      </c>
      <c r="C2479" s="1">
        <f>HYPERLINK("https://cao.dolgi.msk.ru/account/1011348795/", 1011348795)</f>
        <v>1011348795</v>
      </c>
      <c r="D2479">
        <v>0</v>
      </c>
    </row>
    <row r="2480" spans="1:4" hidden="1" x14ac:dyDescent="0.3">
      <c r="A2480" t="s">
        <v>328</v>
      </c>
      <c r="B2480" t="s">
        <v>5</v>
      </c>
      <c r="C2480" s="1">
        <f>HYPERLINK("https://cao.dolgi.msk.ru/account/1011348525/", 1011348525)</f>
        <v>1011348525</v>
      </c>
      <c r="D2480">
        <v>-6236.74</v>
      </c>
    </row>
    <row r="2481" spans="1:4" hidden="1" x14ac:dyDescent="0.3">
      <c r="A2481" t="s">
        <v>328</v>
      </c>
      <c r="B2481" t="s">
        <v>7</v>
      </c>
      <c r="C2481" s="1">
        <f>HYPERLINK("https://cao.dolgi.msk.ru/account/1011348293/", 1011348293)</f>
        <v>1011348293</v>
      </c>
      <c r="D2481">
        <v>0</v>
      </c>
    </row>
    <row r="2482" spans="1:4" hidden="1" x14ac:dyDescent="0.3">
      <c r="A2482" t="s">
        <v>328</v>
      </c>
      <c r="B2482" t="s">
        <v>8</v>
      </c>
      <c r="C2482" s="1">
        <f>HYPERLINK("https://cao.dolgi.msk.ru/account/1011348509/", 1011348509)</f>
        <v>1011348509</v>
      </c>
      <c r="D2482">
        <v>0</v>
      </c>
    </row>
    <row r="2483" spans="1:4" x14ac:dyDescent="0.3">
      <c r="A2483" t="s">
        <v>328</v>
      </c>
      <c r="B2483" t="s">
        <v>31</v>
      </c>
      <c r="C2483" s="1">
        <f>HYPERLINK("https://cao.dolgi.msk.ru/account/1011348648/", 1011348648)</f>
        <v>1011348648</v>
      </c>
      <c r="D2483">
        <v>19020.439999999999</v>
      </c>
    </row>
    <row r="2484" spans="1:4" hidden="1" x14ac:dyDescent="0.3">
      <c r="A2484" t="s">
        <v>328</v>
      </c>
      <c r="B2484" t="s">
        <v>9</v>
      </c>
      <c r="C2484" s="1">
        <f>HYPERLINK("https://cao.dolgi.msk.ru/account/1011348453/", 1011348453)</f>
        <v>1011348453</v>
      </c>
      <c r="D2484">
        <v>0</v>
      </c>
    </row>
    <row r="2485" spans="1:4" hidden="1" x14ac:dyDescent="0.3">
      <c r="A2485" t="s">
        <v>328</v>
      </c>
      <c r="B2485" t="s">
        <v>9</v>
      </c>
      <c r="C2485" s="1">
        <f>HYPERLINK("https://cao.dolgi.msk.ru/account/1011348621/", 1011348621)</f>
        <v>1011348621</v>
      </c>
      <c r="D2485">
        <v>-530.76</v>
      </c>
    </row>
    <row r="2486" spans="1:4" hidden="1" x14ac:dyDescent="0.3">
      <c r="A2486" t="s">
        <v>328</v>
      </c>
      <c r="B2486" t="s">
        <v>9</v>
      </c>
      <c r="C2486" s="1">
        <f>HYPERLINK("https://cao.dolgi.msk.ru/account/1011348752/", 1011348752)</f>
        <v>1011348752</v>
      </c>
      <c r="D2486">
        <v>0</v>
      </c>
    </row>
    <row r="2487" spans="1:4" x14ac:dyDescent="0.3">
      <c r="A2487" t="s">
        <v>328</v>
      </c>
      <c r="B2487" t="s">
        <v>10</v>
      </c>
      <c r="C2487" s="1">
        <f>HYPERLINK("https://cao.dolgi.msk.ru/account/1011348613/", 1011348613)</f>
        <v>1011348613</v>
      </c>
      <c r="D2487">
        <v>42829.3</v>
      </c>
    </row>
    <row r="2488" spans="1:4" hidden="1" x14ac:dyDescent="0.3">
      <c r="A2488" t="s">
        <v>328</v>
      </c>
      <c r="B2488" t="s">
        <v>11</v>
      </c>
      <c r="C2488" s="1">
        <f>HYPERLINK("https://cao.dolgi.msk.ru/account/1011348787/", 1011348787)</f>
        <v>1011348787</v>
      </c>
      <c r="D2488">
        <v>0</v>
      </c>
    </row>
    <row r="2489" spans="1:4" hidden="1" x14ac:dyDescent="0.3">
      <c r="A2489" t="s">
        <v>328</v>
      </c>
      <c r="B2489" t="s">
        <v>12</v>
      </c>
      <c r="C2489" s="1">
        <f>HYPERLINK("https://cao.dolgi.msk.ru/account/1011348533/", 1011348533)</f>
        <v>1011348533</v>
      </c>
      <c r="D2489">
        <v>0</v>
      </c>
    </row>
    <row r="2490" spans="1:4" hidden="1" x14ac:dyDescent="0.3">
      <c r="A2490" t="s">
        <v>328</v>
      </c>
      <c r="B2490" t="s">
        <v>23</v>
      </c>
      <c r="C2490" s="1">
        <f>HYPERLINK("https://cao.dolgi.msk.ru/account/1011348656/", 1011348656)</f>
        <v>1011348656</v>
      </c>
      <c r="D2490">
        <v>-14028.79</v>
      </c>
    </row>
    <row r="2491" spans="1:4" hidden="1" x14ac:dyDescent="0.3">
      <c r="A2491" t="s">
        <v>328</v>
      </c>
      <c r="B2491" t="s">
        <v>13</v>
      </c>
      <c r="C2491" s="1">
        <f>HYPERLINK("https://cao.dolgi.msk.ru/account/1011348541/", 1011348541)</f>
        <v>1011348541</v>
      </c>
      <c r="D2491">
        <v>0</v>
      </c>
    </row>
    <row r="2492" spans="1:4" hidden="1" x14ac:dyDescent="0.3">
      <c r="A2492" t="s">
        <v>328</v>
      </c>
      <c r="B2492" t="s">
        <v>14</v>
      </c>
      <c r="C2492" s="1">
        <f>HYPERLINK("https://cao.dolgi.msk.ru/account/1011348314/", 1011348314)</f>
        <v>1011348314</v>
      </c>
      <c r="D2492">
        <v>-2995.3</v>
      </c>
    </row>
    <row r="2493" spans="1:4" x14ac:dyDescent="0.3">
      <c r="A2493" t="s">
        <v>328</v>
      </c>
      <c r="B2493" t="s">
        <v>16</v>
      </c>
      <c r="C2493" s="1">
        <f>HYPERLINK("https://cao.dolgi.msk.ru/account/1011348285/", 1011348285)</f>
        <v>1011348285</v>
      </c>
      <c r="D2493">
        <v>34562.25</v>
      </c>
    </row>
    <row r="2494" spans="1:4" hidden="1" x14ac:dyDescent="0.3">
      <c r="A2494" t="s">
        <v>328</v>
      </c>
      <c r="B2494" t="s">
        <v>17</v>
      </c>
      <c r="C2494" s="1">
        <f>HYPERLINK("https://cao.dolgi.msk.ru/account/1011348701/", 1011348701)</f>
        <v>1011348701</v>
      </c>
      <c r="D2494">
        <v>0</v>
      </c>
    </row>
    <row r="2495" spans="1:4" hidden="1" x14ac:dyDescent="0.3">
      <c r="A2495" t="s">
        <v>328</v>
      </c>
      <c r="B2495" t="s">
        <v>18</v>
      </c>
      <c r="C2495" s="1">
        <f>HYPERLINK("https://cao.dolgi.msk.ru/account/1011514888/", 1011514888)</f>
        <v>1011514888</v>
      </c>
      <c r="D2495">
        <v>-4246.68</v>
      </c>
    </row>
    <row r="2496" spans="1:4" hidden="1" x14ac:dyDescent="0.3">
      <c r="A2496" t="s">
        <v>328</v>
      </c>
      <c r="B2496" t="s">
        <v>20</v>
      </c>
      <c r="C2496" s="1">
        <f>HYPERLINK("https://cao.dolgi.msk.ru/account/1011348728/", 1011348728)</f>
        <v>1011348728</v>
      </c>
      <c r="D2496">
        <v>0</v>
      </c>
    </row>
    <row r="2497" spans="1:4" x14ac:dyDescent="0.3">
      <c r="A2497" t="s">
        <v>328</v>
      </c>
      <c r="B2497" t="s">
        <v>21</v>
      </c>
      <c r="C2497" s="1">
        <f>HYPERLINK("https://cao.dolgi.msk.ru/account/1011348859/", 1011348859)</f>
        <v>1011348859</v>
      </c>
      <c r="D2497">
        <v>123301.27</v>
      </c>
    </row>
    <row r="2498" spans="1:4" hidden="1" x14ac:dyDescent="0.3">
      <c r="A2498" t="s">
        <v>328</v>
      </c>
      <c r="B2498" t="s">
        <v>22</v>
      </c>
      <c r="C2498" s="1">
        <f>HYPERLINK("https://cao.dolgi.msk.ru/account/1011348605/", 1011348605)</f>
        <v>1011348605</v>
      </c>
      <c r="D2498">
        <v>0</v>
      </c>
    </row>
    <row r="2499" spans="1:4" hidden="1" x14ac:dyDescent="0.3">
      <c r="A2499" t="s">
        <v>328</v>
      </c>
      <c r="B2499" t="s">
        <v>24</v>
      </c>
      <c r="C2499" s="1">
        <f>HYPERLINK("https://cao.dolgi.msk.ru/account/1011348461/", 1011348461)</f>
        <v>1011348461</v>
      </c>
      <c r="D2499">
        <v>-8192.0300000000007</v>
      </c>
    </row>
    <row r="2500" spans="1:4" hidden="1" x14ac:dyDescent="0.3">
      <c r="A2500" t="s">
        <v>328</v>
      </c>
      <c r="B2500" t="s">
        <v>25</v>
      </c>
      <c r="C2500" s="1">
        <f>HYPERLINK("https://cao.dolgi.msk.ru/account/1011348592/", 1011348592)</f>
        <v>1011348592</v>
      </c>
      <c r="D2500">
        <v>0</v>
      </c>
    </row>
    <row r="2501" spans="1:4" hidden="1" x14ac:dyDescent="0.3">
      <c r="A2501" t="s">
        <v>328</v>
      </c>
      <c r="B2501" t="s">
        <v>26</v>
      </c>
      <c r="C2501" s="1">
        <f>HYPERLINK("https://cao.dolgi.msk.ru/account/1011348883/", 1011348883)</f>
        <v>1011348883</v>
      </c>
      <c r="D2501">
        <v>-8768.58</v>
      </c>
    </row>
    <row r="2502" spans="1:4" x14ac:dyDescent="0.3">
      <c r="A2502" t="s">
        <v>328</v>
      </c>
      <c r="B2502" t="s">
        <v>27</v>
      </c>
      <c r="C2502" s="1">
        <f>HYPERLINK("https://cao.dolgi.msk.ru/account/1011348824/", 1011348824)</f>
        <v>1011348824</v>
      </c>
      <c r="D2502">
        <v>4717.72</v>
      </c>
    </row>
    <row r="2503" spans="1:4" hidden="1" x14ac:dyDescent="0.3">
      <c r="A2503" t="s">
        <v>328</v>
      </c>
      <c r="B2503" t="s">
        <v>29</v>
      </c>
      <c r="C2503" s="1">
        <f>HYPERLINK("https://cao.dolgi.msk.ru/account/1011348437/", 1011348437)</f>
        <v>1011348437</v>
      </c>
      <c r="D2503">
        <v>-6067.53</v>
      </c>
    </row>
    <row r="2504" spans="1:4" hidden="1" x14ac:dyDescent="0.3">
      <c r="A2504" t="s">
        <v>328</v>
      </c>
      <c r="B2504" t="s">
        <v>38</v>
      </c>
      <c r="C2504" s="1">
        <f>HYPERLINK("https://cao.dolgi.msk.ru/account/1011348568/", 1011348568)</f>
        <v>1011348568</v>
      </c>
      <c r="D2504">
        <v>0</v>
      </c>
    </row>
    <row r="2505" spans="1:4" hidden="1" x14ac:dyDescent="0.3">
      <c r="A2505" t="s">
        <v>328</v>
      </c>
      <c r="B2505" t="s">
        <v>39</v>
      </c>
      <c r="C2505" s="1">
        <f>HYPERLINK("https://cao.dolgi.msk.ru/account/1011348349/", 1011348349)</f>
        <v>1011348349</v>
      </c>
      <c r="D2505">
        <v>0</v>
      </c>
    </row>
    <row r="2506" spans="1:4" hidden="1" x14ac:dyDescent="0.3">
      <c r="A2506" t="s">
        <v>328</v>
      </c>
      <c r="B2506" t="s">
        <v>40</v>
      </c>
      <c r="C2506" s="1">
        <f>HYPERLINK("https://cao.dolgi.msk.ru/account/1011348488/", 1011348488)</f>
        <v>1011348488</v>
      </c>
      <c r="D2506">
        <v>0</v>
      </c>
    </row>
    <row r="2507" spans="1:4" hidden="1" x14ac:dyDescent="0.3">
      <c r="A2507" t="s">
        <v>328</v>
      </c>
      <c r="B2507" t="s">
        <v>41</v>
      </c>
      <c r="C2507" s="1">
        <f>HYPERLINK("https://cao.dolgi.msk.ru/account/1011348664/", 1011348664)</f>
        <v>1011348664</v>
      </c>
      <c r="D2507">
        <v>0</v>
      </c>
    </row>
    <row r="2508" spans="1:4" hidden="1" x14ac:dyDescent="0.3">
      <c r="A2508" t="s">
        <v>328</v>
      </c>
      <c r="B2508" t="s">
        <v>51</v>
      </c>
      <c r="C2508" s="1">
        <f>HYPERLINK("https://cao.dolgi.msk.ru/account/1011348816/", 1011348816)</f>
        <v>1011348816</v>
      </c>
      <c r="D2508">
        <v>0</v>
      </c>
    </row>
    <row r="2509" spans="1:4" hidden="1" x14ac:dyDescent="0.3">
      <c r="A2509" t="s">
        <v>328</v>
      </c>
      <c r="B2509" t="s">
        <v>52</v>
      </c>
      <c r="C2509" s="1">
        <f>HYPERLINK("https://cao.dolgi.msk.ru/account/1011348373/", 1011348373)</f>
        <v>1011348373</v>
      </c>
      <c r="D2509">
        <v>-5905.24</v>
      </c>
    </row>
    <row r="2510" spans="1:4" hidden="1" x14ac:dyDescent="0.3">
      <c r="A2510" t="s">
        <v>328</v>
      </c>
      <c r="B2510" t="s">
        <v>53</v>
      </c>
      <c r="C2510" s="1">
        <f>HYPERLINK("https://cao.dolgi.msk.ru/account/1011348306/", 1011348306)</f>
        <v>1011348306</v>
      </c>
      <c r="D2510">
        <v>0</v>
      </c>
    </row>
    <row r="2511" spans="1:4" hidden="1" x14ac:dyDescent="0.3">
      <c r="A2511" t="s">
        <v>328</v>
      </c>
      <c r="B2511" t="s">
        <v>54</v>
      </c>
      <c r="C2511" s="1">
        <f>HYPERLINK("https://cao.dolgi.msk.ru/account/1011515581/", 1011515581)</f>
        <v>1011515581</v>
      </c>
      <c r="D2511">
        <v>-909.3</v>
      </c>
    </row>
    <row r="2512" spans="1:4" hidden="1" x14ac:dyDescent="0.3">
      <c r="A2512" t="s">
        <v>328</v>
      </c>
      <c r="B2512" t="s">
        <v>55</v>
      </c>
      <c r="C2512" s="1">
        <f>HYPERLINK("https://cao.dolgi.msk.ru/account/1011348832/", 1011348832)</f>
        <v>1011348832</v>
      </c>
      <c r="D2512">
        <v>0</v>
      </c>
    </row>
    <row r="2513" spans="1:4" hidden="1" x14ac:dyDescent="0.3">
      <c r="A2513" t="s">
        <v>328</v>
      </c>
      <c r="B2513" t="s">
        <v>56</v>
      </c>
      <c r="C2513" s="1">
        <f>HYPERLINK("https://cao.dolgi.msk.ru/account/1011348584/", 1011348584)</f>
        <v>1011348584</v>
      </c>
      <c r="D2513">
        <v>-5191.68</v>
      </c>
    </row>
    <row r="2514" spans="1:4" x14ac:dyDescent="0.3">
      <c r="A2514" t="s">
        <v>328</v>
      </c>
      <c r="B2514" t="s">
        <v>87</v>
      </c>
      <c r="C2514" s="1">
        <f>HYPERLINK("https://cao.dolgi.msk.ru/account/1011348779/", 1011348779)</f>
        <v>1011348779</v>
      </c>
      <c r="D2514">
        <v>6482.07</v>
      </c>
    </row>
    <row r="2515" spans="1:4" hidden="1" x14ac:dyDescent="0.3">
      <c r="A2515" t="s">
        <v>328</v>
      </c>
      <c r="B2515" t="s">
        <v>88</v>
      </c>
      <c r="C2515" s="1">
        <f>HYPERLINK("https://cao.dolgi.msk.ru/account/1011348496/", 1011348496)</f>
        <v>1011348496</v>
      </c>
      <c r="D2515">
        <v>-464.12</v>
      </c>
    </row>
    <row r="2516" spans="1:4" hidden="1" x14ac:dyDescent="0.3">
      <c r="A2516" t="s">
        <v>328</v>
      </c>
      <c r="B2516" t="s">
        <v>89</v>
      </c>
      <c r="C2516" s="1">
        <f>HYPERLINK("https://cao.dolgi.msk.ru/account/1011348357/", 1011348357)</f>
        <v>1011348357</v>
      </c>
      <c r="D2516">
        <v>-2885.84</v>
      </c>
    </row>
    <row r="2517" spans="1:4" hidden="1" x14ac:dyDescent="0.3">
      <c r="A2517" t="s">
        <v>328</v>
      </c>
      <c r="B2517" t="s">
        <v>89</v>
      </c>
      <c r="C2517" s="1">
        <f>HYPERLINK("https://cao.dolgi.msk.ru/account/1011348736/", 1011348736)</f>
        <v>1011348736</v>
      </c>
      <c r="D2517">
        <v>-4544.7299999999996</v>
      </c>
    </row>
    <row r="2518" spans="1:4" hidden="1" x14ac:dyDescent="0.3">
      <c r="A2518" t="s">
        <v>328</v>
      </c>
      <c r="B2518" t="s">
        <v>90</v>
      </c>
      <c r="C2518" s="1">
        <f>HYPERLINK("https://cao.dolgi.msk.ru/account/1011348576/", 1011348576)</f>
        <v>1011348576</v>
      </c>
      <c r="D2518">
        <v>0</v>
      </c>
    </row>
    <row r="2519" spans="1:4" hidden="1" x14ac:dyDescent="0.3">
      <c r="A2519" t="s">
        <v>328</v>
      </c>
      <c r="B2519" t="s">
        <v>96</v>
      </c>
      <c r="C2519" s="1">
        <f>HYPERLINK("https://cao.dolgi.msk.ru/account/1011348867/", 1011348867)</f>
        <v>1011348867</v>
      </c>
      <c r="D2519">
        <v>0</v>
      </c>
    </row>
    <row r="2520" spans="1:4" hidden="1" x14ac:dyDescent="0.3">
      <c r="A2520" t="s">
        <v>328</v>
      </c>
      <c r="B2520" t="s">
        <v>97</v>
      </c>
      <c r="C2520" s="1">
        <f>HYPERLINK("https://cao.dolgi.msk.ru/account/1011348672/", 1011348672)</f>
        <v>1011348672</v>
      </c>
      <c r="D2520">
        <v>-20943.61</v>
      </c>
    </row>
    <row r="2521" spans="1:4" hidden="1" x14ac:dyDescent="0.3">
      <c r="A2521" t="s">
        <v>328</v>
      </c>
      <c r="B2521" t="s">
        <v>98</v>
      </c>
      <c r="C2521" s="1">
        <f>HYPERLINK("https://cao.dolgi.msk.ru/account/1011348381/", 1011348381)</f>
        <v>1011348381</v>
      </c>
      <c r="D2521">
        <v>-8058.71</v>
      </c>
    </row>
    <row r="2522" spans="1:4" x14ac:dyDescent="0.3">
      <c r="A2522" t="s">
        <v>328</v>
      </c>
      <c r="B2522" t="s">
        <v>58</v>
      </c>
      <c r="C2522" s="1">
        <f>HYPERLINK("https://cao.dolgi.msk.ru/account/1011348365/", 1011348365)</f>
        <v>1011348365</v>
      </c>
      <c r="D2522">
        <v>31616.5</v>
      </c>
    </row>
    <row r="2523" spans="1:4" x14ac:dyDescent="0.3">
      <c r="A2523" t="s">
        <v>328</v>
      </c>
      <c r="B2523" t="s">
        <v>59</v>
      </c>
      <c r="C2523" s="1">
        <f>HYPERLINK("https://cao.dolgi.msk.ru/account/1011348445/", 1011348445)</f>
        <v>1011348445</v>
      </c>
      <c r="D2523">
        <v>21550.04</v>
      </c>
    </row>
    <row r="2524" spans="1:4" hidden="1" x14ac:dyDescent="0.3">
      <c r="A2524" t="s">
        <v>328</v>
      </c>
      <c r="B2524" t="s">
        <v>60</v>
      </c>
      <c r="C2524" s="1">
        <f>HYPERLINK("https://cao.dolgi.msk.ru/account/1011348517/", 1011348517)</f>
        <v>1011348517</v>
      </c>
      <c r="D2524">
        <v>0</v>
      </c>
    </row>
    <row r="2525" spans="1:4" hidden="1" x14ac:dyDescent="0.3">
      <c r="A2525" t="s">
        <v>328</v>
      </c>
      <c r="B2525" t="s">
        <v>61</v>
      </c>
      <c r="C2525" s="1">
        <f>HYPERLINK("https://cao.dolgi.msk.ru/account/1011348402/", 1011348402)</f>
        <v>1011348402</v>
      </c>
      <c r="D2525">
        <v>0</v>
      </c>
    </row>
    <row r="2526" spans="1:4" hidden="1" x14ac:dyDescent="0.3">
      <c r="A2526" t="s">
        <v>328</v>
      </c>
      <c r="B2526" t="s">
        <v>62</v>
      </c>
      <c r="C2526" s="1">
        <f>HYPERLINK("https://cao.dolgi.msk.ru/account/1011348322/", 1011348322)</f>
        <v>1011348322</v>
      </c>
      <c r="D2526">
        <v>0</v>
      </c>
    </row>
    <row r="2527" spans="1:4" hidden="1" x14ac:dyDescent="0.3">
      <c r="A2527" t="s">
        <v>329</v>
      </c>
      <c r="B2527" t="s">
        <v>6</v>
      </c>
      <c r="C2527" s="1">
        <f>HYPERLINK("https://cao.dolgi.msk.ru/account/1011326211/", 1011326211)</f>
        <v>1011326211</v>
      </c>
      <c r="D2527">
        <v>0</v>
      </c>
    </row>
    <row r="2528" spans="1:4" hidden="1" x14ac:dyDescent="0.3">
      <c r="A2528" t="s">
        <v>329</v>
      </c>
      <c r="B2528" t="s">
        <v>35</v>
      </c>
      <c r="C2528" s="1">
        <f>HYPERLINK("https://cao.dolgi.msk.ru/account/1011326502/", 1011326502)</f>
        <v>1011326502</v>
      </c>
      <c r="D2528">
        <v>-6631.36</v>
      </c>
    </row>
    <row r="2529" spans="1:4" hidden="1" x14ac:dyDescent="0.3">
      <c r="A2529" t="s">
        <v>329</v>
      </c>
      <c r="B2529" t="s">
        <v>5</v>
      </c>
      <c r="C2529" s="1">
        <f>HYPERLINK("https://cao.dolgi.msk.ru/account/1011326609/", 1011326609)</f>
        <v>1011326609</v>
      </c>
      <c r="D2529">
        <v>0</v>
      </c>
    </row>
    <row r="2530" spans="1:4" hidden="1" x14ac:dyDescent="0.3">
      <c r="A2530" t="s">
        <v>329</v>
      </c>
      <c r="B2530" t="s">
        <v>7</v>
      </c>
      <c r="C2530" s="1">
        <f>HYPERLINK("https://cao.dolgi.msk.ru/account/1011326182/", 1011326182)</f>
        <v>1011326182</v>
      </c>
      <c r="D2530">
        <v>-4309.68</v>
      </c>
    </row>
    <row r="2531" spans="1:4" hidden="1" x14ac:dyDescent="0.3">
      <c r="A2531" t="s">
        <v>329</v>
      </c>
      <c r="B2531" t="s">
        <v>8</v>
      </c>
      <c r="C2531" s="1">
        <f>HYPERLINK("https://cao.dolgi.msk.ru/account/1011326203/", 1011326203)</f>
        <v>1011326203</v>
      </c>
      <c r="D2531">
        <v>-3001.1</v>
      </c>
    </row>
    <row r="2532" spans="1:4" x14ac:dyDescent="0.3">
      <c r="A2532" t="s">
        <v>329</v>
      </c>
      <c r="B2532" t="s">
        <v>8</v>
      </c>
      <c r="C2532" s="1">
        <f>HYPERLINK("https://cao.dolgi.msk.ru/account/1011326537/", 1011326537)</f>
        <v>1011326537</v>
      </c>
      <c r="D2532">
        <v>17531.87</v>
      </c>
    </row>
    <row r="2533" spans="1:4" hidden="1" x14ac:dyDescent="0.3">
      <c r="A2533" t="s">
        <v>329</v>
      </c>
      <c r="B2533" t="s">
        <v>31</v>
      </c>
      <c r="C2533" s="1">
        <f>HYPERLINK("https://cao.dolgi.msk.ru/account/1011326529/", 1011326529)</f>
        <v>1011326529</v>
      </c>
      <c r="D2533">
        <v>0</v>
      </c>
    </row>
    <row r="2534" spans="1:4" hidden="1" x14ac:dyDescent="0.3">
      <c r="A2534" t="s">
        <v>329</v>
      </c>
      <c r="B2534" t="s">
        <v>9</v>
      </c>
      <c r="C2534" s="1">
        <f>HYPERLINK("https://cao.dolgi.msk.ru/account/1011326449/", 1011326449)</f>
        <v>1011326449</v>
      </c>
      <c r="D2534">
        <v>-6698.88</v>
      </c>
    </row>
    <row r="2535" spans="1:4" hidden="1" x14ac:dyDescent="0.3">
      <c r="A2535" t="s">
        <v>329</v>
      </c>
      <c r="B2535" t="s">
        <v>10</v>
      </c>
      <c r="C2535" s="1">
        <f>HYPERLINK("https://cao.dolgi.msk.ru/account/1011326262/", 1011326262)</f>
        <v>1011326262</v>
      </c>
      <c r="D2535">
        <v>0</v>
      </c>
    </row>
    <row r="2536" spans="1:4" hidden="1" x14ac:dyDescent="0.3">
      <c r="A2536" t="s">
        <v>329</v>
      </c>
      <c r="B2536" t="s">
        <v>10</v>
      </c>
      <c r="C2536" s="1">
        <f>HYPERLINK("https://cao.dolgi.msk.ru/account/1011326297/", 1011326297)</f>
        <v>1011326297</v>
      </c>
      <c r="D2536">
        <v>-134.30000000000001</v>
      </c>
    </row>
    <row r="2537" spans="1:4" hidden="1" x14ac:dyDescent="0.3">
      <c r="A2537" t="s">
        <v>329</v>
      </c>
      <c r="B2537" t="s">
        <v>11</v>
      </c>
      <c r="C2537" s="1">
        <f>HYPERLINK("https://cao.dolgi.msk.ru/account/1011326625/", 1011326625)</f>
        <v>1011326625</v>
      </c>
      <c r="D2537">
        <v>0</v>
      </c>
    </row>
    <row r="2538" spans="1:4" hidden="1" x14ac:dyDescent="0.3">
      <c r="A2538" t="s">
        <v>329</v>
      </c>
      <c r="B2538" t="s">
        <v>12</v>
      </c>
      <c r="C2538" s="1">
        <f>HYPERLINK("https://cao.dolgi.msk.ru/account/1011326289/", 1011326289)</f>
        <v>1011326289</v>
      </c>
      <c r="D2538">
        <v>-490.83</v>
      </c>
    </row>
    <row r="2539" spans="1:4" hidden="1" x14ac:dyDescent="0.3">
      <c r="A2539" t="s">
        <v>329</v>
      </c>
      <c r="B2539" t="s">
        <v>23</v>
      </c>
      <c r="C2539" s="1">
        <f>HYPERLINK("https://cao.dolgi.msk.ru/account/1011326545/", 1011326545)</f>
        <v>1011326545</v>
      </c>
      <c r="D2539">
        <v>-64.92</v>
      </c>
    </row>
    <row r="2540" spans="1:4" hidden="1" x14ac:dyDescent="0.3">
      <c r="A2540" t="s">
        <v>329</v>
      </c>
      <c r="B2540" t="s">
        <v>13</v>
      </c>
      <c r="C2540" s="1">
        <f>HYPERLINK("https://cao.dolgi.msk.ru/account/1011326414/", 1011326414)</f>
        <v>1011326414</v>
      </c>
      <c r="D2540">
        <v>-243.36</v>
      </c>
    </row>
    <row r="2541" spans="1:4" x14ac:dyDescent="0.3">
      <c r="A2541" t="s">
        <v>329</v>
      </c>
      <c r="B2541" t="s">
        <v>14</v>
      </c>
      <c r="C2541" s="1">
        <f>HYPERLINK("https://cao.dolgi.msk.ru/account/1011326342/", 1011326342)</f>
        <v>1011326342</v>
      </c>
      <c r="D2541">
        <v>11569.27</v>
      </c>
    </row>
    <row r="2542" spans="1:4" hidden="1" x14ac:dyDescent="0.3">
      <c r="A2542" t="s">
        <v>329</v>
      </c>
      <c r="B2542" t="s">
        <v>16</v>
      </c>
      <c r="C2542" s="1">
        <f>HYPERLINK("https://cao.dolgi.msk.ru/account/1011326588/", 1011326588)</f>
        <v>1011326588</v>
      </c>
      <c r="D2542">
        <v>0</v>
      </c>
    </row>
    <row r="2543" spans="1:4" hidden="1" x14ac:dyDescent="0.3">
      <c r="A2543" t="s">
        <v>329</v>
      </c>
      <c r="B2543" t="s">
        <v>17</v>
      </c>
      <c r="C2543" s="1">
        <f>HYPERLINK("https://cao.dolgi.msk.ru/account/1011326633/", 1011326633)</f>
        <v>1011326633</v>
      </c>
      <c r="D2543">
        <v>-6235.66</v>
      </c>
    </row>
    <row r="2544" spans="1:4" hidden="1" x14ac:dyDescent="0.3">
      <c r="A2544" t="s">
        <v>329</v>
      </c>
      <c r="B2544" t="s">
        <v>18</v>
      </c>
      <c r="C2544" s="1">
        <f>HYPERLINK("https://cao.dolgi.msk.ru/account/1011326174/", 1011326174)</f>
        <v>1011326174</v>
      </c>
      <c r="D2544">
        <v>0</v>
      </c>
    </row>
    <row r="2545" spans="1:4" hidden="1" x14ac:dyDescent="0.3">
      <c r="A2545" t="s">
        <v>329</v>
      </c>
      <c r="B2545" t="s">
        <v>19</v>
      </c>
      <c r="C2545" s="1">
        <f>HYPERLINK("https://cao.dolgi.msk.ru/account/1011326553/", 1011326553)</f>
        <v>1011326553</v>
      </c>
      <c r="D2545">
        <v>0</v>
      </c>
    </row>
    <row r="2546" spans="1:4" hidden="1" x14ac:dyDescent="0.3">
      <c r="A2546" t="s">
        <v>329</v>
      </c>
      <c r="B2546" t="s">
        <v>21</v>
      </c>
      <c r="C2546" s="1">
        <f>HYPERLINK("https://cao.dolgi.msk.ru/account/1011326473/", 1011326473)</f>
        <v>1011326473</v>
      </c>
      <c r="D2546">
        <v>0</v>
      </c>
    </row>
    <row r="2547" spans="1:4" hidden="1" x14ac:dyDescent="0.3">
      <c r="A2547" t="s">
        <v>329</v>
      </c>
      <c r="B2547" t="s">
        <v>22</v>
      </c>
      <c r="C2547" s="1">
        <f>HYPERLINK("https://cao.dolgi.msk.ru/account/1011326596/", 1011326596)</f>
        <v>1011326596</v>
      </c>
      <c r="D2547">
        <v>0</v>
      </c>
    </row>
    <row r="2548" spans="1:4" hidden="1" x14ac:dyDescent="0.3">
      <c r="A2548" t="s">
        <v>329</v>
      </c>
      <c r="B2548" t="s">
        <v>24</v>
      </c>
      <c r="C2548" s="1">
        <f>HYPERLINK("https://cao.dolgi.msk.ru/account/1011326481/", 1011326481)</f>
        <v>1011326481</v>
      </c>
      <c r="D2548">
        <v>0</v>
      </c>
    </row>
    <row r="2549" spans="1:4" hidden="1" x14ac:dyDescent="0.3">
      <c r="A2549" t="s">
        <v>329</v>
      </c>
      <c r="B2549" t="s">
        <v>25</v>
      </c>
      <c r="C2549" s="1">
        <f>HYPERLINK("https://cao.dolgi.msk.ru/account/1011326246/", 1011326246)</f>
        <v>1011326246</v>
      </c>
      <c r="D2549">
        <v>-43283.87</v>
      </c>
    </row>
    <row r="2550" spans="1:4" hidden="1" x14ac:dyDescent="0.3">
      <c r="A2550" t="s">
        <v>329</v>
      </c>
      <c r="B2550" t="s">
        <v>26</v>
      </c>
      <c r="C2550" s="1">
        <f>HYPERLINK("https://cao.dolgi.msk.ru/account/1011326131/", 1011326131)</f>
        <v>1011326131</v>
      </c>
      <c r="D2550">
        <v>0</v>
      </c>
    </row>
    <row r="2551" spans="1:4" hidden="1" x14ac:dyDescent="0.3">
      <c r="A2551" t="s">
        <v>329</v>
      </c>
      <c r="B2551" t="s">
        <v>27</v>
      </c>
      <c r="C2551" s="1">
        <f>HYPERLINK("https://cao.dolgi.msk.ru/account/1011326369/", 1011326369)</f>
        <v>1011326369</v>
      </c>
      <c r="D2551">
        <v>0</v>
      </c>
    </row>
    <row r="2552" spans="1:4" hidden="1" x14ac:dyDescent="0.3">
      <c r="A2552" t="s">
        <v>329</v>
      </c>
      <c r="B2552" t="s">
        <v>29</v>
      </c>
      <c r="C2552" s="1">
        <f>HYPERLINK("https://cao.dolgi.msk.ru/account/1011326318/", 1011326318)</f>
        <v>1011326318</v>
      </c>
      <c r="D2552">
        <v>-6647.38</v>
      </c>
    </row>
    <row r="2553" spans="1:4" x14ac:dyDescent="0.3">
      <c r="A2553" t="s">
        <v>329</v>
      </c>
      <c r="B2553" t="s">
        <v>38</v>
      </c>
      <c r="C2553" s="1">
        <f>HYPERLINK("https://cao.dolgi.msk.ru/account/1011326385/", 1011326385)</f>
        <v>1011326385</v>
      </c>
      <c r="D2553">
        <v>7338.21</v>
      </c>
    </row>
    <row r="2554" spans="1:4" hidden="1" x14ac:dyDescent="0.3">
      <c r="A2554" t="s">
        <v>329</v>
      </c>
      <c r="B2554" t="s">
        <v>39</v>
      </c>
      <c r="C2554" s="1">
        <f>HYPERLINK("https://cao.dolgi.msk.ru/account/1011326166/", 1011326166)</f>
        <v>1011326166</v>
      </c>
      <c r="D2554">
        <v>0</v>
      </c>
    </row>
    <row r="2555" spans="1:4" hidden="1" x14ac:dyDescent="0.3">
      <c r="A2555" t="s">
        <v>329</v>
      </c>
      <c r="B2555" t="s">
        <v>40</v>
      </c>
      <c r="C2555" s="1">
        <f>HYPERLINK("https://cao.dolgi.msk.ru/account/1011326465/", 1011326465)</f>
        <v>1011326465</v>
      </c>
      <c r="D2555">
        <v>-175.18</v>
      </c>
    </row>
    <row r="2556" spans="1:4" hidden="1" x14ac:dyDescent="0.3">
      <c r="A2556" t="s">
        <v>329</v>
      </c>
      <c r="B2556" t="s">
        <v>41</v>
      </c>
      <c r="C2556" s="1">
        <f>HYPERLINK("https://cao.dolgi.msk.ru/account/1011326377/", 1011326377)</f>
        <v>1011326377</v>
      </c>
      <c r="D2556">
        <v>0</v>
      </c>
    </row>
    <row r="2557" spans="1:4" hidden="1" x14ac:dyDescent="0.3">
      <c r="A2557" t="s">
        <v>329</v>
      </c>
      <c r="B2557" t="s">
        <v>51</v>
      </c>
      <c r="C2557" s="1">
        <f>HYPERLINK("https://cao.dolgi.msk.ru/account/1011326422/", 1011326422)</f>
        <v>1011326422</v>
      </c>
      <c r="D2557">
        <v>0</v>
      </c>
    </row>
    <row r="2558" spans="1:4" x14ac:dyDescent="0.3">
      <c r="A2558" t="s">
        <v>329</v>
      </c>
      <c r="B2558" t="s">
        <v>52</v>
      </c>
      <c r="C2558" s="1">
        <f>HYPERLINK("https://cao.dolgi.msk.ru/account/1011326123/", 1011326123)</f>
        <v>1011326123</v>
      </c>
      <c r="D2558">
        <v>4897.05</v>
      </c>
    </row>
    <row r="2559" spans="1:4" hidden="1" x14ac:dyDescent="0.3">
      <c r="A2559" t="s">
        <v>329</v>
      </c>
      <c r="B2559" t="s">
        <v>53</v>
      </c>
      <c r="C2559" s="1">
        <f>HYPERLINK("https://cao.dolgi.msk.ru/account/1011326457/", 1011326457)</f>
        <v>1011326457</v>
      </c>
      <c r="D2559">
        <v>-7142.25</v>
      </c>
    </row>
    <row r="2560" spans="1:4" hidden="1" x14ac:dyDescent="0.3">
      <c r="A2560" t="s">
        <v>329</v>
      </c>
      <c r="B2560" t="s">
        <v>54</v>
      </c>
      <c r="C2560" s="1">
        <f>HYPERLINK("https://cao.dolgi.msk.ru/account/1011326393/", 1011326393)</f>
        <v>1011326393</v>
      </c>
      <c r="D2560">
        <v>-8472.1200000000008</v>
      </c>
    </row>
    <row r="2561" spans="1:4" hidden="1" x14ac:dyDescent="0.3">
      <c r="A2561" t="s">
        <v>329</v>
      </c>
      <c r="B2561" t="s">
        <v>55</v>
      </c>
      <c r="C2561" s="1">
        <f>HYPERLINK("https://cao.dolgi.msk.ru/account/1011326254/", 1011326254)</f>
        <v>1011326254</v>
      </c>
      <c r="D2561">
        <v>0</v>
      </c>
    </row>
    <row r="2562" spans="1:4" hidden="1" x14ac:dyDescent="0.3">
      <c r="A2562" t="s">
        <v>329</v>
      </c>
      <c r="B2562" t="s">
        <v>56</v>
      </c>
      <c r="C2562" s="1">
        <f>HYPERLINK("https://cao.dolgi.msk.ru/account/1011326326/", 1011326326)</f>
        <v>1011326326</v>
      </c>
      <c r="D2562">
        <v>0</v>
      </c>
    </row>
    <row r="2563" spans="1:4" hidden="1" x14ac:dyDescent="0.3">
      <c r="A2563" t="s">
        <v>329</v>
      </c>
      <c r="B2563" t="s">
        <v>87</v>
      </c>
      <c r="C2563" s="1">
        <f>HYPERLINK("https://cao.dolgi.msk.ru/account/1011326641/", 1011326641)</f>
        <v>1011326641</v>
      </c>
      <c r="D2563">
        <v>0</v>
      </c>
    </row>
    <row r="2564" spans="1:4" hidden="1" x14ac:dyDescent="0.3">
      <c r="A2564" t="s">
        <v>329</v>
      </c>
      <c r="B2564" t="s">
        <v>88</v>
      </c>
      <c r="C2564" s="1">
        <f>HYPERLINK("https://cao.dolgi.msk.ru/account/1011326334/", 1011326334)</f>
        <v>1011326334</v>
      </c>
      <c r="D2564">
        <v>0</v>
      </c>
    </row>
    <row r="2565" spans="1:4" hidden="1" x14ac:dyDescent="0.3">
      <c r="A2565" t="s">
        <v>329</v>
      </c>
      <c r="B2565" t="s">
        <v>89</v>
      </c>
      <c r="C2565" s="1">
        <f>HYPERLINK("https://cao.dolgi.msk.ru/account/1011326406/", 1011326406)</f>
        <v>1011326406</v>
      </c>
      <c r="D2565">
        <v>0</v>
      </c>
    </row>
    <row r="2566" spans="1:4" hidden="1" x14ac:dyDescent="0.3">
      <c r="A2566" t="s">
        <v>329</v>
      </c>
      <c r="B2566" t="s">
        <v>89</v>
      </c>
      <c r="C2566" s="1">
        <f>HYPERLINK("https://cao.dolgi.msk.ru/account/1011326561/", 1011326561)</f>
        <v>1011326561</v>
      </c>
      <c r="D2566">
        <v>-164.09</v>
      </c>
    </row>
    <row r="2567" spans="1:4" hidden="1" x14ac:dyDescent="0.3">
      <c r="A2567" t="s">
        <v>329</v>
      </c>
      <c r="B2567" t="s">
        <v>89</v>
      </c>
      <c r="C2567" s="1">
        <f>HYPERLINK("https://cao.dolgi.msk.ru/account/1011326617/", 1011326617)</f>
        <v>1011326617</v>
      </c>
      <c r="D2567">
        <v>0</v>
      </c>
    </row>
    <row r="2568" spans="1:4" hidden="1" x14ac:dyDescent="0.3">
      <c r="A2568" t="s">
        <v>329</v>
      </c>
      <c r="B2568" t="s">
        <v>90</v>
      </c>
      <c r="C2568" s="1">
        <f>HYPERLINK("https://cao.dolgi.msk.ru/account/1011326668/", 1011326668)</f>
        <v>1011326668</v>
      </c>
      <c r="D2568">
        <v>-5092.08</v>
      </c>
    </row>
    <row r="2569" spans="1:4" hidden="1" x14ac:dyDescent="0.3">
      <c r="A2569" t="s">
        <v>329</v>
      </c>
      <c r="B2569" t="s">
        <v>96</v>
      </c>
      <c r="C2569" s="1">
        <f>HYPERLINK("https://cao.dolgi.msk.ru/account/1011326238/", 1011326238)</f>
        <v>1011326238</v>
      </c>
      <c r="D2569">
        <v>0</v>
      </c>
    </row>
    <row r="2570" spans="1:4" hidden="1" x14ac:dyDescent="0.3">
      <c r="A2570" t="s">
        <v>329</v>
      </c>
      <c r="B2570" t="s">
        <v>97</v>
      </c>
      <c r="C2570" s="1">
        <f>HYPERLINK("https://cao.dolgi.msk.ru/account/1011326158/", 1011326158)</f>
        <v>1011326158</v>
      </c>
      <c r="D2570">
        <v>0</v>
      </c>
    </row>
    <row r="2571" spans="1:4" hidden="1" x14ac:dyDescent="0.3">
      <c r="A2571" t="s">
        <v>330</v>
      </c>
      <c r="B2571" t="s">
        <v>6</v>
      </c>
      <c r="C2571" s="1">
        <f>HYPERLINK("https://cao.dolgi.msk.ru/account/1011469909/", 1011469909)</f>
        <v>1011469909</v>
      </c>
      <c r="D2571">
        <v>-1324.25</v>
      </c>
    </row>
    <row r="2572" spans="1:4" hidden="1" x14ac:dyDescent="0.3">
      <c r="A2572" t="s">
        <v>330</v>
      </c>
      <c r="B2572" t="s">
        <v>28</v>
      </c>
      <c r="C2572" s="1">
        <f>HYPERLINK("https://cao.dolgi.msk.ru/account/1011469917/", 1011469917)</f>
        <v>1011469917</v>
      </c>
      <c r="D2572">
        <v>0</v>
      </c>
    </row>
    <row r="2573" spans="1:4" hidden="1" x14ac:dyDescent="0.3">
      <c r="A2573" t="s">
        <v>330</v>
      </c>
      <c r="B2573" t="s">
        <v>35</v>
      </c>
      <c r="C2573" s="1">
        <f>HYPERLINK("https://cao.dolgi.msk.ru/account/1011470897/", 1011470897)</f>
        <v>1011470897</v>
      </c>
      <c r="D2573">
        <v>-4096.0200000000004</v>
      </c>
    </row>
    <row r="2574" spans="1:4" hidden="1" x14ac:dyDescent="0.3">
      <c r="A2574" t="s">
        <v>330</v>
      </c>
      <c r="B2574" t="s">
        <v>35</v>
      </c>
      <c r="C2574" s="1">
        <f>HYPERLINK("https://cao.dolgi.msk.ru/account/1011470918/", 1011470918)</f>
        <v>1011470918</v>
      </c>
      <c r="D2574">
        <v>0</v>
      </c>
    </row>
    <row r="2575" spans="1:4" hidden="1" x14ac:dyDescent="0.3">
      <c r="A2575" t="s">
        <v>330</v>
      </c>
      <c r="B2575" t="s">
        <v>5</v>
      </c>
      <c r="C2575" s="1">
        <f>HYPERLINK("https://cao.dolgi.msk.ru/account/1011470643/", 1011470643)</f>
        <v>1011470643</v>
      </c>
      <c r="D2575">
        <v>-6603.76</v>
      </c>
    </row>
    <row r="2576" spans="1:4" hidden="1" x14ac:dyDescent="0.3">
      <c r="A2576" t="s">
        <v>330</v>
      </c>
      <c r="B2576" t="s">
        <v>7</v>
      </c>
      <c r="C2576" s="1">
        <f>HYPERLINK("https://cao.dolgi.msk.ru/account/1011470926/", 1011470926)</f>
        <v>1011470926</v>
      </c>
      <c r="D2576">
        <v>0</v>
      </c>
    </row>
    <row r="2577" spans="1:4" x14ac:dyDescent="0.3">
      <c r="A2577" t="s">
        <v>330</v>
      </c>
      <c r="B2577" t="s">
        <v>8</v>
      </c>
      <c r="C2577" s="1">
        <f>HYPERLINK("https://cao.dolgi.msk.ru/account/1011470096/", 1011470096)</f>
        <v>1011470096</v>
      </c>
      <c r="D2577">
        <v>9985.59</v>
      </c>
    </row>
    <row r="2578" spans="1:4" x14ac:dyDescent="0.3">
      <c r="A2578" t="s">
        <v>330</v>
      </c>
      <c r="B2578" t="s">
        <v>8</v>
      </c>
      <c r="C2578" s="1">
        <f>HYPERLINK("https://cao.dolgi.msk.ru/account/1011526619/", 1011526619)</f>
        <v>1011526619</v>
      </c>
      <c r="D2578">
        <v>3613.93</v>
      </c>
    </row>
    <row r="2579" spans="1:4" hidden="1" x14ac:dyDescent="0.3">
      <c r="A2579" t="s">
        <v>330</v>
      </c>
      <c r="B2579" t="s">
        <v>31</v>
      </c>
      <c r="C2579" s="1">
        <f>HYPERLINK("https://cao.dolgi.msk.ru/account/1011471435/", 1011471435)</f>
        <v>1011471435</v>
      </c>
      <c r="D2579">
        <v>-4973.16</v>
      </c>
    </row>
    <row r="2580" spans="1:4" hidden="1" x14ac:dyDescent="0.3">
      <c r="A2580" t="s">
        <v>330</v>
      </c>
      <c r="B2580" t="s">
        <v>9</v>
      </c>
      <c r="C2580" s="1">
        <f>HYPERLINK("https://cao.dolgi.msk.ru/account/1011470109/", 1011470109)</f>
        <v>1011470109</v>
      </c>
      <c r="D2580">
        <v>-11495.84</v>
      </c>
    </row>
    <row r="2581" spans="1:4" hidden="1" x14ac:dyDescent="0.3">
      <c r="A2581" t="s">
        <v>330</v>
      </c>
      <c r="B2581" t="s">
        <v>10</v>
      </c>
      <c r="C2581" s="1">
        <f>HYPERLINK("https://cao.dolgi.msk.ru/account/1011470651/", 1011470651)</f>
        <v>1011470651</v>
      </c>
      <c r="D2581">
        <v>-3253.95</v>
      </c>
    </row>
    <row r="2582" spans="1:4" hidden="1" x14ac:dyDescent="0.3">
      <c r="A2582" t="s">
        <v>330</v>
      </c>
      <c r="B2582" t="s">
        <v>11</v>
      </c>
      <c r="C2582" s="1">
        <f>HYPERLINK("https://cao.dolgi.msk.ru/account/1011471443/", 1011471443)</f>
        <v>1011471443</v>
      </c>
      <c r="D2582">
        <v>0</v>
      </c>
    </row>
    <row r="2583" spans="1:4" hidden="1" x14ac:dyDescent="0.3">
      <c r="A2583" t="s">
        <v>330</v>
      </c>
      <c r="B2583" t="s">
        <v>12</v>
      </c>
      <c r="C2583" s="1">
        <f>HYPERLINK("https://cao.dolgi.msk.ru/account/1011471451/", 1011471451)</f>
        <v>1011471451</v>
      </c>
      <c r="D2583">
        <v>-6813.82</v>
      </c>
    </row>
    <row r="2584" spans="1:4" hidden="1" x14ac:dyDescent="0.3">
      <c r="A2584" t="s">
        <v>330</v>
      </c>
      <c r="B2584" t="s">
        <v>23</v>
      </c>
      <c r="C2584" s="1">
        <f>HYPERLINK("https://cao.dolgi.msk.ru/account/1011469677/", 1011469677)</f>
        <v>1011469677</v>
      </c>
      <c r="D2584">
        <v>0</v>
      </c>
    </row>
    <row r="2585" spans="1:4" hidden="1" x14ac:dyDescent="0.3">
      <c r="A2585" t="s">
        <v>330</v>
      </c>
      <c r="B2585" t="s">
        <v>13</v>
      </c>
      <c r="C2585" s="1">
        <f>HYPERLINK("https://cao.dolgi.msk.ru/account/1011510465/", 1011510465)</f>
        <v>1011510465</v>
      </c>
      <c r="D2585">
        <v>0</v>
      </c>
    </row>
    <row r="2586" spans="1:4" x14ac:dyDescent="0.3">
      <c r="A2586" t="s">
        <v>330</v>
      </c>
      <c r="B2586" t="s">
        <v>14</v>
      </c>
      <c r="C2586" s="1">
        <f>HYPERLINK("https://cao.dolgi.msk.ru/account/1011471486/", 1011471486)</f>
        <v>1011471486</v>
      </c>
      <c r="D2586">
        <v>8065.28</v>
      </c>
    </row>
    <row r="2587" spans="1:4" x14ac:dyDescent="0.3">
      <c r="A2587" t="s">
        <v>330</v>
      </c>
      <c r="B2587" t="s">
        <v>16</v>
      </c>
      <c r="C2587" s="1">
        <f>HYPERLINK("https://cao.dolgi.msk.ru/account/1011470678/", 1011470678)</f>
        <v>1011470678</v>
      </c>
      <c r="D2587">
        <v>5306.83</v>
      </c>
    </row>
    <row r="2588" spans="1:4" hidden="1" x14ac:dyDescent="0.3">
      <c r="A2588" t="s">
        <v>330</v>
      </c>
      <c r="B2588" t="s">
        <v>17</v>
      </c>
      <c r="C2588" s="1">
        <f>HYPERLINK("https://cao.dolgi.msk.ru/account/1011469685/", 1011469685)</f>
        <v>1011469685</v>
      </c>
      <c r="D2588">
        <v>0</v>
      </c>
    </row>
    <row r="2589" spans="1:4" x14ac:dyDescent="0.3">
      <c r="A2589" t="s">
        <v>330</v>
      </c>
      <c r="B2589" t="s">
        <v>18</v>
      </c>
      <c r="C2589" s="1">
        <f>HYPERLINK("https://cao.dolgi.msk.ru/account/1011469888/", 1011469888)</f>
        <v>1011469888</v>
      </c>
      <c r="D2589">
        <v>3487.37</v>
      </c>
    </row>
    <row r="2590" spans="1:4" x14ac:dyDescent="0.3">
      <c r="A2590" t="s">
        <v>330</v>
      </c>
      <c r="B2590" t="s">
        <v>18</v>
      </c>
      <c r="C2590" s="1">
        <f>HYPERLINK("https://cao.dolgi.msk.ru/account/1011471494/", 1011471494)</f>
        <v>1011471494</v>
      </c>
      <c r="D2590">
        <v>3139.81</v>
      </c>
    </row>
    <row r="2591" spans="1:4" hidden="1" x14ac:dyDescent="0.3">
      <c r="A2591" t="s">
        <v>330</v>
      </c>
      <c r="B2591" t="s">
        <v>19</v>
      </c>
      <c r="C2591" s="1">
        <f>HYPERLINK("https://cao.dolgi.msk.ru/account/1011470686/", 1011470686)</f>
        <v>1011470686</v>
      </c>
      <c r="D2591">
        <v>-15964.59</v>
      </c>
    </row>
    <row r="2592" spans="1:4" hidden="1" x14ac:dyDescent="0.3">
      <c r="A2592" t="s">
        <v>330</v>
      </c>
      <c r="B2592" t="s">
        <v>20</v>
      </c>
      <c r="C2592" s="1">
        <f>HYPERLINK("https://cao.dolgi.msk.ru/account/1011470395/", 1011470395)</f>
        <v>1011470395</v>
      </c>
      <c r="D2592">
        <v>0</v>
      </c>
    </row>
    <row r="2593" spans="1:4" hidden="1" x14ac:dyDescent="0.3">
      <c r="A2593" t="s">
        <v>330</v>
      </c>
      <c r="B2593" t="s">
        <v>21</v>
      </c>
      <c r="C2593" s="1">
        <f>HYPERLINK("https://cao.dolgi.msk.ru/account/1011470934/", 1011470934)</f>
        <v>1011470934</v>
      </c>
      <c r="D2593">
        <v>-6010.32</v>
      </c>
    </row>
    <row r="2594" spans="1:4" hidden="1" x14ac:dyDescent="0.3">
      <c r="A2594" t="s">
        <v>330</v>
      </c>
      <c r="B2594" t="s">
        <v>22</v>
      </c>
      <c r="C2594" s="1">
        <f>HYPERLINK("https://cao.dolgi.msk.ru/account/1011470408/", 1011470408)</f>
        <v>1011470408</v>
      </c>
      <c r="D2594">
        <v>0</v>
      </c>
    </row>
    <row r="2595" spans="1:4" hidden="1" x14ac:dyDescent="0.3">
      <c r="A2595" t="s">
        <v>330</v>
      </c>
      <c r="B2595" t="s">
        <v>22</v>
      </c>
      <c r="C2595" s="1">
        <f>HYPERLINK("https://cao.dolgi.msk.ru/account/1011470694/", 1011470694)</f>
        <v>1011470694</v>
      </c>
      <c r="D2595">
        <v>-245</v>
      </c>
    </row>
    <row r="2596" spans="1:4" x14ac:dyDescent="0.3">
      <c r="A2596" t="s">
        <v>330</v>
      </c>
      <c r="B2596" t="s">
        <v>22</v>
      </c>
      <c r="C2596" s="1">
        <f>HYPERLINK("https://cao.dolgi.msk.ru/account/1011471208/", 1011471208)</f>
        <v>1011471208</v>
      </c>
      <c r="D2596">
        <v>517236.42</v>
      </c>
    </row>
    <row r="2597" spans="1:4" hidden="1" x14ac:dyDescent="0.3">
      <c r="A2597" t="s">
        <v>330</v>
      </c>
      <c r="B2597" t="s">
        <v>24</v>
      </c>
      <c r="C2597" s="1">
        <f>HYPERLINK("https://cao.dolgi.msk.ru/account/1011471216/", 1011471216)</f>
        <v>1011471216</v>
      </c>
      <c r="D2597">
        <v>-7775.56</v>
      </c>
    </row>
    <row r="2598" spans="1:4" hidden="1" x14ac:dyDescent="0.3">
      <c r="A2598" t="s">
        <v>330</v>
      </c>
      <c r="B2598" t="s">
        <v>25</v>
      </c>
      <c r="C2598" s="1">
        <f>HYPERLINK("https://cao.dolgi.msk.ru/account/1011470416/", 1011470416)</f>
        <v>1011470416</v>
      </c>
      <c r="D2598">
        <v>0</v>
      </c>
    </row>
    <row r="2599" spans="1:4" hidden="1" x14ac:dyDescent="0.3">
      <c r="A2599" t="s">
        <v>330</v>
      </c>
      <c r="B2599" t="s">
        <v>26</v>
      </c>
      <c r="C2599" s="1">
        <f>HYPERLINK("https://cao.dolgi.msk.ru/account/1011470889/", 1011470889)</f>
        <v>1011470889</v>
      </c>
      <c r="D2599">
        <v>0</v>
      </c>
    </row>
    <row r="2600" spans="1:4" hidden="1" x14ac:dyDescent="0.3">
      <c r="A2600" t="s">
        <v>330</v>
      </c>
      <c r="B2600" t="s">
        <v>27</v>
      </c>
      <c r="C2600" s="1">
        <f>HYPERLINK("https://cao.dolgi.msk.ru/account/1011470942/", 1011470942)</f>
        <v>1011470942</v>
      </c>
      <c r="D2600">
        <v>0</v>
      </c>
    </row>
    <row r="2601" spans="1:4" hidden="1" x14ac:dyDescent="0.3">
      <c r="A2601" t="s">
        <v>330</v>
      </c>
      <c r="B2601" t="s">
        <v>29</v>
      </c>
      <c r="C2601" s="1">
        <f>HYPERLINK("https://cao.dolgi.msk.ru/account/1011470117/", 1011470117)</f>
        <v>1011470117</v>
      </c>
      <c r="D2601">
        <v>-10316.93</v>
      </c>
    </row>
    <row r="2602" spans="1:4" hidden="1" x14ac:dyDescent="0.3">
      <c r="A2602" t="s">
        <v>330</v>
      </c>
      <c r="B2602" t="s">
        <v>38</v>
      </c>
      <c r="C2602" s="1">
        <f>HYPERLINK("https://cao.dolgi.msk.ru/account/1011470125/", 1011470125)</f>
        <v>1011470125</v>
      </c>
      <c r="D2602">
        <v>0</v>
      </c>
    </row>
    <row r="2603" spans="1:4" hidden="1" x14ac:dyDescent="0.3">
      <c r="A2603" t="s">
        <v>330</v>
      </c>
      <c r="B2603" t="s">
        <v>39</v>
      </c>
      <c r="C2603" s="1">
        <f>HYPERLINK("https://cao.dolgi.msk.ru/account/1011470133/", 1011470133)</f>
        <v>1011470133</v>
      </c>
      <c r="D2603">
        <v>-2119.48</v>
      </c>
    </row>
    <row r="2604" spans="1:4" hidden="1" x14ac:dyDescent="0.3">
      <c r="A2604" t="s">
        <v>330</v>
      </c>
      <c r="B2604" t="s">
        <v>40</v>
      </c>
      <c r="C2604" s="1">
        <f>HYPERLINK("https://cao.dolgi.msk.ru/account/1011470141/", 1011470141)</f>
        <v>1011470141</v>
      </c>
      <c r="D2604">
        <v>0</v>
      </c>
    </row>
    <row r="2605" spans="1:4" hidden="1" x14ac:dyDescent="0.3">
      <c r="A2605" t="s">
        <v>330</v>
      </c>
      <c r="B2605" t="s">
        <v>41</v>
      </c>
      <c r="C2605" s="1">
        <f>HYPERLINK("https://cao.dolgi.msk.ru/account/1011470627/", 1011470627)</f>
        <v>1011470627</v>
      </c>
      <c r="D2605">
        <v>0</v>
      </c>
    </row>
    <row r="2606" spans="1:4" hidden="1" x14ac:dyDescent="0.3">
      <c r="A2606" t="s">
        <v>330</v>
      </c>
      <c r="B2606" t="s">
        <v>51</v>
      </c>
      <c r="C2606" s="1">
        <f>HYPERLINK("https://cao.dolgi.msk.ru/account/1011469925/", 1011469925)</f>
        <v>1011469925</v>
      </c>
      <c r="D2606">
        <v>0</v>
      </c>
    </row>
    <row r="2607" spans="1:4" hidden="1" x14ac:dyDescent="0.3">
      <c r="A2607" t="s">
        <v>330</v>
      </c>
      <c r="B2607" t="s">
        <v>52</v>
      </c>
      <c r="C2607" s="1">
        <f>HYPERLINK("https://cao.dolgi.msk.ru/account/1011471507/", 1011471507)</f>
        <v>1011471507</v>
      </c>
      <c r="D2607">
        <v>-1711.77</v>
      </c>
    </row>
    <row r="2608" spans="1:4" hidden="1" x14ac:dyDescent="0.3">
      <c r="A2608" t="s">
        <v>330</v>
      </c>
      <c r="B2608" t="s">
        <v>53</v>
      </c>
      <c r="C2608" s="1">
        <f>HYPERLINK("https://cao.dolgi.msk.ru/account/1011470424/", 1011470424)</f>
        <v>1011470424</v>
      </c>
      <c r="D2608">
        <v>0</v>
      </c>
    </row>
    <row r="2609" spans="1:4" hidden="1" x14ac:dyDescent="0.3">
      <c r="A2609" t="s">
        <v>330</v>
      </c>
      <c r="B2609" t="s">
        <v>53</v>
      </c>
      <c r="C2609" s="1">
        <f>HYPERLINK("https://cao.dolgi.msk.ru/account/1011471144/", 1011471144)</f>
        <v>1011471144</v>
      </c>
      <c r="D2609">
        <v>0</v>
      </c>
    </row>
    <row r="2610" spans="1:4" hidden="1" x14ac:dyDescent="0.3">
      <c r="A2610" t="s">
        <v>330</v>
      </c>
      <c r="B2610" t="s">
        <v>54</v>
      </c>
      <c r="C2610" s="1">
        <f>HYPERLINK("https://cao.dolgi.msk.ru/account/1011469693/", 1011469693)</f>
        <v>1011469693</v>
      </c>
      <c r="D2610">
        <v>0</v>
      </c>
    </row>
    <row r="2611" spans="1:4" hidden="1" x14ac:dyDescent="0.3">
      <c r="A2611" t="s">
        <v>330</v>
      </c>
      <c r="B2611" t="s">
        <v>55</v>
      </c>
      <c r="C2611" s="1">
        <f>HYPERLINK("https://cao.dolgi.msk.ru/account/1011470707/", 1011470707)</f>
        <v>1011470707</v>
      </c>
      <c r="D2611">
        <v>0</v>
      </c>
    </row>
    <row r="2612" spans="1:4" hidden="1" x14ac:dyDescent="0.3">
      <c r="A2612" t="s">
        <v>330</v>
      </c>
      <c r="B2612" t="s">
        <v>56</v>
      </c>
      <c r="C2612" s="1">
        <f>HYPERLINK("https://cao.dolgi.msk.ru/account/1011470168/", 1011470168)</f>
        <v>1011470168</v>
      </c>
      <c r="D2612">
        <v>0</v>
      </c>
    </row>
    <row r="2613" spans="1:4" x14ac:dyDescent="0.3">
      <c r="A2613" t="s">
        <v>330</v>
      </c>
      <c r="B2613" t="s">
        <v>87</v>
      </c>
      <c r="C2613" s="1">
        <f>HYPERLINK("https://cao.dolgi.msk.ru/account/1011470176/", 1011470176)</f>
        <v>1011470176</v>
      </c>
      <c r="D2613">
        <v>14779.27</v>
      </c>
    </row>
    <row r="2614" spans="1:4" hidden="1" x14ac:dyDescent="0.3">
      <c r="A2614" t="s">
        <v>330</v>
      </c>
      <c r="B2614" t="s">
        <v>88</v>
      </c>
      <c r="C2614" s="1">
        <f>HYPERLINK("https://cao.dolgi.msk.ru/account/1011469706/", 1011469706)</f>
        <v>1011469706</v>
      </c>
      <c r="D2614">
        <v>-7118.98</v>
      </c>
    </row>
    <row r="2615" spans="1:4" hidden="1" x14ac:dyDescent="0.3">
      <c r="A2615" t="s">
        <v>330</v>
      </c>
      <c r="B2615" t="s">
        <v>89</v>
      </c>
      <c r="C2615" s="1">
        <f>HYPERLINK("https://cao.dolgi.msk.ru/account/1011470184/", 1011470184)</f>
        <v>1011470184</v>
      </c>
      <c r="D2615">
        <v>0</v>
      </c>
    </row>
    <row r="2616" spans="1:4" hidden="1" x14ac:dyDescent="0.3">
      <c r="A2616" t="s">
        <v>330</v>
      </c>
      <c r="B2616" t="s">
        <v>90</v>
      </c>
      <c r="C2616" s="1">
        <f>HYPERLINK("https://cao.dolgi.msk.ru/account/1011470969/", 1011470969)</f>
        <v>1011470969</v>
      </c>
      <c r="D2616">
        <v>0</v>
      </c>
    </row>
    <row r="2617" spans="1:4" hidden="1" x14ac:dyDescent="0.3">
      <c r="A2617" t="s">
        <v>330</v>
      </c>
      <c r="B2617" t="s">
        <v>96</v>
      </c>
      <c r="C2617" s="1">
        <f>HYPERLINK("https://cao.dolgi.msk.ru/account/1011471515/", 1011471515)</f>
        <v>1011471515</v>
      </c>
      <c r="D2617">
        <v>0</v>
      </c>
    </row>
    <row r="2618" spans="1:4" hidden="1" x14ac:dyDescent="0.3">
      <c r="A2618" t="s">
        <v>330</v>
      </c>
      <c r="B2618" t="s">
        <v>97</v>
      </c>
      <c r="C2618" s="1">
        <f>HYPERLINK("https://cao.dolgi.msk.ru/account/1011471224/", 1011471224)</f>
        <v>1011471224</v>
      </c>
      <c r="D2618">
        <v>-33.58</v>
      </c>
    </row>
    <row r="2619" spans="1:4" hidden="1" x14ac:dyDescent="0.3">
      <c r="A2619" t="s">
        <v>330</v>
      </c>
      <c r="B2619" t="s">
        <v>98</v>
      </c>
      <c r="C2619" s="1">
        <f>HYPERLINK("https://cao.dolgi.msk.ru/account/1011469714/", 1011469714)</f>
        <v>1011469714</v>
      </c>
      <c r="D2619">
        <v>0</v>
      </c>
    </row>
    <row r="2620" spans="1:4" hidden="1" x14ac:dyDescent="0.3">
      <c r="A2620" t="s">
        <v>330</v>
      </c>
      <c r="B2620" t="s">
        <v>58</v>
      </c>
      <c r="C2620" s="1">
        <f>HYPERLINK("https://cao.dolgi.msk.ru/account/1011469933/", 1011469933)</f>
        <v>1011469933</v>
      </c>
      <c r="D2620">
        <v>-167.9</v>
      </c>
    </row>
    <row r="2621" spans="1:4" x14ac:dyDescent="0.3">
      <c r="A2621" t="s">
        <v>330</v>
      </c>
      <c r="B2621" t="s">
        <v>58</v>
      </c>
      <c r="C2621" s="1">
        <f>HYPERLINK("https://cao.dolgi.msk.ru/account/1011470432/", 1011470432)</f>
        <v>1011470432</v>
      </c>
      <c r="D2621">
        <v>199587.61</v>
      </c>
    </row>
    <row r="2622" spans="1:4" hidden="1" x14ac:dyDescent="0.3">
      <c r="A2622" t="s">
        <v>330</v>
      </c>
      <c r="B2622" t="s">
        <v>59</v>
      </c>
      <c r="C2622" s="1">
        <f>HYPERLINK("https://cao.dolgi.msk.ru/account/1011470387/", 1011470387)</f>
        <v>1011470387</v>
      </c>
      <c r="D2622">
        <v>0</v>
      </c>
    </row>
    <row r="2623" spans="1:4" hidden="1" x14ac:dyDescent="0.3">
      <c r="A2623" t="s">
        <v>330</v>
      </c>
      <c r="B2623" t="s">
        <v>60</v>
      </c>
      <c r="C2623" s="1">
        <f>HYPERLINK("https://cao.dolgi.msk.ru/account/1011469968/", 1011469968)</f>
        <v>1011469968</v>
      </c>
      <c r="D2623">
        <v>0</v>
      </c>
    </row>
    <row r="2624" spans="1:4" hidden="1" x14ac:dyDescent="0.3">
      <c r="A2624" t="s">
        <v>330</v>
      </c>
      <c r="B2624" t="s">
        <v>61</v>
      </c>
      <c r="C2624" s="1">
        <f>HYPERLINK("https://cao.dolgi.msk.ru/account/1011471523/", 1011471523)</f>
        <v>1011471523</v>
      </c>
      <c r="D2624">
        <v>0</v>
      </c>
    </row>
    <row r="2625" spans="1:4" x14ac:dyDescent="0.3">
      <c r="A2625" t="s">
        <v>330</v>
      </c>
      <c r="B2625" t="s">
        <v>62</v>
      </c>
      <c r="C2625" s="1">
        <f>HYPERLINK("https://cao.dolgi.msk.ru/account/1011471179/", 1011471179)</f>
        <v>1011471179</v>
      </c>
      <c r="D2625">
        <v>7169.27</v>
      </c>
    </row>
    <row r="2626" spans="1:4" hidden="1" x14ac:dyDescent="0.3">
      <c r="A2626" t="s">
        <v>330</v>
      </c>
      <c r="B2626" t="s">
        <v>63</v>
      </c>
      <c r="C2626" s="1">
        <f>HYPERLINK("https://cao.dolgi.msk.ru/account/1011471531/", 1011471531)</f>
        <v>1011471531</v>
      </c>
      <c r="D2626">
        <v>0</v>
      </c>
    </row>
    <row r="2627" spans="1:4" hidden="1" x14ac:dyDescent="0.3">
      <c r="A2627" t="s">
        <v>330</v>
      </c>
      <c r="B2627" t="s">
        <v>64</v>
      </c>
      <c r="C2627" s="1">
        <f>HYPERLINK("https://cao.dolgi.msk.ru/account/1011470977/", 1011470977)</f>
        <v>1011470977</v>
      </c>
      <c r="D2627">
        <v>-5713.42</v>
      </c>
    </row>
    <row r="2628" spans="1:4" hidden="1" x14ac:dyDescent="0.3">
      <c r="A2628" t="s">
        <v>330</v>
      </c>
      <c r="B2628" t="s">
        <v>65</v>
      </c>
      <c r="C2628" s="1">
        <f>HYPERLINK("https://cao.dolgi.msk.ru/account/1011470192/", 1011470192)</f>
        <v>1011470192</v>
      </c>
      <c r="D2628">
        <v>0</v>
      </c>
    </row>
    <row r="2629" spans="1:4" hidden="1" x14ac:dyDescent="0.3">
      <c r="A2629" t="s">
        <v>330</v>
      </c>
      <c r="B2629" t="s">
        <v>66</v>
      </c>
      <c r="C2629" s="1">
        <f>HYPERLINK("https://cao.dolgi.msk.ru/account/1011470205/", 1011470205)</f>
        <v>1011470205</v>
      </c>
      <c r="D2629">
        <v>-10187.56</v>
      </c>
    </row>
    <row r="2630" spans="1:4" hidden="1" x14ac:dyDescent="0.3">
      <c r="A2630" t="s">
        <v>330</v>
      </c>
      <c r="B2630" t="s">
        <v>67</v>
      </c>
      <c r="C2630" s="1">
        <f>HYPERLINK("https://cao.dolgi.msk.ru/account/1011471232/", 1011471232)</f>
        <v>1011471232</v>
      </c>
      <c r="D2630">
        <v>0</v>
      </c>
    </row>
    <row r="2631" spans="1:4" hidden="1" x14ac:dyDescent="0.3">
      <c r="A2631" t="s">
        <v>330</v>
      </c>
      <c r="B2631" t="s">
        <v>68</v>
      </c>
      <c r="C2631" s="1">
        <f>HYPERLINK("https://cao.dolgi.msk.ru/account/1011469976/", 1011469976)</f>
        <v>1011469976</v>
      </c>
      <c r="D2631">
        <v>-1106.3</v>
      </c>
    </row>
    <row r="2632" spans="1:4" x14ac:dyDescent="0.3">
      <c r="A2632" t="s">
        <v>330</v>
      </c>
      <c r="B2632" t="s">
        <v>69</v>
      </c>
      <c r="C2632" s="1">
        <f>HYPERLINK("https://cao.dolgi.msk.ru/account/1011470459/", 1011470459)</f>
        <v>1011470459</v>
      </c>
      <c r="D2632">
        <v>10689.06</v>
      </c>
    </row>
    <row r="2633" spans="1:4" x14ac:dyDescent="0.3">
      <c r="A2633" t="s">
        <v>330</v>
      </c>
      <c r="B2633" t="s">
        <v>70</v>
      </c>
      <c r="C2633" s="1">
        <f>HYPERLINK("https://cao.dolgi.msk.ru/account/1011469984/", 1011469984)</f>
        <v>1011469984</v>
      </c>
      <c r="D2633">
        <v>23990.1</v>
      </c>
    </row>
    <row r="2634" spans="1:4" hidden="1" x14ac:dyDescent="0.3">
      <c r="A2634" t="s">
        <v>330</v>
      </c>
      <c r="B2634" t="s">
        <v>259</v>
      </c>
      <c r="C2634" s="1">
        <f>HYPERLINK("https://cao.dolgi.msk.ru/account/1011470985/", 1011470985)</f>
        <v>1011470985</v>
      </c>
      <c r="D2634">
        <v>0</v>
      </c>
    </row>
    <row r="2635" spans="1:4" hidden="1" x14ac:dyDescent="0.3">
      <c r="A2635" t="s">
        <v>330</v>
      </c>
      <c r="B2635" t="s">
        <v>100</v>
      </c>
      <c r="C2635" s="1">
        <f>HYPERLINK("https://cao.dolgi.msk.ru/account/1011469722/", 1011469722)</f>
        <v>1011469722</v>
      </c>
      <c r="D2635">
        <v>0</v>
      </c>
    </row>
    <row r="2636" spans="1:4" hidden="1" x14ac:dyDescent="0.3">
      <c r="A2636" t="s">
        <v>330</v>
      </c>
      <c r="B2636" t="s">
        <v>72</v>
      </c>
      <c r="C2636" s="1">
        <f>HYPERLINK("https://cao.dolgi.msk.ru/account/1011469992/", 1011469992)</f>
        <v>1011469992</v>
      </c>
      <c r="D2636">
        <v>0</v>
      </c>
    </row>
    <row r="2637" spans="1:4" hidden="1" x14ac:dyDescent="0.3">
      <c r="A2637" t="s">
        <v>330</v>
      </c>
      <c r="B2637" t="s">
        <v>73</v>
      </c>
      <c r="C2637" s="1">
        <f>HYPERLINK("https://cao.dolgi.msk.ru/account/1011470993/", 1011470993)</f>
        <v>1011470993</v>
      </c>
      <c r="D2637">
        <v>0</v>
      </c>
    </row>
    <row r="2638" spans="1:4" hidden="1" x14ac:dyDescent="0.3">
      <c r="A2638" t="s">
        <v>330</v>
      </c>
      <c r="B2638" t="s">
        <v>74</v>
      </c>
      <c r="C2638" s="1">
        <f>HYPERLINK("https://cao.dolgi.msk.ru/account/1011470715/", 1011470715)</f>
        <v>1011470715</v>
      </c>
      <c r="D2638">
        <v>-14359.1</v>
      </c>
    </row>
    <row r="2639" spans="1:4" hidden="1" x14ac:dyDescent="0.3">
      <c r="A2639" t="s">
        <v>330</v>
      </c>
      <c r="B2639" t="s">
        <v>75</v>
      </c>
      <c r="C2639" s="1">
        <f>HYPERLINK("https://cao.dolgi.msk.ru/account/1011471259/", 1011471259)</f>
        <v>1011471259</v>
      </c>
      <c r="D2639">
        <v>0</v>
      </c>
    </row>
    <row r="2640" spans="1:4" hidden="1" x14ac:dyDescent="0.3">
      <c r="A2640" t="s">
        <v>330</v>
      </c>
      <c r="B2640" t="s">
        <v>76</v>
      </c>
      <c r="C2640" s="1">
        <f>HYPERLINK("https://cao.dolgi.msk.ru/account/1011471558/", 1011471558)</f>
        <v>1011471558</v>
      </c>
      <c r="D2640">
        <v>0</v>
      </c>
    </row>
    <row r="2641" spans="1:4" hidden="1" x14ac:dyDescent="0.3">
      <c r="A2641" t="s">
        <v>330</v>
      </c>
      <c r="B2641" t="s">
        <v>77</v>
      </c>
      <c r="C2641" s="1">
        <f>HYPERLINK("https://cao.dolgi.msk.ru/account/1011471267/", 1011471267)</f>
        <v>1011471267</v>
      </c>
      <c r="D2641">
        <v>0</v>
      </c>
    </row>
    <row r="2642" spans="1:4" hidden="1" x14ac:dyDescent="0.3">
      <c r="A2642" t="s">
        <v>330</v>
      </c>
      <c r="B2642" t="s">
        <v>78</v>
      </c>
      <c r="C2642" s="1">
        <f>HYPERLINK("https://cao.dolgi.msk.ru/account/1011471566/", 1011471566)</f>
        <v>1011471566</v>
      </c>
      <c r="D2642">
        <v>0</v>
      </c>
    </row>
    <row r="2643" spans="1:4" hidden="1" x14ac:dyDescent="0.3">
      <c r="A2643" t="s">
        <v>330</v>
      </c>
      <c r="B2643" t="s">
        <v>79</v>
      </c>
      <c r="C2643" s="1">
        <f>HYPERLINK("https://cao.dolgi.msk.ru/account/1011470723/", 1011470723)</f>
        <v>1011470723</v>
      </c>
      <c r="D2643">
        <v>0</v>
      </c>
    </row>
    <row r="2644" spans="1:4" hidden="1" x14ac:dyDescent="0.3">
      <c r="A2644" t="s">
        <v>330</v>
      </c>
      <c r="B2644" t="s">
        <v>80</v>
      </c>
      <c r="C2644" s="1">
        <f>HYPERLINK("https://cao.dolgi.msk.ru/account/1011470731/", 1011470731)</f>
        <v>1011470731</v>
      </c>
      <c r="D2644">
        <v>0</v>
      </c>
    </row>
    <row r="2645" spans="1:4" hidden="1" x14ac:dyDescent="0.3">
      <c r="A2645" t="s">
        <v>330</v>
      </c>
      <c r="B2645" t="s">
        <v>81</v>
      </c>
      <c r="C2645" s="1">
        <f>HYPERLINK("https://cao.dolgi.msk.ru/account/1011470758/", 1011470758)</f>
        <v>1011470758</v>
      </c>
      <c r="D2645">
        <v>0</v>
      </c>
    </row>
    <row r="2646" spans="1:4" hidden="1" x14ac:dyDescent="0.3">
      <c r="A2646" t="s">
        <v>330</v>
      </c>
      <c r="B2646" t="s">
        <v>101</v>
      </c>
      <c r="C2646" s="1">
        <f>HYPERLINK("https://cao.dolgi.msk.ru/account/1011470766/", 1011470766)</f>
        <v>1011470766</v>
      </c>
      <c r="D2646">
        <v>0</v>
      </c>
    </row>
    <row r="2647" spans="1:4" x14ac:dyDescent="0.3">
      <c r="A2647" t="s">
        <v>330</v>
      </c>
      <c r="B2647" t="s">
        <v>82</v>
      </c>
      <c r="C2647" s="1">
        <f>HYPERLINK("https://cao.dolgi.msk.ru/account/1011470213/", 1011470213)</f>
        <v>1011470213</v>
      </c>
      <c r="D2647">
        <v>4605.08</v>
      </c>
    </row>
    <row r="2648" spans="1:4" hidden="1" x14ac:dyDescent="0.3">
      <c r="A2648" t="s">
        <v>330</v>
      </c>
      <c r="B2648" t="s">
        <v>83</v>
      </c>
      <c r="C2648" s="1">
        <f>HYPERLINK("https://cao.dolgi.msk.ru/account/1011470002/", 1011470002)</f>
        <v>1011470002</v>
      </c>
      <c r="D2648">
        <v>0</v>
      </c>
    </row>
    <row r="2649" spans="1:4" hidden="1" x14ac:dyDescent="0.3">
      <c r="A2649" t="s">
        <v>330</v>
      </c>
      <c r="B2649" t="s">
        <v>84</v>
      </c>
      <c r="C2649" s="1">
        <f>HYPERLINK("https://cao.dolgi.msk.ru/account/1011471419/", 1011471419)</f>
        <v>1011471419</v>
      </c>
      <c r="D2649">
        <v>0</v>
      </c>
    </row>
    <row r="2650" spans="1:4" hidden="1" x14ac:dyDescent="0.3">
      <c r="A2650" t="s">
        <v>330</v>
      </c>
      <c r="B2650" t="s">
        <v>85</v>
      </c>
      <c r="C2650" s="1">
        <f>HYPERLINK("https://cao.dolgi.msk.ru/account/1011470221/", 1011470221)</f>
        <v>1011470221</v>
      </c>
      <c r="D2650">
        <v>0</v>
      </c>
    </row>
    <row r="2651" spans="1:4" hidden="1" x14ac:dyDescent="0.3">
      <c r="A2651" t="s">
        <v>330</v>
      </c>
      <c r="B2651" t="s">
        <v>102</v>
      </c>
      <c r="C2651" s="1">
        <f>HYPERLINK("https://cao.dolgi.msk.ru/account/1011471005/", 1011471005)</f>
        <v>1011471005</v>
      </c>
      <c r="D2651">
        <v>0</v>
      </c>
    </row>
    <row r="2652" spans="1:4" hidden="1" x14ac:dyDescent="0.3">
      <c r="A2652" t="s">
        <v>330</v>
      </c>
      <c r="B2652" t="s">
        <v>103</v>
      </c>
      <c r="C2652" s="1">
        <f>HYPERLINK("https://cao.dolgi.msk.ru/account/1011470774/", 1011470774)</f>
        <v>1011470774</v>
      </c>
      <c r="D2652">
        <v>0</v>
      </c>
    </row>
    <row r="2653" spans="1:4" hidden="1" x14ac:dyDescent="0.3">
      <c r="A2653" t="s">
        <v>330</v>
      </c>
      <c r="B2653" t="s">
        <v>104</v>
      </c>
      <c r="C2653" s="1">
        <f>HYPERLINK("https://cao.dolgi.msk.ru/account/1011513949/", 1011513949)</f>
        <v>1011513949</v>
      </c>
      <c r="D2653">
        <v>0</v>
      </c>
    </row>
    <row r="2654" spans="1:4" x14ac:dyDescent="0.3">
      <c r="A2654" t="s">
        <v>330</v>
      </c>
      <c r="B2654" t="s">
        <v>105</v>
      </c>
      <c r="C2654" s="1">
        <f>HYPERLINK("https://cao.dolgi.msk.ru/account/1011471574/", 1011471574)</f>
        <v>1011471574</v>
      </c>
      <c r="D2654">
        <v>37283.57</v>
      </c>
    </row>
    <row r="2655" spans="1:4" hidden="1" x14ac:dyDescent="0.3">
      <c r="A2655" t="s">
        <v>330</v>
      </c>
      <c r="B2655" t="s">
        <v>106</v>
      </c>
      <c r="C2655" s="1">
        <f>HYPERLINK("https://cao.dolgi.msk.ru/account/1011471275/", 1011471275)</f>
        <v>1011471275</v>
      </c>
      <c r="D2655">
        <v>0</v>
      </c>
    </row>
    <row r="2656" spans="1:4" hidden="1" x14ac:dyDescent="0.3">
      <c r="A2656" t="s">
        <v>330</v>
      </c>
      <c r="B2656" t="s">
        <v>107</v>
      </c>
      <c r="C2656" s="1">
        <f>HYPERLINK("https://cao.dolgi.msk.ru/account/1011469749/", 1011469749)</f>
        <v>1011469749</v>
      </c>
      <c r="D2656">
        <v>0</v>
      </c>
    </row>
    <row r="2657" spans="1:4" hidden="1" x14ac:dyDescent="0.3">
      <c r="A2657" t="s">
        <v>330</v>
      </c>
      <c r="B2657" t="s">
        <v>108</v>
      </c>
      <c r="C2657" s="1">
        <f>HYPERLINK("https://cao.dolgi.msk.ru/account/1011471582/", 1011471582)</f>
        <v>1011471582</v>
      </c>
      <c r="D2657">
        <v>0</v>
      </c>
    </row>
    <row r="2658" spans="1:4" hidden="1" x14ac:dyDescent="0.3">
      <c r="A2658" t="s">
        <v>330</v>
      </c>
      <c r="B2658" t="s">
        <v>109</v>
      </c>
      <c r="C2658" s="1">
        <f>HYPERLINK("https://cao.dolgi.msk.ru/account/1011471603/", 1011471603)</f>
        <v>1011471603</v>
      </c>
      <c r="D2658">
        <v>-17.510000000000002</v>
      </c>
    </row>
    <row r="2659" spans="1:4" hidden="1" x14ac:dyDescent="0.3">
      <c r="A2659" t="s">
        <v>330</v>
      </c>
      <c r="B2659" t="s">
        <v>110</v>
      </c>
      <c r="C2659" s="1">
        <f>HYPERLINK("https://cao.dolgi.msk.ru/account/1011471283/", 1011471283)</f>
        <v>1011471283</v>
      </c>
      <c r="D2659">
        <v>0</v>
      </c>
    </row>
    <row r="2660" spans="1:4" x14ac:dyDescent="0.3">
      <c r="A2660" t="s">
        <v>330</v>
      </c>
      <c r="B2660" t="s">
        <v>111</v>
      </c>
      <c r="C2660" s="1">
        <f>HYPERLINK("https://cao.dolgi.msk.ru/account/1011469757/", 1011469757)</f>
        <v>1011469757</v>
      </c>
      <c r="D2660">
        <v>8971.2900000000009</v>
      </c>
    </row>
    <row r="2661" spans="1:4" hidden="1" x14ac:dyDescent="0.3">
      <c r="A2661" t="s">
        <v>330</v>
      </c>
      <c r="B2661" t="s">
        <v>112</v>
      </c>
      <c r="C2661" s="1">
        <f>HYPERLINK("https://cao.dolgi.msk.ru/account/1011469861/", 1011469861)</f>
        <v>1011469861</v>
      </c>
      <c r="D2661">
        <v>0</v>
      </c>
    </row>
    <row r="2662" spans="1:4" x14ac:dyDescent="0.3">
      <c r="A2662" t="s">
        <v>330</v>
      </c>
      <c r="B2662" t="s">
        <v>112</v>
      </c>
      <c r="C2662" s="1">
        <f>HYPERLINK("https://cao.dolgi.msk.ru/account/1011471611/", 1011471611)</f>
        <v>1011471611</v>
      </c>
      <c r="D2662">
        <v>11485.56</v>
      </c>
    </row>
    <row r="2663" spans="1:4" hidden="1" x14ac:dyDescent="0.3">
      <c r="A2663" t="s">
        <v>330</v>
      </c>
      <c r="B2663" t="s">
        <v>113</v>
      </c>
      <c r="C2663" s="1">
        <f>HYPERLINK("https://cao.dolgi.msk.ru/account/1011470256/", 1011470256)</f>
        <v>1011470256</v>
      </c>
      <c r="D2663">
        <v>-10686.81</v>
      </c>
    </row>
    <row r="2664" spans="1:4" hidden="1" x14ac:dyDescent="0.3">
      <c r="A2664" t="s">
        <v>330</v>
      </c>
      <c r="B2664" t="s">
        <v>114</v>
      </c>
      <c r="C2664" s="1">
        <f>HYPERLINK("https://cao.dolgi.msk.ru/account/1011471013/", 1011471013)</f>
        <v>1011471013</v>
      </c>
      <c r="D2664">
        <v>0</v>
      </c>
    </row>
    <row r="2665" spans="1:4" hidden="1" x14ac:dyDescent="0.3">
      <c r="A2665" t="s">
        <v>330</v>
      </c>
      <c r="B2665" t="s">
        <v>115</v>
      </c>
      <c r="C2665" s="1">
        <f>HYPERLINK("https://cao.dolgi.msk.ru/account/1011470782/", 1011470782)</f>
        <v>1011470782</v>
      </c>
      <c r="D2665">
        <v>0</v>
      </c>
    </row>
    <row r="2666" spans="1:4" x14ac:dyDescent="0.3">
      <c r="A2666" t="s">
        <v>330</v>
      </c>
      <c r="B2666" t="s">
        <v>116</v>
      </c>
      <c r="C2666" s="1">
        <f>HYPERLINK("https://cao.dolgi.msk.ru/account/1011469765/", 1011469765)</f>
        <v>1011469765</v>
      </c>
      <c r="D2666">
        <v>9791.41</v>
      </c>
    </row>
    <row r="2667" spans="1:4" hidden="1" x14ac:dyDescent="0.3">
      <c r="A2667" t="s">
        <v>330</v>
      </c>
      <c r="B2667" t="s">
        <v>266</v>
      </c>
      <c r="C2667" s="1">
        <f>HYPERLINK("https://cao.dolgi.msk.ru/account/1011471021/", 1011471021)</f>
        <v>1011471021</v>
      </c>
      <c r="D2667">
        <v>-9623.7999999999993</v>
      </c>
    </row>
    <row r="2668" spans="1:4" hidden="1" x14ac:dyDescent="0.3">
      <c r="A2668" t="s">
        <v>330</v>
      </c>
      <c r="B2668" t="s">
        <v>117</v>
      </c>
      <c r="C2668" s="1">
        <f>HYPERLINK("https://cao.dolgi.msk.ru/account/1011471291/", 1011471291)</f>
        <v>1011471291</v>
      </c>
      <c r="D2668">
        <v>-112.32</v>
      </c>
    </row>
    <row r="2669" spans="1:4" hidden="1" x14ac:dyDescent="0.3">
      <c r="A2669" t="s">
        <v>330</v>
      </c>
      <c r="B2669" t="s">
        <v>118</v>
      </c>
      <c r="C2669" s="1">
        <f>HYPERLINK("https://cao.dolgi.msk.ru/account/1011471304/", 1011471304)</f>
        <v>1011471304</v>
      </c>
      <c r="D2669">
        <v>-8328.73</v>
      </c>
    </row>
    <row r="2670" spans="1:4" x14ac:dyDescent="0.3">
      <c r="A2670" t="s">
        <v>330</v>
      </c>
      <c r="B2670" t="s">
        <v>119</v>
      </c>
      <c r="C2670" s="1">
        <f>HYPERLINK("https://cao.dolgi.msk.ru/account/1011470029/", 1011470029)</f>
        <v>1011470029</v>
      </c>
      <c r="D2670">
        <v>26137.62</v>
      </c>
    </row>
    <row r="2671" spans="1:4" x14ac:dyDescent="0.3">
      <c r="A2671" t="s">
        <v>330</v>
      </c>
      <c r="B2671" t="s">
        <v>120</v>
      </c>
      <c r="C2671" s="1">
        <f>HYPERLINK("https://cao.dolgi.msk.ru/account/1011470803/", 1011470803)</f>
        <v>1011470803</v>
      </c>
      <c r="D2671">
        <v>2581.4299999999998</v>
      </c>
    </row>
    <row r="2672" spans="1:4" x14ac:dyDescent="0.3">
      <c r="A2672" t="s">
        <v>330</v>
      </c>
      <c r="B2672" t="s">
        <v>120</v>
      </c>
      <c r="C2672" s="1">
        <f>HYPERLINK("https://cao.dolgi.msk.ru/account/1011470811/", 1011470811)</f>
        <v>1011470811</v>
      </c>
      <c r="D2672">
        <v>38312.5</v>
      </c>
    </row>
    <row r="2673" spans="1:4" hidden="1" x14ac:dyDescent="0.3">
      <c r="A2673" t="s">
        <v>330</v>
      </c>
      <c r="B2673" t="s">
        <v>121</v>
      </c>
      <c r="C2673" s="1">
        <f>HYPERLINK("https://cao.dolgi.msk.ru/account/1011469773/", 1011469773)</f>
        <v>1011469773</v>
      </c>
      <c r="D2673">
        <v>0</v>
      </c>
    </row>
    <row r="2674" spans="1:4" hidden="1" x14ac:dyDescent="0.3">
      <c r="A2674" t="s">
        <v>330</v>
      </c>
      <c r="B2674" t="s">
        <v>122</v>
      </c>
      <c r="C2674" s="1">
        <f>HYPERLINK("https://cao.dolgi.msk.ru/account/1011469781/", 1011469781)</f>
        <v>1011469781</v>
      </c>
      <c r="D2674">
        <v>0</v>
      </c>
    </row>
    <row r="2675" spans="1:4" hidden="1" x14ac:dyDescent="0.3">
      <c r="A2675" t="s">
        <v>330</v>
      </c>
      <c r="B2675" t="s">
        <v>123</v>
      </c>
      <c r="C2675" s="1">
        <f>HYPERLINK("https://cao.dolgi.msk.ru/account/1011470467/", 1011470467)</f>
        <v>1011470467</v>
      </c>
      <c r="D2675">
        <v>0</v>
      </c>
    </row>
    <row r="2676" spans="1:4" hidden="1" x14ac:dyDescent="0.3">
      <c r="A2676" t="s">
        <v>330</v>
      </c>
      <c r="B2676" t="s">
        <v>124</v>
      </c>
      <c r="C2676" s="1">
        <f>HYPERLINK("https://cao.dolgi.msk.ru/account/1011471312/", 1011471312)</f>
        <v>1011471312</v>
      </c>
      <c r="D2676">
        <v>-11347.4</v>
      </c>
    </row>
    <row r="2677" spans="1:4" hidden="1" x14ac:dyDescent="0.3">
      <c r="A2677" t="s">
        <v>330</v>
      </c>
      <c r="B2677" t="s">
        <v>125</v>
      </c>
      <c r="C2677" s="1">
        <f>HYPERLINK("https://cao.dolgi.msk.ru/account/1011471638/", 1011471638)</f>
        <v>1011471638</v>
      </c>
      <c r="D2677">
        <v>0</v>
      </c>
    </row>
    <row r="2678" spans="1:4" hidden="1" x14ac:dyDescent="0.3">
      <c r="A2678" t="s">
        <v>330</v>
      </c>
      <c r="B2678" t="s">
        <v>126</v>
      </c>
      <c r="C2678" s="1">
        <f>HYPERLINK("https://cao.dolgi.msk.ru/account/1011469802/", 1011469802)</f>
        <v>1011469802</v>
      </c>
      <c r="D2678">
        <v>-6477.8</v>
      </c>
    </row>
    <row r="2679" spans="1:4" x14ac:dyDescent="0.3">
      <c r="A2679" t="s">
        <v>330</v>
      </c>
      <c r="B2679" t="s">
        <v>127</v>
      </c>
      <c r="C2679" s="1">
        <f>HYPERLINK("https://cao.dolgi.msk.ru/account/1011471339/", 1011471339)</f>
        <v>1011471339</v>
      </c>
      <c r="D2679">
        <v>90</v>
      </c>
    </row>
    <row r="2680" spans="1:4" hidden="1" x14ac:dyDescent="0.3">
      <c r="A2680" t="s">
        <v>330</v>
      </c>
      <c r="B2680" t="s">
        <v>127</v>
      </c>
      <c r="C2680" s="1">
        <f>HYPERLINK("https://cao.dolgi.msk.ru/account/1011471646/", 1011471646)</f>
        <v>1011471646</v>
      </c>
      <c r="D2680">
        <v>-5118.8900000000003</v>
      </c>
    </row>
    <row r="2681" spans="1:4" hidden="1" x14ac:dyDescent="0.3">
      <c r="A2681" t="s">
        <v>330</v>
      </c>
      <c r="B2681" t="s">
        <v>262</v>
      </c>
      <c r="C2681" s="1">
        <f>HYPERLINK("https://cao.dolgi.msk.ru/account/1011470379/", 1011470379)</f>
        <v>1011470379</v>
      </c>
      <c r="D2681">
        <v>-12500.32</v>
      </c>
    </row>
    <row r="2682" spans="1:4" hidden="1" x14ac:dyDescent="0.3">
      <c r="A2682" t="s">
        <v>330</v>
      </c>
      <c r="B2682" t="s">
        <v>128</v>
      </c>
      <c r="C2682" s="1">
        <f>HYPERLINK("https://cao.dolgi.msk.ru/account/1011470475/", 1011470475)</f>
        <v>1011470475</v>
      </c>
      <c r="D2682">
        <v>-0.01</v>
      </c>
    </row>
    <row r="2683" spans="1:4" hidden="1" x14ac:dyDescent="0.3">
      <c r="A2683" t="s">
        <v>330</v>
      </c>
      <c r="B2683" t="s">
        <v>128</v>
      </c>
      <c r="C2683" s="1">
        <f>HYPERLINK("https://cao.dolgi.msk.ru/account/1011470619/", 1011470619)</f>
        <v>1011470619</v>
      </c>
      <c r="D2683">
        <v>-3847.41</v>
      </c>
    </row>
    <row r="2684" spans="1:4" hidden="1" x14ac:dyDescent="0.3">
      <c r="A2684" t="s">
        <v>330</v>
      </c>
      <c r="B2684" t="s">
        <v>129</v>
      </c>
      <c r="C2684" s="1">
        <f>HYPERLINK("https://cao.dolgi.msk.ru/account/1011470483/", 1011470483)</f>
        <v>1011470483</v>
      </c>
      <c r="D2684">
        <v>0</v>
      </c>
    </row>
    <row r="2685" spans="1:4" hidden="1" x14ac:dyDescent="0.3">
      <c r="A2685" t="s">
        <v>330</v>
      </c>
      <c r="B2685" t="s">
        <v>130</v>
      </c>
      <c r="C2685" s="1">
        <f>HYPERLINK("https://cao.dolgi.msk.ru/account/1011471048/", 1011471048)</f>
        <v>1011471048</v>
      </c>
      <c r="D2685">
        <v>0</v>
      </c>
    </row>
    <row r="2686" spans="1:4" hidden="1" x14ac:dyDescent="0.3">
      <c r="A2686" t="s">
        <v>330</v>
      </c>
      <c r="B2686" t="s">
        <v>131</v>
      </c>
      <c r="C2686" s="1">
        <f>HYPERLINK("https://cao.dolgi.msk.ru/account/1011470037/", 1011470037)</f>
        <v>1011470037</v>
      </c>
      <c r="D2686">
        <v>-405.56</v>
      </c>
    </row>
    <row r="2687" spans="1:4" hidden="1" x14ac:dyDescent="0.3">
      <c r="A2687" t="s">
        <v>330</v>
      </c>
      <c r="B2687" t="s">
        <v>132</v>
      </c>
      <c r="C2687" s="1">
        <f>HYPERLINK("https://cao.dolgi.msk.ru/account/1011470045/", 1011470045)</f>
        <v>1011470045</v>
      </c>
      <c r="D2687">
        <v>0</v>
      </c>
    </row>
    <row r="2688" spans="1:4" hidden="1" x14ac:dyDescent="0.3">
      <c r="A2688" t="s">
        <v>330</v>
      </c>
      <c r="B2688" t="s">
        <v>133</v>
      </c>
      <c r="C2688" s="1">
        <f>HYPERLINK("https://cao.dolgi.msk.ru/account/1011471056/", 1011471056)</f>
        <v>1011471056</v>
      </c>
      <c r="D2688">
        <v>-620.87</v>
      </c>
    </row>
    <row r="2689" spans="1:4" x14ac:dyDescent="0.3">
      <c r="A2689" t="s">
        <v>330</v>
      </c>
      <c r="B2689" t="s">
        <v>134</v>
      </c>
      <c r="C2689" s="1">
        <f>HYPERLINK("https://cao.dolgi.msk.ru/account/1011469829/", 1011469829)</f>
        <v>1011469829</v>
      </c>
      <c r="D2689">
        <v>32.159999999999997</v>
      </c>
    </row>
    <row r="2690" spans="1:4" hidden="1" x14ac:dyDescent="0.3">
      <c r="A2690" t="s">
        <v>330</v>
      </c>
      <c r="B2690" t="s">
        <v>135</v>
      </c>
      <c r="C2690" s="1">
        <f>HYPERLINK("https://cao.dolgi.msk.ru/account/1011471654/", 1011471654)</f>
        <v>1011471654</v>
      </c>
      <c r="D2690">
        <v>0</v>
      </c>
    </row>
    <row r="2691" spans="1:4" hidden="1" x14ac:dyDescent="0.3">
      <c r="A2691" t="s">
        <v>330</v>
      </c>
      <c r="B2691" t="s">
        <v>264</v>
      </c>
      <c r="C2691" s="1">
        <f>HYPERLINK("https://cao.dolgi.msk.ru/account/1011470264/", 1011470264)</f>
        <v>1011470264</v>
      </c>
      <c r="D2691">
        <v>-4876.17</v>
      </c>
    </row>
    <row r="2692" spans="1:4" hidden="1" x14ac:dyDescent="0.3">
      <c r="A2692" t="s">
        <v>330</v>
      </c>
      <c r="B2692" t="s">
        <v>136</v>
      </c>
      <c r="C2692" s="1">
        <f>HYPERLINK("https://cao.dolgi.msk.ru/account/1011470838/", 1011470838)</f>
        <v>1011470838</v>
      </c>
      <c r="D2692">
        <v>-2.08</v>
      </c>
    </row>
    <row r="2693" spans="1:4" hidden="1" x14ac:dyDescent="0.3">
      <c r="A2693" t="s">
        <v>330</v>
      </c>
      <c r="B2693" t="s">
        <v>137</v>
      </c>
      <c r="C2693" s="1">
        <f>HYPERLINK("https://cao.dolgi.msk.ru/account/1011470846/", 1011470846)</f>
        <v>1011470846</v>
      </c>
      <c r="D2693">
        <v>-9188.19</v>
      </c>
    </row>
    <row r="2694" spans="1:4" hidden="1" x14ac:dyDescent="0.3">
      <c r="A2694" t="s">
        <v>330</v>
      </c>
      <c r="B2694" t="s">
        <v>138</v>
      </c>
      <c r="C2694" s="1">
        <f>HYPERLINK("https://cao.dolgi.msk.ru/account/1011471347/", 1011471347)</f>
        <v>1011471347</v>
      </c>
      <c r="D2694">
        <v>-11018.86</v>
      </c>
    </row>
    <row r="2695" spans="1:4" hidden="1" x14ac:dyDescent="0.3">
      <c r="A2695" t="s">
        <v>330</v>
      </c>
      <c r="B2695" t="s">
        <v>139</v>
      </c>
      <c r="C2695" s="1">
        <f>HYPERLINK("https://cao.dolgi.msk.ru/account/1011471355/", 1011471355)</f>
        <v>1011471355</v>
      </c>
      <c r="D2695">
        <v>0</v>
      </c>
    </row>
    <row r="2696" spans="1:4" hidden="1" x14ac:dyDescent="0.3">
      <c r="A2696" t="s">
        <v>330</v>
      </c>
      <c r="B2696" t="s">
        <v>140</v>
      </c>
      <c r="C2696" s="1">
        <f>HYPERLINK("https://cao.dolgi.msk.ru/account/1011470491/", 1011470491)</f>
        <v>1011470491</v>
      </c>
      <c r="D2696">
        <v>0</v>
      </c>
    </row>
    <row r="2697" spans="1:4" x14ac:dyDescent="0.3">
      <c r="A2697" t="s">
        <v>330</v>
      </c>
      <c r="B2697" t="s">
        <v>141</v>
      </c>
      <c r="C2697" s="1">
        <f>HYPERLINK("https://cao.dolgi.msk.ru/account/1011470504/", 1011470504)</f>
        <v>1011470504</v>
      </c>
      <c r="D2697">
        <v>158.88</v>
      </c>
    </row>
    <row r="2698" spans="1:4" hidden="1" x14ac:dyDescent="0.3">
      <c r="A2698" t="s">
        <v>330</v>
      </c>
      <c r="B2698" t="s">
        <v>142</v>
      </c>
      <c r="C2698" s="1">
        <f>HYPERLINK("https://cao.dolgi.msk.ru/account/1011471662/", 1011471662)</f>
        <v>1011471662</v>
      </c>
      <c r="D2698">
        <v>-9848.0300000000007</v>
      </c>
    </row>
    <row r="2699" spans="1:4" x14ac:dyDescent="0.3">
      <c r="A2699" t="s">
        <v>330</v>
      </c>
      <c r="B2699" t="s">
        <v>143</v>
      </c>
      <c r="C2699" s="1">
        <f>HYPERLINK("https://cao.dolgi.msk.ru/account/1011471064/", 1011471064)</f>
        <v>1011471064</v>
      </c>
      <c r="D2699">
        <v>8232.9599999999991</v>
      </c>
    </row>
    <row r="2700" spans="1:4" hidden="1" x14ac:dyDescent="0.3">
      <c r="A2700" t="s">
        <v>330</v>
      </c>
      <c r="B2700" t="s">
        <v>144</v>
      </c>
      <c r="C2700" s="1">
        <f>HYPERLINK("https://cao.dolgi.msk.ru/account/1011470272/", 1011470272)</f>
        <v>1011470272</v>
      </c>
      <c r="D2700">
        <v>-8726.33</v>
      </c>
    </row>
    <row r="2701" spans="1:4" x14ac:dyDescent="0.3">
      <c r="A2701" t="s">
        <v>330</v>
      </c>
      <c r="B2701" t="s">
        <v>145</v>
      </c>
      <c r="C2701" s="1">
        <f>HYPERLINK("https://cao.dolgi.msk.ru/account/1011470512/", 1011470512)</f>
        <v>1011470512</v>
      </c>
      <c r="D2701">
        <v>10.73</v>
      </c>
    </row>
    <row r="2702" spans="1:4" x14ac:dyDescent="0.3">
      <c r="A2702" t="s">
        <v>330</v>
      </c>
      <c r="B2702" t="s">
        <v>145</v>
      </c>
      <c r="C2702" s="1">
        <f>HYPERLINK("https://cao.dolgi.msk.ru/account/1011471072/", 1011471072)</f>
        <v>1011471072</v>
      </c>
      <c r="D2702">
        <v>9543.1200000000008</v>
      </c>
    </row>
    <row r="2703" spans="1:4" hidden="1" x14ac:dyDescent="0.3">
      <c r="A2703" t="s">
        <v>330</v>
      </c>
      <c r="B2703" t="s">
        <v>146</v>
      </c>
      <c r="C2703" s="1">
        <f>HYPERLINK("https://cao.dolgi.msk.ru/account/1011471363/", 1011471363)</f>
        <v>1011471363</v>
      </c>
      <c r="D2703">
        <v>0</v>
      </c>
    </row>
    <row r="2704" spans="1:4" x14ac:dyDescent="0.3">
      <c r="A2704" t="s">
        <v>330</v>
      </c>
      <c r="B2704" t="s">
        <v>147</v>
      </c>
      <c r="C2704" s="1">
        <f>HYPERLINK("https://cao.dolgi.msk.ru/account/1011470854/", 1011470854)</f>
        <v>1011470854</v>
      </c>
      <c r="D2704">
        <v>31227.32</v>
      </c>
    </row>
    <row r="2705" spans="1:4" hidden="1" x14ac:dyDescent="0.3">
      <c r="A2705" t="s">
        <v>330</v>
      </c>
      <c r="B2705" t="s">
        <v>148</v>
      </c>
      <c r="C2705" s="1">
        <f>HYPERLINK("https://cao.dolgi.msk.ru/account/1011471689/", 1011471689)</f>
        <v>1011471689</v>
      </c>
      <c r="D2705">
        <v>0</v>
      </c>
    </row>
    <row r="2706" spans="1:4" hidden="1" x14ac:dyDescent="0.3">
      <c r="A2706" t="s">
        <v>330</v>
      </c>
      <c r="B2706" t="s">
        <v>149</v>
      </c>
      <c r="C2706" s="1">
        <f>HYPERLINK("https://cao.dolgi.msk.ru/account/1011470539/", 1011470539)</f>
        <v>1011470539</v>
      </c>
      <c r="D2706">
        <v>0</v>
      </c>
    </row>
    <row r="2707" spans="1:4" x14ac:dyDescent="0.3">
      <c r="A2707" t="s">
        <v>330</v>
      </c>
      <c r="B2707" t="s">
        <v>150</v>
      </c>
      <c r="C2707" s="1">
        <f>HYPERLINK("https://cao.dolgi.msk.ru/account/1011471099/", 1011471099)</f>
        <v>1011471099</v>
      </c>
      <c r="D2707">
        <v>11319.56</v>
      </c>
    </row>
    <row r="2708" spans="1:4" x14ac:dyDescent="0.3">
      <c r="A2708" t="s">
        <v>330</v>
      </c>
      <c r="B2708" t="s">
        <v>151</v>
      </c>
      <c r="C2708" s="1">
        <f>HYPERLINK("https://cao.dolgi.msk.ru/account/1011470299/", 1011470299)</f>
        <v>1011470299</v>
      </c>
      <c r="D2708">
        <v>14996.57</v>
      </c>
    </row>
    <row r="2709" spans="1:4" hidden="1" x14ac:dyDescent="0.3">
      <c r="A2709" t="s">
        <v>330</v>
      </c>
      <c r="B2709" t="s">
        <v>152</v>
      </c>
      <c r="C2709" s="1">
        <f>HYPERLINK("https://cao.dolgi.msk.ru/account/1011470301/", 1011470301)</f>
        <v>1011470301</v>
      </c>
      <c r="D2709">
        <v>0</v>
      </c>
    </row>
    <row r="2710" spans="1:4" hidden="1" x14ac:dyDescent="0.3">
      <c r="A2710" t="s">
        <v>330</v>
      </c>
      <c r="B2710" t="s">
        <v>153</v>
      </c>
      <c r="C2710" s="1">
        <f>HYPERLINK("https://cao.dolgi.msk.ru/account/1011471697/", 1011471697)</f>
        <v>1011471697</v>
      </c>
      <c r="D2710">
        <v>-4827.43</v>
      </c>
    </row>
    <row r="2711" spans="1:4" x14ac:dyDescent="0.3">
      <c r="A2711" t="s">
        <v>330</v>
      </c>
      <c r="B2711" t="s">
        <v>154</v>
      </c>
      <c r="C2711" s="1">
        <f>HYPERLINK("https://cao.dolgi.msk.ru/account/1011471101/", 1011471101)</f>
        <v>1011471101</v>
      </c>
      <c r="D2711">
        <v>17339.57</v>
      </c>
    </row>
    <row r="2712" spans="1:4" hidden="1" x14ac:dyDescent="0.3">
      <c r="A2712" t="s">
        <v>330</v>
      </c>
      <c r="B2712" t="s">
        <v>155</v>
      </c>
      <c r="C2712" s="1">
        <f>HYPERLINK("https://cao.dolgi.msk.ru/account/1011471128/", 1011471128)</f>
        <v>1011471128</v>
      </c>
      <c r="D2712">
        <v>-18265.54</v>
      </c>
    </row>
    <row r="2713" spans="1:4" hidden="1" x14ac:dyDescent="0.3">
      <c r="A2713" t="s">
        <v>330</v>
      </c>
      <c r="B2713" t="s">
        <v>156</v>
      </c>
      <c r="C2713" s="1">
        <f>HYPERLINK("https://cao.dolgi.msk.ru/account/1011471371/", 1011471371)</f>
        <v>1011471371</v>
      </c>
      <c r="D2713">
        <v>0</v>
      </c>
    </row>
    <row r="2714" spans="1:4" hidden="1" x14ac:dyDescent="0.3">
      <c r="A2714" t="s">
        <v>330</v>
      </c>
      <c r="B2714" t="s">
        <v>157</v>
      </c>
      <c r="C2714" s="1">
        <f>HYPERLINK("https://cao.dolgi.msk.ru/account/1011471398/", 1011471398)</f>
        <v>1011471398</v>
      </c>
      <c r="D2714">
        <v>0</v>
      </c>
    </row>
    <row r="2715" spans="1:4" hidden="1" x14ac:dyDescent="0.3">
      <c r="A2715" t="s">
        <v>330</v>
      </c>
      <c r="B2715" t="s">
        <v>158</v>
      </c>
      <c r="C2715" s="1">
        <f>HYPERLINK("https://cao.dolgi.msk.ru/account/1011471718/", 1011471718)</f>
        <v>1011471718</v>
      </c>
      <c r="D2715">
        <v>0</v>
      </c>
    </row>
    <row r="2716" spans="1:4" hidden="1" x14ac:dyDescent="0.3">
      <c r="A2716" t="s">
        <v>330</v>
      </c>
      <c r="B2716" t="s">
        <v>159</v>
      </c>
      <c r="C2716" s="1">
        <f>HYPERLINK("https://cao.dolgi.msk.ru/account/1011471152/", 1011471152)</f>
        <v>1011471152</v>
      </c>
      <c r="D2716">
        <v>-76.099999999999994</v>
      </c>
    </row>
    <row r="2717" spans="1:4" hidden="1" x14ac:dyDescent="0.3">
      <c r="A2717" t="s">
        <v>330</v>
      </c>
      <c r="B2717" t="s">
        <v>160</v>
      </c>
      <c r="C2717" s="1">
        <f>HYPERLINK("https://cao.dolgi.msk.ru/account/1011470053/", 1011470053)</f>
        <v>1011470053</v>
      </c>
      <c r="D2717">
        <v>0</v>
      </c>
    </row>
    <row r="2718" spans="1:4" hidden="1" x14ac:dyDescent="0.3">
      <c r="A2718" t="s">
        <v>330</v>
      </c>
      <c r="B2718" t="s">
        <v>161</v>
      </c>
      <c r="C2718" s="1">
        <f>HYPERLINK("https://cao.dolgi.msk.ru/account/1011470328/", 1011470328)</f>
        <v>1011470328</v>
      </c>
      <c r="D2718">
        <v>-9084.7000000000007</v>
      </c>
    </row>
    <row r="2719" spans="1:4" hidden="1" x14ac:dyDescent="0.3">
      <c r="A2719" t="s">
        <v>330</v>
      </c>
      <c r="B2719" t="s">
        <v>162</v>
      </c>
      <c r="C2719" s="1">
        <f>HYPERLINK("https://cao.dolgi.msk.ru/account/1011469837/", 1011469837)</f>
        <v>1011469837</v>
      </c>
      <c r="D2719">
        <v>-6977.52</v>
      </c>
    </row>
    <row r="2720" spans="1:4" hidden="1" x14ac:dyDescent="0.3">
      <c r="A2720" t="s">
        <v>330</v>
      </c>
      <c r="B2720" t="s">
        <v>163</v>
      </c>
      <c r="C2720" s="1">
        <f>HYPERLINK("https://cao.dolgi.msk.ru/account/1011470061/", 1011470061)</f>
        <v>1011470061</v>
      </c>
      <c r="D2720">
        <v>0</v>
      </c>
    </row>
    <row r="2721" spans="1:4" hidden="1" x14ac:dyDescent="0.3">
      <c r="A2721" t="s">
        <v>330</v>
      </c>
      <c r="B2721" t="s">
        <v>164</v>
      </c>
      <c r="C2721" s="1">
        <f>HYPERLINK("https://cao.dolgi.msk.ru/account/1011470547/", 1011470547)</f>
        <v>1011470547</v>
      </c>
      <c r="D2721">
        <v>-539.52</v>
      </c>
    </row>
    <row r="2722" spans="1:4" hidden="1" x14ac:dyDescent="0.3">
      <c r="A2722" t="s">
        <v>330</v>
      </c>
      <c r="B2722" t="s">
        <v>165</v>
      </c>
      <c r="C2722" s="1">
        <f>HYPERLINK("https://cao.dolgi.msk.ru/account/1011471726/", 1011471726)</f>
        <v>1011471726</v>
      </c>
      <c r="D2722">
        <v>0</v>
      </c>
    </row>
    <row r="2723" spans="1:4" hidden="1" x14ac:dyDescent="0.3">
      <c r="A2723" t="s">
        <v>330</v>
      </c>
      <c r="B2723" t="s">
        <v>166</v>
      </c>
      <c r="C2723" s="1">
        <f>HYPERLINK("https://cao.dolgi.msk.ru/account/1011470336/", 1011470336)</f>
        <v>1011470336</v>
      </c>
      <c r="D2723">
        <v>0</v>
      </c>
    </row>
    <row r="2724" spans="1:4" hidden="1" x14ac:dyDescent="0.3">
      <c r="A2724" t="s">
        <v>330</v>
      </c>
      <c r="B2724" t="s">
        <v>166</v>
      </c>
      <c r="C2724" s="1">
        <f>HYPERLINK("https://cao.dolgi.msk.ru/account/1011471734/", 1011471734)</f>
        <v>1011471734</v>
      </c>
      <c r="D2724">
        <v>0</v>
      </c>
    </row>
    <row r="2725" spans="1:4" hidden="1" x14ac:dyDescent="0.3">
      <c r="A2725" t="s">
        <v>330</v>
      </c>
      <c r="B2725" t="s">
        <v>167</v>
      </c>
      <c r="C2725" s="1">
        <f>HYPERLINK("https://cao.dolgi.msk.ru/account/1011471136/", 1011471136)</f>
        <v>1011471136</v>
      </c>
      <c r="D2725">
        <v>-8679.9699999999993</v>
      </c>
    </row>
    <row r="2726" spans="1:4" hidden="1" x14ac:dyDescent="0.3">
      <c r="A2726" t="s">
        <v>330</v>
      </c>
      <c r="B2726" t="s">
        <v>168</v>
      </c>
      <c r="C2726" s="1">
        <f>HYPERLINK("https://cao.dolgi.msk.ru/account/1011470344/", 1011470344)</f>
        <v>1011470344</v>
      </c>
      <c r="D2726">
        <v>0</v>
      </c>
    </row>
    <row r="2727" spans="1:4" hidden="1" x14ac:dyDescent="0.3">
      <c r="A2727" t="s">
        <v>330</v>
      </c>
      <c r="B2727" t="s">
        <v>169</v>
      </c>
      <c r="C2727" s="1">
        <f>HYPERLINK("https://cao.dolgi.msk.ru/account/1011470555/", 1011470555)</f>
        <v>1011470555</v>
      </c>
      <c r="D2727">
        <v>0</v>
      </c>
    </row>
    <row r="2728" spans="1:4" x14ac:dyDescent="0.3">
      <c r="A2728" t="s">
        <v>330</v>
      </c>
      <c r="B2728" t="s">
        <v>170</v>
      </c>
      <c r="C2728" s="1">
        <f>HYPERLINK("https://cao.dolgi.msk.ru/account/1011470862/", 1011470862)</f>
        <v>1011470862</v>
      </c>
      <c r="D2728">
        <v>24114.58</v>
      </c>
    </row>
    <row r="2729" spans="1:4" x14ac:dyDescent="0.3">
      <c r="A2729" t="s">
        <v>330</v>
      </c>
      <c r="B2729" t="s">
        <v>170</v>
      </c>
      <c r="C2729" s="1">
        <f>HYPERLINK("https://cao.dolgi.msk.ru/account/1011471742/", 1011471742)</f>
        <v>1011471742</v>
      </c>
      <c r="D2729">
        <v>100609.57</v>
      </c>
    </row>
    <row r="2730" spans="1:4" hidden="1" x14ac:dyDescent="0.3">
      <c r="A2730" t="s">
        <v>330</v>
      </c>
      <c r="B2730" t="s">
        <v>171</v>
      </c>
      <c r="C2730" s="1">
        <f>HYPERLINK("https://cao.dolgi.msk.ru/account/1011469845/", 1011469845)</f>
        <v>1011469845</v>
      </c>
      <c r="D2730">
        <v>-4949.82</v>
      </c>
    </row>
    <row r="2731" spans="1:4" x14ac:dyDescent="0.3">
      <c r="A2731" t="s">
        <v>330</v>
      </c>
      <c r="B2731" t="s">
        <v>172</v>
      </c>
      <c r="C2731" s="1">
        <f>HYPERLINK("https://cao.dolgi.msk.ru/account/1011469853/", 1011469853)</f>
        <v>1011469853</v>
      </c>
      <c r="D2731">
        <v>1540.28</v>
      </c>
    </row>
    <row r="2732" spans="1:4" hidden="1" x14ac:dyDescent="0.3">
      <c r="A2732" t="s">
        <v>330</v>
      </c>
      <c r="B2732" t="s">
        <v>173</v>
      </c>
      <c r="C2732" s="1">
        <f>HYPERLINK("https://cao.dolgi.msk.ru/account/1011470352/", 1011470352)</f>
        <v>1011470352</v>
      </c>
      <c r="D2732">
        <v>-1589.93</v>
      </c>
    </row>
    <row r="2733" spans="1:4" hidden="1" x14ac:dyDescent="0.3">
      <c r="A2733" t="s">
        <v>330</v>
      </c>
      <c r="B2733" t="s">
        <v>174</v>
      </c>
      <c r="C2733" s="1">
        <f>HYPERLINK("https://cao.dolgi.msk.ru/account/1011530407/", 1011530407)</f>
        <v>1011530407</v>
      </c>
      <c r="D2733">
        <v>0</v>
      </c>
    </row>
    <row r="2734" spans="1:4" hidden="1" x14ac:dyDescent="0.3">
      <c r="A2734" t="s">
        <v>330</v>
      </c>
      <c r="B2734" t="s">
        <v>175</v>
      </c>
      <c r="C2734" s="1">
        <f>HYPERLINK("https://cao.dolgi.msk.ru/account/1011469896/", 1011469896)</f>
        <v>1011469896</v>
      </c>
      <c r="D2734">
        <v>-1121.8800000000001</v>
      </c>
    </row>
    <row r="2735" spans="1:4" hidden="1" x14ac:dyDescent="0.3">
      <c r="A2735" t="s">
        <v>330</v>
      </c>
      <c r="B2735" t="s">
        <v>175</v>
      </c>
      <c r="C2735" s="1">
        <f>HYPERLINK("https://cao.dolgi.msk.ru/account/1011470088/", 1011470088)</f>
        <v>1011470088</v>
      </c>
      <c r="D2735">
        <v>-10686.39</v>
      </c>
    </row>
    <row r="2736" spans="1:4" hidden="1" x14ac:dyDescent="0.3">
      <c r="A2736" t="s">
        <v>330</v>
      </c>
      <c r="B2736" t="s">
        <v>175</v>
      </c>
      <c r="C2736" s="1">
        <f>HYPERLINK("https://cao.dolgi.msk.ru/account/1011470635/", 1011470635)</f>
        <v>1011470635</v>
      </c>
      <c r="D2736">
        <v>-1398.64</v>
      </c>
    </row>
    <row r="2737" spans="1:4" hidden="1" x14ac:dyDescent="0.3">
      <c r="A2737" t="s">
        <v>330</v>
      </c>
      <c r="B2737" t="s">
        <v>175</v>
      </c>
      <c r="C2737" s="1">
        <f>HYPERLINK("https://cao.dolgi.msk.ru/account/1011471769/", 1011471769)</f>
        <v>1011471769</v>
      </c>
      <c r="D2737">
        <v>-7586.92</v>
      </c>
    </row>
    <row r="2738" spans="1:4" hidden="1" x14ac:dyDescent="0.3">
      <c r="A2738" t="s">
        <v>330</v>
      </c>
      <c r="B2738" t="s">
        <v>175</v>
      </c>
      <c r="C2738" s="1">
        <f>HYPERLINK("https://cao.dolgi.msk.ru/account/1011471777/", 1011471777)</f>
        <v>1011471777</v>
      </c>
      <c r="D2738">
        <v>-3052.26</v>
      </c>
    </row>
    <row r="2739" spans="1:4" x14ac:dyDescent="0.3">
      <c r="A2739" t="s">
        <v>330</v>
      </c>
      <c r="B2739" t="s">
        <v>175</v>
      </c>
      <c r="C2739" s="1">
        <f>HYPERLINK("https://cao.dolgi.msk.ru/account/1011494098/", 1011494098)</f>
        <v>1011494098</v>
      </c>
      <c r="D2739">
        <v>159936.19</v>
      </c>
    </row>
    <row r="2740" spans="1:4" x14ac:dyDescent="0.3">
      <c r="A2740" t="s">
        <v>330</v>
      </c>
      <c r="B2740" t="s">
        <v>175</v>
      </c>
      <c r="C2740" s="1">
        <f>HYPERLINK("https://cao.dolgi.msk.ru/account/1011494119/", 1011494119)</f>
        <v>1011494119</v>
      </c>
      <c r="D2740">
        <v>43255.27</v>
      </c>
    </row>
    <row r="2741" spans="1:4" hidden="1" x14ac:dyDescent="0.3">
      <c r="A2741" t="s">
        <v>330</v>
      </c>
      <c r="B2741" t="s">
        <v>175</v>
      </c>
      <c r="C2741" s="1">
        <f>HYPERLINK("https://cao.dolgi.msk.ru/account/1011496042/", 1011496042)</f>
        <v>1011496042</v>
      </c>
      <c r="D2741">
        <v>-8144.47</v>
      </c>
    </row>
    <row r="2742" spans="1:4" x14ac:dyDescent="0.3">
      <c r="A2742" t="s">
        <v>330</v>
      </c>
      <c r="B2742" t="s">
        <v>175</v>
      </c>
      <c r="C2742" s="1">
        <f>HYPERLINK("https://cao.dolgi.msk.ru/account/1011504217/", 1011504217)</f>
        <v>1011504217</v>
      </c>
      <c r="D2742">
        <v>42902.69</v>
      </c>
    </row>
    <row r="2743" spans="1:4" hidden="1" x14ac:dyDescent="0.3">
      <c r="A2743" t="s">
        <v>330</v>
      </c>
      <c r="B2743" t="s">
        <v>175</v>
      </c>
      <c r="C2743" s="1">
        <f>HYPERLINK("https://cao.dolgi.msk.ru/account/1011504487/", 1011504487)</f>
        <v>1011504487</v>
      </c>
      <c r="D2743">
        <v>0</v>
      </c>
    </row>
    <row r="2744" spans="1:4" hidden="1" x14ac:dyDescent="0.3">
      <c r="A2744" t="s">
        <v>330</v>
      </c>
      <c r="B2744" t="s">
        <v>175</v>
      </c>
      <c r="C2744" s="1">
        <f>HYPERLINK("https://cao.dolgi.msk.ru/account/1011514933/", 1011514933)</f>
        <v>1011514933</v>
      </c>
      <c r="D2744">
        <v>0</v>
      </c>
    </row>
    <row r="2745" spans="1:4" hidden="1" x14ac:dyDescent="0.3">
      <c r="A2745" t="s">
        <v>330</v>
      </c>
      <c r="B2745" t="s">
        <v>175</v>
      </c>
      <c r="C2745" s="1">
        <f>HYPERLINK("https://cao.dolgi.msk.ru/account/1011534416/", 1011534416)</f>
        <v>1011534416</v>
      </c>
      <c r="D2745">
        <v>0</v>
      </c>
    </row>
    <row r="2746" spans="1:4" hidden="1" x14ac:dyDescent="0.3">
      <c r="A2746" t="s">
        <v>330</v>
      </c>
      <c r="B2746" t="s">
        <v>175</v>
      </c>
      <c r="C2746" s="1">
        <f>HYPERLINK("https://cao.dolgi.msk.ru/account/1011534424/", 1011534424)</f>
        <v>1011534424</v>
      </c>
      <c r="D2746">
        <v>0</v>
      </c>
    </row>
    <row r="2747" spans="1:4" hidden="1" x14ac:dyDescent="0.3">
      <c r="A2747" t="s">
        <v>330</v>
      </c>
      <c r="B2747" t="s">
        <v>175</v>
      </c>
      <c r="C2747" s="1">
        <f>HYPERLINK("https://cao.dolgi.msk.ru/account/1011534432/", 1011534432)</f>
        <v>1011534432</v>
      </c>
      <c r="D2747">
        <v>0</v>
      </c>
    </row>
    <row r="2748" spans="1:4" hidden="1" x14ac:dyDescent="0.3">
      <c r="A2748" t="s">
        <v>331</v>
      </c>
      <c r="B2748" t="s">
        <v>59</v>
      </c>
      <c r="C2748" s="1">
        <f>HYPERLINK("https://cao.dolgi.msk.ru/account/1011505412/", 1011505412)</f>
        <v>1011505412</v>
      </c>
      <c r="D2748">
        <v>0</v>
      </c>
    </row>
    <row r="2749" spans="1:4" hidden="1" x14ac:dyDescent="0.3">
      <c r="A2749" t="s">
        <v>331</v>
      </c>
      <c r="B2749" t="s">
        <v>332</v>
      </c>
      <c r="C2749" s="1">
        <f>HYPERLINK("https://cao.dolgi.msk.ru/account/1011506159/", 1011506159)</f>
        <v>1011506159</v>
      </c>
      <c r="D2749">
        <v>-2481.44</v>
      </c>
    </row>
    <row r="2750" spans="1:4" hidden="1" x14ac:dyDescent="0.3">
      <c r="A2750" t="s">
        <v>331</v>
      </c>
      <c r="B2750" t="s">
        <v>60</v>
      </c>
      <c r="C2750" s="1">
        <f>HYPERLINK("https://cao.dolgi.msk.ru/account/1011505439/", 1011505439)</f>
        <v>1011505439</v>
      </c>
      <c r="D2750">
        <v>0</v>
      </c>
    </row>
    <row r="2751" spans="1:4" x14ac:dyDescent="0.3">
      <c r="A2751" t="s">
        <v>331</v>
      </c>
      <c r="B2751" t="s">
        <v>61</v>
      </c>
      <c r="C2751" s="1">
        <f>HYPERLINK("https://cao.dolgi.msk.ru/account/1011505447/", 1011505447)</f>
        <v>1011505447</v>
      </c>
      <c r="D2751">
        <v>6640.31</v>
      </c>
    </row>
    <row r="2752" spans="1:4" hidden="1" x14ac:dyDescent="0.3">
      <c r="A2752" t="s">
        <v>331</v>
      </c>
      <c r="B2752" t="s">
        <v>333</v>
      </c>
      <c r="C2752" s="1">
        <f>HYPERLINK("https://cao.dolgi.msk.ru/account/1011505455/", 1011505455)</f>
        <v>1011505455</v>
      </c>
      <c r="D2752">
        <v>0</v>
      </c>
    </row>
    <row r="2753" spans="1:4" x14ac:dyDescent="0.3">
      <c r="A2753" t="s">
        <v>331</v>
      </c>
      <c r="B2753" t="s">
        <v>62</v>
      </c>
      <c r="C2753" s="1">
        <f>HYPERLINK("https://cao.dolgi.msk.ru/account/1011505535/", 1011505535)</f>
        <v>1011505535</v>
      </c>
      <c r="D2753">
        <v>6783.66</v>
      </c>
    </row>
    <row r="2754" spans="1:4" x14ac:dyDescent="0.3">
      <c r="A2754" t="s">
        <v>331</v>
      </c>
      <c r="B2754" t="s">
        <v>334</v>
      </c>
      <c r="C2754" s="1">
        <f>HYPERLINK("https://cao.dolgi.msk.ru/account/1011505543/", 1011505543)</f>
        <v>1011505543</v>
      </c>
      <c r="D2754">
        <v>11955.02</v>
      </c>
    </row>
    <row r="2755" spans="1:4" hidden="1" x14ac:dyDescent="0.3">
      <c r="A2755" t="s">
        <v>331</v>
      </c>
      <c r="B2755" t="s">
        <v>63</v>
      </c>
      <c r="C2755" s="1">
        <f>HYPERLINK("https://cao.dolgi.msk.ru/account/1011505551/", 1011505551)</f>
        <v>1011505551</v>
      </c>
      <c r="D2755">
        <v>-4837.43</v>
      </c>
    </row>
    <row r="2756" spans="1:4" x14ac:dyDescent="0.3">
      <c r="A2756" t="s">
        <v>331</v>
      </c>
      <c r="B2756" t="s">
        <v>335</v>
      </c>
      <c r="C2756" s="1">
        <f>HYPERLINK("https://cao.dolgi.msk.ru/account/1011505607/", 1011505607)</f>
        <v>1011505607</v>
      </c>
      <c r="D2756">
        <v>3521.72</v>
      </c>
    </row>
    <row r="2757" spans="1:4" x14ac:dyDescent="0.3">
      <c r="A2757" t="s">
        <v>331</v>
      </c>
      <c r="B2757" t="s">
        <v>64</v>
      </c>
      <c r="C2757" s="1">
        <f>HYPERLINK("https://cao.dolgi.msk.ru/account/1011505615/", 1011505615)</f>
        <v>1011505615</v>
      </c>
      <c r="D2757">
        <v>4132.6099999999997</v>
      </c>
    </row>
    <row r="2758" spans="1:4" hidden="1" x14ac:dyDescent="0.3">
      <c r="A2758" t="s">
        <v>331</v>
      </c>
      <c r="B2758" t="s">
        <v>65</v>
      </c>
      <c r="C2758" s="1">
        <f>HYPERLINK("https://cao.dolgi.msk.ru/account/1011505842/", 1011505842)</f>
        <v>1011505842</v>
      </c>
      <c r="D2758">
        <v>0</v>
      </c>
    </row>
    <row r="2759" spans="1:4" hidden="1" x14ac:dyDescent="0.3">
      <c r="A2759" t="s">
        <v>331</v>
      </c>
      <c r="B2759" t="s">
        <v>66</v>
      </c>
      <c r="C2759" s="1">
        <f>HYPERLINK("https://cao.dolgi.msk.ru/account/1011505623/", 1011505623)</f>
        <v>1011505623</v>
      </c>
      <c r="D2759">
        <v>-2457.4699999999998</v>
      </c>
    </row>
    <row r="2760" spans="1:4" x14ac:dyDescent="0.3">
      <c r="A2760" t="s">
        <v>331</v>
      </c>
      <c r="B2760" t="s">
        <v>66</v>
      </c>
      <c r="C2760" s="1">
        <f>HYPERLINK("https://cao.dolgi.msk.ru/account/1011506124/", 1011506124)</f>
        <v>1011506124</v>
      </c>
      <c r="D2760">
        <v>9207.51</v>
      </c>
    </row>
    <row r="2761" spans="1:4" hidden="1" x14ac:dyDescent="0.3">
      <c r="A2761" t="s">
        <v>331</v>
      </c>
      <c r="B2761" t="s">
        <v>67</v>
      </c>
      <c r="C2761" s="1">
        <f>HYPERLINK("https://cao.dolgi.msk.ru/account/1011505631/", 1011505631)</f>
        <v>1011505631</v>
      </c>
      <c r="D2761">
        <v>-2028.26</v>
      </c>
    </row>
    <row r="2762" spans="1:4" hidden="1" x14ac:dyDescent="0.3">
      <c r="A2762" t="s">
        <v>331</v>
      </c>
      <c r="B2762" t="s">
        <v>336</v>
      </c>
      <c r="C2762" s="1">
        <f>HYPERLINK("https://cao.dolgi.msk.ru/account/1011505658/", 1011505658)</f>
        <v>1011505658</v>
      </c>
      <c r="D2762">
        <v>-2817.15</v>
      </c>
    </row>
    <row r="2763" spans="1:4" hidden="1" x14ac:dyDescent="0.3">
      <c r="A2763" t="s">
        <v>331</v>
      </c>
      <c r="B2763" t="s">
        <v>68</v>
      </c>
      <c r="C2763" s="1">
        <f>HYPERLINK("https://cao.dolgi.msk.ru/account/1011505666/", 1011505666)</f>
        <v>1011505666</v>
      </c>
      <c r="D2763">
        <v>-3354.72</v>
      </c>
    </row>
    <row r="2764" spans="1:4" hidden="1" x14ac:dyDescent="0.3">
      <c r="A2764" t="s">
        <v>331</v>
      </c>
      <c r="B2764" t="s">
        <v>70</v>
      </c>
      <c r="C2764" s="1">
        <f>HYPERLINK("https://cao.dolgi.msk.ru/account/1011505674/", 1011505674)</f>
        <v>1011505674</v>
      </c>
      <c r="D2764">
        <v>-11466.06</v>
      </c>
    </row>
    <row r="2765" spans="1:4" hidden="1" x14ac:dyDescent="0.3">
      <c r="A2765" t="s">
        <v>337</v>
      </c>
      <c r="B2765" t="s">
        <v>6</v>
      </c>
      <c r="C2765" s="1">
        <f>HYPERLINK("https://cao.dolgi.msk.ru/account/1011496499/", 1011496499)</f>
        <v>1011496499</v>
      </c>
      <c r="D2765">
        <v>-111.44</v>
      </c>
    </row>
    <row r="2766" spans="1:4" hidden="1" x14ac:dyDescent="0.3">
      <c r="A2766" t="s">
        <v>337</v>
      </c>
      <c r="B2766" t="s">
        <v>28</v>
      </c>
      <c r="C2766" s="1">
        <f>HYPERLINK("https://cao.dolgi.msk.ru/account/1011496384/", 1011496384)</f>
        <v>1011496384</v>
      </c>
      <c r="D2766">
        <v>-4011.59</v>
      </c>
    </row>
    <row r="2767" spans="1:4" x14ac:dyDescent="0.3">
      <c r="A2767" t="s">
        <v>337</v>
      </c>
      <c r="B2767" t="s">
        <v>35</v>
      </c>
      <c r="C2767" s="1">
        <f>HYPERLINK("https://cao.dolgi.msk.ru/account/1011496632/", 1011496632)</f>
        <v>1011496632</v>
      </c>
      <c r="D2767">
        <v>246.02</v>
      </c>
    </row>
    <row r="2768" spans="1:4" x14ac:dyDescent="0.3">
      <c r="A2768" t="s">
        <v>337</v>
      </c>
      <c r="B2768" t="s">
        <v>5</v>
      </c>
      <c r="C2768" s="1">
        <f>HYPERLINK("https://cao.dolgi.msk.ru/account/1011496982/", 1011496982)</f>
        <v>1011496982</v>
      </c>
      <c r="D2768">
        <v>4153.16</v>
      </c>
    </row>
    <row r="2769" spans="1:4" hidden="1" x14ac:dyDescent="0.3">
      <c r="A2769" t="s">
        <v>337</v>
      </c>
      <c r="B2769" t="s">
        <v>7</v>
      </c>
      <c r="C2769" s="1">
        <f>HYPERLINK("https://cao.dolgi.msk.ru/account/1011497168/", 1011497168)</f>
        <v>1011497168</v>
      </c>
      <c r="D2769">
        <v>0</v>
      </c>
    </row>
    <row r="2770" spans="1:4" hidden="1" x14ac:dyDescent="0.3">
      <c r="A2770" t="s">
        <v>337</v>
      </c>
      <c r="B2770" t="s">
        <v>8</v>
      </c>
      <c r="C2770" s="1">
        <f>HYPERLINK("https://cao.dolgi.msk.ru/account/1011497328/", 1011497328)</f>
        <v>1011497328</v>
      </c>
      <c r="D2770">
        <v>-2440.11</v>
      </c>
    </row>
    <row r="2771" spans="1:4" hidden="1" x14ac:dyDescent="0.3">
      <c r="A2771" t="s">
        <v>337</v>
      </c>
      <c r="B2771" t="s">
        <v>31</v>
      </c>
      <c r="C2771" s="1">
        <f>HYPERLINK("https://cao.dolgi.msk.ru/account/1011497176/", 1011497176)</f>
        <v>1011497176</v>
      </c>
      <c r="D2771">
        <v>-582.82000000000005</v>
      </c>
    </row>
    <row r="2772" spans="1:4" hidden="1" x14ac:dyDescent="0.3">
      <c r="A2772" t="s">
        <v>337</v>
      </c>
      <c r="B2772" t="s">
        <v>9</v>
      </c>
      <c r="C2772" s="1">
        <f>HYPERLINK("https://cao.dolgi.msk.ru/account/1011496659/", 1011496659)</f>
        <v>1011496659</v>
      </c>
      <c r="D2772">
        <v>0</v>
      </c>
    </row>
    <row r="2773" spans="1:4" hidden="1" x14ac:dyDescent="0.3">
      <c r="A2773" t="s">
        <v>337</v>
      </c>
      <c r="B2773" t="s">
        <v>10</v>
      </c>
      <c r="C2773" s="1">
        <f>HYPERLINK("https://cao.dolgi.msk.ru/account/1011496667/", 1011496667)</f>
        <v>1011496667</v>
      </c>
      <c r="D2773">
        <v>-3222.36</v>
      </c>
    </row>
    <row r="2774" spans="1:4" x14ac:dyDescent="0.3">
      <c r="A2774" t="s">
        <v>337</v>
      </c>
      <c r="B2774" t="s">
        <v>11</v>
      </c>
      <c r="C2774" s="1">
        <f>HYPERLINK("https://cao.dolgi.msk.ru/account/1011497184/", 1011497184)</f>
        <v>1011497184</v>
      </c>
      <c r="D2774">
        <v>1069.94</v>
      </c>
    </row>
    <row r="2775" spans="1:4" hidden="1" x14ac:dyDescent="0.3">
      <c r="A2775" t="s">
        <v>337</v>
      </c>
      <c r="B2775" t="s">
        <v>12</v>
      </c>
      <c r="C2775" s="1">
        <f>HYPERLINK("https://cao.dolgi.msk.ru/account/1011496675/", 1011496675)</f>
        <v>1011496675</v>
      </c>
      <c r="D2775">
        <v>0</v>
      </c>
    </row>
    <row r="2776" spans="1:4" hidden="1" x14ac:dyDescent="0.3">
      <c r="A2776" t="s">
        <v>337</v>
      </c>
      <c r="B2776" t="s">
        <v>23</v>
      </c>
      <c r="C2776" s="1">
        <f>HYPERLINK("https://cao.dolgi.msk.ru/account/1011496851/", 1011496851)</f>
        <v>1011496851</v>
      </c>
      <c r="D2776">
        <v>0</v>
      </c>
    </row>
    <row r="2777" spans="1:4" hidden="1" x14ac:dyDescent="0.3">
      <c r="A2777" t="s">
        <v>337</v>
      </c>
      <c r="B2777" t="s">
        <v>13</v>
      </c>
      <c r="C2777" s="1">
        <f>HYPERLINK("https://cao.dolgi.msk.ru/account/1011497192/", 1011497192)</f>
        <v>1011497192</v>
      </c>
      <c r="D2777">
        <v>0</v>
      </c>
    </row>
    <row r="2778" spans="1:4" hidden="1" x14ac:dyDescent="0.3">
      <c r="A2778" t="s">
        <v>337</v>
      </c>
      <c r="B2778" t="s">
        <v>14</v>
      </c>
      <c r="C2778" s="1">
        <f>HYPERLINK("https://cao.dolgi.msk.ru/account/1011496288/", 1011496288)</f>
        <v>1011496288</v>
      </c>
      <c r="D2778">
        <v>0</v>
      </c>
    </row>
    <row r="2779" spans="1:4" hidden="1" x14ac:dyDescent="0.3">
      <c r="A2779" t="s">
        <v>337</v>
      </c>
      <c r="B2779" t="s">
        <v>16</v>
      </c>
      <c r="C2779" s="1">
        <f>HYPERLINK("https://cao.dolgi.msk.ru/account/1011497002/", 1011497002)</f>
        <v>1011497002</v>
      </c>
      <c r="D2779">
        <v>0</v>
      </c>
    </row>
    <row r="2780" spans="1:4" hidden="1" x14ac:dyDescent="0.3">
      <c r="A2780" t="s">
        <v>337</v>
      </c>
      <c r="B2780" t="s">
        <v>17</v>
      </c>
      <c r="C2780" s="1">
        <f>HYPERLINK("https://cao.dolgi.msk.ru/account/1011496392/", 1011496392)</f>
        <v>1011496392</v>
      </c>
      <c r="D2780">
        <v>-4666.5600000000004</v>
      </c>
    </row>
    <row r="2781" spans="1:4" hidden="1" x14ac:dyDescent="0.3">
      <c r="A2781" t="s">
        <v>337</v>
      </c>
      <c r="B2781" t="s">
        <v>18</v>
      </c>
      <c r="C2781" s="1">
        <f>HYPERLINK("https://cao.dolgi.msk.ru/account/1011496501/", 1011496501)</f>
        <v>1011496501</v>
      </c>
      <c r="D2781">
        <v>0</v>
      </c>
    </row>
    <row r="2782" spans="1:4" hidden="1" x14ac:dyDescent="0.3">
      <c r="A2782" t="s">
        <v>337</v>
      </c>
      <c r="B2782" t="s">
        <v>19</v>
      </c>
      <c r="C2782" s="1">
        <f>HYPERLINK("https://cao.dolgi.msk.ru/account/1011497029/", 1011497029)</f>
        <v>1011497029</v>
      </c>
      <c r="D2782">
        <v>0</v>
      </c>
    </row>
    <row r="2783" spans="1:4" hidden="1" x14ac:dyDescent="0.3">
      <c r="A2783" t="s">
        <v>337</v>
      </c>
      <c r="B2783" t="s">
        <v>20</v>
      </c>
      <c r="C2783" s="1">
        <f>HYPERLINK("https://cao.dolgi.msk.ru/account/1011496683/", 1011496683)</f>
        <v>1011496683</v>
      </c>
      <c r="D2783">
        <v>0</v>
      </c>
    </row>
    <row r="2784" spans="1:4" hidden="1" x14ac:dyDescent="0.3">
      <c r="A2784" t="s">
        <v>337</v>
      </c>
      <c r="B2784" t="s">
        <v>21</v>
      </c>
      <c r="C2784" s="1">
        <f>HYPERLINK("https://cao.dolgi.msk.ru/account/1011497336/", 1011497336)</f>
        <v>1011497336</v>
      </c>
      <c r="D2784">
        <v>0</v>
      </c>
    </row>
    <row r="2785" spans="1:4" hidden="1" x14ac:dyDescent="0.3">
      <c r="A2785" t="s">
        <v>337</v>
      </c>
      <c r="B2785" t="s">
        <v>22</v>
      </c>
      <c r="C2785" s="1">
        <f>HYPERLINK("https://cao.dolgi.msk.ru/account/1011496624/", 1011496624)</f>
        <v>1011496624</v>
      </c>
      <c r="D2785">
        <v>0</v>
      </c>
    </row>
    <row r="2786" spans="1:4" hidden="1" x14ac:dyDescent="0.3">
      <c r="A2786" t="s">
        <v>337</v>
      </c>
      <c r="B2786" t="s">
        <v>24</v>
      </c>
      <c r="C2786" s="1">
        <f>HYPERLINK("https://cao.dolgi.msk.ru/account/1011496878/", 1011496878)</f>
        <v>1011496878</v>
      </c>
      <c r="D2786">
        <v>0</v>
      </c>
    </row>
    <row r="2787" spans="1:4" hidden="1" x14ac:dyDescent="0.3">
      <c r="A2787" t="s">
        <v>337</v>
      </c>
      <c r="B2787" t="s">
        <v>25</v>
      </c>
      <c r="C2787" s="1">
        <f>HYPERLINK("https://cao.dolgi.msk.ru/account/1011496528/", 1011496528)</f>
        <v>1011496528</v>
      </c>
      <c r="D2787">
        <v>0</v>
      </c>
    </row>
    <row r="2788" spans="1:4" hidden="1" x14ac:dyDescent="0.3">
      <c r="A2788" t="s">
        <v>337</v>
      </c>
      <c r="B2788" t="s">
        <v>26</v>
      </c>
      <c r="C2788" s="1">
        <f>HYPERLINK("https://cao.dolgi.msk.ru/account/1011497205/", 1011497205)</f>
        <v>1011497205</v>
      </c>
      <c r="D2788">
        <v>0</v>
      </c>
    </row>
    <row r="2789" spans="1:4" hidden="1" x14ac:dyDescent="0.3">
      <c r="A2789" t="s">
        <v>337</v>
      </c>
      <c r="B2789" t="s">
        <v>27</v>
      </c>
      <c r="C2789" s="1">
        <f>HYPERLINK("https://cao.dolgi.msk.ru/account/1011496691/", 1011496691)</f>
        <v>1011496691</v>
      </c>
      <c r="D2789">
        <v>0</v>
      </c>
    </row>
    <row r="2790" spans="1:4" hidden="1" x14ac:dyDescent="0.3">
      <c r="A2790" t="s">
        <v>337</v>
      </c>
      <c r="B2790" t="s">
        <v>29</v>
      </c>
      <c r="C2790" s="1">
        <f>HYPERLINK("https://cao.dolgi.msk.ru/account/1011496886/", 1011496886)</f>
        <v>1011496886</v>
      </c>
      <c r="D2790">
        <v>0</v>
      </c>
    </row>
    <row r="2791" spans="1:4" hidden="1" x14ac:dyDescent="0.3">
      <c r="A2791" t="s">
        <v>337</v>
      </c>
      <c r="B2791" t="s">
        <v>38</v>
      </c>
      <c r="C2791" s="1">
        <f>HYPERLINK("https://cao.dolgi.msk.ru/account/1011496405/", 1011496405)</f>
        <v>1011496405</v>
      </c>
      <c r="D2791">
        <v>0</v>
      </c>
    </row>
    <row r="2792" spans="1:4" hidden="1" x14ac:dyDescent="0.3">
      <c r="A2792" t="s">
        <v>337</v>
      </c>
      <c r="B2792" t="s">
        <v>39</v>
      </c>
      <c r="C2792" s="1">
        <f>HYPERLINK("https://cao.dolgi.msk.ru/account/1011497213/", 1011497213)</f>
        <v>1011497213</v>
      </c>
      <c r="D2792">
        <v>-348.24</v>
      </c>
    </row>
    <row r="2793" spans="1:4" hidden="1" x14ac:dyDescent="0.3">
      <c r="A2793" t="s">
        <v>337</v>
      </c>
      <c r="B2793" t="s">
        <v>40</v>
      </c>
      <c r="C2793" s="1">
        <f>HYPERLINK("https://cao.dolgi.msk.ru/account/1011497344/", 1011497344)</f>
        <v>1011497344</v>
      </c>
      <c r="D2793">
        <v>-2737.3</v>
      </c>
    </row>
    <row r="2794" spans="1:4" hidden="1" x14ac:dyDescent="0.3">
      <c r="A2794" t="s">
        <v>337</v>
      </c>
      <c r="B2794" t="s">
        <v>41</v>
      </c>
      <c r="C2794" s="1">
        <f>HYPERLINK("https://cao.dolgi.msk.ru/account/1011496894/", 1011496894)</f>
        <v>1011496894</v>
      </c>
      <c r="D2794">
        <v>-129.9</v>
      </c>
    </row>
    <row r="2795" spans="1:4" hidden="1" x14ac:dyDescent="0.3">
      <c r="A2795" t="s">
        <v>337</v>
      </c>
      <c r="B2795" t="s">
        <v>51</v>
      </c>
      <c r="C2795" s="1">
        <f>HYPERLINK("https://cao.dolgi.msk.ru/account/1011496907/", 1011496907)</f>
        <v>1011496907</v>
      </c>
      <c r="D2795">
        <v>0</v>
      </c>
    </row>
    <row r="2796" spans="1:4" hidden="1" x14ac:dyDescent="0.3">
      <c r="A2796" t="s">
        <v>337</v>
      </c>
      <c r="B2796" t="s">
        <v>52</v>
      </c>
      <c r="C2796" s="1">
        <f>HYPERLINK("https://cao.dolgi.msk.ru/account/1011496536/", 1011496536)</f>
        <v>1011496536</v>
      </c>
      <c r="D2796">
        <v>0</v>
      </c>
    </row>
    <row r="2797" spans="1:4" hidden="1" x14ac:dyDescent="0.3">
      <c r="A2797" t="s">
        <v>337</v>
      </c>
      <c r="B2797" t="s">
        <v>53</v>
      </c>
      <c r="C2797" s="1">
        <f>HYPERLINK("https://cao.dolgi.msk.ru/account/1011497037/", 1011497037)</f>
        <v>1011497037</v>
      </c>
      <c r="D2797">
        <v>0</v>
      </c>
    </row>
    <row r="2798" spans="1:4" x14ac:dyDescent="0.3">
      <c r="A2798" t="s">
        <v>337</v>
      </c>
      <c r="B2798" t="s">
        <v>54</v>
      </c>
      <c r="C2798" s="1">
        <f>HYPERLINK("https://cao.dolgi.msk.ru/account/1011497352/", 1011497352)</f>
        <v>1011497352</v>
      </c>
      <c r="D2798">
        <v>21958.91</v>
      </c>
    </row>
    <row r="2799" spans="1:4" x14ac:dyDescent="0.3">
      <c r="A2799" t="s">
        <v>337</v>
      </c>
      <c r="B2799" t="s">
        <v>55</v>
      </c>
      <c r="C2799" s="1">
        <f>HYPERLINK("https://cao.dolgi.msk.ru/account/1011496704/", 1011496704)</f>
        <v>1011496704</v>
      </c>
      <c r="D2799">
        <v>18279.11</v>
      </c>
    </row>
    <row r="2800" spans="1:4" hidden="1" x14ac:dyDescent="0.3">
      <c r="A2800" t="s">
        <v>337</v>
      </c>
      <c r="B2800" t="s">
        <v>56</v>
      </c>
      <c r="C2800" s="1">
        <f>HYPERLINK("https://cao.dolgi.msk.ru/account/1011496413/", 1011496413)</f>
        <v>1011496413</v>
      </c>
      <c r="D2800">
        <v>0</v>
      </c>
    </row>
    <row r="2801" spans="1:4" hidden="1" x14ac:dyDescent="0.3">
      <c r="A2801" t="s">
        <v>337</v>
      </c>
      <c r="B2801" t="s">
        <v>87</v>
      </c>
      <c r="C2801" s="1">
        <f>HYPERLINK("https://cao.dolgi.msk.ru/account/1011496712/", 1011496712)</f>
        <v>1011496712</v>
      </c>
      <c r="D2801">
        <v>0</v>
      </c>
    </row>
    <row r="2802" spans="1:4" hidden="1" x14ac:dyDescent="0.3">
      <c r="A2802" t="s">
        <v>337</v>
      </c>
      <c r="B2802" t="s">
        <v>88</v>
      </c>
      <c r="C2802" s="1">
        <f>HYPERLINK("https://cao.dolgi.msk.ru/account/1011496544/", 1011496544)</f>
        <v>1011496544</v>
      </c>
      <c r="D2802">
        <v>0</v>
      </c>
    </row>
    <row r="2803" spans="1:4" hidden="1" x14ac:dyDescent="0.3">
      <c r="A2803" t="s">
        <v>337</v>
      </c>
      <c r="B2803" t="s">
        <v>89</v>
      </c>
      <c r="C2803" s="1">
        <f>HYPERLINK("https://cao.dolgi.msk.ru/account/1011496739/", 1011496739)</f>
        <v>1011496739</v>
      </c>
      <c r="D2803">
        <v>0</v>
      </c>
    </row>
    <row r="2804" spans="1:4" x14ac:dyDescent="0.3">
      <c r="A2804" t="s">
        <v>337</v>
      </c>
      <c r="B2804" t="s">
        <v>90</v>
      </c>
      <c r="C2804" s="1">
        <f>HYPERLINK("https://cao.dolgi.msk.ru/account/1011497045/", 1011497045)</f>
        <v>1011497045</v>
      </c>
      <c r="D2804">
        <v>122135.72</v>
      </c>
    </row>
    <row r="2805" spans="1:4" hidden="1" x14ac:dyDescent="0.3">
      <c r="A2805" t="s">
        <v>337</v>
      </c>
      <c r="B2805" t="s">
        <v>96</v>
      </c>
      <c r="C2805" s="1">
        <f>HYPERLINK("https://cao.dolgi.msk.ru/account/1011496296/", 1011496296)</f>
        <v>1011496296</v>
      </c>
      <c r="D2805">
        <v>0</v>
      </c>
    </row>
    <row r="2806" spans="1:4" x14ac:dyDescent="0.3">
      <c r="A2806" t="s">
        <v>337</v>
      </c>
      <c r="B2806" t="s">
        <v>97</v>
      </c>
      <c r="C2806" s="1">
        <f>HYPERLINK("https://cao.dolgi.msk.ru/account/1011497053/", 1011497053)</f>
        <v>1011497053</v>
      </c>
      <c r="D2806">
        <v>12381.28</v>
      </c>
    </row>
    <row r="2807" spans="1:4" hidden="1" x14ac:dyDescent="0.3">
      <c r="A2807" t="s">
        <v>337</v>
      </c>
      <c r="B2807" t="s">
        <v>98</v>
      </c>
      <c r="C2807" s="1">
        <f>HYPERLINK("https://cao.dolgi.msk.ru/account/1011496747/", 1011496747)</f>
        <v>1011496747</v>
      </c>
      <c r="D2807">
        <v>0</v>
      </c>
    </row>
    <row r="2808" spans="1:4" hidden="1" x14ac:dyDescent="0.3">
      <c r="A2808" t="s">
        <v>337</v>
      </c>
      <c r="B2808" t="s">
        <v>58</v>
      </c>
      <c r="C2808" s="1">
        <f>HYPERLINK("https://cao.dolgi.msk.ru/account/1011497379/", 1011497379)</f>
        <v>1011497379</v>
      </c>
      <c r="D2808">
        <v>-385.26</v>
      </c>
    </row>
    <row r="2809" spans="1:4" x14ac:dyDescent="0.3">
      <c r="A2809" t="s">
        <v>337</v>
      </c>
      <c r="B2809" t="s">
        <v>59</v>
      </c>
      <c r="C2809" s="1">
        <f>HYPERLINK("https://cao.dolgi.msk.ru/account/1011497221/", 1011497221)</f>
        <v>1011497221</v>
      </c>
      <c r="D2809">
        <v>6828.97</v>
      </c>
    </row>
    <row r="2810" spans="1:4" x14ac:dyDescent="0.3">
      <c r="A2810" t="s">
        <v>337</v>
      </c>
      <c r="B2810" t="s">
        <v>60</v>
      </c>
      <c r="C2810" s="1">
        <f>HYPERLINK("https://cao.dolgi.msk.ru/account/1011497387/", 1011497387)</f>
        <v>1011497387</v>
      </c>
      <c r="D2810">
        <v>247.29</v>
      </c>
    </row>
    <row r="2811" spans="1:4" hidden="1" x14ac:dyDescent="0.3">
      <c r="A2811" t="s">
        <v>337</v>
      </c>
      <c r="B2811" t="s">
        <v>61</v>
      </c>
      <c r="C2811" s="1">
        <f>HYPERLINK("https://cao.dolgi.msk.ru/account/1011497395/", 1011497395)</f>
        <v>1011497395</v>
      </c>
      <c r="D2811">
        <v>-892.04</v>
      </c>
    </row>
    <row r="2812" spans="1:4" x14ac:dyDescent="0.3">
      <c r="A2812" t="s">
        <v>337</v>
      </c>
      <c r="B2812" t="s">
        <v>62</v>
      </c>
      <c r="C2812" s="1">
        <f>HYPERLINK("https://cao.dolgi.msk.ru/account/1011496309/", 1011496309)</f>
        <v>1011496309</v>
      </c>
      <c r="D2812">
        <v>225.57</v>
      </c>
    </row>
    <row r="2813" spans="1:4" hidden="1" x14ac:dyDescent="0.3">
      <c r="A2813" t="s">
        <v>337</v>
      </c>
      <c r="B2813" t="s">
        <v>63</v>
      </c>
      <c r="C2813" s="1">
        <f>HYPERLINK("https://cao.dolgi.msk.ru/account/1011496317/", 1011496317)</f>
        <v>1011496317</v>
      </c>
      <c r="D2813">
        <v>-3310.19</v>
      </c>
    </row>
    <row r="2814" spans="1:4" hidden="1" x14ac:dyDescent="0.3">
      <c r="A2814" t="s">
        <v>337</v>
      </c>
      <c r="B2814" t="s">
        <v>64</v>
      </c>
      <c r="C2814" s="1">
        <f>HYPERLINK("https://cao.dolgi.msk.ru/account/1011497141/", 1011497141)</f>
        <v>1011497141</v>
      </c>
      <c r="D2814">
        <v>-29295.21</v>
      </c>
    </row>
    <row r="2815" spans="1:4" hidden="1" x14ac:dyDescent="0.3">
      <c r="A2815" t="s">
        <v>337</v>
      </c>
      <c r="B2815" t="s">
        <v>65</v>
      </c>
      <c r="C2815" s="1">
        <f>HYPERLINK("https://cao.dolgi.msk.ru/account/1011496755/", 1011496755)</f>
        <v>1011496755</v>
      </c>
      <c r="D2815">
        <v>-6436.46</v>
      </c>
    </row>
    <row r="2816" spans="1:4" hidden="1" x14ac:dyDescent="0.3">
      <c r="A2816" t="s">
        <v>337</v>
      </c>
      <c r="B2816" t="s">
        <v>66</v>
      </c>
      <c r="C2816" s="1">
        <f>HYPERLINK("https://cao.dolgi.msk.ru/account/1011497248/", 1011497248)</f>
        <v>1011497248</v>
      </c>
      <c r="D2816">
        <v>0</v>
      </c>
    </row>
    <row r="2817" spans="1:4" hidden="1" x14ac:dyDescent="0.3">
      <c r="A2817" t="s">
        <v>337</v>
      </c>
      <c r="B2817" t="s">
        <v>67</v>
      </c>
      <c r="C2817" s="1">
        <f>HYPERLINK("https://cao.dolgi.msk.ru/account/1011497061/", 1011497061)</f>
        <v>1011497061</v>
      </c>
      <c r="D2817">
        <v>-3791.59</v>
      </c>
    </row>
    <row r="2818" spans="1:4" hidden="1" x14ac:dyDescent="0.3">
      <c r="A2818" t="s">
        <v>337</v>
      </c>
      <c r="B2818" t="s">
        <v>68</v>
      </c>
      <c r="C2818" s="1">
        <f>HYPERLINK("https://cao.dolgi.msk.ru/account/1011496552/", 1011496552)</f>
        <v>1011496552</v>
      </c>
      <c r="D2818">
        <v>-9551.6</v>
      </c>
    </row>
    <row r="2819" spans="1:4" hidden="1" x14ac:dyDescent="0.3">
      <c r="A2819" t="s">
        <v>337</v>
      </c>
      <c r="B2819" t="s">
        <v>69</v>
      </c>
      <c r="C2819" s="1">
        <f>HYPERLINK("https://cao.dolgi.msk.ru/account/1011496915/", 1011496915)</f>
        <v>1011496915</v>
      </c>
      <c r="D2819">
        <v>0</v>
      </c>
    </row>
    <row r="2820" spans="1:4" hidden="1" x14ac:dyDescent="0.3">
      <c r="A2820" t="s">
        <v>337</v>
      </c>
      <c r="B2820" t="s">
        <v>70</v>
      </c>
      <c r="C2820" s="1">
        <f>HYPERLINK("https://cao.dolgi.msk.ru/account/1011496448/", 1011496448)</f>
        <v>1011496448</v>
      </c>
      <c r="D2820">
        <v>-226.85</v>
      </c>
    </row>
    <row r="2821" spans="1:4" hidden="1" x14ac:dyDescent="0.3">
      <c r="A2821" t="s">
        <v>337</v>
      </c>
      <c r="B2821" t="s">
        <v>259</v>
      </c>
      <c r="C2821" s="1">
        <f>HYPERLINK("https://cao.dolgi.msk.ru/account/1011496763/", 1011496763)</f>
        <v>1011496763</v>
      </c>
      <c r="D2821">
        <v>-264.35000000000002</v>
      </c>
    </row>
    <row r="2822" spans="1:4" hidden="1" x14ac:dyDescent="0.3">
      <c r="A2822" t="s">
        <v>337</v>
      </c>
      <c r="B2822" t="s">
        <v>100</v>
      </c>
      <c r="C2822" s="1">
        <f>HYPERLINK("https://cao.dolgi.msk.ru/account/1011497256/", 1011497256)</f>
        <v>1011497256</v>
      </c>
      <c r="D2822">
        <v>0</v>
      </c>
    </row>
    <row r="2823" spans="1:4" hidden="1" x14ac:dyDescent="0.3">
      <c r="A2823" t="s">
        <v>337</v>
      </c>
      <c r="B2823" t="s">
        <v>72</v>
      </c>
      <c r="C2823" s="1">
        <f>HYPERLINK("https://cao.dolgi.msk.ru/account/1011497264/", 1011497264)</f>
        <v>1011497264</v>
      </c>
      <c r="D2823">
        <v>-658.06</v>
      </c>
    </row>
    <row r="2824" spans="1:4" hidden="1" x14ac:dyDescent="0.3">
      <c r="A2824" t="s">
        <v>337</v>
      </c>
      <c r="B2824" t="s">
        <v>73</v>
      </c>
      <c r="C2824" s="1">
        <f>HYPERLINK("https://cao.dolgi.msk.ru/account/1011497088/", 1011497088)</f>
        <v>1011497088</v>
      </c>
      <c r="D2824">
        <v>0</v>
      </c>
    </row>
    <row r="2825" spans="1:4" hidden="1" x14ac:dyDescent="0.3">
      <c r="A2825" t="s">
        <v>337</v>
      </c>
      <c r="B2825" t="s">
        <v>74</v>
      </c>
      <c r="C2825" s="1">
        <f>HYPERLINK("https://cao.dolgi.msk.ru/account/1011497096/", 1011497096)</f>
        <v>1011497096</v>
      </c>
      <c r="D2825">
        <v>-303.95</v>
      </c>
    </row>
    <row r="2826" spans="1:4" hidden="1" x14ac:dyDescent="0.3">
      <c r="A2826" t="s">
        <v>337</v>
      </c>
      <c r="B2826" t="s">
        <v>75</v>
      </c>
      <c r="C2826" s="1">
        <f>HYPERLINK("https://cao.dolgi.msk.ru/account/1011496579/", 1011496579)</f>
        <v>1011496579</v>
      </c>
      <c r="D2826">
        <v>-84.97</v>
      </c>
    </row>
    <row r="2827" spans="1:4" hidden="1" x14ac:dyDescent="0.3">
      <c r="A2827" t="s">
        <v>337</v>
      </c>
      <c r="B2827" t="s">
        <v>76</v>
      </c>
      <c r="C2827" s="1">
        <f>HYPERLINK("https://cao.dolgi.msk.ru/account/1011496587/", 1011496587)</f>
        <v>1011496587</v>
      </c>
      <c r="D2827">
        <v>-3981.24</v>
      </c>
    </row>
    <row r="2828" spans="1:4" hidden="1" x14ac:dyDescent="0.3">
      <c r="A2828" t="s">
        <v>337</v>
      </c>
      <c r="B2828" t="s">
        <v>77</v>
      </c>
      <c r="C2828" s="1">
        <f>HYPERLINK("https://cao.dolgi.msk.ru/account/1011496325/", 1011496325)</f>
        <v>1011496325</v>
      </c>
      <c r="D2828">
        <v>-3637.01</v>
      </c>
    </row>
    <row r="2829" spans="1:4" hidden="1" x14ac:dyDescent="0.3">
      <c r="A2829" t="s">
        <v>337</v>
      </c>
      <c r="B2829" t="s">
        <v>78</v>
      </c>
      <c r="C2829" s="1">
        <f>HYPERLINK("https://cao.dolgi.msk.ru/account/1011496456/", 1011496456)</f>
        <v>1011496456</v>
      </c>
      <c r="D2829">
        <v>0</v>
      </c>
    </row>
    <row r="2830" spans="1:4" hidden="1" x14ac:dyDescent="0.3">
      <c r="A2830" t="s">
        <v>337</v>
      </c>
      <c r="B2830" t="s">
        <v>79</v>
      </c>
      <c r="C2830" s="1">
        <f>HYPERLINK("https://cao.dolgi.msk.ru/account/1011497109/", 1011497109)</f>
        <v>1011497109</v>
      </c>
      <c r="D2830">
        <v>-1931.56</v>
      </c>
    </row>
    <row r="2831" spans="1:4" x14ac:dyDescent="0.3">
      <c r="A2831" t="s">
        <v>337</v>
      </c>
      <c r="B2831" t="s">
        <v>80</v>
      </c>
      <c r="C2831" s="1">
        <f>HYPERLINK("https://cao.dolgi.msk.ru/account/1011496771/", 1011496771)</f>
        <v>1011496771</v>
      </c>
      <c r="D2831">
        <v>689.2</v>
      </c>
    </row>
    <row r="2832" spans="1:4" x14ac:dyDescent="0.3">
      <c r="A2832" t="s">
        <v>337</v>
      </c>
      <c r="B2832" t="s">
        <v>81</v>
      </c>
      <c r="C2832" s="1">
        <f>HYPERLINK("https://cao.dolgi.msk.ru/account/1011497408/", 1011497408)</f>
        <v>1011497408</v>
      </c>
      <c r="D2832">
        <v>509.93</v>
      </c>
    </row>
    <row r="2833" spans="1:4" hidden="1" x14ac:dyDescent="0.3">
      <c r="A2833" t="s">
        <v>337</v>
      </c>
      <c r="B2833" t="s">
        <v>101</v>
      </c>
      <c r="C2833" s="1">
        <f>HYPERLINK("https://cao.dolgi.msk.ru/account/1011496798/", 1011496798)</f>
        <v>1011496798</v>
      </c>
      <c r="D2833">
        <v>0</v>
      </c>
    </row>
    <row r="2834" spans="1:4" x14ac:dyDescent="0.3">
      <c r="A2834" t="s">
        <v>337</v>
      </c>
      <c r="B2834" t="s">
        <v>82</v>
      </c>
      <c r="C2834" s="1">
        <f>HYPERLINK("https://cao.dolgi.msk.ru/account/1011496595/", 1011496595)</f>
        <v>1011496595</v>
      </c>
      <c r="D2834">
        <v>5233.63</v>
      </c>
    </row>
    <row r="2835" spans="1:4" hidden="1" x14ac:dyDescent="0.3">
      <c r="A2835" t="s">
        <v>337</v>
      </c>
      <c r="B2835" t="s">
        <v>83</v>
      </c>
      <c r="C2835" s="1">
        <f>HYPERLINK("https://cao.dolgi.msk.ru/account/1011496923/", 1011496923)</f>
        <v>1011496923</v>
      </c>
      <c r="D2835">
        <v>-8056.12</v>
      </c>
    </row>
    <row r="2836" spans="1:4" x14ac:dyDescent="0.3">
      <c r="A2836" t="s">
        <v>337</v>
      </c>
      <c r="B2836" t="s">
        <v>84</v>
      </c>
      <c r="C2836" s="1">
        <f>HYPERLINK("https://cao.dolgi.msk.ru/account/1011497416/", 1011497416)</f>
        <v>1011497416</v>
      </c>
      <c r="D2836">
        <v>22441.71</v>
      </c>
    </row>
    <row r="2837" spans="1:4" hidden="1" x14ac:dyDescent="0.3">
      <c r="A2837" t="s">
        <v>337</v>
      </c>
      <c r="B2837" t="s">
        <v>85</v>
      </c>
      <c r="C2837" s="1">
        <f>HYPERLINK("https://cao.dolgi.msk.ru/account/1011496819/", 1011496819)</f>
        <v>1011496819</v>
      </c>
      <c r="D2837">
        <v>-9648.41</v>
      </c>
    </row>
    <row r="2838" spans="1:4" hidden="1" x14ac:dyDescent="0.3">
      <c r="A2838" t="s">
        <v>337</v>
      </c>
      <c r="B2838" t="s">
        <v>102</v>
      </c>
      <c r="C2838" s="1">
        <f>HYPERLINK("https://cao.dolgi.msk.ru/account/1011496608/", 1011496608)</f>
        <v>1011496608</v>
      </c>
      <c r="D2838">
        <v>0</v>
      </c>
    </row>
    <row r="2839" spans="1:4" hidden="1" x14ac:dyDescent="0.3">
      <c r="A2839" t="s">
        <v>337</v>
      </c>
      <c r="B2839" t="s">
        <v>103</v>
      </c>
      <c r="C2839" s="1">
        <f>HYPERLINK("https://cao.dolgi.msk.ru/account/1011497117/", 1011497117)</f>
        <v>1011497117</v>
      </c>
      <c r="D2839">
        <v>0</v>
      </c>
    </row>
    <row r="2840" spans="1:4" hidden="1" x14ac:dyDescent="0.3">
      <c r="A2840" t="s">
        <v>337</v>
      </c>
      <c r="B2840" t="s">
        <v>104</v>
      </c>
      <c r="C2840" s="1">
        <f>HYPERLINK("https://cao.dolgi.msk.ru/account/1011496464/", 1011496464)</f>
        <v>1011496464</v>
      </c>
      <c r="D2840">
        <v>-49.16</v>
      </c>
    </row>
    <row r="2841" spans="1:4" hidden="1" x14ac:dyDescent="0.3">
      <c r="A2841" t="s">
        <v>337</v>
      </c>
      <c r="B2841" t="s">
        <v>105</v>
      </c>
      <c r="C2841" s="1">
        <f>HYPERLINK("https://cao.dolgi.msk.ru/account/1011496827/", 1011496827)</f>
        <v>1011496827</v>
      </c>
      <c r="D2841">
        <v>0</v>
      </c>
    </row>
    <row r="2842" spans="1:4" hidden="1" x14ac:dyDescent="0.3">
      <c r="A2842" t="s">
        <v>337</v>
      </c>
      <c r="B2842" t="s">
        <v>106</v>
      </c>
      <c r="C2842" s="1">
        <f>HYPERLINK("https://cao.dolgi.msk.ru/account/1011497424/", 1011497424)</f>
        <v>1011497424</v>
      </c>
      <c r="D2842">
        <v>0</v>
      </c>
    </row>
    <row r="2843" spans="1:4" hidden="1" x14ac:dyDescent="0.3">
      <c r="A2843" t="s">
        <v>337</v>
      </c>
      <c r="B2843" t="s">
        <v>107</v>
      </c>
      <c r="C2843" s="1">
        <f>HYPERLINK("https://cao.dolgi.msk.ru/account/1011497125/", 1011497125)</f>
        <v>1011497125</v>
      </c>
      <c r="D2843">
        <v>0</v>
      </c>
    </row>
    <row r="2844" spans="1:4" hidden="1" x14ac:dyDescent="0.3">
      <c r="A2844" t="s">
        <v>337</v>
      </c>
      <c r="B2844" t="s">
        <v>108</v>
      </c>
      <c r="C2844" s="1">
        <f>HYPERLINK("https://cao.dolgi.msk.ru/account/1011497432/", 1011497432)</f>
        <v>1011497432</v>
      </c>
      <c r="D2844">
        <v>0</v>
      </c>
    </row>
    <row r="2845" spans="1:4" hidden="1" x14ac:dyDescent="0.3">
      <c r="A2845" t="s">
        <v>337</v>
      </c>
      <c r="B2845" t="s">
        <v>110</v>
      </c>
      <c r="C2845" s="1">
        <f>HYPERLINK("https://cao.dolgi.msk.ru/account/1011497133/", 1011497133)</f>
        <v>1011497133</v>
      </c>
      <c r="D2845">
        <v>0</v>
      </c>
    </row>
    <row r="2846" spans="1:4" hidden="1" x14ac:dyDescent="0.3">
      <c r="A2846" t="s">
        <v>337</v>
      </c>
      <c r="B2846" t="s">
        <v>111</v>
      </c>
      <c r="C2846" s="1">
        <f>HYPERLINK("https://cao.dolgi.msk.ru/account/1011496931/", 1011496931)</f>
        <v>1011496931</v>
      </c>
      <c r="D2846">
        <v>-258</v>
      </c>
    </row>
    <row r="2847" spans="1:4" hidden="1" x14ac:dyDescent="0.3">
      <c r="A2847" t="s">
        <v>337</v>
      </c>
      <c r="B2847" t="s">
        <v>112</v>
      </c>
      <c r="C2847" s="1">
        <f>HYPERLINK("https://cao.dolgi.msk.ru/account/1011496333/", 1011496333)</f>
        <v>1011496333</v>
      </c>
      <c r="D2847">
        <v>0</v>
      </c>
    </row>
    <row r="2848" spans="1:4" hidden="1" x14ac:dyDescent="0.3">
      <c r="A2848" t="s">
        <v>337</v>
      </c>
      <c r="B2848" t="s">
        <v>113</v>
      </c>
      <c r="C2848" s="1">
        <f>HYPERLINK("https://cao.dolgi.msk.ru/account/1011496835/", 1011496835)</f>
        <v>1011496835</v>
      </c>
      <c r="D2848">
        <v>0</v>
      </c>
    </row>
    <row r="2849" spans="1:4" hidden="1" x14ac:dyDescent="0.3">
      <c r="A2849" t="s">
        <v>337</v>
      </c>
      <c r="B2849" t="s">
        <v>114</v>
      </c>
      <c r="C2849" s="1">
        <f>HYPERLINK("https://cao.dolgi.msk.ru/account/1011496341/", 1011496341)</f>
        <v>1011496341</v>
      </c>
      <c r="D2849">
        <v>0</v>
      </c>
    </row>
    <row r="2850" spans="1:4" x14ac:dyDescent="0.3">
      <c r="A2850" t="s">
        <v>337</v>
      </c>
      <c r="B2850" t="s">
        <v>116</v>
      </c>
      <c r="C2850" s="1">
        <f>HYPERLINK("https://cao.dolgi.msk.ru/account/1011497299/", 1011497299)</f>
        <v>1011497299</v>
      </c>
      <c r="D2850">
        <v>10878.19</v>
      </c>
    </row>
    <row r="2851" spans="1:4" hidden="1" x14ac:dyDescent="0.3">
      <c r="A2851" t="s">
        <v>337</v>
      </c>
      <c r="B2851" t="s">
        <v>266</v>
      </c>
      <c r="C2851" s="1">
        <f>HYPERLINK("https://cao.dolgi.msk.ru/account/1011496472/", 1011496472)</f>
        <v>1011496472</v>
      </c>
      <c r="D2851">
        <v>-10454.59</v>
      </c>
    </row>
    <row r="2852" spans="1:4" x14ac:dyDescent="0.3">
      <c r="A2852" t="s">
        <v>337</v>
      </c>
      <c r="B2852" t="s">
        <v>117</v>
      </c>
      <c r="C2852" s="1">
        <f>HYPERLINK("https://cao.dolgi.msk.ru/account/1011497459/", 1011497459)</f>
        <v>1011497459</v>
      </c>
      <c r="D2852">
        <v>6985</v>
      </c>
    </row>
    <row r="2853" spans="1:4" x14ac:dyDescent="0.3">
      <c r="A2853" t="s">
        <v>337</v>
      </c>
      <c r="B2853" t="s">
        <v>118</v>
      </c>
      <c r="C2853" s="1">
        <f>HYPERLINK("https://cao.dolgi.msk.ru/account/1011496958/", 1011496958)</f>
        <v>1011496958</v>
      </c>
      <c r="D2853">
        <v>7448.41</v>
      </c>
    </row>
    <row r="2854" spans="1:4" hidden="1" x14ac:dyDescent="0.3">
      <c r="A2854" t="s">
        <v>337</v>
      </c>
      <c r="B2854" t="s">
        <v>119</v>
      </c>
      <c r="C2854" s="1">
        <f>HYPERLINK("https://cao.dolgi.msk.ru/account/1011496843/", 1011496843)</f>
        <v>1011496843</v>
      </c>
      <c r="D2854">
        <v>-5967.31</v>
      </c>
    </row>
    <row r="2855" spans="1:4" hidden="1" x14ac:dyDescent="0.3">
      <c r="A2855" t="s">
        <v>337</v>
      </c>
      <c r="B2855" t="s">
        <v>120</v>
      </c>
      <c r="C2855" s="1">
        <f>HYPERLINK("https://cao.dolgi.msk.ru/account/1011496376/", 1011496376)</f>
        <v>1011496376</v>
      </c>
      <c r="D2855">
        <v>0</v>
      </c>
    </row>
    <row r="2856" spans="1:4" hidden="1" x14ac:dyDescent="0.3">
      <c r="A2856" t="s">
        <v>337</v>
      </c>
      <c r="B2856" t="s">
        <v>121</v>
      </c>
      <c r="C2856" s="1">
        <f>HYPERLINK("https://cao.dolgi.msk.ru/account/1011497301/", 1011497301)</f>
        <v>1011497301</v>
      </c>
      <c r="D2856">
        <v>-5792.22</v>
      </c>
    </row>
    <row r="2857" spans="1:4" hidden="1" x14ac:dyDescent="0.3">
      <c r="A2857" t="s">
        <v>337</v>
      </c>
      <c r="B2857" t="s">
        <v>122</v>
      </c>
      <c r="C2857" s="1">
        <f>HYPERLINK("https://cao.dolgi.msk.ru/account/1011496616/", 1011496616)</f>
        <v>1011496616</v>
      </c>
      <c r="D2857">
        <v>-4229.71</v>
      </c>
    </row>
    <row r="2858" spans="1:4" hidden="1" x14ac:dyDescent="0.3">
      <c r="A2858" t="s">
        <v>337</v>
      </c>
      <c r="B2858" t="s">
        <v>122</v>
      </c>
      <c r="C2858" s="1">
        <f>HYPERLINK("https://cao.dolgi.msk.ru/account/1011496974/", 1011496974)</f>
        <v>1011496974</v>
      </c>
      <c r="D2858">
        <v>-27172.95</v>
      </c>
    </row>
    <row r="2859" spans="1:4" x14ac:dyDescent="0.3">
      <c r="A2859" t="s">
        <v>337</v>
      </c>
      <c r="B2859" t="s">
        <v>123</v>
      </c>
      <c r="C2859" s="1">
        <f>HYPERLINK("https://cao.dolgi.msk.ru/account/1011496966/", 1011496966)</f>
        <v>1011496966</v>
      </c>
      <c r="D2859">
        <v>5106.88</v>
      </c>
    </row>
    <row r="2860" spans="1:4" x14ac:dyDescent="0.3">
      <c r="A2860" t="s">
        <v>338</v>
      </c>
      <c r="B2860" t="s">
        <v>6</v>
      </c>
      <c r="C2860" s="1">
        <f>HYPERLINK("https://cao.dolgi.msk.ru/account/1011349026/", 1011349026)</f>
        <v>1011349026</v>
      </c>
      <c r="D2860">
        <v>49746.74</v>
      </c>
    </row>
    <row r="2861" spans="1:4" hidden="1" x14ac:dyDescent="0.3">
      <c r="A2861" t="s">
        <v>338</v>
      </c>
      <c r="B2861" t="s">
        <v>28</v>
      </c>
      <c r="C2861" s="1">
        <f>HYPERLINK("https://cao.dolgi.msk.ru/account/1011348971/", 1011348971)</f>
        <v>1011348971</v>
      </c>
      <c r="D2861">
        <v>-3431.28</v>
      </c>
    </row>
    <row r="2862" spans="1:4" hidden="1" x14ac:dyDescent="0.3">
      <c r="A2862" t="s">
        <v>338</v>
      </c>
      <c r="B2862" t="s">
        <v>28</v>
      </c>
      <c r="C2862" s="1">
        <f>HYPERLINK("https://cao.dolgi.msk.ru/account/1011349034/", 1011349034)</f>
        <v>1011349034</v>
      </c>
      <c r="D2862">
        <v>-751.4</v>
      </c>
    </row>
    <row r="2863" spans="1:4" hidden="1" x14ac:dyDescent="0.3">
      <c r="A2863" t="s">
        <v>338</v>
      </c>
      <c r="B2863" t="s">
        <v>28</v>
      </c>
      <c r="C2863" s="1">
        <f>HYPERLINK("https://cao.dolgi.msk.ru/account/1011349122/", 1011349122)</f>
        <v>1011349122</v>
      </c>
      <c r="D2863">
        <v>-23142.880000000001</v>
      </c>
    </row>
    <row r="2864" spans="1:4" x14ac:dyDescent="0.3">
      <c r="A2864" t="s">
        <v>338</v>
      </c>
      <c r="B2864" t="s">
        <v>35</v>
      </c>
      <c r="C2864" s="1">
        <f>HYPERLINK("https://cao.dolgi.msk.ru/account/1011348998/", 1011348998)</f>
        <v>1011348998</v>
      </c>
      <c r="D2864">
        <v>3588.72</v>
      </c>
    </row>
    <row r="2865" spans="1:4" hidden="1" x14ac:dyDescent="0.3">
      <c r="A2865" t="s">
        <v>338</v>
      </c>
      <c r="B2865" t="s">
        <v>5</v>
      </c>
      <c r="C2865" s="1">
        <f>HYPERLINK("https://cao.dolgi.msk.ru/account/1011348963/", 1011348963)</f>
        <v>1011348963</v>
      </c>
      <c r="D2865">
        <v>0</v>
      </c>
    </row>
    <row r="2866" spans="1:4" hidden="1" x14ac:dyDescent="0.3">
      <c r="A2866" t="s">
        <v>338</v>
      </c>
      <c r="B2866" t="s">
        <v>7</v>
      </c>
      <c r="C2866" s="1">
        <f>HYPERLINK("https://cao.dolgi.msk.ru/account/1011348947/", 1011348947)</f>
        <v>1011348947</v>
      </c>
      <c r="D2866">
        <v>-197.86</v>
      </c>
    </row>
    <row r="2867" spans="1:4" hidden="1" x14ac:dyDescent="0.3">
      <c r="A2867" t="s">
        <v>338</v>
      </c>
      <c r="B2867" t="s">
        <v>8</v>
      </c>
      <c r="C2867" s="1">
        <f>HYPERLINK("https://cao.dolgi.msk.ru/account/1011349114/", 1011349114)</f>
        <v>1011349114</v>
      </c>
      <c r="D2867">
        <v>-6619.3</v>
      </c>
    </row>
    <row r="2868" spans="1:4" hidden="1" x14ac:dyDescent="0.3">
      <c r="A2868" t="s">
        <v>338</v>
      </c>
      <c r="B2868" t="s">
        <v>31</v>
      </c>
      <c r="C2868" s="1">
        <f>HYPERLINK("https://cao.dolgi.msk.ru/account/1011349077/", 1011349077)</f>
        <v>1011349077</v>
      </c>
      <c r="D2868">
        <v>0</v>
      </c>
    </row>
    <row r="2869" spans="1:4" hidden="1" x14ac:dyDescent="0.3">
      <c r="A2869" t="s">
        <v>338</v>
      </c>
      <c r="B2869" t="s">
        <v>9</v>
      </c>
      <c r="C2869" s="1">
        <f>HYPERLINK("https://cao.dolgi.msk.ru/account/1011349042/", 1011349042)</f>
        <v>1011349042</v>
      </c>
      <c r="D2869">
        <v>-8.5500000000000007</v>
      </c>
    </row>
    <row r="2870" spans="1:4" x14ac:dyDescent="0.3">
      <c r="A2870" t="s">
        <v>338</v>
      </c>
      <c r="B2870" t="s">
        <v>10</v>
      </c>
      <c r="C2870" s="1">
        <f>HYPERLINK("https://cao.dolgi.msk.ru/account/1011349069/", 1011349069)</f>
        <v>1011349069</v>
      </c>
      <c r="D2870">
        <v>12950.2</v>
      </c>
    </row>
    <row r="2871" spans="1:4" hidden="1" x14ac:dyDescent="0.3">
      <c r="A2871" t="s">
        <v>338</v>
      </c>
      <c r="B2871" t="s">
        <v>11</v>
      </c>
      <c r="C2871" s="1">
        <f>HYPERLINK("https://cao.dolgi.msk.ru/account/1011349106/", 1011349106)</f>
        <v>1011349106</v>
      </c>
      <c r="D2871">
        <v>0</v>
      </c>
    </row>
    <row r="2872" spans="1:4" x14ac:dyDescent="0.3">
      <c r="A2872" t="s">
        <v>338</v>
      </c>
      <c r="B2872" t="s">
        <v>12</v>
      </c>
      <c r="C2872" s="1">
        <f>HYPERLINK("https://cao.dolgi.msk.ru/account/1011348939/", 1011348939)</f>
        <v>1011348939</v>
      </c>
      <c r="D2872">
        <v>23983.040000000001</v>
      </c>
    </row>
    <row r="2873" spans="1:4" x14ac:dyDescent="0.3">
      <c r="A2873" t="s">
        <v>338</v>
      </c>
      <c r="B2873" t="s">
        <v>12</v>
      </c>
      <c r="C2873" s="1">
        <f>HYPERLINK("https://cao.dolgi.msk.ru/account/1011349085/", 1011349085)</f>
        <v>1011349085</v>
      </c>
      <c r="D2873">
        <v>15798.86</v>
      </c>
    </row>
    <row r="2874" spans="1:4" hidden="1" x14ac:dyDescent="0.3">
      <c r="A2874" t="s">
        <v>338</v>
      </c>
      <c r="B2874" t="s">
        <v>23</v>
      </c>
      <c r="C2874" s="1">
        <f>HYPERLINK("https://cao.dolgi.msk.ru/account/1011348904/", 1011348904)</f>
        <v>1011348904</v>
      </c>
      <c r="D2874">
        <v>0</v>
      </c>
    </row>
    <row r="2875" spans="1:4" hidden="1" x14ac:dyDescent="0.3">
      <c r="A2875" t="s">
        <v>338</v>
      </c>
      <c r="B2875" t="s">
        <v>13</v>
      </c>
      <c r="C2875" s="1">
        <f>HYPERLINK("https://cao.dolgi.msk.ru/account/1011348912/", 1011348912)</f>
        <v>1011348912</v>
      </c>
      <c r="D2875">
        <v>-2199.09</v>
      </c>
    </row>
    <row r="2876" spans="1:4" hidden="1" x14ac:dyDescent="0.3">
      <c r="A2876" t="s">
        <v>338</v>
      </c>
      <c r="B2876" t="s">
        <v>14</v>
      </c>
      <c r="C2876" s="1">
        <f>HYPERLINK("https://cao.dolgi.msk.ru/account/1011348891/", 1011348891)</f>
        <v>1011348891</v>
      </c>
      <c r="D2876">
        <v>-12010.3</v>
      </c>
    </row>
    <row r="2877" spans="1:4" hidden="1" x14ac:dyDescent="0.3">
      <c r="A2877" t="s">
        <v>338</v>
      </c>
      <c r="B2877" t="s">
        <v>16</v>
      </c>
      <c r="C2877" s="1">
        <f>HYPERLINK("https://cao.dolgi.msk.ru/account/1011349149/", 1011349149)</f>
        <v>1011349149</v>
      </c>
      <c r="D2877">
        <v>-12271.5</v>
      </c>
    </row>
    <row r="2878" spans="1:4" hidden="1" x14ac:dyDescent="0.3">
      <c r="A2878" t="s">
        <v>338</v>
      </c>
      <c r="B2878" t="s">
        <v>17</v>
      </c>
      <c r="C2878" s="1">
        <f>HYPERLINK("https://cao.dolgi.msk.ru/account/1011348955/", 1011348955)</f>
        <v>1011348955</v>
      </c>
      <c r="D2878">
        <v>0</v>
      </c>
    </row>
    <row r="2879" spans="1:4" hidden="1" x14ac:dyDescent="0.3">
      <c r="A2879" t="s">
        <v>338</v>
      </c>
      <c r="B2879" t="s">
        <v>17</v>
      </c>
      <c r="C2879" s="1">
        <f>HYPERLINK("https://cao.dolgi.msk.ru/account/1011349093/", 1011349093)</f>
        <v>1011349093</v>
      </c>
      <c r="D2879">
        <v>0</v>
      </c>
    </row>
    <row r="2880" spans="1:4" hidden="1" x14ac:dyDescent="0.3">
      <c r="A2880" t="s">
        <v>339</v>
      </c>
      <c r="B2880" t="s">
        <v>6</v>
      </c>
      <c r="C2880" s="1">
        <f>HYPERLINK("https://cao.dolgi.msk.ru/account/1011314253/", 1011314253)</f>
        <v>1011314253</v>
      </c>
      <c r="D2880">
        <v>-3698.93</v>
      </c>
    </row>
    <row r="2881" spans="1:4" hidden="1" x14ac:dyDescent="0.3">
      <c r="A2881" t="s">
        <v>339</v>
      </c>
      <c r="B2881" t="s">
        <v>28</v>
      </c>
      <c r="C2881" s="1">
        <f>HYPERLINK("https://cao.dolgi.msk.ru/account/1011314309/", 1011314309)</f>
        <v>1011314309</v>
      </c>
      <c r="D2881">
        <v>0</v>
      </c>
    </row>
    <row r="2882" spans="1:4" x14ac:dyDescent="0.3">
      <c r="A2882" t="s">
        <v>339</v>
      </c>
      <c r="B2882" t="s">
        <v>35</v>
      </c>
      <c r="C2882" s="1">
        <f>HYPERLINK("https://cao.dolgi.msk.ru/account/1011314325/", 1011314325)</f>
        <v>1011314325</v>
      </c>
      <c r="D2882">
        <v>5200.3599999999997</v>
      </c>
    </row>
    <row r="2883" spans="1:4" hidden="1" x14ac:dyDescent="0.3">
      <c r="A2883" t="s">
        <v>339</v>
      </c>
      <c r="B2883" t="s">
        <v>5</v>
      </c>
      <c r="C2883" s="1">
        <f>HYPERLINK("https://cao.dolgi.msk.ru/account/1011314229/", 1011314229)</f>
        <v>1011314229</v>
      </c>
      <c r="D2883">
        <v>0</v>
      </c>
    </row>
    <row r="2884" spans="1:4" hidden="1" x14ac:dyDescent="0.3">
      <c r="A2884" t="s">
        <v>339</v>
      </c>
      <c r="B2884" t="s">
        <v>7</v>
      </c>
      <c r="C2884" s="1">
        <f>HYPERLINK("https://cao.dolgi.msk.ru/account/1011314448/", 1011314448)</f>
        <v>1011314448</v>
      </c>
      <c r="D2884">
        <v>0</v>
      </c>
    </row>
    <row r="2885" spans="1:4" hidden="1" x14ac:dyDescent="0.3">
      <c r="A2885" t="s">
        <v>339</v>
      </c>
      <c r="B2885" t="s">
        <v>8</v>
      </c>
      <c r="C2885" s="1">
        <f>HYPERLINK("https://cao.dolgi.msk.ru/account/1011313939/", 1011313939)</f>
        <v>1011313939</v>
      </c>
      <c r="D2885">
        <v>0</v>
      </c>
    </row>
    <row r="2886" spans="1:4" hidden="1" x14ac:dyDescent="0.3">
      <c r="A2886" t="s">
        <v>339</v>
      </c>
      <c r="B2886" t="s">
        <v>31</v>
      </c>
      <c r="C2886" s="1">
        <f>HYPERLINK("https://cao.dolgi.msk.ru/account/1011313349/", 1011313349)</f>
        <v>1011313349</v>
      </c>
      <c r="D2886">
        <v>0</v>
      </c>
    </row>
    <row r="2887" spans="1:4" hidden="1" x14ac:dyDescent="0.3">
      <c r="A2887" t="s">
        <v>339</v>
      </c>
      <c r="B2887" t="s">
        <v>9</v>
      </c>
      <c r="C2887" s="1">
        <f>HYPERLINK("https://cao.dolgi.msk.ru/account/1011313314/", 1011313314)</f>
        <v>1011313314</v>
      </c>
      <c r="D2887">
        <v>-11267.15</v>
      </c>
    </row>
    <row r="2888" spans="1:4" hidden="1" x14ac:dyDescent="0.3">
      <c r="A2888" t="s">
        <v>339</v>
      </c>
      <c r="B2888" t="s">
        <v>10</v>
      </c>
      <c r="C2888" s="1">
        <f>HYPERLINK("https://cao.dolgi.msk.ru/account/1011313795/", 1011313795)</f>
        <v>1011313795</v>
      </c>
      <c r="D2888">
        <v>-25.64</v>
      </c>
    </row>
    <row r="2889" spans="1:4" hidden="1" x14ac:dyDescent="0.3">
      <c r="A2889" t="s">
        <v>339</v>
      </c>
      <c r="B2889" t="s">
        <v>11</v>
      </c>
      <c r="C2889" s="1">
        <f>HYPERLINK("https://cao.dolgi.msk.ru/account/1011313971/", 1011313971)</f>
        <v>1011313971</v>
      </c>
      <c r="D2889">
        <v>-8696.81</v>
      </c>
    </row>
    <row r="2890" spans="1:4" hidden="1" x14ac:dyDescent="0.3">
      <c r="A2890" t="s">
        <v>339</v>
      </c>
      <c r="B2890" t="s">
        <v>12</v>
      </c>
      <c r="C2890" s="1">
        <f>HYPERLINK("https://cao.dolgi.msk.ru/account/1011314384/", 1011314384)</f>
        <v>1011314384</v>
      </c>
      <c r="D2890">
        <v>-27923.94</v>
      </c>
    </row>
    <row r="2891" spans="1:4" hidden="1" x14ac:dyDescent="0.3">
      <c r="A2891" t="s">
        <v>339</v>
      </c>
      <c r="B2891" t="s">
        <v>23</v>
      </c>
      <c r="C2891" s="1">
        <f>HYPERLINK("https://cao.dolgi.msk.ru/account/1011314034/", 1011314034)</f>
        <v>1011314034</v>
      </c>
      <c r="D2891">
        <v>-267.25</v>
      </c>
    </row>
    <row r="2892" spans="1:4" hidden="1" x14ac:dyDescent="0.3">
      <c r="A2892" t="s">
        <v>339</v>
      </c>
      <c r="B2892" t="s">
        <v>13</v>
      </c>
      <c r="C2892" s="1">
        <f>HYPERLINK("https://cao.dolgi.msk.ru/account/1011314261/", 1011314261)</f>
        <v>1011314261</v>
      </c>
      <c r="D2892">
        <v>0</v>
      </c>
    </row>
    <row r="2893" spans="1:4" hidden="1" x14ac:dyDescent="0.3">
      <c r="A2893" t="s">
        <v>339</v>
      </c>
      <c r="B2893" t="s">
        <v>14</v>
      </c>
      <c r="C2893" s="1">
        <f>HYPERLINK("https://cao.dolgi.msk.ru/account/1011314085/", 1011314085)</f>
        <v>1011314085</v>
      </c>
      <c r="D2893">
        <v>0</v>
      </c>
    </row>
    <row r="2894" spans="1:4" hidden="1" x14ac:dyDescent="0.3">
      <c r="A2894" t="s">
        <v>339</v>
      </c>
      <c r="B2894" t="s">
        <v>16</v>
      </c>
      <c r="C2894" s="1">
        <f>HYPERLINK("https://cao.dolgi.msk.ru/account/1011314368/", 1011314368)</f>
        <v>1011314368</v>
      </c>
      <c r="D2894">
        <v>-5000.54</v>
      </c>
    </row>
    <row r="2895" spans="1:4" hidden="1" x14ac:dyDescent="0.3">
      <c r="A2895" t="s">
        <v>339</v>
      </c>
      <c r="B2895" t="s">
        <v>17</v>
      </c>
      <c r="C2895" s="1">
        <f>HYPERLINK("https://cao.dolgi.msk.ru/account/1011313832/", 1011313832)</f>
        <v>1011313832</v>
      </c>
      <c r="D2895">
        <v>0</v>
      </c>
    </row>
    <row r="2896" spans="1:4" hidden="1" x14ac:dyDescent="0.3">
      <c r="A2896" t="s">
        <v>339</v>
      </c>
      <c r="B2896" t="s">
        <v>17</v>
      </c>
      <c r="C2896" s="1">
        <f>HYPERLINK("https://cao.dolgi.msk.ru/account/1011314405/", 1011314405)</f>
        <v>1011314405</v>
      </c>
      <c r="D2896">
        <v>0</v>
      </c>
    </row>
    <row r="2897" spans="1:4" hidden="1" x14ac:dyDescent="0.3">
      <c r="A2897" t="s">
        <v>339</v>
      </c>
      <c r="B2897" t="s">
        <v>18</v>
      </c>
      <c r="C2897" s="1">
        <f>HYPERLINK("https://cao.dolgi.msk.ru/account/1011313453/", 1011313453)</f>
        <v>1011313453</v>
      </c>
      <c r="D2897">
        <v>0</v>
      </c>
    </row>
    <row r="2898" spans="1:4" hidden="1" x14ac:dyDescent="0.3">
      <c r="A2898" t="s">
        <v>339</v>
      </c>
      <c r="B2898" t="s">
        <v>19</v>
      </c>
      <c r="C2898" s="1">
        <f>HYPERLINK("https://cao.dolgi.msk.ru/account/1011313816/", 1011313816)</f>
        <v>1011313816</v>
      </c>
      <c r="D2898">
        <v>0</v>
      </c>
    </row>
    <row r="2899" spans="1:4" hidden="1" x14ac:dyDescent="0.3">
      <c r="A2899" t="s">
        <v>339</v>
      </c>
      <c r="B2899" t="s">
        <v>20</v>
      </c>
      <c r="C2899" s="1">
        <f>HYPERLINK("https://cao.dolgi.msk.ru/account/1011314472/", 1011314472)</f>
        <v>1011314472</v>
      </c>
      <c r="D2899">
        <v>-259.86</v>
      </c>
    </row>
    <row r="2900" spans="1:4" hidden="1" x14ac:dyDescent="0.3">
      <c r="A2900" t="s">
        <v>339</v>
      </c>
      <c r="B2900" t="s">
        <v>21</v>
      </c>
      <c r="C2900" s="1">
        <f>HYPERLINK("https://cao.dolgi.msk.ru/account/1011314456/", 1011314456)</f>
        <v>1011314456</v>
      </c>
      <c r="D2900">
        <v>0</v>
      </c>
    </row>
    <row r="2901" spans="1:4" hidden="1" x14ac:dyDescent="0.3">
      <c r="A2901" t="s">
        <v>339</v>
      </c>
      <c r="B2901" t="s">
        <v>22</v>
      </c>
      <c r="C2901" s="1">
        <f>HYPERLINK("https://cao.dolgi.msk.ru/account/1011510262/", 1011510262)</f>
        <v>1011510262</v>
      </c>
      <c r="D2901">
        <v>-6480.58</v>
      </c>
    </row>
    <row r="2902" spans="1:4" x14ac:dyDescent="0.3">
      <c r="A2902" t="s">
        <v>339</v>
      </c>
      <c r="B2902" t="s">
        <v>24</v>
      </c>
      <c r="C2902" s="1">
        <f>HYPERLINK("https://cao.dolgi.msk.ru/account/1011314077/", 1011314077)</f>
        <v>1011314077</v>
      </c>
      <c r="D2902">
        <v>7948.63</v>
      </c>
    </row>
    <row r="2903" spans="1:4" hidden="1" x14ac:dyDescent="0.3">
      <c r="A2903" t="s">
        <v>339</v>
      </c>
      <c r="B2903" t="s">
        <v>25</v>
      </c>
      <c r="C2903" s="1">
        <f>HYPERLINK("https://cao.dolgi.msk.ru/account/1011314149/", 1011314149)</f>
        <v>1011314149</v>
      </c>
      <c r="D2903">
        <v>0</v>
      </c>
    </row>
    <row r="2904" spans="1:4" hidden="1" x14ac:dyDescent="0.3">
      <c r="A2904" t="s">
        <v>339</v>
      </c>
      <c r="B2904" t="s">
        <v>26</v>
      </c>
      <c r="C2904" s="1">
        <f>HYPERLINK("https://cao.dolgi.msk.ru/account/1011313429/", 1011313429)</f>
        <v>1011313429</v>
      </c>
      <c r="D2904">
        <v>0</v>
      </c>
    </row>
    <row r="2905" spans="1:4" x14ac:dyDescent="0.3">
      <c r="A2905" t="s">
        <v>339</v>
      </c>
      <c r="B2905" t="s">
        <v>27</v>
      </c>
      <c r="C2905" s="1">
        <f>HYPERLINK("https://cao.dolgi.msk.ru/account/1011313381/", 1011313381)</f>
        <v>1011313381</v>
      </c>
      <c r="D2905">
        <v>9205.7199999999993</v>
      </c>
    </row>
    <row r="2906" spans="1:4" x14ac:dyDescent="0.3">
      <c r="A2906" t="s">
        <v>339</v>
      </c>
      <c r="B2906" t="s">
        <v>29</v>
      </c>
      <c r="C2906" s="1">
        <f>HYPERLINK("https://cao.dolgi.msk.ru/account/1011314093/", 1011314093)</f>
        <v>1011314093</v>
      </c>
      <c r="D2906">
        <v>5950.19</v>
      </c>
    </row>
    <row r="2907" spans="1:4" hidden="1" x14ac:dyDescent="0.3">
      <c r="A2907" t="s">
        <v>339</v>
      </c>
      <c r="B2907" t="s">
        <v>38</v>
      </c>
      <c r="C2907" s="1">
        <f>HYPERLINK("https://cao.dolgi.msk.ru/account/1011313357/", 1011313357)</f>
        <v>1011313357</v>
      </c>
      <c r="D2907">
        <v>0</v>
      </c>
    </row>
    <row r="2908" spans="1:4" hidden="1" x14ac:dyDescent="0.3">
      <c r="A2908" t="s">
        <v>339</v>
      </c>
      <c r="B2908" t="s">
        <v>39</v>
      </c>
      <c r="C2908" s="1">
        <f>HYPERLINK("https://cao.dolgi.msk.ru/account/1011313736/", 1011313736)</f>
        <v>1011313736</v>
      </c>
      <c r="D2908">
        <v>0</v>
      </c>
    </row>
    <row r="2909" spans="1:4" hidden="1" x14ac:dyDescent="0.3">
      <c r="A2909" t="s">
        <v>339</v>
      </c>
      <c r="B2909" t="s">
        <v>40</v>
      </c>
      <c r="C2909" s="1">
        <f>HYPERLINK("https://cao.dolgi.msk.ru/account/1011313891/", 1011313891)</f>
        <v>1011313891</v>
      </c>
      <c r="D2909">
        <v>-3809.17</v>
      </c>
    </row>
    <row r="2910" spans="1:4" x14ac:dyDescent="0.3">
      <c r="A2910" t="s">
        <v>339</v>
      </c>
      <c r="B2910" t="s">
        <v>41</v>
      </c>
      <c r="C2910" s="1">
        <f>HYPERLINK("https://cao.dolgi.msk.ru/account/1011314288/", 1011314288)</f>
        <v>1011314288</v>
      </c>
      <c r="D2910">
        <v>628.03</v>
      </c>
    </row>
    <row r="2911" spans="1:4" hidden="1" x14ac:dyDescent="0.3">
      <c r="A2911" t="s">
        <v>339</v>
      </c>
      <c r="B2911" t="s">
        <v>51</v>
      </c>
      <c r="C2911" s="1">
        <f>HYPERLINK("https://cao.dolgi.msk.ru/account/1011314237/", 1011314237)</f>
        <v>1011314237</v>
      </c>
      <c r="D2911">
        <v>0</v>
      </c>
    </row>
    <row r="2912" spans="1:4" hidden="1" x14ac:dyDescent="0.3">
      <c r="A2912" t="s">
        <v>339</v>
      </c>
      <c r="B2912" t="s">
        <v>52</v>
      </c>
      <c r="C2912" s="1">
        <f>HYPERLINK("https://cao.dolgi.msk.ru/account/1011314333/", 1011314333)</f>
        <v>1011314333</v>
      </c>
      <c r="D2912">
        <v>0</v>
      </c>
    </row>
    <row r="2913" spans="1:4" hidden="1" x14ac:dyDescent="0.3">
      <c r="A2913" t="s">
        <v>339</v>
      </c>
      <c r="B2913" t="s">
        <v>53</v>
      </c>
      <c r="C2913" s="1">
        <f>HYPERLINK("https://cao.dolgi.msk.ru/account/1011313461/", 1011313461)</f>
        <v>1011313461</v>
      </c>
      <c r="D2913">
        <v>-17.72</v>
      </c>
    </row>
    <row r="2914" spans="1:4" hidden="1" x14ac:dyDescent="0.3">
      <c r="A2914" t="s">
        <v>339</v>
      </c>
      <c r="B2914" t="s">
        <v>54</v>
      </c>
      <c r="C2914" s="1">
        <f>HYPERLINK("https://cao.dolgi.msk.ru/account/1011313576/", 1011313576)</f>
        <v>1011313576</v>
      </c>
      <c r="D2914">
        <v>-122.7</v>
      </c>
    </row>
    <row r="2915" spans="1:4" hidden="1" x14ac:dyDescent="0.3">
      <c r="A2915" t="s">
        <v>339</v>
      </c>
      <c r="B2915" t="s">
        <v>55</v>
      </c>
      <c r="C2915" s="1">
        <f>HYPERLINK("https://cao.dolgi.msk.ru/account/1011313664/", 1011313664)</f>
        <v>1011313664</v>
      </c>
      <c r="D2915">
        <v>0</v>
      </c>
    </row>
    <row r="2916" spans="1:4" hidden="1" x14ac:dyDescent="0.3">
      <c r="A2916" t="s">
        <v>339</v>
      </c>
      <c r="B2916" t="s">
        <v>56</v>
      </c>
      <c r="C2916" s="1">
        <f>HYPERLINK("https://cao.dolgi.msk.ru/account/1011313621/", 1011313621)</f>
        <v>1011313621</v>
      </c>
      <c r="D2916">
        <v>-8145.15</v>
      </c>
    </row>
    <row r="2917" spans="1:4" hidden="1" x14ac:dyDescent="0.3">
      <c r="A2917" t="s">
        <v>339</v>
      </c>
      <c r="B2917" t="s">
        <v>87</v>
      </c>
      <c r="C2917" s="1">
        <f>HYPERLINK("https://cao.dolgi.msk.ru/account/1011313285/", 1011313285)</f>
        <v>1011313285</v>
      </c>
      <c r="D2917">
        <v>0</v>
      </c>
    </row>
    <row r="2918" spans="1:4" x14ac:dyDescent="0.3">
      <c r="A2918" t="s">
        <v>339</v>
      </c>
      <c r="B2918" t="s">
        <v>88</v>
      </c>
      <c r="C2918" s="1">
        <f>HYPERLINK("https://cao.dolgi.msk.ru/account/1011313437/", 1011313437)</f>
        <v>1011313437</v>
      </c>
      <c r="D2918">
        <v>2171.2399999999998</v>
      </c>
    </row>
    <row r="2919" spans="1:4" x14ac:dyDescent="0.3">
      <c r="A2919" t="s">
        <v>339</v>
      </c>
      <c r="B2919" t="s">
        <v>89</v>
      </c>
      <c r="C2919" s="1">
        <f>HYPERLINK("https://cao.dolgi.msk.ru/account/1011313912/", 1011313912)</f>
        <v>1011313912</v>
      </c>
      <c r="D2919">
        <v>41223.96</v>
      </c>
    </row>
    <row r="2920" spans="1:4" hidden="1" x14ac:dyDescent="0.3">
      <c r="A2920" t="s">
        <v>339</v>
      </c>
      <c r="B2920" t="s">
        <v>90</v>
      </c>
      <c r="C2920" s="1">
        <f>HYPERLINK("https://cao.dolgi.msk.ru/account/1011314173/", 1011314173)</f>
        <v>1011314173</v>
      </c>
      <c r="D2920">
        <v>0</v>
      </c>
    </row>
    <row r="2921" spans="1:4" hidden="1" x14ac:dyDescent="0.3">
      <c r="A2921" t="s">
        <v>339</v>
      </c>
      <c r="B2921" t="s">
        <v>96</v>
      </c>
      <c r="C2921" s="1">
        <f>HYPERLINK("https://cao.dolgi.msk.ru/account/1011313744/", 1011313744)</f>
        <v>1011313744</v>
      </c>
      <c r="D2921">
        <v>0</v>
      </c>
    </row>
    <row r="2922" spans="1:4" hidden="1" x14ac:dyDescent="0.3">
      <c r="A2922" t="s">
        <v>339</v>
      </c>
      <c r="B2922" t="s">
        <v>97</v>
      </c>
      <c r="C2922" s="1">
        <f>HYPERLINK("https://cao.dolgi.msk.ru/account/1011313728/", 1011313728)</f>
        <v>1011313728</v>
      </c>
      <c r="D2922">
        <v>-3083.7</v>
      </c>
    </row>
    <row r="2923" spans="1:4" hidden="1" x14ac:dyDescent="0.3">
      <c r="A2923" t="s">
        <v>339</v>
      </c>
      <c r="B2923" t="s">
        <v>98</v>
      </c>
      <c r="C2923" s="1">
        <f>HYPERLINK("https://cao.dolgi.msk.ru/account/1011313824/", 1011313824)</f>
        <v>1011313824</v>
      </c>
      <c r="D2923">
        <v>0</v>
      </c>
    </row>
    <row r="2924" spans="1:4" hidden="1" x14ac:dyDescent="0.3">
      <c r="A2924" t="s">
        <v>339</v>
      </c>
      <c r="B2924" t="s">
        <v>58</v>
      </c>
      <c r="C2924" s="1">
        <f>HYPERLINK("https://cao.dolgi.msk.ru/account/1011313584/", 1011313584)</f>
        <v>1011313584</v>
      </c>
      <c r="D2924">
        <v>-4516.3900000000003</v>
      </c>
    </row>
    <row r="2925" spans="1:4" hidden="1" x14ac:dyDescent="0.3">
      <c r="A2925" t="s">
        <v>339</v>
      </c>
      <c r="B2925" t="s">
        <v>59</v>
      </c>
      <c r="C2925" s="1">
        <f>HYPERLINK("https://cao.dolgi.msk.ru/account/1011313808/", 1011313808)</f>
        <v>1011313808</v>
      </c>
      <c r="D2925">
        <v>0</v>
      </c>
    </row>
    <row r="2926" spans="1:4" hidden="1" x14ac:dyDescent="0.3">
      <c r="A2926" t="s">
        <v>339</v>
      </c>
      <c r="B2926" t="s">
        <v>60</v>
      </c>
      <c r="C2926" s="1">
        <f>HYPERLINK("https://cao.dolgi.msk.ru/account/1011314018/", 1011314018)</f>
        <v>1011314018</v>
      </c>
      <c r="D2926">
        <v>0</v>
      </c>
    </row>
    <row r="2927" spans="1:4" x14ac:dyDescent="0.3">
      <c r="A2927" t="s">
        <v>339</v>
      </c>
      <c r="B2927" t="s">
        <v>61</v>
      </c>
      <c r="C2927" s="1">
        <f>HYPERLINK("https://cao.dolgi.msk.ru/account/1011313322/", 1011313322)</f>
        <v>1011313322</v>
      </c>
      <c r="D2927">
        <v>9671.0400000000009</v>
      </c>
    </row>
    <row r="2928" spans="1:4" hidden="1" x14ac:dyDescent="0.3">
      <c r="A2928" t="s">
        <v>339</v>
      </c>
      <c r="B2928" t="s">
        <v>62</v>
      </c>
      <c r="C2928" s="1">
        <f>HYPERLINK("https://cao.dolgi.msk.ru/account/1011314376/", 1011314376)</f>
        <v>1011314376</v>
      </c>
      <c r="D2928">
        <v>0</v>
      </c>
    </row>
    <row r="2929" spans="1:4" hidden="1" x14ac:dyDescent="0.3">
      <c r="A2929" t="s">
        <v>339</v>
      </c>
      <c r="B2929" t="s">
        <v>63</v>
      </c>
      <c r="C2929" s="1">
        <f>HYPERLINK("https://cao.dolgi.msk.ru/account/1011313752/", 1011313752)</f>
        <v>1011313752</v>
      </c>
      <c r="D2929">
        <v>0</v>
      </c>
    </row>
    <row r="2930" spans="1:4" hidden="1" x14ac:dyDescent="0.3">
      <c r="A2930" t="s">
        <v>339</v>
      </c>
      <c r="B2930" t="s">
        <v>64</v>
      </c>
      <c r="C2930" s="1">
        <f>HYPERLINK("https://cao.dolgi.msk.ru/account/1011313517/", 1011313517)</f>
        <v>1011313517</v>
      </c>
      <c r="D2930">
        <v>0</v>
      </c>
    </row>
    <row r="2931" spans="1:4" x14ac:dyDescent="0.3">
      <c r="A2931" t="s">
        <v>339</v>
      </c>
      <c r="B2931" t="s">
        <v>65</v>
      </c>
      <c r="C2931" s="1">
        <f>HYPERLINK("https://cao.dolgi.msk.ru/account/1011314026/", 1011314026)</f>
        <v>1011314026</v>
      </c>
      <c r="D2931">
        <v>397</v>
      </c>
    </row>
    <row r="2932" spans="1:4" hidden="1" x14ac:dyDescent="0.3">
      <c r="A2932" t="s">
        <v>339</v>
      </c>
      <c r="B2932" t="s">
        <v>66</v>
      </c>
      <c r="C2932" s="1">
        <f>HYPERLINK("https://cao.dolgi.msk.ru/account/1011314106/", 1011314106)</f>
        <v>1011314106</v>
      </c>
      <c r="D2932">
        <v>0</v>
      </c>
    </row>
    <row r="2933" spans="1:4" hidden="1" x14ac:dyDescent="0.3">
      <c r="A2933" t="s">
        <v>339</v>
      </c>
      <c r="B2933" t="s">
        <v>67</v>
      </c>
      <c r="C2933" s="1">
        <f>HYPERLINK("https://cao.dolgi.msk.ru/account/1011313592/", 1011313592)</f>
        <v>1011313592</v>
      </c>
      <c r="D2933">
        <v>0</v>
      </c>
    </row>
    <row r="2934" spans="1:4" hidden="1" x14ac:dyDescent="0.3">
      <c r="A2934" t="s">
        <v>339</v>
      </c>
      <c r="B2934" t="s">
        <v>68</v>
      </c>
      <c r="C2934" s="1">
        <f>HYPERLINK("https://cao.dolgi.msk.ru/account/1011313701/", 1011313701)</f>
        <v>1011313701</v>
      </c>
      <c r="D2934">
        <v>-6177.68</v>
      </c>
    </row>
    <row r="2935" spans="1:4" hidden="1" x14ac:dyDescent="0.3">
      <c r="A2935" t="s">
        <v>339</v>
      </c>
      <c r="B2935" t="s">
        <v>69</v>
      </c>
      <c r="C2935" s="1">
        <f>HYPERLINK("https://cao.dolgi.msk.ru/account/1011314202/", 1011314202)</f>
        <v>1011314202</v>
      </c>
      <c r="D2935">
        <v>-333.19</v>
      </c>
    </row>
    <row r="2936" spans="1:4" hidden="1" x14ac:dyDescent="0.3">
      <c r="A2936" t="s">
        <v>339</v>
      </c>
      <c r="B2936" t="s">
        <v>70</v>
      </c>
      <c r="C2936" s="1">
        <f>HYPERLINK("https://cao.dolgi.msk.ru/account/1011313613/", 1011313613)</f>
        <v>1011313613</v>
      </c>
      <c r="D2936">
        <v>0</v>
      </c>
    </row>
    <row r="2937" spans="1:4" hidden="1" x14ac:dyDescent="0.3">
      <c r="A2937" t="s">
        <v>339</v>
      </c>
      <c r="B2937" t="s">
        <v>259</v>
      </c>
      <c r="C2937" s="1">
        <f>HYPERLINK("https://cao.dolgi.msk.ru/account/1011314114/", 1011314114)</f>
        <v>1011314114</v>
      </c>
      <c r="D2937">
        <v>0</v>
      </c>
    </row>
    <row r="2938" spans="1:4" hidden="1" x14ac:dyDescent="0.3">
      <c r="A2938" t="s">
        <v>339</v>
      </c>
      <c r="B2938" t="s">
        <v>100</v>
      </c>
      <c r="C2938" s="1">
        <f>HYPERLINK("https://cao.dolgi.msk.ru/account/1011313525/", 1011313525)</f>
        <v>1011313525</v>
      </c>
      <c r="D2938">
        <v>-5557.83</v>
      </c>
    </row>
    <row r="2939" spans="1:4" hidden="1" x14ac:dyDescent="0.3">
      <c r="A2939" t="s">
        <v>339</v>
      </c>
      <c r="B2939" t="s">
        <v>72</v>
      </c>
      <c r="C2939" s="1">
        <f>HYPERLINK("https://cao.dolgi.msk.ru/account/1011314296/", 1011314296)</f>
        <v>1011314296</v>
      </c>
      <c r="D2939">
        <v>0</v>
      </c>
    </row>
    <row r="2940" spans="1:4" hidden="1" x14ac:dyDescent="0.3">
      <c r="A2940" t="s">
        <v>339</v>
      </c>
      <c r="B2940" t="s">
        <v>73</v>
      </c>
      <c r="C2940" s="1">
        <f>HYPERLINK("https://cao.dolgi.msk.ru/account/1011313533/", 1011313533)</f>
        <v>1011313533</v>
      </c>
      <c r="D2940">
        <v>-7442.62</v>
      </c>
    </row>
    <row r="2941" spans="1:4" hidden="1" x14ac:dyDescent="0.3">
      <c r="A2941" t="s">
        <v>339</v>
      </c>
      <c r="B2941" t="s">
        <v>74</v>
      </c>
      <c r="C2941" s="1">
        <f>HYPERLINK("https://cao.dolgi.msk.ru/account/1011313306/", 1011313306)</f>
        <v>1011313306</v>
      </c>
      <c r="D2941">
        <v>-10.86</v>
      </c>
    </row>
    <row r="2942" spans="1:4" hidden="1" x14ac:dyDescent="0.3">
      <c r="A2942" t="s">
        <v>339</v>
      </c>
      <c r="B2942" t="s">
        <v>75</v>
      </c>
      <c r="C2942" s="1">
        <f>HYPERLINK("https://cao.dolgi.msk.ru/account/1011313875/", 1011313875)</f>
        <v>1011313875</v>
      </c>
      <c r="D2942">
        <v>-3847</v>
      </c>
    </row>
    <row r="2943" spans="1:4" x14ac:dyDescent="0.3">
      <c r="A2943" t="s">
        <v>339</v>
      </c>
      <c r="B2943" t="s">
        <v>76</v>
      </c>
      <c r="C2943" s="1">
        <f>HYPERLINK("https://cao.dolgi.msk.ru/account/1011313779/", 1011313779)</f>
        <v>1011313779</v>
      </c>
      <c r="D2943">
        <v>6368.96</v>
      </c>
    </row>
    <row r="2944" spans="1:4" hidden="1" x14ac:dyDescent="0.3">
      <c r="A2944" t="s">
        <v>339</v>
      </c>
      <c r="B2944" t="s">
        <v>77</v>
      </c>
      <c r="C2944" s="1">
        <f>HYPERLINK("https://cao.dolgi.msk.ru/account/1011313787/", 1011313787)</f>
        <v>1011313787</v>
      </c>
      <c r="D2944">
        <v>0</v>
      </c>
    </row>
    <row r="2945" spans="1:4" hidden="1" x14ac:dyDescent="0.3">
      <c r="A2945" t="s">
        <v>339</v>
      </c>
      <c r="B2945" t="s">
        <v>78</v>
      </c>
      <c r="C2945" s="1">
        <f>HYPERLINK("https://cao.dolgi.msk.ru/account/1011313541/", 1011313541)</f>
        <v>1011313541</v>
      </c>
      <c r="D2945">
        <v>0</v>
      </c>
    </row>
    <row r="2946" spans="1:4" hidden="1" x14ac:dyDescent="0.3">
      <c r="A2946" t="s">
        <v>339</v>
      </c>
      <c r="B2946" t="s">
        <v>79</v>
      </c>
      <c r="C2946" s="1">
        <f>HYPERLINK("https://cao.dolgi.msk.ru/account/1011314245/", 1011314245)</f>
        <v>1011314245</v>
      </c>
      <c r="D2946">
        <v>0</v>
      </c>
    </row>
    <row r="2947" spans="1:4" hidden="1" x14ac:dyDescent="0.3">
      <c r="A2947" t="s">
        <v>339</v>
      </c>
      <c r="B2947" t="s">
        <v>80</v>
      </c>
      <c r="C2947" s="1">
        <f>HYPERLINK("https://cao.dolgi.msk.ru/account/1011313509/", 1011313509)</f>
        <v>1011313509</v>
      </c>
      <c r="D2947">
        <v>0</v>
      </c>
    </row>
    <row r="2948" spans="1:4" hidden="1" x14ac:dyDescent="0.3">
      <c r="A2948" t="s">
        <v>339</v>
      </c>
      <c r="B2948" t="s">
        <v>80</v>
      </c>
      <c r="C2948" s="1">
        <f>HYPERLINK("https://cao.dolgi.msk.ru/account/1011314499/", 1011314499)</f>
        <v>1011314499</v>
      </c>
      <c r="D2948">
        <v>-177.24</v>
      </c>
    </row>
    <row r="2949" spans="1:4" hidden="1" x14ac:dyDescent="0.3">
      <c r="A2949" t="s">
        <v>339</v>
      </c>
      <c r="B2949" t="s">
        <v>81</v>
      </c>
      <c r="C2949" s="1">
        <f>HYPERLINK("https://cao.dolgi.msk.ru/account/1011313402/", 1011313402)</f>
        <v>1011313402</v>
      </c>
      <c r="D2949">
        <v>0</v>
      </c>
    </row>
    <row r="2950" spans="1:4" hidden="1" x14ac:dyDescent="0.3">
      <c r="A2950" t="s">
        <v>339</v>
      </c>
      <c r="B2950" t="s">
        <v>101</v>
      </c>
      <c r="C2950" s="1">
        <f>HYPERLINK("https://cao.dolgi.msk.ru/account/1011314157/", 1011314157)</f>
        <v>1011314157</v>
      </c>
      <c r="D2950">
        <v>-3232.01</v>
      </c>
    </row>
    <row r="2951" spans="1:4" hidden="1" x14ac:dyDescent="0.3">
      <c r="A2951" t="s">
        <v>339</v>
      </c>
      <c r="B2951" t="s">
        <v>82</v>
      </c>
      <c r="C2951" s="1">
        <f>HYPERLINK("https://cao.dolgi.msk.ru/account/1011314181/", 1011314181)</f>
        <v>1011314181</v>
      </c>
      <c r="D2951">
        <v>-4742.17</v>
      </c>
    </row>
    <row r="2952" spans="1:4" x14ac:dyDescent="0.3">
      <c r="A2952" t="s">
        <v>339</v>
      </c>
      <c r="B2952" t="s">
        <v>83</v>
      </c>
      <c r="C2952" s="1">
        <f>HYPERLINK("https://cao.dolgi.msk.ru/account/1011314042/", 1011314042)</f>
        <v>1011314042</v>
      </c>
      <c r="D2952">
        <v>27507.279999999999</v>
      </c>
    </row>
    <row r="2953" spans="1:4" hidden="1" x14ac:dyDescent="0.3">
      <c r="A2953" t="s">
        <v>339</v>
      </c>
      <c r="B2953" t="s">
        <v>84</v>
      </c>
      <c r="C2953" s="1">
        <f>HYPERLINK("https://cao.dolgi.msk.ru/account/1011313998/", 1011313998)</f>
        <v>1011313998</v>
      </c>
      <c r="D2953">
        <v>0</v>
      </c>
    </row>
    <row r="2954" spans="1:4" hidden="1" x14ac:dyDescent="0.3">
      <c r="A2954" t="s">
        <v>339</v>
      </c>
      <c r="B2954" t="s">
        <v>85</v>
      </c>
      <c r="C2954" s="1">
        <f>HYPERLINK("https://cao.dolgi.msk.ru/account/1011313568/", 1011313568)</f>
        <v>1011313568</v>
      </c>
      <c r="D2954">
        <v>0</v>
      </c>
    </row>
    <row r="2955" spans="1:4" x14ac:dyDescent="0.3">
      <c r="A2955" t="s">
        <v>339</v>
      </c>
      <c r="B2955" t="s">
        <v>102</v>
      </c>
      <c r="C2955" s="1">
        <f>HYPERLINK("https://cao.dolgi.msk.ru/account/1011313859/", 1011313859)</f>
        <v>1011313859</v>
      </c>
      <c r="D2955">
        <v>4962.99</v>
      </c>
    </row>
    <row r="2956" spans="1:4" x14ac:dyDescent="0.3">
      <c r="A2956" t="s">
        <v>339</v>
      </c>
      <c r="B2956" t="s">
        <v>103</v>
      </c>
      <c r="C2956" s="1">
        <f>HYPERLINK("https://cao.dolgi.msk.ru/account/1011313867/", 1011313867)</f>
        <v>1011313867</v>
      </c>
      <c r="D2956">
        <v>69290.87</v>
      </c>
    </row>
    <row r="2957" spans="1:4" hidden="1" x14ac:dyDescent="0.3">
      <c r="A2957" t="s">
        <v>339</v>
      </c>
      <c r="B2957" t="s">
        <v>104</v>
      </c>
      <c r="C2957" s="1">
        <f>HYPERLINK("https://cao.dolgi.msk.ru/account/1011313488/", 1011313488)</f>
        <v>1011313488</v>
      </c>
      <c r="D2957">
        <v>0</v>
      </c>
    </row>
    <row r="2958" spans="1:4" hidden="1" x14ac:dyDescent="0.3">
      <c r="A2958" t="s">
        <v>339</v>
      </c>
      <c r="B2958" t="s">
        <v>105</v>
      </c>
      <c r="C2958" s="1">
        <f>HYPERLINK("https://cao.dolgi.msk.ru/account/1011313947/", 1011313947)</f>
        <v>1011313947</v>
      </c>
      <c r="D2958">
        <v>-31.63</v>
      </c>
    </row>
    <row r="2959" spans="1:4" hidden="1" x14ac:dyDescent="0.3">
      <c r="A2959" t="s">
        <v>339</v>
      </c>
      <c r="B2959" t="s">
        <v>106</v>
      </c>
      <c r="C2959" s="1">
        <f>HYPERLINK("https://cao.dolgi.msk.ru/account/1011313955/", 1011313955)</f>
        <v>1011313955</v>
      </c>
      <c r="D2959">
        <v>0</v>
      </c>
    </row>
    <row r="2960" spans="1:4" hidden="1" x14ac:dyDescent="0.3">
      <c r="A2960" t="s">
        <v>339</v>
      </c>
      <c r="B2960" t="s">
        <v>107</v>
      </c>
      <c r="C2960" s="1">
        <f>HYPERLINK("https://cao.dolgi.msk.ru/account/1011314069/", 1011314069)</f>
        <v>1011314069</v>
      </c>
      <c r="D2960">
        <v>0</v>
      </c>
    </row>
    <row r="2961" spans="1:4" hidden="1" x14ac:dyDescent="0.3">
      <c r="A2961" t="s">
        <v>339</v>
      </c>
      <c r="B2961" t="s">
        <v>108</v>
      </c>
      <c r="C2961" s="1">
        <f>HYPERLINK("https://cao.dolgi.msk.ru/account/1011313963/", 1011313963)</f>
        <v>1011313963</v>
      </c>
      <c r="D2961">
        <v>-6066.64</v>
      </c>
    </row>
    <row r="2962" spans="1:4" hidden="1" x14ac:dyDescent="0.3">
      <c r="A2962" t="s">
        <v>339</v>
      </c>
      <c r="B2962" t="s">
        <v>109</v>
      </c>
      <c r="C2962" s="1">
        <f>HYPERLINK("https://cao.dolgi.msk.ru/account/1011314341/", 1011314341)</f>
        <v>1011314341</v>
      </c>
      <c r="D2962">
        <v>-5946.99</v>
      </c>
    </row>
    <row r="2963" spans="1:4" hidden="1" x14ac:dyDescent="0.3">
      <c r="A2963" t="s">
        <v>339</v>
      </c>
      <c r="B2963" t="s">
        <v>110</v>
      </c>
      <c r="C2963" s="1">
        <f>HYPERLINK("https://cao.dolgi.msk.ru/account/1011313904/", 1011313904)</f>
        <v>1011313904</v>
      </c>
      <c r="D2963">
        <v>0</v>
      </c>
    </row>
    <row r="2964" spans="1:4" hidden="1" x14ac:dyDescent="0.3">
      <c r="A2964" t="s">
        <v>339</v>
      </c>
      <c r="B2964" t="s">
        <v>111</v>
      </c>
      <c r="C2964" s="1">
        <f>HYPERLINK("https://cao.dolgi.msk.ru/account/1011313445/", 1011313445)</f>
        <v>1011313445</v>
      </c>
      <c r="D2964">
        <v>0</v>
      </c>
    </row>
    <row r="2965" spans="1:4" hidden="1" x14ac:dyDescent="0.3">
      <c r="A2965" t="s">
        <v>339</v>
      </c>
      <c r="B2965" t="s">
        <v>112</v>
      </c>
      <c r="C2965" s="1">
        <f>HYPERLINK("https://cao.dolgi.msk.ru/account/1011314165/", 1011314165)</f>
        <v>1011314165</v>
      </c>
      <c r="D2965">
        <v>-7898.68</v>
      </c>
    </row>
    <row r="2966" spans="1:4" hidden="1" x14ac:dyDescent="0.3">
      <c r="A2966" t="s">
        <v>339</v>
      </c>
      <c r="B2966" t="s">
        <v>113</v>
      </c>
      <c r="C2966" s="1">
        <f>HYPERLINK("https://cao.dolgi.msk.ru/account/1011314392/", 1011314392)</f>
        <v>1011314392</v>
      </c>
      <c r="D2966">
        <v>-10371</v>
      </c>
    </row>
    <row r="2967" spans="1:4" hidden="1" x14ac:dyDescent="0.3">
      <c r="A2967" t="s">
        <v>339</v>
      </c>
      <c r="B2967" t="s">
        <v>114</v>
      </c>
      <c r="C2967" s="1">
        <f>HYPERLINK("https://cao.dolgi.msk.ru/account/1011313293/", 1011313293)</f>
        <v>1011313293</v>
      </c>
      <c r="D2967">
        <v>-2246.9899999999998</v>
      </c>
    </row>
    <row r="2968" spans="1:4" hidden="1" x14ac:dyDescent="0.3">
      <c r="A2968" t="s">
        <v>339</v>
      </c>
      <c r="B2968" t="s">
        <v>114</v>
      </c>
      <c r="C2968" s="1">
        <f>HYPERLINK("https://cao.dolgi.msk.ru/account/1011313656/", 1011313656)</f>
        <v>1011313656</v>
      </c>
      <c r="D2968">
        <v>-4201.07</v>
      </c>
    </row>
    <row r="2969" spans="1:4" x14ac:dyDescent="0.3">
      <c r="A2969" t="s">
        <v>339</v>
      </c>
      <c r="B2969" t="s">
        <v>115</v>
      </c>
      <c r="C2969" s="1">
        <f>HYPERLINK("https://cao.dolgi.msk.ru/account/1011313883/", 1011313883)</f>
        <v>1011313883</v>
      </c>
      <c r="D2969">
        <v>12847.72</v>
      </c>
    </row>
    <row r="2970" spans="1:4" hidden="1" x14ac:dyDescent="0.3">
      <c r="A2970" t="s">
        <v>339</v>
      </c>
      <c r="B2970" t="s">
        <v>116</v>
      </c>
      <c r="C2970" s="1">
        <f>HYPERLINK("https://cao.dolgi.msk.ru/account/1011314413/", 1011314413)</f>
        <v>1011314413</v>
      </c>
      <c r="D2970">
        <v>0</v>
      </c>
    </row>
    <row r="2971" spans="1:4" hidden="1" x14ac:dyDescent="0.3">
      <c r="A2971" t="s">
        <v>339</v>
      </c>
      <c r="B2971" t="s">
        <v>266</v>
      </c>
      <c r="C2971" s="1">
        <f>HYPERLINK("https://cao.dolgi.msk.ru/account/1011313365/", 1011313365)</f>
        <v>1011313365</v>
      </c>
      <c r="D2971">
        <v>0</v>
      </c>
    </row>
    <row r="2972" spans="1:4" hidden="1" x14ac:dyDescent="0.3">
      <c r="A2972" t="s">
        <v>339</v>
      </c>
      <c r="B2972" t="s">
        <v>117</v>
      </c>
      <c r="C2972" s="1">
        <f>HYPERLINK("https://cao.dolgi.msk.ru/account/1011313672/", 1011313672)</f>
        <v>1011313672</v>
      </c>
      <c r="D2972">
        <v>0</v>
      </c>
    </row>
    <row r="2973" spans="1:4" x14ac:dyDescent="0.3">
      <c r="A2973" t="s">
        <v>339</v>
      </c>
      <c r="B2973" t="s">
        <v>118</v>
      </c>
      <c r="C2973" s="1">
        <f>HYPERLINK("https://cao.dolgi.msk.ru/account/1011314421/", 1011314421)</f>
        <v>1011314421</v>
      </c>
      <c r="D2973">
        <v>7162.02</v>
      </c>
    </row>
    <row r="2974" spans="1:4" hidden="1" x14ac:dyDescent="0.3">
      <c r="A2974" t="s">
        <v>339</v>
      </c>
      <c r="B2974" t="s">
        <v>119</v>
      </c>
      <c r="C2974" s="1">
        <f>HYPERLINK("https://cao.dolgi.msk.ru/account/1011313373/", 1011313373)</f>
        <v>1011313373</v>
      </c>
      <c r="D2974">
        <v>0</v>
      </c>
    </row>
    <row r="2975" spans="1:4" x14ac:dyDescent="0.3">
      <c r="A2975" t="s">
        <v>339</v>
      </c>
      <c r="B2975" t="s">
        <v>120</v>
      </c>
      <c r="C2975" s="1">
        <f>HYPERLINK("https://cao.dolgi.msk.ru/account/1011314317/", 1011314317)</f>
        <v>1011314317</v>
      </c>
      <c r="D2975">
        <v>4630.57</v>
      </c>
    </row>
    <row r="2976" spans="1:4" hidden="1" x14ac:dyDescent="0.3">
      <c r="A2976" t="s">
        <v>339</v>
      </c>
      <c r="B2976" t="s">
        <v>121</v>
      </c>
      <c r="C2976" s="1">
        <f>HYPERLINK("https://cao.dolgi.msk.ru/account/1011313496/", 1011313496)</f>
        <v>1011313496</v>
      </c>
      <c r="D2976">
        <v>-18073.099999999999</v>
      </c>
    </row>
    <row r="2977" spans="1:4" hidden="1" x14ac:dyDescent="0.3">
      <c r="A2977" t="s">
        <v>339</v>
      </c>
      <c r="B2977" t="s">
        <v>122</v>
      </c>
      <c r="C2977" s="1">
        <f>HYPERLINK("https://cao.dolgi.msk.ru/account/1011313699/", 1011313699)</f>
        <v>1011313699</v>
      </c>
      <c r="D2977">
        <v>0</v>
      </c>
    </row>
    <row r="2978" spans="1:4" x14ac:dyDescent="0.3">
      <c r="A2978" t="s">
        <v>339</v>
      </c>
      <c r="B2978" t="s">
        <v>123</v>
      </c>
      <c r="C2978" s="1">
        <f>HYPERLINK("https://cao.dolgi.msk.ru/account/1011313605/", 1011313605)</f>
        <v>1011313605</v>
      </c>
      <c r="D2978">
        <v>5771.96</v>
      </c>
    </row>
    <row r="2979" spans="1:4" hidden="1" x14ac:dyDescent="0.3">
      <c r="A2979" t="s">
        <v>339</v>
      </c>
      <c r="B2979" t="s">
        <v>124</v>
      </c>
      <c r="C2979" s="1">
        <f>HYPERLINK("https://cao.dolgi.msk.ru/account/1011314122/", 1011314122)</f>
        <v>1011314122</v>
      </c>
      <c r="D2979">
        <v>0</v>
      </c>
    </row>
    <row r="2980" spans="1:4" hidden="1" x14ac:dyDescent="0.3">
      <c r="A2980" t="s">
        <v>339</v>
      </c>
      <c r="B2980" t="s">
        <v>125</v>
      </c>
      <c r="C2980" s="1">
        <f>HYPERLINK("https://cao.dolgi.msk.ru/account/1011314464/", 1011314464)</f>
        <v>1011314464</v>
      </c>
      <c r="D2980">
        <v>0</v>
      </c>
    </row>
    <row r="2981" spans="1:4" hidden="1" x14ac:dyDescent="0.3">
      <c r="A2981" t="s">
        <v>340</v>
      </c>
      <c r="B2981" t="s">
        <v>6</v>
      </c>
      <c r="C2981" s="1">
        <f>HYPERLINK("https://cao.dolgi.msk.ru/account/1011430887/", 1011430887)</f>
        <v>1011430887</v>
      </c>
      <c r="D2981">
        <v>0</v>
      </c>
    </row>
    <row r="2982" spans="1:4" hidden="1" x14ac:dyDescent="0.3">
      <c r="A2982" t="s">
        <v>340</v>
      </c>
      <c r="B2982" t="s">
        <v>6</v>
      </c>
      <c r="C2982" s="1">
        <f>HYPERLINK("https://cao.dolgi.msk.ru/account/1011431011/", 1011431011)</f>
        <v>1011431011</v>
      </c>
      <c r="D2982">
        <v>0</v>
      </c>
    </row>
    <row r="2983" spans="1:4" hidden="1" x14ac:dyDescent="0.3">
      <c r="A2983" t="s">
        <v>340</v>
      </c>
      <c r="B2983" t="s">
        <v>28</v>
      </c>
      <c r="C2983" s="1">
        <f>HYPERLINK("https://cao.dolgi.msk.ru/account/1011430959/", 1011430959)</f>
        <v>1011430959</v>
      </c>
      <c r="D2983">
        <v>-7904.2</v>
      </c>
    </row>
    <row r="2984" spans="1:4" hidden="1" x14ac:dyDescent="0.3">
      <c r="A2984" t="s">
        <v>340</v>
      </c>
      <c r="B2984" t="s">
        <v>35</v>
      </c>
      <c r="C2984" s="1">
        <f>HYPERLINK("https://cao.dolgi.msk.ru/account/1011430852/", 1011430852)</f>
        <v>1011430852</v>
      </c>
      <c r="D2984">
        <v>-7807.16</v>
      </c>
    </row>
    <row r="2985" spans="1:4" hidden="1" x14ac:dyDescent="0.3">
      <c r="A2985" t="s">
        <v>340</v>
      </c>
      <c r="B2985" t="s">
        <v>5</v>
      </c>
      <c r="C2985" s="1">
        <f>HYPERLINK("https://cao.dolgi.msk.ru/account/1011430991/", 1011430991)</f>
        <v>1011430991</v>
      </c>
      <c r="D2985">
        <v>0</v>
      </c>
    </row>
    <row r="2986" spans="1:4" hidden="1" x14ac:dyDescent="0.3">
      <c r="A2986" t="s">
        <v>340</v>
      </c>
      <c r="B2986" t="s">
        <v>7</v>
      </c>
      <c r="C2986" s="1">
        <f>HYPERLINK("https://cao.dolgi.msk.ru/account/1011430828/", 1011430828)</f>
        <v>1011430828</v>
      </c>
      <c r="D2986">
        <v>-11084.89</v>
      </c>
    </row>
    <row r="2987" spans="1:4" hidden="1" x14ac:dyDescent="0.3">
      <c r="A2987" t="s">
        <v>340</v>
      </c>
      <c r="B2987" t="s">
        <v>8</v>
      </c>
      <c r="C2987" s="1">
        <f>HYPERLINK("https://cao.dolgi.msk.ru/account/1011430983/", 1011430983)</f>
        <v>1011430983</v>
      </c>
      <c r="D2987">
        <v>0</v>
      </c>
    </row>
    <row r="2988" spans="1:4" hidden="1" x14ac:dyDescent="0.3">
      <c r="A2988" t="s">
        <v>340</v>
      </c>
      <c r="B2988" t="s">
        <v>31</v>
      </c>
      <c r="C2988" s="1">
        <f>HYPERLINK("https://cao.dolgi.msk.ru/account/1011430932/", 1011430932)</f>
        <v>1011430932</v>
      </c>
      <c r="D2988">
        <v>0</v>
      </c>
    </row>
    <row r="2989" spans="1:4" hidden="1" x14ac:dyDescent="0.3">
      <c r="A2989" t="s">
        <v>340</v>
      </c>
      <c r="B2989" t="s">
        <v>9</v>
      </c>
      <c r="C2989" s="1">
        <f>HYPERLINK("https://cao.dolgi.msk.ru/account/1011430844/", 1011430844)</f>
        <v>1011430844</v>
      </c>
      <c r="D2989">
        <v>0</v>
      </c>
    </row>
    <row r="2990" spans="1:4" hidden="1" x14ac:dyDescent="0.3">
      <c r="A2990" t="s">
        <v>340</v>
      </c>
      <c r="B2990" t="s">
        <v>10</v>
      </c>
      <c r="C2990" s="1">
        <f>HYPERLINK("https://cao.dolgi.msk.ru/account/1011430975/", 1011430975)</f>
        <v>1011430975</v>
      </c>
      <c r="D2990">
        <v>0</v>
      </c>
    </row>
    <row r="2991" spans="1:4" hidden="1" x14ac:dyDescent="0.3">
      <c r="A2991" t="s">
        <v>340</v>
      </c>
      <c r="B2991" t="s">
        <v>11</v>
      </c>
      <c r="C2991" s="1">
        <f>HYPERLINK("https://cao.dolgi.msk.ru/account/1011430967/", 1011430967)</f>
        <v>1011430967</v>
      </c>
      <c r="D2991">
        <v>0</v>
      </c>
    </row>
    <row r="2992" spans="1:4" hidden="1" x14ac:dyDescent="0.3">
      <c r="A2992" t="s">
        <v>340</v>
      </c>
      <c r="B2992" t="s">
        <v>12</v>
      </c>
      <c r="C2992" s="1">
        <f>HYPERLINK("https://cao.dolgi.msk.ru/account/1011430836/", 1011430836)</f>
        <v>1011430836</v>
      </c>
      <c r="D2992">
        <v>0</v>
      </c>
    </row>
    <row r="2993" spans="1:4" hidden="1" x14ac:dyDescent="0.3">
      <c r="A2993" t="s">
        <v>340</v>
      </c>
      <c r="B2993" t="s">
        <v>23</v>
      </c>
      <c r="C2993" s="1">
        <f>HYPERLINK("https://cao.dolgi.msk.ru/account/1011430924/", 1011430924)</f>
        <v>1011430924</v>
      </c>
      <c r="D2993">
        <v>0</v>
      </c>
    </row>
    <row r="2994" spans="1:4" hidden="1" x14ac:dyDescent="0.3">
      <c r="A2994" t="s">
        <v>340</v>
      </c>
      <c r="B2994" t="s">
        <v>13</v>
      </c>
      <c r="C2994" s="1">
        <f>HYPERLINK("https://cao.dolgi.msk.ru/account/1011430895/", 1011430895)</f>
        <v>1011430895</v>
      </c>
      <c r="D2994">
        <v>-3823.03</v>
      </c>
    </row>
    <row r="2995" spans="1:4" hidden="1" x14ac:dyDescent="0.3">
      <c r="A2995" t="s">
        <v>340</v>
      </c>
      <c r="B2995" t="s">
        <v>13</v>
      </c>
      <c r="C2995" s="1">
        <f>HYPERLINK("https://cao.dolgi.msk.ru/account/1011430916/", 1011430916)</f>
        <v>1011430916</v>
      </c>
      <c r="D2995">
        <v>-2784.41</v>
      </c>
    </row>
    <row r="2996" spans="1:4" hidden="1" x14ac:dyDescent="0.3">
      <c r="A2996" t="s">
        <v>340</v>
      </c>
      <c r="B2996" t="s">
        <v>14</v>
      </c>
      <c r="C2996" s="1">
        <f>HYPERLINK("https://cao.dolgi.msk.ru/account/1011431003/", 1011431003)</f>
        <v>1011431003</v>
      </c>
      <c r="D2996">
        <v>0</v>
      </c>
    </row>
    <row r="2997" spans="1:4" hidden="1" x14ac:dyDescent="0.3">
      <c r="A2997" t="s">
        <v>340</v>
      </c>
      <c r="B2997" t="s">
        <v>16</v>
      </c>
      <c r="C2997" s="1">
        <f>HYPERLINK("https://cao.dolgi.msk.ru/account/1011430908/", 1011430908)</f>
        <v>1011430908</v>
      </c>
      <c r="D2997">
        <v>0</v>
      </c>
    </row>
    <row r="2998" spans="1:4" hidden="1" x14ac:dyDescent="0.3">
      <c r="A2998" t="s">
        <v>340</v>
      </c>
      <c r="B2998" t="s">
        <v>17</v>
      </c>
      <c r="C2998" s="1">
        <f>HYPERLINK("https://cao.dolgi.msk.ru/account/1011430879/", 1011430879)</f>
        <v>1011430879</v>
      </c>
      <c r="D2998">
        <v>-67.150000000000006</v>
      </c>
    </row>
    <row r="2999" spans="1:4" hidden="1" x14ac:dyDescent="0.3">
      <c r="A2999" t="s">
        <v>341</v>
      </c>
      <c r="B2999" t="s">
        <v>28</v>
      </c>
      <c r="C2999" s="1">
        <f>HYPERLINK("https://cao.dolgi.msk.ru/account/1011135386/", 1011135386)</f>
        <v>1011135386</v>
      </c>
      <c r="D2999">
        <v>-3.76</v>
      </c>
    </row>
    <row r="3000" spans="1:4" x14ac:dyDescent="0.3">
      <c r="A3000" t="s">
        <v>341</v>
      </c>
      <c r="B3000" t="s">
        <v>35</v>
      </c>
      <c r="C3000" s="1">
        <f>HYPERLINK("https://cao.dolgi.msk.ru/account/1011135255/", 1011135255)</f>
        <v>1011135255</v>
      </c>
      <c r="D3000">
        <v>16590.11</v>
      </c>
    </row>
    <row r="3001" spans="1:4" hidden="1" x14ac:dyDescent="0.3">
      <c r="A3001" t="s">
        <v>341</v>
      </c>
      <c r="B3001" t="s">
        <v>5</v>
      </c>
      <c r="C3001" s="1">
        <f>HYPERLINK("https://cao.dolgi.msk.ru/account/1011135298/", 1011135298)</f>
        <v>1011135298</v>
      </c>
      <c r="D3001">
        <v>0</v>
      </c>
    </row>
    <row r="3002" spans="1:4" x14ac:dyDescent="0.3">
      <c r="A3002" t="s">
        <v>341</v>
      </c>
      <c r="B3002" t="s">
        <v>7</v>
      </c>
      <c r="C3002" s="1">
        <f>HYPERLINK("https://cao.dolgi.msk.ru/account/1011135351/", 1011135351)</f>
        <v>1011135351</v>
      </c>
      <c r="D3002">
        <v>8766.2999999999993</v>
      </c>
    </row>
    <row r="3003" spans="1:4" hidden="1" x14ac:dyDescent="0.3">
      <c r="A3003" t="s">
        <v>341</v>
      </c>
      <c r="B3003" t="s">
        <v>342</v>
      </c>
      <c r="C3003" s="1">
        <f>HYPERLINK("https://cao.dolgi.msk.ru/account/1011135343/", 1011135343)</f>
        <v>1011135343</v>
      </c>
      <c r="D3003">
        <v>0</v>
      </c>
    </row>
    <row r="3004" spans="1:4" x14ac:dyDescent="0.3">
      <c r="A3004" t="s">
        <v>341</v>
      </c>
      <c r="B3004" t="s">
        <v>8</v>
      </c>
      <c r="C3004" s="1">
        <f>HYPERLINK("https://cao.dolgi.msk.ru/account/1011135271/", 1011135271)</f>
        <v>1011135271</v>
      </c>
      <c r="D3004">
        <v>73464.429999999993</v>
      </c>
    </row>
    <row r="3005" spans="1:4" x14ac:dyDescent="0.3">
      <c r="A3005" t="s">
        <v>341</v>
      </c>
      <c r="B3005" t="s">
        <v>343</v>
      </c>
      <c r="C3005" s="1">
        <f>HYPERLINK("https://cao.dolgi.msk.ru/account/1011135263/", 1011135263)</f>
        <v>1011135263</v>
      </c>
      <c r="D3005">
        <v>12601.33</v>
      </c>
    </row>
    <row r="3006" spans="1:4" hidden="1" x14ac:dyDescent="0.3">
      <c r="A3006" t="s">
        <v>341</v>
      </c>
      <c r="B3006" t="s">
        <v>31</v>
      </c>
      <c r="C3006" s="1">
        <f>HYPERLINK("https://cao.dolgi.msk.ru/account/1011135319/", 1011135319)</f>
        <v>1011135319</v>
      </c>
      <c r="D3006">
        <v>-11959.91</v>
      </c>
    </row>
    <row r="3007" spans="1:4" x14ac:dyDescent="0.3">
      <c r="A3007" t="s">
        <v>341</v>
      </c>
      <c r="B3007" t="s">
        <v>9</v>
      </c>
      <c r="C3007" s="1">
        <f>HYPERLINK("https://cao.dolgi.msk.ru/account/1011135378/", 1011135378)</f>
        <v>1011135378</v>
      </c>
      <c r="D3007">
        <v>13643.93</v>
      </c>
    </row>
    <row r="3008" spans="1:4" hidden="1" x14ac:dyDescent="0.3">
      <c r="A3008" t="s">
        <v>341</v>
      </c>
      <c r="B3008" t="s">
        <v>10</v>
      </c>
      <c r="C3008" s="1">
        <f>HYPERLINK("https://cao.dolgi.msk.ru/account/1011135327/", 1011135327)</f>
        <v>1011135327</v>
      </c>
      <c r="D3008">
        <v>0</v>
      </c>
    </row>
    <row r="3009" spans="1:4" x14ac:dyDescent="0.3">
      <c r="A3009" t="s">
        <v>341</v>
      </c>
      <c r="B3009" t="s">
        <v>11</v>
      </c>
      <c r="C3009" s="1">
        <f>HYPERLINK("https://cao.dolgi.msk.ru/account/1011135335/", 1011135335)</f>
        <v>1011135335</v>
      </c>
      <c r="D3009">
        <v>11817.93</v>
      </c>
    </row>
    <row r="3010" spans="1:4" hidden="1" x14ac:dyDescent="0.3">
      <c r="A3010" t="s">
        <v>344</v>
      </c>
      <c r="B3010" t="s">
        <v>14</v>
      </c>
      <c r="C3010" s="1">
        <f>HYPERLINK("https://cao.dolgi.msk.ru/account/1011055829/", 1011055829)</f>
        <v>1011055829</v>
      </c>
      <c r="D3010">
        <v>0</v>
      </c>
    </row>
    <row r="3011" spans="1:4" x14ac:dyDescent="0.3">
      <c r="A3011" t="s">
        <v>344</v>
      </c>
      <c r="B3011" t="s">
        <v>16</v>
      </c>
      <c r="C3011" s="1">
        <f>HYPERLINK("https://cao.dolgi.msk.ru/account/1011055677/", 1011055677)</f>
        <v>1011055677</v>
      </c>
      <c r="D3011">
        <v>9338.16</v>
      </c>
    </row>
    <row r="3012" spans="1:4" hidden="1" x14ac:dyDescent="0.3">
      <c r="A3012" t="s">
        <v>344</v>
      </c>
      <c r="B3012" t="s">
        <v>17</v>
      </c>
      <c r="C3012" s="1">
        <f>HYPERLINK("https://cao.dolgi.msk.ru/account/1011055503/", 1011055503)</f>
        <v>1011055503</v>
      </c>
      <c r="D3012">
        <v>-135.82</v>
      </c>
    </row>
    <row r="3013" spans="1:4" hidden="1" x14ac:dyDescent="0.3">
      <c r="A3013" t="s">
        <v>344</v>
      </c>
      <c r="B3013" t="s">
        <v>18</v>
      </c>
      <c r="C3013" s="1">
        <f>HYPERLINK("https://cao.dolgi.msk.ru/account/1011055407/", 1011055407)</f>
        <v>1011055407</v>
      </c>
      <c r="D3013">
        <v>0</v>
      </c>
    </row>
    <row r="3014" spans="1:4" hidden="1" x14ac:dyDescent="0.3">
      <c r="A3014" t="s">
        <v>344</v>
      </c>
      <c r="B3014" t="s">
        <v>19</v>
      </c>
      <c r="C3014" s="1">
        <f>HYPERLINK("https://cao.dolgi.msk.ru/account/1011055511/", 1011055511)</f>
        <v>1011055511</v>
      </c>
      <c r="D3014">
        <v>0</v>
      </c>
    </row>
    <row r="3015" spans="1:4" hidden="1" x14ac:dyDescent="0.3">
      <c r="A3015" t="s">
        <v>344</v>
      </c>
      <c r="B3015" t="s">
        <v>20</v>
      </c>
      <c r="C3015" s="1">
        <f>HYPERLINK("https://cao.dolgi.msk.ru/account/1011055685/", 1011055685)</f>
        <v>1011055685</v>
      </c>
      <c r="D3015">
        <v>-17573.84</v>
      </c>
    </row>
    <row r="3016" spans="1:4" x14ac:dyDescent="0.3">
      <c r="A3016" t="s">
        <v>344</v>
      </c>
      <c r="B3016" t="s">
        <v>21</v>
      </c>
      <c r="C3016" s="1">
        <f>HYPERLINK("https://cao.dolgi.msk.ru/account/1011055757/", 1011055757)</f>
        <v>1011055757</v>
      </c>
      <c r="D3016">
        <v>16492.86</v>
      </c>
    </row>
    <row r="3017" spans="1:4" hidden="1" x14ac:dyDescent="0.3">
      <c r="A3017" t="s">
        <v>344</v>
      </c>
      <c r="B3017" t="s">
        <v>22</v>
      </c>
      <c r="C3017" s="1">
        <f>HYPERLINK("https://cao.dolgi.msk.ru/account/1011055765/", 1011055765)</f>
        <v>1011055765</v>
      </c>
      <c r="D3017">
        <v>0</v>
      </c>
    </row>
    <row r="3018" spans="1:4" hidden="1" x14ac:dyDescent="0.3">
      <c r="A3018" t="s">
        <v>344</v>
      </c>
      <c r="B3018" t="s">
        <v>24</v>
      </c>
      <c r="C3018" s="1">
        <f>HYPERLINK("https://cao.dolgi.msk.ru/account/1011055773/", 1011055773)</f>
        <v>1011055773</v>
      </c>
      <c r="D3018">
        <v>-40591.68</v>
      </c>
    </row>
    <row r="3019" spans="1:4" hidden="1" x14ac:dyDescent="0.3">
      <c r="A3019" t="s">
        <v>344</v>
      </c>
      <c r="B3019" t="s">
        <v>25</v>
      </c>
      <c r="C3019" s="1">
        <f>HYPERLINK("https://cao.dolgi.msk.ru/account/1011055861/", 1011055861)</f>
        <v>1011055861</v>
      </c>
      <c r="D3019">
        <v>-54.56</v>
      </c>
    </row>
    <row r="3020" spans="1:4" hidden="1" x14ac:dyDescent="0.3">
      <c r="A3020" t="s">
        <v>344</v>
      </c>
      <c r="B3020" t="s">
        <v>26</v>
      </c>
      <c r="C3020" s="1">
        <f>HYPERLINK("https://cao.dolgi.msk.ru/account/1011055538/", 1011055538)</f>
        <v>1011055538</v>
      </c>
      <c r="D3020">
        <v>0</v>
      </c>
    </row>
    <row r="3021" spans="1:4" x14ac:dyDescent="0.3">
      <c r="A3021" t="s">
        <v>344</v>
      </c>
      <c r="B3021" t="s">
        <v>27</v>
      </c>
      <c r="C3021" s="1">
        <f>HYPERLINK("https://cao.dolgi.msk.ru/account/1011055693/", 1011055693)</f>
        <v>1011055693</v>
      </c>
      <c r="D3021">
        <v>6696.12</v>
      </c>
    </row>
    <row r="3022" spans="1:4" hidden="1" x14ac:dyDescent="0.3">
      <c r="A3022" t="s">
        <v>344</v>
      </c>
      <c r="B3022" t="s">
        <v>29</v>
      </c>
      <c r="C3022" s="1">
        <f>HYPERLINK("https://cao.dolgi.msk.ru/account/1011055626/", 1011055626)</f>
        <v>1011055626</v>
      </c>
      <c r="D3022">
        <v>0</v>
      </c>
    </row>
    <row r="3023" spans="1:4" hidden="1" x14ac:dyDescent="0.3">
      <c r="A3023" t="s">
        <v>344</v>
      </c>
      <c r="B3023" t="s">
        <v>38</v>
      </c>
      <c r="C3023" s="1">
        <f>HYPERLINK("https://cao.dolgi.msk.ru/account/1011055634/", 1011055634)</f>
        <v>1011055634</v>
      </c>
      <c r="D3023">
        <v>0</v>
      </c>
    </row>
    <row r="3024" spans="1:4" hidden="1" x14ac:dyDescent="0.3">
      <c r="A3024" t="s">
        <v>344</v>
      </c>
      <c r="B3024" t="s">
        <v>39</v>
      </c>
      <c r="C3024" s="1">
        <f>HYPERLINK("https://cao.dolgi.msk.ru/account/1011055546/", 1011055546)</f>
        <v>1011055546</v>
      </c>
      <c r="D3024">
        <v>-2148.3000000000002</v>
      </c>
    </row>
    <row r="3025" spans="1:4" hidden="1" x14ac:dyDescent="0.3">
      <c r="A3025" t="s">
        <v>344</v>
      </c>
      <c r="B3025" t="s">
        <v>40</v>
      </c>
      <c r="C3025" s="1">
        <f>HYPERLINK("https://cao.dolgi.msk.ru/account/1011055554/", 1011055554)</f>
        <v>1011055554</v>
      </c>
      <c r="D3025">
        <v>0</v>
      </c>
    </row>
    <row r="3026" spans="1:4" hidden="1" x14ac:dyDescent="0.3">
      <c r="A3026" t="s">
        <v>344</v>
      </c>
      <c r="B3026" t="s">
        <v>41</v>
      </c>
      <c r="C3026" s="1">
        <f>HYPERLINK("https://cao.dolgi.msk.ru/account/1011055562/", 1011055562)</f>
        <v>1011055562</v>
      </c>
      <c r="D3026">
        <v>0</v>
      </c>
    </row>
    <row r="3027" spans="1:4" hidden="1" x14ac:dyDescent="0.3">
      <c r="A3027" t="s">
        <v>344</v>
      </c>
      <c r="B3027" t="s">
        <v>51</v>
      </c>
      <c r="C3027" s="1">
        <f>HYPERLINK("https://cao.dolgi.msk.ru/account/1011055888/", 1011055888)</f>
        <v>1011055888</v>
      </c>
      <c r="D3027">
        <v>-4413.34</v>
      </c>
    </row>
    <row r="3028" spans="1:4" x14ac:dyDescent="0.3">
      <c r="A3028" t="s">
        <v>344</v>
      </c>
      <c r="B3028" t="s">
        <v>52</v>
      </c>
      <c r="C3028" s="1">
        <f>HYPERLINK("https://cao.dolgi.msk.ru/account/1011055415/", 1011055415)</f>
        <v>1011055415</v>
      </c>
      <c r="D3028">
        <v>21847.26</v>
      </c>
    </row>
    <row r="3029" spans="1:4" hidden="1" x14ac:dyDescent="0.3">
      <c r="A3029" t="s">
        <v>344</v>
      </c>
      <c r="B3029" t="s">
        <v>53</v>
      </c>
      <c r="C3029" s="1">
        <f>HYPERLINK("https://cao.dolgi.msk.ru/account/1011055589/", 1011055589)</f>
        <v>1011055589</v>
      </c>
      <c r="D3029">
        <v>-5143.6899999999996</v>
      </c>
    </row>
    <row r="3030" spans="1:4" hidden="1" x14ac:dyDescent="0.3">
      <c r="A3030" t="s">
        <v>344</v>
      </c>
      <c r="B3030" t="s">
        <v>54</v>
      </c>
      <c r="C3030" s="1">
        <f>HYPERLINK("https://cao.dolgi.msk.ru/account/1011055837/", 1011055837)</f>
        <v>1011055837</v>
      </c>
      <c r="D3030">
        <v>0</v>
      </c>
    </row>
    <row r="3031" spans="1:4" hidden="1" x14ac:dyDescent="0.3">
      <c r="A3031" t="s">
        <v>344</v>
      </c>
      <c r="B3031" t="s">
        <v>55</v>
      </c>
      <c r="C3031" s="1">
        <f>HYPERLINK("https://cao.dolgi.msk.ru/account/1011055845/", 1011055845)</f>
        <v>1011055845</v>
      </c>
      <c r="D3031">
        <v>0</v>
      </c>
    </row>
    <row r="3032" spans="1:4" hidden="1" x14ac:dyDescent="0.3">
      <c r="A3032" t="s">
        <v>344</v>
      </c>
      <c r="B3032" t="s">
        <v>56</v>
      </c>
      <c r="C3032" s="1">
        <f>HYPERLINK("https://cao.dolgi.msk.ru/account/1011055669/", 1011055669)</f>
        <v>1011055669</v>
      </c>
      <c r="D3032">
        <v>0</v>
      </c>
    </row>
    <row r="3033" spans="1:4" hidden="1" x14ac:dyDescent="0.3">
      <c r="A3033" t="s">
        <v>344</v>
      </c>
      <c r="B3033" t="s">
        <v>87</v>
      </c>
      <c r="C3033" s="1">
        <f>HYPERLINK("https://cao.dolgi.msk.ru/account/1011055423/", 1011055423)</f>
        <v>1011055423</v>
      </c>
      <c r="D3033">
        <v>0</v>
      </c>
    </row>
    <row r="3034" spans="1:4" hidden="1" x14ac:dyDescent="0.3">
      <c r="A3034" t="s">
        <v>344</v>
      </c>
      <c r="B3034" t="s">
        <v>88</v>
      </c>
      <c r="C3034" s="1">
        <f>HYPERLINK("https://cao.dolgi.msk.ru/account/1011055431/", 1011055431)</f>
        <v>1011055431</v>
      </c>
      <c r="D3034">
        <v>-3962.85</v>
      </c>
    </row>
    <row r="3035" spans="1:4" hidden="1" x14ac:dyDescent="0.3">
      <c r="A3035" t="s">
        <v>344</v>
      </c>
      <c r="B3035" t="s">
        <v>89</v>
      </c>
      <c r="C3035" s="1">
        <f>HYPERLINK("https://cao.dolgi.msk.ru/account/1011055781/", 1011055781)</f>
        <v>1011055781</v>
      </c>
      <c r="D3035">
        <v>0</v>
      </c>
    </row>
    <row r="3036" spans="1:4" x14ac:dyDescent="0.3">
      <c r="A3036" t="s">
        <v>344</v>
      </c>
      <c r="B3036" t="s">
        <v>90</v>
      </c>
      <c r="C3036" s="1">
        <f>HYPERLINK("https://cao.dolgi.msk.ru/account/1011055706/", 1011055706)</f>
        <v>1011055706</v>
      </c>
      <c r="D3036">
        <v>283.13</v>
      </c>
    </row>
    <row r="3037" spans="1:4" hidden="1" x14ac:dyDescent="0.3">
      <c r="A3037" t="s">
        <v>344</v>
      </c>
      <c r="B3037" t="s">
        <v>96</v>
      </c>
      <c r="C3037" s="1">
        <f>HYPERLINK("https://cao.dolgi.msk.ru/account/1011055714/", 1011055714)</f>
        <v>1011055714</v>
      </c>
      <c r="D3037">
        <v>-6048.57</v>
      </c>
    </row>
    <row r="3038" spans="1:4" hidden="1" x14ac:dyDescent="0.3">
      <c r="A3038" t="s">
        <v>344</v>
      </c>
      <c r="B3038" t="s">
        <v>97</v>
      </c>
      <c r="C3038" s="1">
        <f>HYPERLINK("https://cao.dolgi.msk.ru/account/1011055853/", 1011055853)</f>
        <v>1011055853</v>
      </c>
      <c r="D3038">
        <v>0</v>
      </c>
    </row>
    <row r="3039" spans="1:4" hidden="1" x14ac:dyDescent="0.3">
      <c r="A3039" t="s">
        <v>344</v>
      </c>
      <c r="B3039" t="s">
        <v>98</v>
      </c>
      <c r="C3039" s="1">
        <f>HYPERLINK("https://cao.dolgi.msk.ru/account/1011055458/", 1011055458)</f>
        <v>1011055458</v>
      </c>
      <c r="D3039">
        <v>0</v>
      </c>
    </row>
    <row r="3040" spans="1:4" x14ac:dyDescent="0.3">
      <c r="A3040" t="s">
        <v>344</v>
      </c>
      <c r="B3040" t="s">
        <v>58</v>
      </c>
      <c r="C3040" s="1">
        <f>HYPERLINK("https://cao.dolgi.msk.ru/account/1011055466/", 1011055466)</f>
        <v>1011055466</v>
      </c>
      <c r="D3040">
        <v>10286.530000000001</v>
      </c>
    </row>
    <row r="3041" spans="1:4" x14ac:dyDescent="0.3">
      <c r="A3041" t="s">
        <v>344</v>
      </c>
      <c r="B3041" t="s">
        <v>59</v>
      </c>
      <c r="C3041" s="1">
        <f>HYPERLINK("https://cao.dolgi.msk.ru/account/1011055722/", 1011055722)</f>
        <v>1011055722</v>
      </c>
      <c r="D3041">
        <v>158326.74</v>
      </c>
    </row>
    <row r="3042" spans="1:4" hidden="1" x14ac:dyDescent="0.3">
      <c r="A3042" t="s">
        <v>344</v>
      </c>
      <c r="B3042" t="s">
        <v>60</v>
      </c>
      <c r="C3042" s="1">
        <f>HYPERLINK("https://cao.dolgi.msk.ru/account/1011055802/", 1011055802)</f>
        <v>1011055802</v>
      </c>
      <c r="D3042">
        <v>0</v>
      </c>
    </row>
    <row r="3043" spans="1:4" hidden="1" x14ac:dyDescent="0.3">
      <c r="A3043" t="s">
        <v>344</v>
      </c>
      <c r="B3043" t="s">
        <v>61</v>
      </c>
      <c r="C3043" s="1">
        <f>HYPERLINK("https://cao.dolgi.msk.ru/account/1011055749/", 1011055749)</f>
        <v>1011055749</v>
      </c>
      <c r="D3043">
        <v>0</v>
      </c>
    </row>
    <row r="3044" spans="1:4" hidden="1" x14ac:dyDescent="0.3">
      <c r="A3044" t="s">
        <v>344</v>
      </c>
      <c r="B3044" t="s">
        <v>62</v>
      </c>
      <c r="C3044" s="1">
        <f>HYPERLINK("https://cao.dolgi.msk.ru/account/1011055642/", 1011055642)</f>
        <v>1011055642</v>
      </c>
      <c r="D3044">
        <v>0</v>
      </c>
    </row>
    <row r="3045" spans="1:4" hidden="1" x14ac:dyDescent="0.3">
      <c r="A3045" t="s">
        <v>344</v>
      </c>
      <c r="B3045" t="s">
        <v>63</v>
      </c>
      <c r="C3045" s="1">
        <f>HYPERLINK("https://cao.dolgi.msk.ru/account/1011055597/", 1011055597)</f>
        <v>1011055597</v>
      </c>
      <c r="D3045">
        <v>-879.12</v>
      </c>
    </row>
    <row r="3046" spans="1:4" hidden="1" x14ac:dyDescent="0.3">
      <c r="A3046" t="s">
        <v>344</v>
      </c>
      <c r="B3046" t="s">
        <v>64</v>
      </c>
      <c r="C3046" s="1">
        <f>HYPERLINK("https://cao.dolgi.msk.ru/account/1011055474/", 1011055474)</f>
        <v>1011055474</v>
      </c>
      <c r="D3046">
        <v>0</v>
      </c>
    </row>
    <row r="3047" spans="1:4" x14ac:dyDescent="0.3">
      <c r="A3047" t="s">
        <v>344</v>
      </c>
      <c r="B3047" t="s">
        <v>65</v>
      </c>
      <c r="C3047" s="1">
        <f>HYPERLINK("https://cao.dolgi.msk.ru/account/1011055618/", 1011055618)</f>
        <v>1011055618</v>
      </c>
      <c r="D3047">
        <v>8316.85</v>
      </c>
    </row>
    <row r="3048" spans="1:4" hidden="1" x14ac:dyDescent="0.3">
      <c r="A3048" t="s">
        <v>344</v>
      </c>
      <c r="B3048" t="s">
        <v>66</v>
      </c>
      <c r="C3048" s="1">
        <f>HYPERLINK("https://cao.dolgi.msk.ru/account/1011055896/", 1011055896)</f>
        <v>1011055896</v>
      </c>
      <c r="D3048">
        <v>0</v>
      </c>
    </row>
    <row r="3049" spans="1:4" hidden="1" x14ac:dyDescent="0.3">
      <c r="A3049" t="s">
        <v>344</v>
      </c>
      <c r="B3049" t="s">
        <v>67</v>
      </c>
      <c r="C3049" s="1">
        <f>HYPERLINK("https://cao.dolgi.msk.ru/account/1011055482/", 1011055482)</f>
        <v>1011055482</v>
      </c>
      <c r="D3049">
        <v>0</v>
      </c>
    </row>
    <row r="3050" spans="1:4" hidden="1" x14ac:dyDescent="0.3">
      <c r="A3050" t="s">
        <v>345</v>
      </c>
      <c r="B3050" t="s">
        <v>6</v>
      </c>
      <c r="C3050" s="1">
        <f>HYPERLINK("https://cao.dolgi.msk.ru/account/1019025077/", 1019025077)</f>
        <v>1019025077</v>
      </c>
      <c r="D3050">
        <v>-3709.9</v>
      </c>
    </row>
    <row r="3051" spans="1:4" hidden="1" x14ac:dyDescent="0.3">
      <c r="A3051" t="s">
        <v>345</v>
      </c>
      <c r="B3051" t="s">
        <v>28</v>
      </c>
      <c r="C3051" s="1">
        <f>HYPERLINK("https://cao.dolgi.msk.ru/account/1019025085/", 1019025085)</f>
        <v>1019025085</v>
      </c>
      <c r="D3051">
        <v>0</v>
      </c>
    </row>
    <row r="3052" spans="1:4" hidden="1" x14ac:dyDescent="0.3">
      <c r="A3052" t="s">
        <v>345</v>
      </c>
      <c r="B3052" t="s">
        <v>35</v>
      </c>
      <c r="C3052" s="1">
        <f>HYPERLINK("https://cao.dolgi.msk.ru/account/1019025093/", 1019025093)</f>
        <v>1019025093</v>
      </c>
      <c r="D3052">
        <v>-5719.05</v>
      </c>
    </row>
    <row r="3053" spans="1:4" hidden="1" x14ac:dyDescent="0.3">
      <c r="A3053" t="s">
        <v>345</v>
      </c>
      <c r="B3053" t="s">
        <v>5</v>
      </c>
      <c r="C3053" s="1">
        <f>HYPERLINK("https://cao.dolgi.msk.ru/account/1019025106/", 1019025106)</f>
        <v>1019025106</v>
      </c>
      <c r="D3053">
        <v>0</v>
      </c>
    </row>
    <row r="3054" spans="1:4" hidden="1" x14ac:dyDescent="0.3">
      <c r="A3054" t="s">
        <v>345</v>
      </c>
      <c r="B3054" t="s">
        <v>7</v>
      </c>
      <c r="C3054" s="1">
        <f>HYPERLINK("https://cao.dolgi.msk.ru/account/1019025114/", 1019025114)</f>
        <v>1019025114</v>
      </c>
      <c r="D3054">
        <v>0</v>
      </c>
    </row>
    <row r="3055" spans="1:4" x14ac:dyDescent="0.3">
      <c r="A3055" t="s">
        <v>345</v>
      </c>
      <c r="B3055" t="s">
        <v>8</v>
      </c>
      <c r="C3055" s="1">
        <f>HYPERLINK("https://cao.dolgi.msk.ru/account/1019025122/", 1019025122)</f>
        <v>1019025122</v>
      </c>
      <c r="D3055">
        <v>8049.33</v>
      </c>
    </row>
    <row r="3056" spans="1:4" hidden="1" x14ac:dyDescent="0.3">
      <c r="A3056" t="s">
        <v>345</v>
      </c>
      <c r="B3056" t="s">
        <v>31</v>
      </c>
      <c r="C3056" s="1">
        <f>HYPERLINK("https://cao.dolgi.msk.ru/account/1019025149/", 1019025149)</f>
        <v>1019025149</v>
      </c>
      <c r="D3056">
        <v>-4776.07</v>
      </c>
    </row>
    <row r="3057" spans="1:4" hidden="1" x14ac:dyDescent="0.3">
      <c r="A3057" t="s">
        <v>345</v>
      </c>
      <c r="B3057" t="s">
        <v>9</v>
      </c>
      <c r="C3057" s="1">
        <f>HYPERLINK("https://cao.dolgi.msk.ru/account/1019025157/", 1019025157)</f>
        <v>1019025157</v>
      </c>
      <c r="D3057">
        <v>-5203.88</v>
      </c>
    </row>
    <row r="3058" spans="1:4" hidden="1" x14ac:dyDescent="0.3">
      <c r="A3058" t="s">
        <v>345</v>
      </c>
      <c r="B3058" t="s">
        <v>10</v>
      </c>
      <c r="C3058" s="1">
        <f>HYPERLINK("https://cao.dolgi.msk.ru/account/1019025165/", 1019025165)</f>
        <v>1019025165</v>
      </c>
      <c r="D3058">
        <v>-2080.8000000000002</v>
      </c>
    </row>
    <row r="3059" spans="1:4" hidden="1" x14ac:dyDescent="0.3">
      <c r="A3059" t="s">
        <v>345</v>
      </c>
      <c r="B3059" t="s">
        <v>11</v>
      </c>
      <c r="C3059" s="1">
        <f>HYPERLINK("https://cao.dolgi.msk.ru/account/1019025173/", 1019025173)</f>
        <v>1019025173</v>
      </c>
      <c r="D3059">
        <v>-4184.62</v>
      </c>
    </row>
    <row r="3060" spans="1:4" x14ac:dyDescent="0.3">
      <c r="A3060" t="s">
        <v>345</v>
      </c>
      <c r="B3060" t="s">
        <v>346</v>
      </c>
      <c r="C3060" s="1">
        <f>HYPERLINK("https://cao.dolgi.msk.ru/account/1019025181/", 1019025181)</f>
        <v>1019025181</v>
      </c>
      <c r="D3060">
        <v>9482.24</v>
      </c>
    </row>
    <row r="3061" spans="1:4" hidden="1" x14ac:dyDescent="0.3">
      <c r="A3061" t="s">
        <v>345</v>
      </c>
      <c r="B3061" t="s">
        <v>13</v>
      </c>
      <c r="C3061" s="1">
        <f>HYPERLINK("https://cao.dolgi.msk.ru/account/1019025202/", 1019025202)</f>
        <v>1019025202</v>
      </c>
      <c r="D3061">
        <v>-14293.95</v>
      </c>
    </row>
    <row r="3062" spans="1:4" hidden="1" x14ac:dyDescent="0.3">
      <c r="A3062" t="s">
        <v>345</v>
      </c>
      <c r="B3062" t="s">
        <v>14</v>
      </c>
      <c r="C3062" s="1">
        <f>HYPERLINK("https://cao.dolgi.msk.ru/account/1019025229/", 1019025229)</f>
        <v>1019025229</v>
      </c>
      <c r="D3062">
        <v>-4536.34</v>
      </c>
    </row>
    <row r="3063" spans="1:4" hidden="1" x14ac:dyDescent="0.3">
      <c r="A3063" t="s">
        <v>345</v>
      </c>
      <c r="B3063" t="s">
        <v>16</v>
      </c>
      <c r="C3063" s="1">
        <f>HYPERLINK("https://cao.dolgi.msk.ru/account/1019025237/", 1019025237)</f>
        <v>1019025237</v>
      </c>
      <c r="D3063">
        <v>-3379.47</v>
      </c>
    </row>
    <row r="3064" spans="1:4" hidden="1" x14ac:dyDescent="0.3">
      <c r="A3064" t="s">
        <v>345</v>
      </c>
      <c r="B3064" t="s">
        <v>17</v>
      </c>
      <c r="C3064" s="1">
        <f>HYPERLINK("https://cao.dolgi.msk.ru/account/1019025245/", 1019025245)</f>
        <v>1019025245</v>
      </c>
      <c r="D3064">
        <v>-4513.6499999999996</v>
      </c>
    </row>
    <row r="3065" spans="1:4" hidden="1" x14ac:dyDescent="0.3">
      <c r="A3065" t="s">
        <v>345</v>
      </c>
      <c r="B3065" t="s">
        <v>18</v>
      </c>
      <c r="C3065" s="1">
        <f>HYPERLINK("https://cao.dolgi.msk.ru/account/1019025253/", 1019025253)</f>
        <v>1019025253</v>
      </c>
      <c r="D3065">
        <v>0</v>
      </c>
    </row>
    <row r="3066" spans="1:4" hidden="1" x14ac:dyDescent="0.3">
      <c r="A3066" t="s">
        <v>345</v>
      </c>
      <c r="B3066" t="s">
        <v>19</v>
      </c>
      <c r="C3066" s="1">
        <f>HYPERLINK("https://cao.dolgi.msk.ru/account/1019025261/", 1019025261)</f>
        <v>1019025261</v>
      </c>
      <c r="D3066">
        <v>-33.630000000000003</v>
      </c>
    </row>
    <row r="3067" spans="1:4" hidden="1" x14ac:dyDescent="0.3">
      <c r="A3067" t="s">
        <v>345</v>
      </c>
      <c r="B3067" t="s">
        <v>20</v>
      </c>
      <c r="C3067" s="1">
        <f>HYPERLINK("https://cao.dolgi.msk.ru/account/1019025288/", 1019025288)</f>
        <v>1019025288</v>
      </c>
      <c r="D3067">
        <v>-3002.23</v>
      </c>
    </row>
    <row r="3068" spans="1:4" hidden="1" x14ac:dyDescent="0.3">
      <c r="A3068" t="s">
        <v>345</v>
      </c>
      <c r="B3068" t="s">
        <v>21</v>
      </c>
      <c r="C3068" s="1">
        <f>HYPERLINK("https://cao.dolgi.msk.ru/account/1019025296/", 1019025296)</f>
        <v>1019025296</v>
      </c>
      <c r="D3068">
        <v>0</v>
      </c>
    </row>
    <row r="3069" spans="1:4" hidden="1" x14ac:dyDescent="0.3">
      <c r="A3069" t="s">
        <v>345</v>
      </c>
      <c r="B3069" t="s">
        <v>22</v>
      </c>
      <c r="C3069" s="1">
        <f>HYPERLINK("https://cao.dolgi.msk.ru/account/1019025309/", 1019025309)</f>
        <v>1019025309</v>
      </c>
      <c r="D3069">
        <v>0</v>
      </c>
    </row>
    <row r="3070" spans="1:4" hidden="1" x14ac:dyDescent="0.3">
      <c r="A3070" t="s">
        <v>345</v>
      </c>
      <c r="B3070" t="s">
        <v>24</v>
      </c>
      <c r="C3070" s="1">
        <f>HYPERLINK("https://cao.dolgi.msk.ru/account/1011517376/", 1011517376)</f>
        <v>1011517376</v>
      </c>
      <c r="D3070">
        <v>0</v>
      </c>
    </row>
    <row r="3071" spans="1:4" hidden="1" x14ac:dyDescent="0.3">
      <c r="A3071" t="s">
        <v>345</v>
      </c>
      <c r="B3071" t="s">
        <v>25</v>
      </c>
      <c r="C3071" s="1">
        <f>HYPERLINK("https://cao.dolgi.msk.ru/account/1019025325/", 1019025325)</f>
        <v>1019025325</v>
      </c>
      <c r="D3071">
        <v>-5979.55</v>
      </c>
    </row>
    <row r="3072" spans="1:4" hidden="1" x14ac:dyDescent="0.3">
      <c r="A3072" t="s">
        <v>345</v>
      </c>
      <c r="B3072" t="s">
        <v>26</v>
      </c>
      <c r="C3072" s="1">
        <f>HYPERLINK("https://cao.dolgi.msk.ru/account/1019025333/", 1019025333)</f>
        <v>1019025333</v>
      </c>
      <c r="D3072">
        <v>0</v>
      </c>
    </row>
    <row r="3073" spans="1:4" hidden="1" x14ac:dyDescent="0.3">
      <c r="A3073" t="s">
        <v>345</v>
      </c>
      <c r="B3073" t="s">
        <v>27</v>
      </c>
      <c r="C3073" s="1">
        <f>HYPERLINK("https://cao.dolgi.msk.ru/account/1019025341/", 1019025341)</f>
        <v>1019025341</v>
      </c>
      <c r="D3073">
        <v>0</v>
      </c>
    </row>
    <row r="3074" spans="1:4" hidden="1" x14ac:dyDescent="0.3">
      <c r="A3074" t="s">
        <v>345</v>
      </c>
      <c r="B3074" t="s">
        <v>29</v>
      </c>
      <c r="C3074" s="1">
        <f>HYPERLINK("https://cao.dolgi.msk.ru/account/1019025368/", 1019025368)</f>
        <v>1019025368</v>
      </c>
      <c r="D3074">
        <v>0</v>
      </c>
    </row>
    <row r="3075" spans="1:4" hidden="1" x14ac:dyDescent="0.3">
      <c r="A3075" t="s">
        <v>345</v>
      </c>
      <c r="B3075" t="s">
        <v>38</v>
      </c>
      <c r="C3075" s="1">
        <f>HYPERLINK("https://cao.dolgi.msk.ru/account/1019025376/", 1019025376)</f>
        <v>1019025376</v>
      </c>
      <c r="D3075">
        <v>-2933.58</v>
      </c>
    </row>
    <row r="3076" spans="1:4" x14ac:dyDescent="0.3">
      <c r="A3076" t="s">
        <v>345</v>
      </c>
      <c r="B3076" t="s">
        <v>39</v>
      </c>
      <c r="C3076" s="1">
        <f>HYPERLINK("https://cao.dolgi.msk.ru/account/1019025384/", 1019025384)</f>
        <v>1019025384</v>
      </c>
      <c r="D3076">
        <v>9342.98</v>
      </c>
    </row>
    <row r="3077" spans="1:4" hidden="1" x14ac:dyDescent="0.3">
      <c r="A3077" t="s">
        <v>345</v>
      </c>
      <c r="B3077" t="s">
        <v>40</v>
      </c>
      <c r="C3077" s="1">
        <f>HYPERLINK("https://cao.dolgi.msk.ru/account/1019025392/", 1019025392)</f>
        <v>1019025392</v>
      </c>
      <c r="D3077">
        <v>0</v>
      </c>
    </row>
    <row r="3078" spans="1:4" hidden="1" x14ac:dyDescent="0.3">
      <c r="A3078" t="s">
        <v>345</v>
      </c>
      <c r="B3078" t="s">
        <v>41</v>
      </c>
      <c r="C3078" s="1">
        <f>HYPERLINK("https://cao.dolgi.msk.ru/account/1019025405/", 1019025405)</f>
        <v>1019025405</v>
      </c>
      <c r="D3078">
        <v>-534.19000000000005</v>
      </c>
    </row>
    <row r="3079" spans="1:4" hidden="1" x14ac:dyDescent="0.3">
      <c r="A3079" t="s">
        <v>345</v>
      </c>
      <c r="B3079" t="s">
        <v>51</v>
      </c>
      <c r="C3079" s="1">
        <f>HYPERLINK("https://cao.dolgi.msk.ru/account/1019025413/", 1019025413)</f>
        <v>1019025413</v>
      </c>
      <c r="D3079">
        <v>0</v>
      </c>
    </row>
    <row r="3080" spans="1:4" x14ac:dyDescent="0.3">
      <c r="A3080" t="s">
        <v>345</v>
      </c>
      <c r="B3080" t="s">
        <v>52</v>
      </c>
      <c r="C3080" s="1">
        <f>HYPERLINK("https://cao.dolgi.msk.ru/account/1019025421/", 1019025421)</f>
        <v>1019025421</v>
      </c>
      <c r="D3080">
        <v>9535.31</v>
      </c>
    </row>
    <row r="3081" spans="1:4" hidden="1" x14ac:dyDescent="0.3">
      <c r="A3081" t="s">
        <v>345</v>
      </c>
      <c r="B3081" t="s">
        <v>53</v>
      </c>
      <c r="C3081" s="1">
        <f>HYPERLINK("https://cao.dolgi.msk.ru/account/1019025448/", 1019025448)</f>
        <v>1019025448</v>
      </c>
      <c r="D3081">
        <v>0</v>
      </c>
    </row>
    <row r="3082" spans="1:4" x14ac:dyDescent="0.3">
      <c r="A3082" t="s">
        <v>345</v>
      </c>
      <c r="B3082" t="s">
        <v>54</v>
      </c>
      <c r="C3082" s="1">
        <f>HYPERLINK("https://cao.dolgi.msk.ru/account/1011020423/", 1011020423)</f>
        <v>1011020423</v>
      </c>
      <c r="D3082">
        <v>65801.52</v>
      </c>
    </row>
    <row r="3083" spans="1:4" hidden="1" x14ac:dyDescent="0.3">
      <c r="A3083" t="s">
        <v>345</v>
      </c>
      <c r="B3083" t="s">
        <v>55</v>
      </c>
      <c r="C3083" s="1">
        <f>HYPERLINK("https://cao.dolgi.msk.ru/account/1019025456/", 1019025456)</f>
        <v>1019025456</v>
      </c>
      <c r="D3083">
        <v>-141.85</v>
      </c>
    </row>
    <row r="3084" spans="1:4" hidden="1" x14ac:dyDescent="0.3">
      <c r="A3084" t="s">
        <v>345</v>
      </c>
      <c r="B3084" t="s">
        <v>56</v>
      </c>
      <c r="C3084" s="1">
        <f>HYPERLINK("https://cao.dolgi.msk.ru/account/1019025464/", 1019025464)</f>
        <v>1019025464</v>
      </c>
      <c r="D3084">
        <v>0</v>
      </c>
    </row>
    <row r="3085" spans="1:4" x14ac:dyDescent="0.3">
      <c r="A3085" t="s">
        <v>345</v>
      </c>
      <c r="B3085" t="s">
        <v>87</v>
      </c>
      <c r="C3085" s="1">
        <f>HYPERLINK("https://cao.dolgi.msk.ru/account/1019025472/", 1019025472)</f>
        <v>1019025472</v>
      </c>
      <c r="D3085">
        <v>5027.51</v>
      </c>
    </row>
    <row r="3086" spans="1:4" hidden="1" x14ac:dyDescent="0.3">
      <c r="A3086" t="s">
        <v>345</v>
      </c>
      <c r="B3086" t="s">
        <v>88</v>
      </c>
      <c r="C3086" s="1">
        <f>HYPERLINK("https://cao.dolgi.msk.ru/account/1019025501/", 1019025501)</f>
        <v>1019025501</v>
      </c>
      <c r="D3086">
        <v>0</v>
      </c>
    </row>
    <row r="3087" spans="1:4" hidden="1" x14ac:dyDescent="0.3">
      <c r="A3087" t="s">
        <v>345</v>
      </c>
      <c r="B3087" t="s">
        <v>89</v>
      </c>
      <c r="C3087" s="1">
        <f>HYPERLINK("https://cao.dolgi.msk.ru/account/1019025528/", 1019025528)</f>
        <v>1019025528</v>
      </c>
      <c r="D3087">
        <v>-7473.87</v>
      </c>
    </row>
    <row r="3088" spans="1:4" hidden="1" x14ac:dyDescent="0.3">
      <c r="A3088" t="s">
        <v>345</v>
      </c>
      <c r="B3088" t="s">
        <v>90</v>
      </c>
      <c r="C3088" s="1">
        <f>HYPERLINK("https://cao.dolgi.msk.ru/account/1019025536/", 1019025536)</f>
        <v>1019025536</v>
      </c>
      <c r="D3088">
        <v>0</v>
      </c>
    </row>
    <row r="3089" spans="1:4" hidden="1" x14ac:dyDescent="0.3">
      <c r="A3089" t="s">
        <v>345</v>
      </c>
      <c r="B3089" t="s">
        <v>96</v>
      </c>
      <c r="C3089" s="1">
        <f>HYPERLINK("https://cao.dolgi.msk.ru/account/1019025544/", 1019025544)</f>
        <v>1019025544</v>
      </c>
      <c r="D3089">
        <v>-122.7</v>
      </c>
    </row>
    <row r="3090" spans="1:4" hidden="1" x14ac:dyDescent="0.3">
      <c r="A3090" t="s">
        <v>345</v>
      </c>
      <c r="B3090" t="s">
        <v>97</v>
      </c>
      <c r="C3090" s="1">
        <f>HYPERLINK("https://cao.dolgi.msk.ru/account/1019025552/", 1019025552)</f>
        <v>1019025552</v>
      </c>
      <c r="D3090">
        <v>0</v>
      </c>
    </row>
    <row r="3091" spans="1:4" hidden="1" x14ac:dyDescent="0.3">
      <c r="A3091" t="s">
        <v>345</v>
      </c>
      <c r="B3091" t="s">
        <v>98</v>
      </c>
      <c r="C3091" s="1">
        <f>HYPERLINK("https://cao.dolgi.msk.ru/account/1019025579/", 1019025579)</f>
        <v>1019025579</v>
      </c>
      <c r="D3091">
        <v>-74.7</v>
      </c>
    </row>
    <row r="3092" spans="1:4" x14ac:dyDescent="0.3">
      <c r="A3092" t="s">
        <v>345</v>
      </c>
      <c r="B3092" t="s">
        <v>58</v>
      </c>
      <c r="C3092" s="1">
        <f>HYPERLINK("https://cao.dolgi.msk.ru/account/1019025587/", 1019025587)</f>
        <v>1019025587</v>
      </c>
      <c r="D3092">
        <v>11080.56</v>
      </c>
    </row>
    <row r="3093" spans="1:4" hidden="1" x14ac:dyDescent="0.3">
      <c r="A3093" t="s">
        <v>345</v>
      </c>
      <c r="B3093" t="s">
        <v>59</v>
      </c>
      <c r="C3093" s="1">
        <f>HYPERLINK("https://cao.dolgi.msk.ru/account/1019025595/", 1019025595)</f>
        <v>1019025595</v>
      </c>
      <c r="D3093">
        <v>0</v>
      </c>
    </row>
    <row r="3094" spans="1:4" x14ac:dyDescent="0.3">
      <c r="A3094" t="s">
        <v>345</v>
      </c>
      <c r="B3094" t="s">
        <v>60</v>
      </c>
      <c r="C3094" s="1">
        <f>HYPERLINK("https://cao.dolgi.msk.ru/account/1019025608/", 1019025608)</f>
        <v>1019025608</v>
      </c>
      <c r="D3094">
        <v>10828.93</v>
      </c>
    </row>
    <row r="3095" spans="1:4" hidden="1" x14ac:dyDescent="0.3">
      <c r="A3095" t="s">
        <v>345</v>
      </c>
      <c r="B3095" t="s">
        <v>61</v>
      </c>
      <c r="C3095" s="1">
        <f>HYPERLINK("https://cao.dolgi.msk.ru/account/1019025616/", 1019025616)</f>
        <v>1019025616</v>
      </c>
      <c r="D3095">
        <v>0</v>
      </c>
    </row>
    <row r="3096" spans="1:4" hidden="1" x14ac:dyDescent="0.3">
      <c r="A3096" t="s">
        <v>345</v>
      </c>
      <c r="B3096" t="s">
        <v>62</v>
      </c>
      <c r="C3096" s="1">
        <f>HYPERLINK("https://cao.dolgi.msk.ru/account/1019025624/", 1019025624)</f>
        <v>1019025624</v>
      </c>
      <c r="D3096">
        <v>-4031.71</v>
      </c>
    </row>
    <row r="3097" spans="1:4" x14ac:dyDescent="0.3">
      <c r="A3097" t="s">
        <v>345</v>
      </c>
      <c r="B3097" t="s">
        <v>63</v>
      </c>
      <c r="C3097" s="1">
        <f>HYPERLINK("https://cao.dolgi.msk.ru/account/1019025632/", 1019025632)</f>
        <v>1019025632</v>
      </c>
      <c r="D3097">
        <v>3536.87</v>
      </c>
    </row>
    <row r="3098" spans="1:4" hidden="1" x14ac:dyDescent="0.3">
      <c r="A3098" t="s">
        <v>345</v>
      </c>
      <c r="B3098" t="s">
        <v>64</v>
      </c>
      <c r="C3098" s="1">
        <f>HYPERLINK("https://cao.dolgi.msk.ru/account/1019025659/", 1019025659)</f>
        <v>1019025659</v>
      </c>
      <c r="D3098">
        <v>0</v>
      </c>
    </row>
    <row r="3099" spans="1:4" hidden="1" x14ac:dyDescent="0.3">
      <c r="A3099" t="s">
        <v>345</v>
      </c>
      <c r="B3099" t="s">
        <v>65</v>
      </c>
      <c r="C3099" s="1">
        <f>HYPERLINK("https://cao.dolgi.msk.ru/account/1019025667/", 1019025667)</f>
        <v>1019025667</v>
      </c>
      <c r="D3099">
        <v>0</v>
      </c>
    </row>
    <row r="3100" spans="1:4" hidden="1" x14ac:dyDescent="0.3">
      <c r="A3100" t="s">
        <v>345</v>
      </c>
      <c r="B3100" t="s">
        <v>66</v>
      </c>
      <c r="C3100" s="1">
        <f>HYPERLINK("https://cao.dolgi.msk.ru/account/1019025675/", 1019025675)</f>
        <v>1019025675</v>
      </c>
      <c r="D3100">
        <v>0</v>
      </c>
    </row>
    <row r="3101" spans="1:4" hidden="1" x14ac:dyDescent="0.3">
      <c r="A3101" t="s">
        <v>345</v>
      </c>
      <c r="B3101" t="s">
        <v>67</v>
      </c>
      <c r="C3101" s="1">
        <f>HYPERLINK("https://cao.dolgi.msk.ru/account/1019025683/", 1019025683)</f>
        <v>1019025683</v>
      </c>
      <c r="D3101">
        <v>-8796.44</v>
      </c>
    </row>
    <row r="3102" spans="1:4" hidden="1" x14ac:dyDescent="0.3">
      <c r="A3102" t="s">
        <v>345</v>
      </c>
      <c r="B3102" t="s">
        <v>68</v>
      </c>
      <c r="C3102" s="1">
        <f>HYPERLINK("https://cao.dolgi.msk.ru/account/1019025691/", 1019025691)</f>
        <v>1019025691</v>
      </c>
      <c r="D3102">
        <v>0</v>
      </c>
    </row>
    <row r="3103" spans="1:4" hidden="1" x14ac:dyDescent="0.3">
      <c r="A3103" t="s">
        <v>345</v>
      </c>
      <c r="B3103" t="s">
        <v>69</v>
      </c>
      <c r="C3103" s="1">
        <f>HYPERLINK("https://cao.dolgi.msk.ru/account/1019025704/", 1019025704)</f>
        <v>1019025704</v>
      </c>
      <c r="D3103">
        <v>0</v>
      </c>
    </row>
    <row r="3104" spans="1:4" hidden="1" x14ac:dyDescent="0.3">
      <c r="A3104" t="s">
        <v>345</v>
      </c>
      <c r="B3104" t="s">
        <v>70</v>
      </c>
      <c r="C3104" s="1">
        <f>HYPERLINK("https://cao.dolgi.msk.ru/account/1019025712/", 1019025712)</f>
        <v>1019025712</v>
      </c>
      <c r="D3104">
        <v>0</v>
      </c>
    </row>
    <row r="3105" spans="1:4" hidden="1" x14ac:dyDescent="0.3">
      <c r="A3105" t="s">
        <v>345</v>
      </c>
      <c r="B3105" t="s">
        <v>259</v>
      </c>
      <c r="C3105" s="1">
        <f>HYPERLINK("https://cao.dolgi.msk.ru/account/1019025739/", 1019025739)</f>
        <v>1019025739</v>
      </c>
      <c r="D3105">
        <v>0</v>
      </c>
    </row>
    <row r="3106" spans="1:4" hidden="1" x14ac:dyDescent="0.3">
      <c r="A3106" t="s">
        <v>345</v>
      </c>
      <c r="B3106" t="s">
        <v>100</v>
      </c>
      <c r="C3106" s="1">
        <f>HYPERLINK("https://cao.dolgi.msk.ru/account/1019025747/", 1019025747)</f>
        <v>1019025747</v>
      </c>
      <c r="D3106">
        <v>-234.71</v>
      </c>
    </row>
    <row r="3107" spans="1:4" hidden="1" x14ac:dyDescent="0.3">
      <c r="A3107" t="s">
        <v>345</v>
      </c>
      <c r="B3107" t="s">
        <v>72</v>
      </c>
      <c r="C3107" s="1">
        <f>HYPERLINK("https://cao.dolgi.msk.ru/account/1019025755/", 1019025755)</f>
        <v>1019025755</v>
      </c>
      <c r="D3107">
        <v>0</v>
      </c>
    </row>
    <row r="3108" spans="1:4" hidden="1" x14ac:dyDescent="0.3">
      <c r="A3108" t="s">
        <v>345</v>
      </c>
      <c r="B3108" t="s">
        <v>73</v>
      </c>
      <c r="C3108" s="1">
        <f>HYPERLINK("https://cao.dolgi.msk.ru/account/1019025763/", 1019025763)</f>
        <v>1019025763</v>
      </c>
      <c r="D3108">
        <v>0</v>
      </c>
    </row>
    <row r="3109" spans="1:4" hidden="1" x14ac:dyDescent="0.3">
      <c r="A3109" t="s">
        <v>345</v>
      </c>
      <c r="B3109" t="s">
        <v>74</v>
      </c>
      <c r="C3109" s="1">
        <f>HYPERLINK("https://cao.dolgi.msk.ru/account/1019025771/", 1019025771)</f>
        <v>1019025771</v>
      </c>
      <c r="D3109">
        <v>0</v>
      </c>
    </row>
    <row r="3110" spans="1:4" hidden="1" x14ac:dyDescent="0.3">
      <c r="A3110" t="s">
        <v>345</v>
      </c>
      <c r="B3110" t="s">
        <v>75</v>
      </c>
      <c r="C3110" s="1">
        <f>HYPERLINK("https://cao.dolgi.msk.ru/account/1019025798/", 1019025798)</f>
        <v>1019025798</v>
      </c>
      <c r="D3110">
        <v>-3248.95</v>
      </c>
    </row>
    <row r="3111" spans="1:4" x14ac:dyDescent="0.3">
      <c r="A3111" t="s">
        <v>345</v>
      </c>
      <c r="B3111" t="s">
        <v>76</v>
      </c>
      <c r="C3111" s="1">
        <f>HYPERLINK("https://cao.dolgi.msk.ru/account/1019025819/", 1019025819)</f>
        <v>1019025819</v>
      </c>
      <c r="D3111">
        <v>7628.57</v>
      </c>
    </row>
    <row r="3112" spans="1:4" hidden="1" x14ac:dyDescent="0.3">
      <c r="A3112" t="s">
        <v>345</v>
      </c>
      <c r="B3112" t="s">
        <v>77</v>
      </c>
      <c r="C3112" s="1">
        <f>HYPERLINK("https://cao.dolgi.msk.ru/account/1019025827/", 1019025827)</f>
        <v>1019025827</v>
      </c>
      <c r="D3112">
        <v>0</v>
      </c>
    </row>
    <row r="3113" spans="1:4" hidden="1" x14ac:dyDescent="0.3">
      <c r="A3113" t="s">
        <v>345</v>
      </c>
      <c r="B3113" t="s">
        <v>78</v>
      </c>
      <c r="C3113" s="1">
        <f>HYPERLINK("https://cao.dolgi.msk.ru/account/1019025835/", 1019025835)</f>
        <v>1019025835</v>
      </c>
      <c r="D3113">
        <v>-7051.2</v>
      </c>
    </row>
    <row r="3114" spans="1:4" hidden="1" x14ac:dyDescent="0.3">
      <c r="A3114" t="s">
        <v>345</v>
      </c>
      <c r="B3114" t="s">
        <v>79</v>
      </c>
      <c r="C3114" s="1">
        <f>HYPERLINK("https://cao.dolgi.msk.ru/account/1019025843/", 1019025843)</f>
        <v>1019025843</v>
      </c>
      <c r="D3114">
        <v>0</v>
      </c>
    </row>
    <row r="3115" spans="1:4" hidden="1" x14ac:dyDescent="0.3">
      <c r="A3115" t="s">
        <v>345</v>
      </c>
      <c r="B3115" t="s">
        <v>80</v>
      </c>
      <c r="C3115" s="1">
        <f>HYPERLINK("https://cao.dolgi.msk.ru/account/1019025851/", 1019025851)</f>
        <v>1019025851</v>
      </c>
      <c r="D3115">
        <v>-6801.73</v>
      </c>
    </row>
    <row r="3116" spans="1:4" hidden="1" x14ac:dyDescent="0.3">
      <c r="A3116" t="s">
        <v>345</v>
      </c>
      <c r="B3116" t="s">
        <v>81</v>
      </c>
      <c r="C3116" s="1">
        <f>HYPERLINK("https://cao.dolgi.msk.ru/account/1011120918/", 1011120918)</f>
        <v>1011120918</v>
      </c>
      <c r="D3116">
        <v>-2724.84</v>
      </c>
    </row>
    <row r="3117" spans="1:4" hidden="1" x14ac:dyDescent="0.3">
      <c r="A3117" t="s">
        <v>345</v>
      </c>
      <c r="B3117" t="s">
        <v>81</v>
      </c>
      <c r="C3117" s="1">
        <f>HYPERLINK("https://cao.dolgi.msk.ru/account/1019025878/", 1019025878)</f>
        <v>1019025878</v>
      </c>
      <c r="D3117">
        <v>-3187.8</v>
      </c>
    </row>
    <row r="3118" spans="1:4" hidden="1" x14ac:dyDescent="0.3">
      <c r="A3118" t="s">
        <v>345</v>
      </c>
      <c r="B3118" t="s">
        <v>101</v>
      </c>
      <c r="C3118" s="1">
        <f>HYPERLINK("https://cao.dolgi.msk.ru/account/1019025886/", 1019025886)</f>
        <v>1019025886</v>
      </c>
      <c r="D3118">
        <v>-34.74</v>
      </c>
    </row>
    <row r="3119" spans="1:4" hidden="1" x14ac:dyDescent="0.3">
      <c r="A3119" t="s">
        <v>345</v>
      </c>
      <c r="B3119" t="s">
        <v>82</v>
      </c>
      <c r="C3119" s="1">
        <f>HYPERLINK("https://cao.dolgi.msk.ru/account/1019025894/", 1019025894)</f>
        <v>1019025894</v>
      </c>
      <c r="D3119">
        <v>0</v>
      </c>
    </row>
    <row r="3120" spans="1:4" x14ac:dyDescent="0.3">
      <c r="A3120" t="s">
        <v>345</v>
      </c>
      <c r="B3120" t="s">
        <v>83</v>
      </c>
      <c r="C3120" s="1">
        <f>HYPERLINK("https://cao.dolgi.msk.ru/account/1019025907/", 1019025907)</f>
        <v>1019025907</v>
      </c>
      <c r="D3120">
        <v>3099.65</v>
      </c>
    </row>
    <row r="3121" spans="1:4" hidden="1" x14ac:dyDescent="0.3">
      <c r="A3121" t="s">
        <v>345</v>
      </c>
      <c r="B3121" t="s">
        <v>84</v>
      </c>
      <c r="C3121" s="1">
        <f>HYPERLINK("https://cao.dolgi.msk.ru/account/1019026141/", 1019026141)</f>
        <v>1019026141</v>
      </c>
      <c r="D3121">
        <v>0</v>
      </c>
    </row>
    <row r="3122" spans="1:4" hidden="1" x14ac:dyDescent="0.3">
      <c r="A3122" t="s">
        <v>345</v>
      </c>
      <c r="B3122" t="s">
        <v>85</v>
      </c>
      <c r="C3122" s="1">
        <f>HYPERLINK("https://cao.dolgi.msk.ru/account/1019026168/", 1019026168)</f>
        <v>1019026168</v>
      </c>
      <c r="D3122">
        <v>0</v>
      </c>
    </row>
    <row r="3123" spans="1:4" hidden="1" x14ac:dyDescent="0.3">
      <c r="A3123" t="s">
        <v>345</v>
      </c>
      <c r="B3123" t="s">
        <v>102</v>
      </c>
      <c r="C3123" s="1">
        <f>HYPERLINK("https://cao.dolgi.msk.ru/account/1019026176/", 1019026176)</f>
        <v>1019026176</v>
      </c>
      <c r="D3123">
        <v>-4487.22</v>
      </c>
    </row>
    <row r="3124" spans="1:4" hidden="1" x14ac:dyDescent="0.3">
      <c r="A3124" t="s">
        <v>345</v>
      </c>
      <c r="B3124" t="s">
        <v>103</v>
      </c>
      <c r="C3124" s="1">
        <f>HYPERLINK("https://cao.dolgi.msk.ru/account/1019026184/", 1019026184)</f>
        <v>1019026184</v>
      </c>
      <c r="D3124">
        <v>0</v>
      </c>
    </row>
    <row r="3125" spans="1:4" hidden="1" x14ac:dyDescent="0.3">
      <c r="A3125" t="s">
        <v>345</v>
      </c>
      <c r="B3125" t="s">
        <v>104</v>
      </c>
      <c r="C3125" s="1">
        <f>HYPERLINK("https://cao.dolgi.msk.ru/account/1019026192/", 1019026192)</f>
        <v>1019026192</v>
      </c>
      <c r="D3125">
        <v>0</v>
      </c>
    </row>
    <row r="3126" spans="1:4" hidden="1" x14ac:dyDescent="0.3">
      <c r="A3126" t="s">
        <v>345</v>
      </c>
      <c r="B3126" t="s">
        <v>105</v>
      </c>
      <c r="C3126" s="1">
        <f>HYPERLINK("https://cao.dolgi.msk.ru/account/1019026205/", 1019026205)</f>
        <v>1019026205</v>
      </c>
      <c r="D3126">
        <v>0</v>
      </c>
    </row>
    <row r="3127" spans="1:4" hidden="1" x14ac:dyDescent="0.3">
      <c r="A3127" t="s">
        <v>345</v>
      </c>
      <c r="B3127" t="s">
        <v>106</v>
      </c>
      <c r="C3127" s="1">
        <f>HYPERLINK("https://cao.dolgi.msk.ru/account/1019026213/", 1019026213)</f>
        <v>1019026213</v>
      </c>
      <c r="D3127">
        <v>0</v>
      </c>
    </row>
    <row r="3128" spans="1:4" hidden="1" x14ac:dyDescent="0.3">
      <c r="A3128" t="s">
        <v>345</v>
      </c>
      <c r="B3128" t="s">
        <v>107</v>
      </c>
      <c r="C3128" s="1">
        <f>HYPERLINK("https://cao.dolgi.msk.ru/account/1019026221/", 1019026221)</f>
        <v>1019026221</v>
      </c>
      <c r="D3128">
        <v>0</v>
      </c>
    </row>
    <row r="3129" spans="1:4" hidden="1" x14ac:dyDescent="0.3">
      <c r="A3129" t="s">
        <v>345</v>
      </c>
      <c r="B3129" t="s">
        <v>108</v>
      </c>
      <c r="C3129" s="1">
        <f>HYPERLINK("https://cao.dolgi.msk.ru/account/1019026248/", 1019026248)</f>
        <v>1019026248</v>
      </c>
      <c r="D3129">
        <v>-542.42999999999995</v>
      </c>
    </row>
    <row r="3130" spans="1:4" hidden="1" x14ac:dyDescent="0.3">
      <c r="A3130" t="s">
        <v>345</v>
      </c>
      <c r="B3130" t="s">
        <v>109</v>
      </c>
      <c r="C3130" s="1">
        <f>HYPERLINK("https://cao.dolgi.msk.ru/account/1019026256/", 1019026256)</f>
        <v>1019026256</v>
      </c>
      <c r="D3130">
        <v>0</v>
      </c>
    </row>
    <row r="3131" spans="1:4" x14ac:dyDescent="0.3">
      <c r="A3131" t="s">
        <v>345</v>
      </c>
      <c r="B3131" t="s">
        <v>110</v>
      </c>
      <c r="C3131" s="1">
        <f>HYPERLINK("https://cao.dolgi.msk.ru/account/1019026264/", 1019026264)</f>
        <v>1019026264</v>
      </c>
      <c r="D3131">
        <v>11518.57</v>
      </c>
    </row>
    <row r="3132" spans="1:4" hidden="1" x14ac:dyDescent="0.3">
      <c r="A3132" t="s">
        <v>345</v>
      </c>
      <c r="B3132" t="s">
        <v>111</v>
      </c>
      <c r="C3132" s="1">
        <f>HYPERLINK("https://cao.dolgi.msk.ru/account/1019026272/", 1019026272)</f>
        <v>1019026272</v>
      </c>
      <c r="D3132">
        <v>0</v>
      </c>
    </row>
    <row r="3133" spans="1:4" hidden="1" x14ac:dyDescent="0.3">
      <c r="A3133" t="s">
        <v>345</v>
      </c>
      <c r="B3133" t="s">
        <v>112</v>
      </c>
      <c r="C3133" s="1">
        <f>HYPERLINK("https://cao.dolgi.msk.ru/account/1019026299/", 1019026299)</f>
        <v>1019026299</v>
      </c>
      <c r="D3133">
        <v>0</v>
      </c>
    </row>
    <row r="3134" spans="1:4" hidden="1" x14ac:dyDescent="0.3">
      <c r="A3134" t="s">
        <v>345</v>
      </c>
      <c r="B3134" t="s">
        <v>113</v>
      </c>
      <c r="C3134" s="1">
        <f>HYPERLINK("https://cao.dolgi.msk.ru/account/1019026301/", 1019026301)</f>
        <v>1019026301</v>
      </c>
      <c r="D3134">
        <v>-9746.77</v>
      </c>
    </row>
    <row r="3135" spans="1:4" hidden="1" x14ac:dyDescent="0.3">
      <c r="A3135" t="s">
        <v>345</v>
      </c>
      <c r="B3135" t="s">
        <v>114</v>
      </c>
      <c r="C3135" s="1">
        <f>HYPERLINK("https://cao.dolgi.msk.ru/account/1019026387/", 1019026387)</f>
        <v>1019026387</v>
      </c>
      <c r="D3135">
        <v>-48.25</v>
      </c>
    </row>
    <row r="3136" spans="1:4" x14ac:dyDescent="0.3">
      <c r="A3136" t="s">
        <v>345</v>
      </c>
      <c r="B3136" t="s">
        <v>115</v>
      </c>
      <c r="C3136" s="1">
        <f>HYPERLINK("https://cao.dolgi.msk.ru/account/1019026336/", 1019026336)</f>
        <v>1019026336</v>
      </c>
      <c r="D3136">
        <v>911.5</v>
      </c>
    </row>
    <row r="3137" spans="1:4" x14ac:dyDescent="0.3">
      <c r="A3137" t="s">
        <v>345</v>
      </c>
      <c r="B3137" t="s">
        <v>116</v>
      </c>
      <c r="C3137" s="1">
        <f>HYPERLINK("https://cao.dolgi.msk.ru/account/1019026344/", 1019026344)</f>
        <v>1019026344</v>
      </c>
      <c r="D3137">
        <v>10403.56</v>
      </c>
    </row>
    <row r="3138" spans="1:4" x14ac:dyDescent="0.3">
      <c r="A3138" t="s">
        <v>345</v>
      </c>
      <c r="B3138" t="s">
        <v>266</v>
      </c>
      <c r="C3138" s="1">
        <f>HYPERLINK("https://cao.dolgi.msk.ru/account/1019026352/", 1019026352)</f>
        <v>1019026352</v>
      </c>
      <c r="D3138">
        <v>5534.25</v>
      </c>
    </row>
    <row r="3139" spans="1:4" hidden="1" x14ac:dyDescent="0.3">
      <c r="A3139" t="s">
        <v>345</v>
      </c>
      <c r="B3139" t="s">
        <v>117</v>
      </c>
      <c r="C3139" s="1">
        <f>HYPERLINK("https://cao.dolgi.msk.ru/account/1019026133/", 1019026133)</f>
        <v>1019026133</v>
      </c>
      <c r="D3139">
        <v>-31.92</v>
      </c>
    </row>
    <row r="3140" spans="1:4" hidden="1" x14ac:dyDescent="0.3">
      <c r="A3140" t="s">
        <v>345</v>
      </c>
      <c r="B3140" t="s">
        <v>118</v>
      </c>
      <c r="C3140" s="1">
        <f>HYPERLINK("https://cao.dolgi.msk.ru/account/1019026125/", 1019026125)</f>
        <v>1019026125</v>
      </c>
      <c r="D3140">
        <v>-4810.3999999999996</v>
      </c>
    </row>
    <row r="3141" spans="1:4" hidden="1" x14ac:dyDescent="0.3">
      <c r="A3141" t="s">
        <v>345</v>
      </c>
      <c r="B3141" t="s">
        <v>119</v>
      </c>
      <c r="C3141" s="1">
        <f>HYPERLINK("https://cao.dolgi.msk.ru/account/1019026117/", 1019026117)</f>
        <v>1019026117</v>
      </c>
      <c r="D3141">
        <v>-3886.52</v>
      </c>
    </row>
    <row r="3142" spans="1:4" hidden="1" x14ac:dyDescent="0.3">
      <c r="A3142" t="s">
        <v>345</v>
      </c>
      <c r="B3142" t="s">
        <v>120</v>
      </c>
      <c r="C3142" s="1">
        <f>HYPERLINK("https://cao.dolgi.msk.ru/account/1019026109/", 1019026109)</f>
        <v>1019026109</v>
      </c>
      <c r="D3142">
        <v>-5883.87</v>
      </c>
    </row>
    <row r="3143" spans="1:4" hidden="1" x14ac:dyDescent="0.3">
      <c r="A3143" t="s">
        <v>345</v>
      </c>
      <c r="B3143" t="s">
        <v>121</v>
      </c>
      <c r="C3143" s="1">
        <f>HYPERLINK("https://cao.dolgi.msk.ru/account/1019026096/", 1019026096)</f>
        <v>1019026096</v>
      </c>
      <c r="D3143">
        <v>0</v>
      </c>
    </row>
    <row r="3144" spans="1:4" hidden="1" x14ac:dyDescent="0.3">
      <c r="A3144" t="s">
        <v>345</v>
      </c>
      <c r="B3144" t="s">
        <v>122</v>
      </c>
      <c r="C3144" s="1">
        <f>HYPERLINK("https://cao.dolgi.msk.ru/account/1019026088/", 1019026088)</f>
        <v>1019026088</v>
      </c>
      <c r="D3144">
        <v>-5234.09</v>
      </c>
    </row>
    <row r="3145" spans="1:4" hidden="1" x14ac:dyDescent="0.3">
      <c r="A3145" t="s">
        <v>345</v>
      </c>
      <c r="B3145" t="s">
        <v>123</v>
      </c>
      <c r="C3145" s="1">
        <f>HYPERLINK("https://cao.dolgi.msk.ru/account/1019026061/", 1019026061)</f>
        <v>1019026061</v>
      </c>
      <c r="D3145">
        <v>0</v>
      </c>
    </row>
    <row r="3146" spans="1:4" hidden="1" x14ac:dyDescent="0.3">
      <c r="A3146" t="s">
        <v>345</v>
      </c>
      <c r="B3146" t="s">
        <v>124</v>
      </c>
      <c r="C3146" s="1">
        <f>HYPERLINK("https://cao.dolgi.msk.ru/account/1019026053/", 1019026053)</f>
        <v>1019026053</v>
      </c>
      <c r="D3146">
        <v>0</v>
      </c>
    </row>
    <row r="3147" spans="1:4" hidden="1" x14ac:dyDescent="0.3">
      <c r="A3147" t="s">
        <v>345</v>
      </c>
      <c r="B3147" t="s">
        <v>125</v>
      </c>
      <c r="C3147" s="1">
        <f>HYPERLINK("https://cao.dolgi.msk.ru/account/1019026045/", 1019026045)</f>
        <v>1019026045</v>
      </c>
      <c r="D3147">
        <v>0</v>
      </c>
    </row>
    <row r="3148" spans="1:4" x14ac:dyDescent="0.3">
      <c r="A3148" t="s">
        <v>345</v>
      </c>
      <c r="B3148" t="s">
        <v>126</v>
      </c>
      <c r="C3148" s="1">
        <f>HYPERLINK("https://cao.dolgi.msk.ru/account/1019026037/", 1019026037)</f>
        <v>1019026037</v>
      </c>
      <c r="D3148">
        <v>9396.51</v>
      </c>
    </row>
    <row r="3149" spans="1:4" hidden="1" x14ac:dyDescent="0.3">
      <c r="A3149" t="s">
        <v>345</v>
      </c>
      <c r="B3149" t="s">
        <v>127</v>
      </c>
      <c r="C3149" s="1">
        <f>HYPERLINK("https://cao.dolgi.msk.ru/account/1011099071/", 1011099071)</f>
        <v>1011099071</v>
      </c>
      <c r="D3149">
        <v>0</v>
      </c>
    </row>
    <row r="3150" spans="1:4" hidden="1" x14ac:dyDescent="0.3">
      <c r="A3150" t="s">
        <v>345</v>
      </c>
      <c r="B3150" t="s">
        <v>127</v>
      </c>
      <c r="C3150" s="1">
        <f>HYPERLINK("https://cao.dolgi.msk.ru/account/1019026029/", 1019026029)</f>
        <v>1019026029</v>
      </c>
      <c r="D3150">
        <v>0</v>
      </c>
    </row>
    <row r="3151" spans="1:4" hidden="1" x14ac:dyDescent="0.3">
      <c r="A3151" t="s">
        <v>345</v>
      </c>
      <c r="B3151" t="s">
        <v>262</v>
      </c>
      <c r="C3151" s="1">
        <f>HYPERLINK("https://cao.dolgi.msk.ru/account/1019026002/", 1019026002)</f>
        <v>1019026002</v>
      </c>
      <c r="D3151">
        <v>0</v>
      </c>
    </row>
    <row r="3152" spans="1:4" x14ac:dyDescent="0.3">
      <c r="A3152" t="s">
        <v>345</v>
      </c>
      <c r="B3152" t="s">
        <v>128</v>
      </c>
      <c r="C3152" s="1">
        <f>HYPERLINK("https://cao.dolgi.msk.ru/account/1019025982/", 1019025982)</f>
        <v>1019025982</v>
      </c>
      <c r="D3152">
        <v>49626.67</v>
      </c>
    </row>
    <row r="3153" spans="1:4" hidden="1" x14ac:dyDescent="0.3">
      <c r="A3153" t="s">
        <v>345</v>
      </c>
      <c r="B3153" t="s">
        <v>129</v>
      </c>
      <c r="C3153" s="1">
        <f>HYPERLINK("https://cao.dolgi.msk.ru/account/1019025974/", 1019025974)</f>
        <v>1019025974</v>
      </c>
      <c r="D3153">
        <v>0</v>
      </c>
    </row>
    <row r="3154" spans="1:4" hidden="1" x14ac:dyDescent="0.3">
      <c r="A3154" t="s">
        <v>345</v>
      </c>
      <c r="B3154" t="s">
        <v>130</v>
      </c>
      <c r="C3154" s="1">
        <f>HYPERLINK("https://cao.dolgi.msk.ru/account/1019025966/", 1019025966)</f>
        <v>1019025966</v>
      </c>
      <c r="D3154">
        <v>-3605.85</v>
      </c>
    </row>
    <row r="3155" spans="1:4" x14ac:dyDescent="0.3">
      <c r="A3155" t="s">
        <v>345</v>
      </c>
      <c r="B3155" t="s">
        <v>131</v>
      </c>
      <c r="C3155" s="1">
        <f>HYPERLINK("https://cao.dolgi.msk.ru/account/1019025958/", 1019025958)</f>
        <v>1019025958</v>
      </c>
      <c r="D3155">
        <v>6867.82</v>
      </c>
    </row>
    <row r="3156" spans="1:4" hidden="1" x14ac:dyDescent="0.3">
      <c r="A3156" t="s">
        <v>345</v>
      </c>
      <c r="B3156" t="s">
        <v>132</v>
      </c>
      <c r="C3156" s="1">
        <f>HYPERLINK("https://cao.dolgi.msk.ru/account/1019025931/", 1019025931)</f>
        <v>1019025931</v>
      </c>
      <c r="D3156">
        <v>0</v>
      </c>
    </row>
    <row r="3157" spans="1:4" hidden="1" x14ac:dyDescent="0.3">
      <c r="A3157" t="s">
        <v>345</v>
      </c>
      <c r="B3157" t="s">
        <v>133</v>
      </c>
      <c r="C3157" s="1">
        <f>HYPERLINK("https://cao.dolgi.msk.ru/account/1019025923/", 1019025923)</f>
        <v>1019025923</v>
      </c>
      <c r="D3157">
        <v>-3968.08</v>
      </c>
    </row>
    <row r="3158" spans="1:4" hidden="1" x14ac:dyDescent="0.3">
      <c r="A3158" t="s">
        <v>345</v>
      </c>
      <c r="B3158" t="s">
        <v>134</v>
      </c>
      <c r="C3158" s="1">
        <f>HYPERLINK("https://cao.dolgi.msk.ru/account/1019025915/", 1019025915)</f>
        <v>1019025915</v>
      </c>
      <c r="D3158">
        <v>0</v>
      </c>
    </row>
    <row r="3159" spans="1:4" hidden="1" x14ac:dyDescent="0.3">
      <c r="A3159" t="s">
        <v>347</v>
      </c>
      <c r="B3159" t="s">
        <v>6</v>
      </c>
      <c r="C3159" s="1">
        <f>HYPERLINK("https://cao.dolgi.msk.ru/account/1011329287/", 1011329287)</f>
        <v>1011329287</v>
      </c>
      <c r="D3159">
        <v>0</v>
      </c>
    </row>
    <row r="3160" spans="1:4" hidden="1" x14ac:dyDescent="0.3">
      <c r="A3160" t="s">
        <v>347</v>
      </c>
      <c r="B3160" t="s">
        <v>28</v>
      </c>
      <c r="C3160" s="1">
        <f>HYPERLINK("https://cao.dolgi.msk.ru/account/1011329818/", 1011329818)</f>
        <v>1011329818</v>
      </c>
      <c r="D3160">
        <v>0</v>
      </c>
    </row>
    <row r="3161" spans="1:4" x14ac:dyDescent="0.3">
      <c r="A3161" t="s">
        <v>347</v>
      </c>
      <c r="B3161" t="s">
        <v>35</v>
      </c>
      <c r="C3161" s="1">
        <f>HYPERLINK("https://cao.dolgi.msk.ru/account/1011329463/", 1011329463)</f>
        <v>1011329463</v>
      </c>
      <c r="D3161">
        <v>6500.66</v>
      </c>
    </row>
    <row r="3162" spans="1:4" hidden="1" x14ac:dyDescent="0.3">
      <c r="A3162" t="s">
        <v>347</v>
      </c>
      <c r="B3162" t="s">
        <v>5</v>
      </c>
      <c r="C3162" s="1">
        <f>HYPERLINK("https://cao.dolgi.msk.ru/account/1011329543/", 1011329543)</f>
        <v>1011329543</v>
      </c>
      <c r="D3162">
        <v>0</v>
      </c>
    </row>
    <row r="3163" spans="1:4" hidden="1" x14ac:dyDescent="0.3">
      <c r="A3163" t="s">
        <v>347</v>
      </c>
      <c r="B3163" t="s">
        <v>7</v>
      </c>
      <c r="C3163" s="1">
        <f>HYPERLINK("https://cao.dolgi.msk.ru/account/1011329957/", 1011329957)</f>
        <v>1011329957</v>
      </c>
      <c r="D3163">
        <v>-246.64</v>
      </c>
    </row>
    <row r="3164" spans="1:4" hidden="1" x14ac:dyDescent="0.3">
      <c r="A3164" t="s">
        <v>347</v>
      </c>
      <c r="B3164" t="s">
        <v>8</v>
      </c>
      <c r="C3164" s="1">
        <f>HYPERLINK("https://cao.dolgi.msk.ru/account/1011329295/", 1011329295)</f>
        <v>1011329295</v>
      </c>
      <c r="D3164">
        <v>-6695.15</v>
      </c>
    </row>
    <row r="3165" spans="1:4" x14ac:dyDescent="0.3">
      <c r="A3165" t="s">
        <v>347</v>
      </c>
      <c r="B3165" t="s">
        <v>31</v>
      </c>
      <c r="C3165" s="1">
        <f>HYPERLINK("https://cao.dolgi.msk.ru/account/1011329826/", 1011329826)</f>
        <v>1011329826</v>
      </c>
      <c r="D3165">
        <v>255.4</v>
      </c>
    </row>
    <row r="3166" spans="1:4" hidden="1" x14ac:dyDescent="0.3">
      <c r="A3166" t="s">
        <v>347</v>
      </c>
      <c r="B3166" t="s">
        <v>9</v>
      </c>
      <c r="C3166" s="1">
        <f>HYPERLINK("https://cao.dolgi.msk.ru/account/1011329834/", 1011329834)</f>
        <v>1011329834</v>
      </c>
      <c r="D3166">
        <v>0</v>
      </c>
    </row>
    <row r="3167" spans="1:4" hidden="1" x14ac:dyDescent="0.3">
      <c r="A3167" t="s">
        <v>347</v>
      </c>
      <c r="B3167" t="s">
        <v>9</v>
      </c>
      <c r="C3167" s="1">
        <f>HYPERLINK("https://cao.dolgi.msk.ru/account/1011329965/", 1011329965)</f>
        <v>1011329965</v>
      </c>
      <c r="D3167">
        <v>0</v>
      </c>
    </row>
    <row r="3168" spans="1:4" hidden="1" x14ac:dyDescent="0.3">
      <c r="A3168" t="s">
        <v>347</v>
      </c>
      <c r="B3168" t="s">
        <v>10</v>
      </c>
      <c r="C3168" s="1">
        <f>HYPERLINK("https://cao.dolgi.msk.ru/account/1011329308/", 1011329308)</f>
        <v>1011329308</v>
      </c>
      <c r="D3168">
        <v>0</v>
      </c>
    </row>
    <row r="3169" spans="1:4" hidden="1" x14ac:dyDescent="0.3">
      <c r="A3169" t="s">
        <v>347</v>
      </c>
      <c r="B3169" t="s">
        <v>11</v>
      </c>
      <c r="C3169" s="1">
        <f>HYPERLINK("https://cao.dolgi.msk.ru/account/1011329703/", 1011329703)</f>
        <v>1011329703</v>
      </c>
      <c r="D3169">
        <v>-4959.3999999999996</v>
      </c>
    </row>
    <row r="3170" spans="1:4" hidden="1" x14ac:dyDescent="0.3">
      <c r="A3170" t="s">
        <v>347</v>
      </c>
      <c r="B3170" t="s">
        <v>12</v>
      </c>
      <c r="C3170" s="1">
        <f>HYPERLINK("https://cao.dolgi.msk.ru/account/1011329551/", 1011329551)</f>
        <v>1011329551</v>
      </c>
      <c r="D3170">
        <v>-1680.52</v>
      </c>
    </row>
    <row r="3171" spans="1:4" hidden="1" x14ac:dyDescent="0.3">
      <c r="A3171" t="s">
        <v>347</v>
      </c>
      <c r="B3171" t="s">
        <v>12</v>
      </c>
      <c r="C3171" s="1">
        <f>HYPERLINK("https://cao.dolgi.msk.ru/account/1011329594/", 1011329594)</f>
        <v>1011329594</v>
      </c>
      <c r="D3171">
        <v>0</v>
      </c>
    </row>
    <row r="3172" spans="1:4" hidden="1" x14ac:dyDescent="0.3">
      <c r="A3172" t="s">
        <v>347</v>
      </c>
      <c r="B3172" t="s">
        <v>12</v>
      </c>
      <c r="C3172" s="1">
        <f>HYPERLINK("https://cao.dolgi.msk.ru/account/1011329842/", 1011329842)</f>
        <v>1011329842</v>
      </c>
      <c r="D3172">
        <v>0</v>
      </c>
    </row>
    <row r="3173" spans="1:4" hidden="1" x14ac:dyDescent="0.3">
      <c r="A3173" t="s">
        <v>347</v>
      </c>
      <c r="B3173" t="s">
        <v>23</v>
      </c>
      <c r="C3173" s="1">
        <f>HYPERLINK("https://cao.dolgi.msk.ru/account/1011329674/", 1011329674)</f>
        <v>1011329674</v>
      </c>
      <c r="D3173">
        <v>0</v>
      </c>
    </row>
    <row r="3174" spans="1:4" hidden="1" x14ac:dyDescent="0.3">
      <c r="A3174" t="s">
        <v>347</v>
      </c>
      <c r="B3174" t="s">
        <v>23</v>
      </c>
      <c r="C3174" s="1">
        <f>HYPERLINK("https://cao.dolgi.msk.ru/account/1011329869/", 1011329869)</f>
        <v>1011329869</v>
      </c>
      <c r="D3174">
        <v>0</v>
      </c>
    </row>
    <row r="3175" spans="1:4" hidden="1" x14ac:dyDescent="0.3">
      <c r="A3175" t="s">
        <v>347</v>
      </c>
      <c r="B3175" t="s">
        <v>13</v>
      </c>
      <c r="C3175" s="1">
        <f>HYPERLINK("https://cao.dolgi.msk.ru/account/1011329316/", 1011329316)</f>
        <v>1011329316</v>
      </c>
      <c r="D3175">
        <v>0</v>
      </c>
    </row>
    <row r="3176" spans="1:4" hidden="1" x14ac:dyDescent="0.3">
      <c r="A3176" t="s">
        <v>347</v>
      </c>
      <c r="B3176" t="s">
        <v>14</v>
      </c>
      <c r="C3176" s="1">
        <f>HYPERLINK("https://cao.dolgi.msk.ru/account/1011329383/", 1011329383)</f>
        <v>1011329383</v>
      </c>
      <c r="D3176">
        <v>0</v>
      </c>
    </row>
    <row r="3177" spans="1:4" hidden="1" x14ac:dyDescent="0.3">
      <c r="A3177" t="s">
        <v>347</v>
      </c>
      <c r="B3177" t="s">
        <v>14</v>
      </c>
      <c r="C3177" s="1">
        <f>HYPERLINK("https://cao.dolgi.msk.ru/account/1011329455/", 1011329455)</f>
        <v>1011329455</v>
      </c>
      <c r="D3177">
        <v>0</v>
      </c>
    </row>
    <row r="3178" spans="1:4" hidden="1" x14ac:dyDescent="0.3">
      <c r="A3178" t="s">
        <v>347</v>
      </c>
      <c r="B3178" t="s">
        <v>14</v>
      </c>
      <c r="C3178" s="1">
        <f>HYPERLINK("https://cao.dolgi.msk.ru/account/1011329607/", 1011329607)</f>
        <v>1011329607</v>
      </c>
      <c r="D3178">
        <v>-312.10000000000002</v>
      </c>
    </row>
    <row r="3179" spans="1:4" hidden="1" x14ac:dyDescent="0.3">
      <c r="A3179" t="s">
        <v>347</v>
      </c>
      <c r="B3179" t="s">
        <v>14</v>
      </c>
      <c r="C3179" s="1">
        <f>HYPERLINK("https://cao.dolgi.msk.ru/account/1011329682/", 1011329682)</f>
        <v>1011329682</v>
      </c>
      <c r="D3179">
        <v>-2341</v>
      </c>
    </row>
    <row r="3180" spans="1:4" hidden="1" x14ac:dyDescent="0.3">
      <c r="A3180" t="s">
        <v>347</v>
      </c>
      <c r="B3180" t="s">
        <v>14</v>
      </c>
      <c r="C3180" s="1">
        <f>HYPERLINK("https://cao.dolgi.msk.ru/account/1011329797/", 1011329797)</f>
        <v>1011329797</v>
      </c>
      <c r="D3180">
        <v>0</v>
      </c>
    </row>
    <row r="3181" spans="1:4" hidden="1" x14ac:dyDescent="0.3">
      <c r="A3181" t="s">
        <v>347</v>
      </c>
      <c r="B3181" t="s">
        <v>14</v>
      </c>
      <c r="C3181" s="1">
        <f>HYPERLINK("https://cao.dolgi.msk.ru/account/1011330018/", 1011330018)</f>
        <v>1011330018</v>
      </c>
      <c r="D3181">
        <v>0</v>
      </c>
    </row>
    <row r="3182" spans="1:4" hidden="1" x14ac:dyDescent="0.3">
      <c r="A3182" t="s">
        <v>347</v>
      </c>
      <c r="B3182" t="s">
        <v>16</v>
      </c>
      <c r="C3182" s="1">
        <f>HYPERLINK("https://cao.dolgi.msk.ru/account/1011329471/", 1011329471)</f>
        <v>1011329471</v>
      </c>
      <c r="D3182">
        <v>0</v>
      </c>
    </row>
    <row r="3183" spans="1:4" hidden="1" x14ac:dyDescent="0.3">
      <c r="A3183" t="s">
        <v>347</v>
      </c>
      <c r="B3183" t="s">
        <v>17</v>
      </c>
      <c r="C3183" s="1">
        <f>HYPERLINK("https://cao.dolgi.msk.ru/account/1011329447/", 1011329447)</f>
        <v>1011329447</v>
      </c>
      <c r="D3183">
        <v>-14938.03</v>
      </c>
    </row>
    <row r="3184" spans="1:4" hidden="1" x14ac:dyDescent="0.3">
      <c r="A3184" t="s">
        <v>347</v>
      </c>
      <c r="B3184" t="s">
        <v>18</v>
      </c>
      <c r="C3184" s="1">
        <f>HYPERLINK("https://cao.dolgi.msk.ru/account/1011329391/", 1011329391)</f>
        <v>1011329391</v>
      </c>
      <c r="D3184">
        <v>0</v>
      </c>
    </row>
    <row r="3185" spans="1:4" hidden="1" x14ac:dyDescent="0.3">
      <c r="A3185" t="s">
        <v>347</v>
      </c>
      <c r="B3185" t="s">
        <v>18</v>
      </c>
      <c r="C3185" s="1">
        <f>HYPERLINK("https://cao.dolgi.msk.ru/account/1011329711/", 1011329711)</f>
        <v>1011329711</v>
      </c>
      <c r="D3185">
        <v>0</v>
      </c>
    </row>
    <row r="3186" spans="1:4" hidden="1" x14ac:dyDescent="0.3">
      <c r="A3186" t="s">
        <v>347</v>
      </c>
      <c r="B3186" t="s">
        <v>18</v>
      </c>
      <c r="C3186" s="1">
        <f>HYPERLINK("https://cao.dolgi.msk.ru/account/1011329922/", 1011329922)</f>
        <v>1011329922</v>
      </c>
      <c r="D3186">
        <v>0</v>
      </c>
    </row>
    <row r="3187" spans="1:4" hidden="1" x14ac:dyDescent="0.3">
      <c r="A3187" t="s">
        <v>347</v>
      </c>
      <c r="B3187" t="s">
        <v>19</v>
      </c>
      <c r="C3187" s="1">
        <f>HYPERLINK("https://cao.dolgi.msk.ru/account/1011329877/", 1011329877)</f>
        <v>1011329877</v>
      </c>
      <c r="D3187">
        <v>0</v>
      </c>
    </row>
    <row r="3188" spans="1:4" hidden="1" x14ac:dyDescent="0.3">
      <c r="A3188" t="s">
        <v>347</v>
      </c>
      <c r="B3188" t="s">
        <v>20</v>
      </c>
      <c r="C3188" s="1">
        <f>HYPERLINK("https://cao.dolgi.msk.ru/account/1011329324/", 1011329324)</f>
        <v>1011329324</v>
      </c>
      <c r="D3188">
        <v>-3398.29</v>
      </c>
    </row>
    <row r="3189" spans="1:4" hidden="1" x14ac:dyDescent="0.3">
      <c r="A3189" t="s">
        <v>347</v>
      </c>
      <c r="B3189" t="s">
        <v>20</v>
      </c>
      <c r="C3189" s="1">
        <f>HYPERLINK("https://cao.dolgi.msk.ru/account/1011329498/", 1011329498)</f>
        <v>1011329498</v>
      </c>
      <c r="D3189">
        <v>-1601.48</v>
      </c>
    </row>
    <row r="3190" spans="1:4" x14ac:dyDescent="0.3">
      <c r="A3190" t="s">
        <v>347</v>
      </c>
      <c r="B3190" t="s">
        <v>21</v>
      </c>
      <c r="C3190" s="1">
        <f>HYPERLINK("https://cao.dolgi.msk.ru/account/1011329973/", 1011329973)</f>
        <v>1011329973</v>
      </c>
      <c r="D3190">
        <v>6313.91</v>
      </c>
    </row>
    <row r="3191" spans="1:4" hidden="1" x14ac:dyDescent="0.3">
      <c r="A3191" t="s">
        <v>347</v>
      </c>
      <c r="B3191" t="s">
        <v>22</v>
      </c>
      <c r="C3191" s="1">
        <f>HYPERLINK("https://cao.dolgi.msk.ru/account/1011329615/", 1011329615)</f>
        <v>1011329615</v>
      </c>
      <c r="D3191">
        <v>-2919.52</v>
      </c>
    </row>
    <row r="3192" spans="1:4" hidden="1" x14ac:dyDescent="0.3">
      <c r="A3192" t="s">
        <v>347</v>
      </c>
      <c r="B3192" t="s">
        <v>22</v>
      </c>
      <c r="C3192" s="1">
        <f>HYPERLINK("https://cao.dolgi.msk.ru/account/1011329738/", 1011329738)</f>
        <v>1011329738</v>
      </c>
      <c r="D3192">
        <v>0</v>
      </c>
    </row>
    <row r="3193" spans="1:4" x14ac:dyDescent="0.3">
      <c r="A3193" t="s">
        <v>347</v>
      </c>
      <c r="B3193" t="s">
        <v>24</v>
      </c>
      <c r="C3193" s="1">
        <f>HYPERLINK("https://cao.dolgi.msk.ru/account/1011329404/", 1011329404)</f>
        <v>1011329404</v>
      </c>
      <c r="D3193">
        <v>5630.81</v>
      </c>
    </row>
    <row r="3194" spans="1:4" hidden="1" x14ac:dyDescent="0.3">
      <c r="A3194" t="s">
        <v>347</v>
      </c>
      <c r="B3194" t="s">
        <v>25</v>
      </c>
      <c r="C3194" s="1">
        <f>HYPERLINK("https://cao.dolgi.msk.ru/account/1011329519/", 1011329519)</f>
        <v>1011329519</v>
      </c>
      <c r="D3194">
        <v>0</v>
      </c>
    </row>
    <row r="3195" spans="1:4" hidden="1" x14ac:dyDescent="0.3">
      <c r="A3195" t="s">
        <v>347</v>
      </c>
      <c r="B3195" t="s">
        <v>26</v>
      </c>
      <c r="C3195" s="1">
        <f>HYPERLINK("https://cao.dolgi.msk.ru/account/1011329746/", 1011329746)</f>
        <v>1011329746</v>
      </c>
      <c r="D3195">
        <v>-1414.34</v>
      </c>
    </row>
    <row r="3196" spans="1:4" hidden="1" x14ac:dyDescent="0.3">
      <c r="A3196" t="s">
        <v>347</v>
      </c>
      <c r="B3196" t="s">
        <v>26</v>
      </c>
      <c r="C3196" s="1">
        <f>HYPERLINK("https://cao.dolgi.msk.ru/account/1011329949/", 1011329949)</f>
        <v>1011329949</v>
      </c>
      <c r="D3196">
        <v>-2368.4299999999998</v>
      </c>
    </row>
    <row r="3197" spans="1:4" hidden="1" x14ac:dyDescent="0.3">
      <c r="A3197" t="s">
        <v>347</v>
      </c>
      <c r="B3197" t="s">
        <v>27</v>
      </c>
      <c r="C3197" s="1">
        <f>HYPERLINK("https://cao.dolgi.msk.ru/account/1011329754/", 1011329754)</f>
        <v>1011329754</v>
      </c>
      <c r="D3197">
        <v>-5160.9399999999996</v>
      </c>
    </row>
    <row r="3198" spans="1:4" hidden="1" x14ac:dyDescent="0.3">
      <c r="A3198" t="s">
        <v>347</v>
      </c>
      <c r="B3198" t="s">
        <v>29</v>
      </c>
      <c r="C3198" s="1">
        <f>HYPERLINK("https://cao.dolgi.msk.ru/account/1011329885/", 1011329885)</f>
        <v>1011329885</v>
      </c>
      <c r="D3198">
        <v>-19635.599999999999</v>
      </c>
    </row>
    <row r="3199" spans="1:4" hidden="1" x14ac:dyDescent="0.3">
      <c r="A3199" t="s">
        <v>347</v>
      </c>
      <c r="B3199" t="s">
        <v>38</v>
      </c>
      <c r="C3199" s="1">
        <f>HYPERLINK("https://cao.dolgi.msk.ru/account/1011329332/", 1011329332)</f>
        <v>1011329332</v>
      </c>
      <c r="D3199">
        <v>0</v>
      </c>
    </row>
    <row r="3200" spans="1:4" hidden="1" x14ac:dyDescent="0.3">
      <c r="A3200" t="s">
        <v>347</v>
      </c>
      <c r="B3200" t="s">
        <v>39</v>
      </c>
      <c r="C3200" s="1">
        <f>HYPERLINK("https://cao.dolgi.msk.ru/account/1011329623/", 1011329623)</f>
        <v>1011329623</v>
      </c>
      <c r="D3200">
        <v>0</v>
      </c>
    </row>
    <row r="3201" spans="1:4" x14ac:dyDescent="0.3">
      <c r="A3201" t="s">
        <v>347</v>
      </c>
      <c r="B3201" t="s">
        <v>40</v>
      </c>
      <c r="C3201" s="1">
        <f>HYPERLINK("https://cao.dolgi.msk.ru/account/1011329412/", 1011329412)</f>
        <v>1011329412</v>
      </c>
      <c r="D3201">
        <v>5258.94</v>
      </c>
    </row>
    <row r="3202" spans="1:4" x14ac:dyDescent="0.3">
      <c r="A3202" t="s">
        <v>347</v>
      </c>
      <c r="B3202" t="s">
        <v>41</v>
      </c>
      <c r="C3202" s="1">
        <f>HYPERLINK("https://cao.dolgi.msk.ru/account/1011329359/", 1011329359)</f>
        <v>1011329359</v>
      </c>
      <c r="D3202">
        <v>5060.2299999999996</v>
      </c>
    </row>
    <row r="3203" spans="1:4" hidden="1" x14ac:dyDescent="0.3">
      <c r="A3203" t="s">
        <v>347</v>
      </c>
      <c r="B3203" t="s">
        <v>41</v>
      </c>
      <c r="C3203" s="1">
        <f>HYPERLINK("https://cao.dolgi.msk.ru/account/1011329527/", 1011329527)</f>
        <v>1011329527</v>
      </c>
      <c r="D3203">
        <v>0</v>
      </c>
    </row>
    <row r="3204" spans="1:4" hidden="1" x14ac:dyDescent="0.3">
      <c r="A3204" t="s">
        <v>347</v>
      </c>
      <c r="B3204" t="s">
        <v>51</v>
      </c>
      <c r="C3204" s="1">
        <f>HYPERLINK("https://cao.dolgi.msk.ru/account/1011329631/", 1011329631)</f>
        <v>1011329631</v>
      </c>
      <c r="D3204">
        <v>0</v>
      </c>
    </row>
    <row r="3205" spans="1:4" hidden="1" x14ac:dyDescent="0.3">
      <c r="A3205" t="s">
        <v>347</v>
      </c>
      <c r="B3205" t="s">
        <v>52</v>
      </c>
      <c r="C3205" s="1">
        <f>HYPERLINK("https://cao.dolgi.msk.ru/account/1011329893/", 1011329893)</f>
        <v>1011329893</v>
      </c>
      <c r="D3205">
        <v>-4836.1400000000003</v>
      </c>
    </row>
    <row r="3206" spans="1:4" hidden="1" x14ac:dyDescent="0.3">
      <c r="A3206" t="s">
        <v>347</v>
      </c>
      <c r="B3206" t="s">
        <v>53</v>
      </c>
      <c r="C3206" s="1">
        <f>HYPERLINK("https://cao.dolgi.msk.ru/account/1011329578/", 1011329578)</f>
        <v>1011329578</v>
      </c>
      <c r="D3206">
        <v>-1.68</v>
      </c>
    </row>
    <row r="3207" spans="1:4" hidden="1" x14ac:dyDescent="0.3">
      <c r="A3207" t="s">
        <v>347</v>
      </c>
      <c r="B3207" t="s">
        <v>54</v>
      </c>
      <c r="C3207" s="1">
        <f>HYPERLINK("https://cao.dolgi.msk.ru/account/1011329439/", 1011329439)</f>
        <v>1011329439</v>
      </c>
      <c r="D3207">
        <v>0</v>
      </c>
    </row>
    <row r="3208" spans="1:4" hidden="1" x14ac:dyDescent="0.3">
      <c r="A3208" t="s">
        <v>347</v>
      </c>
      <c r="B3208" t="s">
        <v>55</v>
      </c>
      <c r="C3208" s="1">
        <f>HYPERLINK("https://cao.dolgi.msk.ru/account/1011329658/", 1011329658)</f>
        <v>1011329658</v>
      </c>
      <c r="D3208">
        <v>0</v>
      </c>
    </row>
    <row r="3209" spans="1:4" x14ac:dyDescent="0.3">
      <c r="A3209" t="s">
        <v>347</v>
      </c>
      <c r="B3209" t="s">
        <v>56</v>
      </c>
      <c r="C3209" s="1">
        <f>HYPERLINK("https://cao.dolgi.msk.ru/account/1011329762/", 1011329762)</f>
        <v>1011329762</v>
      </c>
      <c r="D3209">
        <v>10983.45</v>
      </c>
    </row>
    <row r="3210" spans="1:4" hidden="1" x14ac:dyDescent="0.3">
      <c r="A3210" t="s">
        <v>347</v>
      </c>
      <c r="B3210" t="s">
        <v>56</v>
      </c>
      <c r="C3210" s="1">
        <f>HYPERLINK("https://cao.dolgi.msk.ru/account/1011329789/", 1011329789)</f>
        <v>1011329789</v>
      </c>
      <c r="D3210">
        <v>-10530.35</v>
      </c>
    </row>
    <row r="3211" spans="1:4" hidden="1" x14ac:dyDescent="0.3">
      <c r="A3211" t="s">
        <v>347</v>
      </c>
      <c r="B3211" t="s">
        <v>87</v>
      </c>
      <c r="C3211" s="1">
        <f>HYPERLINK("https://cao.dolgi.msk.ru/account/1011329981/", 1011329981)</f>
        <v>1011329981</v>
      </c>
      <c r="D3211">
        <v>0</v>
      </c>
    </row>
    <row r="3212" spans="1:4" x14ac:dyDescent="0.3">
      <c r="A3212" t="s">
        <v>347</v>
      </c>
      <c r="B3212" t="s">
        <v>88</v>
      </c>
      <c r="C3212" s="1">
        <f>HYPERLINK("https://cao.dolgi.msk.ru/account/1011329535/", 1011329535)</f>
        <v>1011329535</v>
      </c>
      <c r="D3212">
        <v>1482.87</v>
      </c>
    </row>
    <row r="3213" spans="1:4" hidden="1" x14ac:dyDescent="0.3">
      <c r="A3213" t="s">
        <v>347</v>
      </c>
      <c r="B3213" t="s">
        <v>89</v>
      </c>
      <c r="C3213" s="1">
        <f>HYPERLINK("https://cao.dolgi.msk.ru/account/1011329586/", 1011329586)</f>
        <v>1011329586</v>
      </c>
      <c r="D3213">
        <v>-5478.53</v>
      </c>
    </row>
    <row r="3214" spans="1:4" hidden="1" x14ac:dyDescent="0.3">
      <c r="A3214" t="s">
        <v>347</v>
      </c>
      <c r="B3214" t="s">
        <v>90</v>
      </c>
      <c r="C3214" s="1">
        <f>HYPERLINK("https://cao.dolgi.msk.ru/account/1011329906/", 1011329906)</f>
        <v>1011329906</v>
      </c>
      <c r="D3214">
        <v>0</v>
      </c>
    </row>
    <row r="3215" spans="1:4" hidden="1" x14ac:dyDescent="0.3">
      <c r="A3215" t="s">
        <v>347</v>
      </c>
      <c r="B3215" t="s">
        <v>96</v>
      </c>
      <c r="C3215" s="1">
        <f>HYPERLINK("https://cao.dolgi.msk.ru/account/1011329914/", 1011329914)</f>
        <v>1011329914</v>
      </c>
      <c r="D3215">
        <v>0</v>
      </c>
    </row>
    <row r="3216" spans="1:4" hidden="1" x14ac:dyDescent="0.3">
      <c r="A3216" t="s">
        <v>347</v>
      </c>
      <c r="B3216" t="s">
        <v>97</v>
      </c>
      <c r="C3216" s="1">
        <f>HYPERLINK("https://cao.dolgi.msk.ru/account/1011329666/", 1011329666)</f>
        <v>1011329666</v>
      </c>
      <c r="D3216">
        <v>0</v>
      </c>
    </row>
    <row r="3217" spans="1:4" hidden="1" x14ac:dyDescent="0.3">
      <c r="A3217" t="s">
        <v>347</v>
      </c>
      <c r="B3217" t="s">
        <v>98</v>
      </c>
      <c r="C3217" s="1">
        <f>HYPERLINK("https://cao.dolgi.msk.ru/account/1011329367/", 1011329367)</f>
        <v>1011329367</v>
      </c>
      <c r="D3217">
        <v>-2345.9499999999998</v>
      </c>
    </row>
    <row r="3218" spans="1:4" x14ac:dyDescent="0.3">
      <c r="A3218" t="s">
        <v>347</v>
      </c>
      <c r="B3218" t="s">
        <v>58</v>
      </c>
      <c r="C3218" s="1">
        <f>HYPERLINK("https://cao.dolgi.msk.ru/account/1011329375/", 1011329375)</f>
        <v>1011329375</v>
      </c>
      <c r="D3218">
        <v>6589.42</v>
      </c>
    </row>
    <row r="3219" spans="1:4" hidden="1" x14ac:dyDescent="0.3">
      <c r="A3219" t="s">
        <v>348</v>
      </c>
      <c r="B3219" t="s">
        <v>28</v>
      </c>
      <c r="C3219" s="1">
        <f>HYPERLINK("https://cao.dolgi.msk.ru/account/1011030234/", 1011030234)</f>
        <v>1011030234</v>
      </c>
      <c r="D3219">
        <v>-8502.7000000000007</v>
      </c>
    </row>
    <row r="3220" spans="1:4" x14ac:dyDescent="0.3">
      <c r="A3220" t="s">
        <v>348</v>
      </c>
      <c r="B3220" t="s">
        <v>35</v>
      </c>
      <c r="C3220" s="1">
        <f>HYPERLINK("https://cao.dolgi.msk.ru/account/1011033371/", 1011033371)</f>
        <v>1011033371</v>
      </c>
      <c r="D3220">
        <v>6536.02</v>
      </c>
    </row>
    <row r="3221" spans="1:4" x14ac:dyDescent="0.3">
      <c r="A3221" t="s">
        <v>348</v>
      </c>
      <c r="B3221" t="s">
        <v>5</v>
      </c>
      <c r="C3221" s="1">
        <f>HYPERLINK("https://cao.dolgi.msk.ru/account/1011029778/", 1011029778)</f>
        <v>1011029778</v>
      </c>
      <c r="D3221">
        <v>17714.11</v>
      </c>
    </row>
    <row r="3222" spans="1:4" hidden="1" x14ac:dyDescent="0.3">
      <c r="A3222" t="s">
        <v>348</v>
      </c>
      <c r="B3222" t="s">
        <v>7</v>
      </c>
      <c r="C3222" s="1">
        <f>HYPERLINK("https://cao.dolgi.msk.ru/account/1011031405/", 1011031405)</f>
        <v>1011031405</v>
      </c>
      <c r="D3222">
        <v>-104.51</v>
      </c>
    </row>
    <row r="3223" spans="1:4" hidden="1" x14ac:dyDescent="0.3">
      <c r="A3223" t="s">
        <v>348</v>
      </c>
      <c r="B3223" t="s">
        <v>8</v>
      </c>
      <c r="C3223" s="1">
        <f>HYPERLINK("https://cao.dolgi.msk.ru/account/1011032977/", 1011032977)</f>
        <v>1011032977</v>
      </c>
      <c r="D3223">
        <v>0</v>
      </c>
    </row>
    <row r="3224" spans="1:4" x14ac:dyDescent="0.3">
      <c r="A3224" t="s">
        <v>348</v>
      </c>
      <c r="B3224" t="s">
        <v>31</v>
      </c>
      <c r="C3224" s="1">
        <f>HYPERLINK("https://cao.dolgi.msk.ru/account/1011031456/", 1011031456)</f>
        <v>1011031456</v>
      </c>
      <c r="D3224">
        <v>426191.68</v>
      </c>
    </row>
    <row r="3225" spans="1:4" hidden="1" x14ac:dyDescent="0.3">
      <c r="A3225" t="s">
        <v>348</v>
      </c>
      <c r="B3225" t="s">
        <v>9</v>
      </c>
      <c r="C3225" s="1">
        <f>HYPERLINK("https://cao.dolgi.msk.ru/account/1011029268/", 1011029268)</f>
        <v>1011029268</v>
      </c>
      <c r="D3225">
        <v>-6336.05</v>
      </c>
    </row>
    <row r="3226" spans="1:4" x14ac:dyDescent="0.3">
      <c r="A3226" t="s">
        <v>348</v>
      </c>
      <c r="B3226" t="s">
        <v>10</v>
      </c>
      <c r="C3226" s="1">
        <f>HYPERLINK("https://cao.dolgi.msk.ru/account/1011033822/", 1011033822)</f>
        <v>1011033822</v>
      </c>
      <c r="D3226">
        <v>60313.17</v>
      </c>
    </row>
    <row r="3227" spans="1:4" hidden="1" x14ac:dyDescent="0.3">
      <c r="A3227" t="s">
        <v>348</v>
      </c>
      <c r="B3227" t="s">
        <v>11</v>
      </c>
      <c r="C3227" s="1">
        <f>HYPERLINK("https://cao.dolgi.msk.ru/account/1011029305/", 1011029305)</f>
        <v>1011029305</v>
      </c>
      <c r="D3227">
        <v>0</v>
      </c>
    </row>
    <row r="3228" spans="1:4" hidden="1" x14ac:dyDescent="0.3">
      <c r="A3228" t="s">
        <v>348</v>
      </c>
      <c r="B3228" t="s">
        <v>12</v>
      </c>
      <c r="C3228" s="1">
        <f>HYPERLINK("https://cao.dolgi.msk.ru/account/1011033048/", 1011033048)</f>
        <v>1011033048</v>
      </c>
      <c r="D3228">
        <v>0</v>
      </c>
    </row>
    <row r="3229" spans="1:4" hidden="1" x14ac:dyDescent="0.3">
      <c r="A3229" t="s">
        <v>348</v>
      </c>
      <c r="B3229" t="s">
        <v>23</v>
      </c>
      <c r="C3229" s="1">
        <f>HYPERLINK("https://cao.dolgi.msk.ru/account/1011032379/", 1011032379)</f>
        <v>1011032379</v>
      </c>
      <c r="D3229">
        <v>-7110.17</v>
      </c>
    </row>
    <row r="3230" spans="1:4" hidden="1" x14ac:dyDescent="0.3">
      <c r="A3230" t="s">
        <v>348</v>
      </c>
      <c r="B3230" t="s">
        <v>13</v>
      </c>
      <c r="C3230" s="1">
        <f>HYPERLINK("https://cao.dolgi.msk.ru/account/1011033064/", 1011033064)</f>
        <v>1011033064</v>
      </c>
      <c r="D3230">
        <v>-9208.07</v>
      </c>
    </row>
    <row r="3231" spans="1:4" x14ac:dyDescent="0.3">
      <c r="A3231" t="s">
        <v>348</v>
      </c>
      <c r="B3231" t="s">
        <v>14</v>
      </c>
      <c r="C3231" s="1">
        <f>HYPERLINK("https://cao.dolgi.msk.ru/account/1011031595/", 1011031595)</f>
        <v>1011031595</v>
      </c>
      <c r="D3231">
        <v>15375.7</v>
      </c>
    </row>
    <row r="3232" spans="1:4" hidden="1" x14ac:dyDescent="0.3">
      <c r="A3232" t="s">
        <v>348</v>
      </c>
      <c r="B3232" t="s">
        <v>16</v>
      </c>
      <c r="C3232" s="1">
        <f>HYPERLINK("https://cao.dolgi.msk.ru/account/1011032416/", 1011032416)</f>
        <v>1011032416</v>
      </c>
      <c r="D3232">
        <v>0</v>
      </c>
    </row>
    <row r="3233" spans="1:4" hidden="1" x14ac:dyDescent="0.3">
      <c r="A3233" t="s">
        <v>348</v>
      </c>
      <c r="B3233" t="s">
        <v>17</v>
      </c>
      <c r="C3233" s="1">
        <f>HYPERLINK("https://cao.dolgi.msk.ru/account/1011030146/", 1011030146)</f>
        <v>1011030146</v>
      </c>
      <c r="D3233">
        <v>-9567.07</v>
      </c>
    </row>
    <row r="3234" spans="1:4" hidden="1" x14ac:dyDescent="0.3">
      <c r="A3234" t="s">
        <v>348</v>
      </c>
      <c r="B3234" t="s">
        <v>18</v>
      </c>
      <c r="C3234" s="1">
        <f>HYPERLINK("https://cao.dolgi.msk.ru/account/1011027932/", 1011027932)</f>
        <v>1011027932</v>
      </c>
      <c r="D3234">
        <v>0</v>
      </c>
    </row>
    <row r="3235" spans="1:4" hidden="1" x14ac:dyDescent="0.3">
      <c r="A3235" t="s">
        <v>348</v>
      </c>
      <c r="B3235" t="s">
        <v>18</v>
      </c>
      <c r="C3235" s="1">
        <f>HYPERLINK("https://cao.dolgi.msk.ru/account/1011129541/", 1011129541)</f>
        <v>1011129541</v>
      </c>
      <c r="D3235">
        <v>0</v>
      </c>
    </row>
    <row r="3236" spans="1:4" hidden="1" x14ac:dyDescent="0.3">
      <c r="A3236" t="s">
        <v>348</v>
      </c>
      <c r="B3236" t="s">
        <v>19</v>
      </c>
      <c r="C3236" s="1">
        <f>HYPERLINK("https://cao.dolgi.msk.ru/account/1011033144/", 1011033144)</f>
        <v>1011033144</v>
      </c>
      <c r="D3236">
        <v>0</v>
      </c>
    </row>
    <row r="3237" spans="1:4" x14ac:dyDescent="0.3">
      <c r="A3237" t="s">
        <v>348</v>
      </c>
      <c r="B3237" t="s">
        <v>20</v>
      </c>
      <c r="C3237" s="1">
        <f>HYPERLINK("https://cao.dolgi.msk.ru/account/1011028644/", 1011028644)</f>
        <v>1011028644</v>
      </c>
      <c r="D3237">
        <v>4477.57</v>
      </c>
    </row>
    <row r="3238" spans="1:4" hidden="1" x14ac:dyDescent="0.3">
      <c r="A3238" t="s">
        <v>348</v>
      </c>
      <c r="B3238" t="s">
        <v>21</v>
      </c>
      <c r="C3238" s="1">
        <f>HYPERLINK("https://cao.dolgi.msk.ru/account/1011033179/", 1011033179)</f>
        <v>1011033179</v>
      </c>
      <c r="D3238">
        <v>0</v>
      </c>
    </row>
    <row r="3239" spans="1:4" hidden="1" x14ac:dyDescent="0.3">
      <c r="A3239" t="s">
        <v>348</v>
      </c>
      <c r="B3239" t="s">
        <v>22</v>
      </c>
      <c r="C3239" s="1">
        <f>HYPERLINK("https://cao.dolgi.msk.ru/account/1011032512/", 1011032512)</f>
        <v>1011032512</v>
      </c>
      <c r="D3239">
        <v>-7636.04</v>
      </c>
    </row>
    <row r="3240" spans="1:4" hidden="1" x14ac:dyDescent="0.3">
      <c r="A3240" t="s">
        <v>348</v>
      </c>
      <c r="B3240" t="s">
        <v>24</v>
      </c>
      <c r="C3240" s="1">
        <f>HYPERLINK("https://cao.dolgi.msk.ru/account/1011029524/", 1011029524)</f>
        <v>1011029524</v>
      </c>
      <c r="D3240">
        <v>0</v>
      </c>
    </row>
    <row r="3241" spans="1:4" hidden="1" x14ac:dyDescent="0.3">
      <c r="A3241" t="s">
        <v>348</v>
      </c>
      <c r="B3241" t="s">
        <v>25</v>
      </c>
      <c r="C3241" s="1">
        <f>HYPERLINK("https://cao.dolgi.msk.ru/account/1011030306/", 1011030306)</f>
        <v>1011030306</v>
      </c>
      <c r="D3241">
        <v>0</v>
      </c>
    </row>
    <row r="3242" spans="1:4" hidden="1" x14ac:dyDescent="0.3">
      <c r="A3242" t="s">
        <v>348</v>
      </c>
      <c r="B3242" t="s">
        <v>26</v>
      </c>
      <c r="C3242" s="1">
        <f>HYPERLINK("https://cao.dolgi.msk.ru/account/1011029575/", 1011029575)</f>
        <v>1011029575</v>
      </c>
      <c r="D3242">
        <v>-7885.09</v>
      </c>
    </row>
    <row r="3243" spans="1:4" hidden="1" x14ac:dyDescent="0.3">
      <c r="A3243" t="s">
        <v>348</v>
      </c>
      <c r="B3243" t="s">
        <v>27</v>
      </c>
      <c r="C3243" s="1">
        <f>HYPERLINK("https://cao.dolgi.msk.ru/account/1011029583/", 1011029583)</f>
        <v>1011029583</v>
      </c>
      <c r="D3243">
        <v>-89.94</v>
      </c>
    </row>
    <row r="3244" spans="1:4" hidden="1" x14ac:dyDescent="0.3">
      <c r="A3244" t="s">
        <v>348</v>
      </c>
      <c r="B3244" t="s">
        <v>29</v>
      </c>
      <c r="C3244" s="1">
        <f>HYPERLINK("https://cao.dolgi.msk.ru/account/1011029591/", 1011029591)</f>
        <v>1011029591</v>
      </c>
      <c r="D3244">
        <v>0</v>
      </c>
    </row>
    <row r="3245" spans="1:4" hidden="1" x14ac:dyDescent="0.3">
      <c r="A3245" t="s">
        <v>348</v>
      </c>
      <c r="B3245" t="s">
        <v>38</v>
      </c>
      <c r="C3245" s="1">
        <f>HYPERLINK("https://cao.dolgi.msk.ru/account/1011031835/", 1011031835)</f>
        <v>1011031835</v>
      </c>
      <c r="D3245">
        <v>-14640.97</v>
      </c>
    </row>
    <row r="3246" spans="1:4" hidden="1" x14ac:dyDescent="0.3">
      <c r="A3246" t="s">
        <v>348</v>
      </c>
      <c r="B3246" t="s">
        <v>39</v>
      </c>
      <c r="C3246" s="1">
        <f>HYPERLINK("https://cao.dolgi.msk.ru/account/1011030437/", 1011030437)</f>
        <v>1011030437</v>
      </c>
      <c r="D3246">
        <v>-9542.76</v>
      </c>
    </row>
    <row r="3247" spans="1:4" x14ac:dyDescent="0.3">
      <c r="A3247" t="s">
        <v>348</v>
      </c>
      <c r="B3247" t="s">
        <v>40</v>
      </c>
      <c r="C3247" s="1">
        <f>HYPERLINK("https://cao.dolgi.msk.ru/account/1011031878/", 1011031878)</f>
        <v>1011031878</v>
      </c>
      <c r="D3247">
        <v>40859.480000000003</v>
      </c>
    </row>
    <row r="3248" spans="1:4" hidden="1" x14ac:dyDescent="0.3">
      <c r="A3248" t="s">
        <v>348</v>
      </c>
      <c r="B3248" t="s">
        <v>41</v>
      </c>
      <c r="C3248" s="1">
        <f>HYPERLINK("https://cao.dolgi.msk.ru/account/1011033398/", 1011033398)</f>
        <v>1011033398</v>
      </c>
      <c r="D3248">
        <v>-347.08</v>
      </c>
    </row>
    <row r="3249" spans="1:4" hidden="1" x14ac:dyDescent="0.3">
      <c r="A3249" t="s">
        <v>348</v>
      </c>
      <c r="B3249" t="s">
        <v>51</v>
      </c>
      <c r="C3249" s="1">
        <f>HYPERLINK("https://cao.dolgi.msk.ru/account/1011028871/", 1011028871)</f>
        <v>1011028871</v>
      </c>
      <c r="D3249">
        <v>-103.41</v>
      </c>
    </row>
    <row r="3250" spans="1:4" hidden="1" x14ac:dyDescent="0.3">
      <c r="A3250" t="s">
        <v>348</v>
      </c>
      <c r="B3250" t="s">
        <v>52</v>
      </c>
      <c r="C3250" s="1">
        <f>HYPERLINK("https://cao.dolgi.msk.ru/account/1011031157/", 1011031157)</f>
        <v>1011031157</v>
      </c>
      <c r="D3250">
        <v>-17.71</v>
      </c>
    </row>
    <row r="3251" spans="1:4" hidden="1" x14ac:dyDescent="0.3">
      <c r="A3251" t="s">
        <v>348</v>
      </c>
      <c r="B3251" t="s">
        <v>53</v>
      </c>
      <c r="C3251" s="1">
        <f>HYPERLINK("https://cao.dolgi.msk.ru/account/1011030496/", 1011030496)</f>
        <v>1011030496</v>
      </c>
      <c r="D3251">
        <v>-7286.15</v>
      </c>
    </row>
    <row r="3252" spans="1:4" x14ac:dyDescent="0.3">
      <c r="A3252" t="s">
        <v>348</v>
      </c>
      <c r="B3252" t="s">
        <v>54</v>
      </c>
      <c r="C3252" s="1">
        <f>HYPERLINK("https://cao.dolgi.msk.ru/account/1011029698/", 1011029698)</f>
        <v>1011029698</v>
      </c>
      <c r="D3252">
        <v>129931.45</v>
      </c>
    </row>
    <row r="3253" spans="1:4" x14ac:dyDescent="0.3">
      <c r="A3253" t="s">
        <v>348</v>
      </c>
      <c r="B3253" t="s">
        <v>54</v>
      </c>
      <c r="C3253" s="1">
        <f>HYPERLINK("https://cao.dolgi.msk.ru/account/1011031229/", 1011031229)</f>
        <v>1011031229</v>
      </c>
      <c r="D3253">
        <v>12263.49</v>
      </c>
    </row>
    <row r="3254" spans="1:4" hidden="1" x14ac:dyDescent="0.3">
      <c r="A3254" t="s">
        <v>348</v>
      </c>
      <c r="B3254" t="s">
        <v>55</v>
      </c>
      <c r="C3254" s="1">
        <f>HYPERLINK("https://cao.dolgi.msk.ru/account/1011033494/", 1011033494)</f>
        <v>1011033494</v>
      </c>
      <c r="D3254">
        <v>-3164.11</v>
      </c>
    </row>
    <row r="3255" spans="1:4" hidden="1" x14ac:dyDescent="0.3">
      <c r="A3255" t="s">
        <v>348</v>
      </c>
      <c r="B3255" t="s">
        <v>56</v>
      </c>
      <c r="C3255" s="1">
        <f>HYPERLINK("https://cao.dolgi.msk.ru/account/1011032053/", 1011032053)</f>
        <v>1011032053</v>
      </c>
      <c r="D3255">
        <v>0</v>
      </c>
    </row>
    <row r="3256" spans="1:4" x14ac:dyDescent="0.3">
      <c r="A3256" t="s">
        <v>348</v>
      </c>
      <c r="B3256" t="s">
        <v>87</v>
      </c>
      <c r="C3256" s="1">
        <f>HYPERLINK("https://cao.dolgi.msk.ru/account/1011031296/", 1011031296)</f>
        <v>1011031296</v>
      </c>
      <c r="D3256">
        <v>8058.02</v>
      </c>
    </row>
    <row r="3257" spans="1:4" hidden="1" x14ac:dyDescent="0.3">
      <c r="A3257" t="s">
        <v>348</v>
      </c>
      <c r="B3257" t="s">
        <v>88</v>
      </c>
      <c r="C3257" s="1">
        <f>HYPERLINK("https://cao.dolgi.msk.ru/account/1011028281/", 1011028281)</f>
        <v>1011028281</v>
      </c>
      <c r="D3257">
        <v>0</v>
      </c>
    </row>
    <row r="3258" spans="1:4" hidden="1" x14ac:dyDescent="0.3">
      <c r="A3258" t="s">
        <v>348</v>
      </c>
      <c r="B3258" t="s">
        <v>89</v>
      </c>
      <c r="C3258" s="1">
        <f>HYPERLINK("https://cao.dolgi.msk.ru/account/1011032758/", 1011032758)</f>
        <v>1011032758</v>
      </c>
      <c r="D3258">
        <v>0</v>
      </c>
    </row>
    <row r="3259" spans="1:4" x14ac:dyDescent="0.3">
      <c r="A3259" t="s">
        <v>348</v>
      </c>
      <c r="B3259" t="s">
        <v>90</v>
      </c>
      <c r="C3259" s="1">
        <f>HYPERLINK("https://cao.dolgi.msk.ru/account/1011031325/", 1011031325)</f>
        <v>1011031325</v>
      </c>
      <c r="D3259">
        <v>7338.47</v>
      </c>
    </row>
    <row r="3260" spans="1:4" hidden="1" x14ac:dyDescent="0.3">
      <c r="A3260" t="s">
        <v>348</v>
      </c>
      <c r="B3260" t="s">
        <v>96</v>
      </c>
      <c r="C3260" s="1">
        <f>HYPERLINK("https://cao.dolgi.msk.ru/account/1011032774/", 1011032774)</f>
        <v>1011032774</v>
      </c>
      <c r="D3260">
        <v>-9639.42</v>
      </c>
    </row>
    <row r="3261" spans="1:4" hidden="1" x14ac:dyDescent="0.3">
      <c r="A3261" t="s">
        <v>348</v>
      </c>
      <c r="B3261" t="s">
        <v>97</v>
      </c>
      <c r="C3261" s="1">
        <f>HYPERLINK("https://cao.dolgi.msk.ru/account/1011033662/", 1011033662)</f>
        <v>1011033662</v>
      </c>
      <c r="D3261">
        <v>-7854.56</v>
      </c>
    </row>
    <row r="3262" spans="1:4" hidden="1" x14ac:dyDescent="0.3">
      <c r="A3262" t="s">
        <v>348</v>
      </c>
      <c r="B3262" t="s">
        <v>98</v>
      </c>
      <c r="C3262" s="1">
        <f>HYPERLINK("https://cao.dolgi.msk.ru/account/1011029081/", 1011029081)</f>
        <v>1011029081</v>
      </c>
      <c r="D3262">
        <v>-2024.24</v>
      </c>
    </row>
    <row r="3263" spans="1:4" hidden="1" x14ac:dyDescent="0.3">
      <c r="A3263" t="s">
        <v>348</v>
      </c>
      <c r="B3263" t="s">
        <v>58</v>
      </c>
      <c r="C3263" s="1">
        <f>HYPERLINK("https://cao.dolgi.msk.ru/account/1011032192/", 1011032192)</f>
        <v>1011032192</v>
      </c>
      <c r="D3263">
        <v>0</v>
      </c>
    </row>
    <row r="3264" spans="1:4" hidden="1" x14ac:dyDescent="0.3">
      <c r="A3264" t="s">
        <v>348</v>
      </c>
      <c r="B3264" t="s">
        <v>59</v>
      </c>
      <c r="C3264" s="1">
        <f>HYPERLINK("https://cao.dolgi.msk.ru/account/1011029903/", 1011029903)</f>
        <v>1011029903</v>
      </c>
      <c r="D3264">
        <v>0</v>
      </c>
    </row>
    <row r="3265" spans="1:4" x14ac:dyDescent="0.3">
      <c r="A3265" t="s">
        <v>348</v>
      </c>
      <c r="B3265" t="s">
        <v>60</v>
      </c>
      <c r="C3265" s="1">
        <f>HYPERLINK("https://cao.dolgi.msk.ru/account/1011031392/", 1011031392)</f>
        <v>1011031392</v>
      </c>
      <c r="D3265">
        <v>374.03</v>
      </c>
    </row>
    <row r="3266" spans="1:4" hidden="1" x14ac:dyDescent="0.3">
      <c r="A3266" t="s">
        <v>348</v>
      </c>
      <c r="B3266" t="s">
        <v>61</v>
      </c>
      <c r="C3266" s="1">
        <f>HYPERLINK("https://cao.dolgi.msk.ru/account/1011030752/", 1011030752)</f>
        <v>1011030752</v>
      </c>
      <c r="D3266">
        <v>-6622.79</v>
      </c>
    </row>
    <row r="3267" spans="1:4" hidden="1" x14ac:dyDescent="0.3">
      <c r="A3267" t="s">
        <v>348</v>
      </c>
      <c r="B3267" t="s">
        <v>62</v>
      </c>
      <c r="C3267" s="1">
        <f>HYPERLINK("https://cao.dolgi.msk.ru/account/1011032221/", 1011032221)</f>
        <v>1011032221</v>
      </c>
      <c r="D3267">
        <v>0</v>
      </c>
    </row>
    <row r="3268" spans="1:4" hidden="1" x14ac:dyDescent="0.3">
      <c r="A3268" t="s">
        <v>348</v>
      </c>
      <c r="B3268" t="s">
        <v>62</v>
      </c>
      <c r="C3268" s="1">
        <f>HYPERLINK("https://cao.dolgi.msk.ru/account/1011032248/", 1011032248)</f>
        <v>1011032248</v>
      </c>
      <c r="D3268">
        <v>0</v>
      </c>
    </row>
    <row r="3269" spans="1:4" hidden="1" x14ac:dyDescent="0.3">
      <c r="A3269" t="s">
        <v>348</v>
      </c>
      <c r="B3269" t="s">
        <v>63</v>
      </c>
      <c r="C3269" s="1">
        <f>HYPERLINK("https://cao.dolgi.msk.ru/account/1011029161/", 1011029161)</f>
        <v>1011029161</v>
      </c>
      <c r="D3269">
        <v>0</v>
      </c>
    </row>
    <row r="3270" spans="1:4" hidden="1" x14ac:dyDescent="0.3">
      <c r="A3270" t="s">
        <v>348</v>
      </c>
      <c r="B3270" t="s">
        <v>64</v>
      </c>
      <c r="C3270" s="1">
        <f>HYPERLINK("https://cao.dolgi.msk.ru/account/1011029292/", 1011029292)</f>
        <v>1011029292</v>
      </c>
      <c r="D3270">
        <v>0</v>
      </c>
    </row>
    <row r="3271" spans="1:4" hidden="1" x14ac:dyDescent="0.3">
      <c r="A3271" t="s">
        <v>348</v>
      </c>
      <c r="B3271" t="s">
        <v>65</v>
      </c>
      <c r="C3271" s="1">
        <f>HYPERLINK("https://cao.dolgi.msk.ru/account/1011031413/", 1011031413)</f>
        <v>1011031413</v>
      </c>
      <c r="D3271">
        <v>0</v>
      </c>
    </row>
    <row r="3272" spans="1:4" hidden="1" x14ac:dyDescent="0.3">
      <c r="A3272" t="s">
        <v>348</v>
      </c>
      <c r="B3272" t="s">
        <v>66</v>
      </c>
      <c r="C3272" s="1">
        <f>HYPERLINK("https://cao.dolgi.msk.ru/account/1011032336/", 1011032336)</f>
        <v>1011032336</v>
      </c>
      <c r="D3272">
        <v>0</v>
      </c>
    </row>
    <row r="3273" spans="1:4" hidden="1" x14ac:dyDescent="0.3">
      <c r="A3273" t="s">
        <v>348</v>
      </c>
      <c r="B3273" t="s">
        <v>67</v>
      </c>
      <c r="C3273" s="1">
        <f>HYPERLINK("https://cao.dolgi.msk.ru/account/1011031421/", 1011031421)</f>
        <v>1011031421</v>
      </c>
      <c r="D3273">
        <v>0</v>
      </c>
    </row>
    <row r="3274" spans="1:4" x14ac:dyDescent="0.3">
      <c r="A3274" t="s">
        <v>348</v>
      </c>
      <c r="B3274" t="s">
        <v>68</v>
      </c>
      <c r="C3274" s="1">
        <f>HYPERLINK("https://cao.dolgi.msk.ru/account/1011030779/", 1011030779)</f>
        <v>1011030779</v>
      </c>
      <c r="D3274">
        <v>6572.65</v>
      </c>
    </row>
    <row r="3275" spans="1:4" x14ac:dyDescent="0.3">
      <c r="A3275" t="s">
        <v>348</v>
      </c>
      <c r="B3275" t="s">
        <v>69</v>
      </c>
      <c r="C3275" s="1">
        <f>HYPERLINK("https://cao.dolgi.msk.ru/account/1011029188/", 1011029188)</f>
        <v>1011029188</v>
      </c>
      <c r="D3275">
        <v>4437.3</v>
      </c>
    </row>
    <row r="3276" spans="1:4" hidden="1" x14ac:dyDescent="0.3">
      <c r="A3276" t="s">
        <v>348</v>
      </c>
      <c r="B3276" t="s">
        <v>70</v>
      </c>
      <c r="C3276" s="1">
        <f>HYPERLINK("https://cao.dolgi.msk.ru/account/1011028433/", 1011028433)</f>
        <v>1011028433</v>
      </c>
      <c r="D3276">
        <v>-4790.8500000000004</v>
      </c>
    </row>
    <row r="3277" spans="1:4" hidden="1" x14ac:dyDescent="0.3">
      <c r="A3277" t="s">
        <v>348</v>
      </c>
      <c r="B3277" t="s">
        <v>259</v>
      </c>
      <c r="C3277" s="1">
        <f>HYPERLINK("https://cao.dolgi.msk.ru/account/1011029938/", 1011029938)</f>
        <v>1011029938</v>
      </c>
      <c r="D3277">
        <v>0</v>
      </c>
    </row>
    <row r="3278" spans="1:4" hidden="1" x14ac:dyDescent="0.3">
      <c r="A3278" t="s">
        <v>348</v>
      </c>
      <c r="B3278" t="s">
        <v>100</v>
      </c>
      <c r="C3278" s="1">
        <f>HYPERLINK("https://cao.dolgi.msk.ru/account/1011033734/", 1011033734)</f>
        <v>1011033734</v>
      </c>
      <c r="D3278">
        <v>0</v>
      </c>
    </row>
    <row r="3279" spans="1:4" hidden="1" x14ac:dyDescent="0.3">
      <c r="A3279" t="s">
        <v>348</v>
      </c>
      <c r="B3279" t="s">
        <v>72</v>
      </c>
      <c r="C3279" s="1">
        <f>HYPERLINK("https://cao.dolgi.msk.ru/account/1011033742/", 1011033742)</f>
        <v>1011033742</v>
      </c>
      <c r="D3279">
        <v>-7134.82</v>
      </c>
    </row>
    <row r="3280" spans="1:4" x14ac:dyDescent="0.3">
      <c r="A3280" t="s">
        <v>348</v>
      </c>
      <c r="B3280" t="s">
        <v>73</v>
      </c>
      <c r="C3280" s="1">
        <f>HYPERLINK("https://cao.dolgi.msk.ru/account/1011031448/", 1011031448)</f>
        <v>1011031448</v>
      </c>
      <c r="D3280">
        <v>2123.41</v>
      </c>
    </row>
    <row r="3281" spans="1:4" hidden="1" x14ac:dyDescent="0.3">
      <c r="A3281" t="s">
        <v>348</v>
      </c>
      <c r="B3281" t="s">
        <v>74</v>
      </c>
      <c r="C3281" s="1">
        <f>HYPERLINK("https://cao.dolgi.msk.ru/account/1011029946/", 1011029946)</f>
        <v>1011029946</v>
      </c>
      <c r="D3281">
        <v>0</v>
      </c>
    </row>
    <row r="3282" spans="1:4" hidden="1" x14ac:dyDescent="0.3">
      <c r="A3282" t="s">
        <v>348</v>
      </c>
      <c r="B3282" t="s">
        <v>75</v>
      </c>
      <c r="C3282" s="1">
        <f>HYPERLINK("https://cao.dolgi.msk.ru/account/1011029196/", 1011029196)</f>
        <v>1011029196</v>
      </c>
      <c r="D3282">
        <v>-23853.16</v>
      </c>
    </row>
    <row r="3283" spans="1:4" hidden="1" x14ac:dyDescent="0.3">
      <c r="A3283" t="s">
        <v>348</v>
      </c>
      <c r="B3283" t="s">
        <v>76</v>
      </c>
      <c r="C3283" s="1">
        <f>HYPERLINK("https://cao.dolgi.msk.ru/account/1011029209/", 1011029209)</f>
        <v>1011029209</v>
      </c>
      <c r="D3283">
        <v>-10238.65</v>
      </c>
    </row>
    <row r="3284" spans="1:4" hidden="1" x14ac:dyDescent="0.3">
      <c r="A3284" t="s">
        <v>348</v>
      </c>
      <c r="B3284" t="s">
        <v>77</v>
      </c>
      <c r="C3284" s="1">
        <f>HYPERLINK("https://cao.dolgi.msk.ru/account/1011033769/", 1011033769)</f>
        <v>1011033769</v>
      </c>
      <c r="D3284">
        <v>0</v>
      </c>
    </row>
    <row r="3285" spans="1:4" hidden="1" x14ac:dyDescent="0.3">
      <c r="A3285" t="s">
        <v>348</v>
      </c>
      <c r="B3285" t="s">
        <v>78</v>
      </c>
      <c r="C3285" s="1">
        <f>HYPERLINK("https://cao.dolgi.msk.ru/account/1011032985/", 1011032985)</f>
        <v>1011032985</v>
      </c>
      <c r="D3285">
        <v>0</v>
      </c>
    </row>
    <row r="3286" spans="1:4" hidden="1" x14ac:dyDescent="0.3">
      <c r="A3286" t="s">
        <v>348</v>
      </c>
      <c r="B3286" t="s">
        <v>79</v>
      </c>
      <c r="C3286" s="1">
        <f>HYPERLINK("https://cao.dolgi.msk.ru/account/1011033777/", 1011033777)</f>
        <v>1011033777</v>
      </c>
      <c r="D3286">
        <v>-6413.88</v>
      </c>
    </row>
    <row r="3287" spans="1:4" hidden="1" x14ac:dyDescent="0.3">
      <c r="A3287" t="s">
        <v>348</v>
      </c>
      <c r="B3287" t="s">
        <v>80</v>
      </c>
      <c r="C3287" s="1">
        <f>HYPERLINK("https://cao.dolgi.msk.ru/account/1011029217/", 1011029217)</f>
        <v>1011029217</v>
      </c>
      <c r="D3287">
        <v>0</v>
      </c>
    </row>
    <row r="3288" spans="1:4" hidden="1" x14ac:dyDescent="0.3">
      <c r="A3288" t="s">
        <v>348</v>
      </c>
      <c r="B3288" t="s">
        <v>81</v>
      </c>
      <c r="C3288" s="1">
        <f>HYPERLINK("https://cao.dolgi.msk.ru/account/1011029954/", 1011029954)</f>
        <v>1011029954</v>
      </c>
      <c r="D3288">
        <v>0</v>
      </c>
    </row>
    <row r="3289" spans="1:4" hidden="1" x14ac:dyDescent="0.3">
      <c r="A3289" t="s">
        <v>348</v>
      </c>
      <c r="B3289" t="s">
        <v>101</v>
      </c>
      <c r="C3289" s="1">
        <f>HYPERLINK("https://cao.dolgi.msk.ru/account/1011032256/", 1011032256)</f>
        <v>1011032256</v>
      </c>
      <c r="D3289">
        <v>0</v>
      </c>
    </row>
    <row r="3290" spans="1:4" hidden="1" x14ac:dyDescent="0.3">
      <c r="A3290" t="s">
        <v>348</v>
      </c>
      <c r="B3290" t="s">
        <v>83</v>
      </c>
      <c r="C3290" s="1">
        <f>HYPERLINK("https://cao.dolgi.msk.ru/account/1011033785/", 1011033785)</f>
        <v>1011033785</v>
      </c>
      <c r="D3290">
        <v>-10.87</v>
      </c>
    </row>
    <row r="3291" spans="1:4" hidden="1" x14ac:dyDescent="0.3">
      <c r="A3291" t="s">
        <v>348</v>
      </c>
      <c r="B3291" t="s">
        <v>84</v>
      </c>
      <c r="C3291" s="1">
        <f>HYPERLINK("https://cao.dolgi.msk.ru/account/1011031464/", 1011031464)</f>
        <v>1011031464</v>
      </c>
      <c r="D3291">
        <v>-507.98</v>
      </c>
    </row>
    <row r="3292" spans="1:4" x14ac:dyDescent="0.3">
      <c r="A3292" t="s">
        <v>348</v>
      </c>
      <c r="B3292" t="s">
        <v>85</v>
      </c>
      <c r="C3292" s="1">
        <f>HYPERLINK("https://cao.dolgi.msk.ru/account/1011030787/", 1011030787)</f>
        <v>1011030787</v>
      </c>
      <c r="D3292">
        <v>5007.18</v>
      </c>
    </row>
    <row r="3293" spans="1:4" hidden="1" x14ac:dyDescent="0.3">
      <c r="A3293" t="s">
        <v>348</v>
      </c>
      <c r="B3293" t="s">
        <v>102</v>
      </c>
      <c r="C3293" s="1">
        <f>HYPERLINK("https://cao.dolgi.msk.ru/account/1011029225/", 1011029225)</f>
        <v>1011029225</v>
      </c>
      <c r="D3293">
        <v>0</v>
      </c>
    </row>
    <row r="3294" spans="1:4" x14ac:dyDescent="0.3">
      <c r="A3294" t="s">
        <v>348</v>
      </c>
      <c r="B3294" t="s">
        <v>103</v>
      </c>
      <c r="C3294" s="1">
        <f>HYPERLINK("https://cao.dolgi.msk.ru/account/1011032264/", 1011032264)</f>
        <v>1011032264</v>
      </c>
      <c r="D3294">
        <v>24352.75</v>
      </c>
    </row>
    <row r="3295" spans="1:4" hidden="1" x14ac:dyDescent="0.3">
      <c r="A3295" t="s">
        <v>348</v>
      </c>
      <c r="B3295" t="s">
        <v>104</v>
      </c>
      <c r="C3295" s="1">
        <f>HYPERLINK("https://cao.dolgi.msk.ru/account/1011029233/", 1011029233)</f>
        <v>1011029233</v>
      </c>
      <c r="D3295">
        <v>-563.04</v>
      </c>
    </row>
    <row r="3296" spans="1:4" hidden="1" x14ac:dyDescent="0.3">
      <c r="A3296" t="s">
        <v>348</v>
      </c>
      <c r="B3296" t="s">
        <v>105</v>
      </c>
      <c r="C3296" s="1">
        <f>HYPERLINK("https://cao.dolgi.msk.ru/account/1011028441/", 1011028441)</f>
        <v>1011028441</v>
      </c>
      <c r="D3296">
        <v>0</v>
      </c>
    </row>
    <row r="3297" spans="1:4" hidden="1" x14ac:dyDescent="0.3">
      <c r="A3297" t="s">
        <v>348</v>
      </c>
      <c r="B3297" t="s">
        <v>106</v>
      </c>
      <c r="C3297" s="1">
        <f>HYPERLINK("https://cao.dolgi.msk.ru/account/1011029241/", 1011029241)</f>
        <v>1011029241</v>
      </c>
      <c r="D3297">
        <v>0</v>
      </c>
    </row>
    <row r="3298" spans="1:4" hidden="1" x14ac:dyDescent="0.3">
      <c r="A3298" t="s">
        <v>348</v>
      </c>
      <c r="B3298" t="s">
        <v>107</v>
      </c>
      <c r="C3298" s="1">
        <f>HYPERLINK("https://cao.dolgi.msk.ru/account/1011032993/", 1011032993)</f>
        <v>1011032993</v>
      </c>
      <c r="D3298">
        <v>0</v>
      </c>
    </row>
    <row r="3299" spans="1:4" hidden="1" x14ac:dyDescent="0.3">
      <c r="A3299" t="s">
        <v>348</v>
      </c>
      <c r="B3299" t="s">
        <v>108</v>
      </c>
      <c r="C3299" s="1">
        <f>HYPERLINK("https://cao.dolgi.msk.ru/account/1011032272/", 1011032272)</f>
        <v>1011032272</v>
      </c>
      <c r="D3299">
        <v>0</v>
      </c>
    </row>
    <row r="3300" spans="1:4" hidden="1" x14ac:dyDescent="0.3">
      <c r="A3300" t="s">
        <v>348</v>
      </c>
      <c r="B3300" t="s">
        <v>108</v>
      </c>
      <c r="C3300" s="1">
        <f>HYPERLINK("https://cao.dolgi.msk.ru/account/1011514896/", 1011514896)</f>
        <v>1011514896</v>
      </c>
      <c r="D3300">
        <v>-1553.46</v>
      </c>
    </row>
    <row r="3301" spans="1:4" x14ac:dyDescent="0.3">
      <c r="A3301" t="s">
        <v>348</v>
      </c>
      <c r="B3301" t="s">
        <v>109</v>
      </c>
      <c r="C3301" s="1">
        <f>HYPERLINK("https://cao.dolgi.msk.ru/account/1011028468/", 1011028468)</f>
        <v>1011028468</v>
      </c>
      <c r="D3301">
        <v>7359.5</v>
      </c>
    </row>
    <row r="3302" spans="1:4" hidden="1" x14ac:dyDescent="0.3">
      <c r="A3302" t="s">
        <v>348</v>
      </c>
      <c r="B3302" t="s">
        <v>110</v>
      </c>
      <c r="C3302" s="1">
        <f>HYPERLINK("https://cao.dolgi.msk.ru/account/1011033793/", 1011033793)</f>
        <v>1011033793</v>
      </c>
      <c r="D3302">
        <v>-12710.79</v>
      </c>
    </row>
    <row r="3303" spans="1:4" hidden="1" x14ac:dyDescent="0.3">
      <c r="A3303" t="s">
        <v>348</v>
      </c>
      <c r="B3303" t="s">
        <v>111</v>
      </c>
      <c r="C3303" s="1">
        <f>HYPERLINK("https://cao.dolgi.msk.ru/account/1011031472/", 1011031472)</f>
        <v>1011031472</v>
      </c>
      <c r="D3303">
        <v>-17.71</v>
      </c>
    </row>
    <row r="3304" spans="1:4" hidden="1" x14ac:dyDescent="0.3">
      <c r="A3304" t="s">
        <v>348</v>
      </c>
      <c r="B3304" t="s">
        <v>112</v>
      </c>
      <c r="C3304" s="1">
        <f>HYPERLINK("https://cao.dolgi.msk.ru/account/1011028476/", 1011028476)</f>
        <v>1011028476</v>
      </c>
      <c r="D3304">
        <v>-6716.09</v>
      </c>
    </row>
    <row r="3305" spans="1:4" hidden="1" x14ac:dyDescent="0.3">
      <c r="A3305" t="s">
        <v>348</v>
      </c>
      <c r="B3305" t="s">
        <v>113</v>
      </c>
      <c r="C3305" s="1">
        <f>HYPERLINK("https://cao.dolgi.msk.ru/account/1011033806/", 1011033806)</f>
        <v>1011033806</v>
      </c>
      <c r="D3305">
        <v>-8010.44</v>
      </c>
    </row>
    <row r="3306" spans="1:4" hidden="1" x14ac:dyDescent="0.3">
      <c r="A3306" t="s">
        <v>348</v>
      </c>
      <c r="B3306" t="s">
        <v>114</v>
      </c>
      <c r="C3306" s="1">
        <f>HYPERLINK("https://cao.dolgi.msk.ru/account/1011033814/", 1011033814)</f>
        <v>1011033814</v>
      </c>
      <c r="D3306">
        <v>-370.64</v>
      </c>
    </row>
    <row r="3307" spans="1:4" hidden="1" x14ac:dyDescent="0.3">
      <c r="A3307" t="s">
        <v>348</v>
      </c>
      <c r="B3307" t="s">
        <v>115</v>
      </c>
      <c r="C3307" s="1">
        <f>HYPERLINK("https://cao.dolgi.msk.ru/account/1011029962/", 1011029962)</f>
        <v>1011029962</v>
      </c>
      <c r="D3307">
        <v>0</v>
      </c>
    </row>
    <row r="3308" spans="1:4" hidden="1" x14ac:dyDescent="0.3">
      <c r="A3308" t="s">
        <v>348</v>
      </c>
      <c r="B3308" t="s">
        <v>116</v>
      </c>
      <c r="C3308" s="1">
        <f>HYPERLINK("https://cao.dolgi.msk.ru/account/1011029989/", 1011029989)</f>
        <v>1011029989</v>
      </c>
      <c r="D3308">
        <v>0</v>
      </c>
    </row>
    <row r="3309" spans="1:4" hidden="1" x14ac:dyDescent="0.3">
      <c r="A3309" t="s">
        <v>348</v>
      </c>
      <c r="B3309" t="s">
        <v>266</v>
      </c>
      <c r="C3309" s="1">
        <f>HYPERLINK("https://cao.dolgi.msk.ru/account/1011033005/", 1011033005)</f>
        <v>1011033005</v>
      </c>
      <c r="D3309">
        <v>0</v>
      </c>
    </row>
    <row r="3310" spans="1:4" hidden="1" x14ac:dyDescent="0.3">
      <c r="A3310" t="s">
        <v>348</v>
      </c>
      <c r="B3310" t="s">
        <v>117</v>
      </c>
      <c r="C3310" s="1">
        <f>HYPERLINK("https://cao.dolgi.msk.ru/account/1011030795/", 1011030795)</f>
        <v>1011030795</v>
      </c>
      <c r="D3310">
        <v>-158.27000000000001</v>
      </c>
    </row>
    <row r="3311" spans="1:4" hidden="1" x14ac:dyDescent="0.3">
      <c r="A3311" t="s">
        <v>348</v>
      </c>
      <c r="B3311" t="s">
        <v>118</v>
      </c>
      <c r="C3311" s="1">
        <f>HYPERLINK("https://cao.dolgi.msk.ru/account/1011033013/", 1011033013)</f>
        <v>1011033013</v>
      </c>
      <c r="D3311">
        <v>-39.33</v>
      </c>
    </row>
    <row r="3312" spans="1:4" hidden="1" x14ac:dyDescent="0.3">
      <c r="A3312" t="s">
        <v>348</v>
      </c>
      <c r="B3312" t="s">
        <v>119</v>
      </c>
      <c r="C3312" s="1">
        <f>HYPERLINK("https://cao.dolgi.msk.ru/account/1011030808/", 1011030808)</f>
        <v>1011030808</v>
      </c>
      <c r="D3312">
        <v>0</v>
      </c>
    </row>
    <row r="3313" spans="1:4" x14ac:dyDescent="0.3">
      <c r="A3313" t="s">
        <v>348</v>
      </c>
      <c r="B3313" t="s">
        <v>120</v>
      </c>
      <c r="C3313" s="1">
        <f>HYPERLINK("https://cao.dolgi.msk.ru/account/1011032299/", 1011032299)</f>
        <v>1011032299</v>
      </c>
      <c r="D3313">
        <v>10498.09</v>
      </c>
    </row>
    <row r="3314" spans="1:4" hidden="1" x14ac:dyDescent="0.3">
      <c r="A3314" t="s">
        <v>348</v>
      </c>
      <c r="B3314" t="s">
        <v>121</v>
      </c>
      <c r="C3314" s="1">
        <f>HYPERLINK("https://cao.dolgi.msk.ru/account/1011032301/", 1011032301)</f>
        <v>1011032301</v>
      </c>
      <c r="D3314">
        <v>0</v>
      </c>
    </row>
    <row r="3315" spans="1:4" hidden="1" x14ac:dyDescent="0.3">
      <c r="A3315" t="s">
        <v>348</v>
      </c>
      <c r="B3315" t="s">
        <v>122</v>
      </c>
      <c r="C3315" s="1">
        <f>HYPERLINK("https://cao.dolgi.msk.ru/account/1011029276/", 1011029276)</f>
        <v>1011029276</v>
      </c>
      <c r="D3315">
        <v>0</v>
      </c>
    </row>
    <row r="3316" spans="1:4" x14ac:dyDescent="0.3">
      <c r="A3316" t="s">
        <v>348</v>
      </c>
      <c r="B3316" t="s">
        <v>123</v>
      </c>
      <c r="C3316" s="1">
        <f>HYPERLINK("https://cao.dolgi.msk.ru/account/1011029997/", 1011029997)</f>
        <v>1011029997</v>
      </c>
      <c r="D3316">
        <v>10044.44</v>
      </c>
    </row>
    <row r="3317" spans="1:4" hidden="1" x14ac:dyDescent="0.3">
      <c r="A3317" t="s">
        <v>348</v>
      </c>
      <c r="B3317" t="s">
        <v>124</v>
      </c>
      <c r="C3317" s="1">
        <f>HYPERLINK("https://cao.dolgi.msk.ru/account/1011031499/", 1011031499)</f>
        <v>1011031499</v>
      </c>
      <c r="D3317">
        <v>0</v>
      </c>
    </row>
    <row r="3318" spans="1:4" hidden="1" x14ac:dyDescent="0.3">
      <c r="A3318" t="s">
        <v>348</v>
      </c>
      <c r="B3318" t="s">
        <v>125</v>
      </c>
      <c r="C3318" s="1">
        <f>HYPERLINK("https://cao.dolgi.msk.ru/account/1011032328/", 1011032328)</f>
        <v>1011032328</v>
      </c>
      <c r="D3318">
        <v>-272.89</v>
      </c>
    </row>
    <row r="3319" spans="1:4" x14ac:dyDescent="0.3">
      <c r="A3319" t="s">
        <v>348</v>
      </c>
      <c r="B3319" t="s">
        <v>126</v>
      </c>
      <c r="C3319" s="1">
        <f>HYPERLINK("https://cao.dolgi.msk.ru/account/1011028484/", 1011028484)</f>
        <v>1011028484</v>
      </c>
      <c r="D3319">
        <v>77656.94</v>
      </c>
    </row>
    <row r="3320" spans="1:4" hidden="1" x14ac:dyDescent="0.3">
      <c r="A3320" t="s">
        <v>348</v>
      </c>
      <c r="B3320" t="s">
        <v>127</v>
      </c>
      <c r="C3320" s="1">
        <f>HYPERLINK("https://cao.dolgi.msk.ru/account/1011027801/", 1011027801)</f>
        <v>1011027801</v>
      </c>
      <c r="D3320">
        <v>0</v>
      </c>
    </row>
    <row r="3321" spans="1:4" x14ac:dyDescent="0.3">
      <c r="A3321" t="s">
        <v>348</v>
      </c>
      <c r="B3321" t="s">
        <v>262</v>
      </c>
      <c r="C3321" s="1">
        <f>HYPERLINK("https://cao.dolgi.msk.ru/account/1011029313/", 1011029313)</f>
        <v>1011029313</v>
      </c>
      <c r="D3321">
        <v>215099.85</v>
      </c>
    </row>
    <row r="3322" spans="1:4" hidden="1" x14ac:dyDescent="0.3">
      <c r="A3322" t="s">
        <v>348</v>
      </c>
      <c r="B3322" t="s">
        <v>128</v>
      </c>
      <c r="C3322" s="1">
        <f>HYPERLINK("https://cao.dolgi.msk.ru/account/1011030824/", 1011030824)</f>
        <v>1011030824</v>
      </c>
      <c r="D3322">
        <v>-284.66000000000003</v>
      </c>
    </row>
    <row r="3323" spans="1:4" x14ac:dyDescent="0.3">
      <c r="A3323" t="s">
        <v>348</v>
      </c>
      <c r="B3323" t="s">
        <v>129</v>
      </c>
      <c r="C3323" s="1">
        <f>HYPERLINK("https://cao.dolgi.msk.ru/account/1011028492/", 1011028492)</f>
        <v>1011028492</v>
      </c>
      <c r="D3323">
        <v>14797.12</v>
      </c>
    </row>
    <row r="3324" spans="1:4" hidden="1" x14ac:dyDescent="0.3">
      <c r="A3324" t="s">
        <v>348</v>
      </c>
      <c r="B3324" t="s">
        <v>130</v>
      </c>
      <c r="C3324" s="1">
        <f>HYPERLINK("https://cao.dolgi.msk.ru/account/1011028505/", 1011028505)</f>
        <v>1011028505</v>
      </c>
      <c r="D3324">
        <v>0</v>
      </c>
    </row>
    <row r="3325" spans="1:4" hidden="1" x14ac:dyDescent="0.3">
      <c r="A3325" t="s">
        <v>348</v>
      </c>
      <c r="B3325" t="s">
        <v>131</v>
      </c>
      <c r="C3325" s="1">
        <f>HYPERLINK("https://cao.dolgi.msk.ru/account/1011028513/", 1011028513)</f>
        <v>1011028513</v>
      </c>
      <c r="D3325">
        <v>-9499.5300000000007</v>
      </c>
    </row>
    <row r="3326" spans="1:4" hidden="1" x14ac:dyDescent="0.3">
      <c r="A3326" t="s">
        <v>348</v>
      </c>
      <c r="B3326" t="s">
        <v>132</v>
      </c>
      <c r="C3326" s="1">
        <f>HYPERLINK("https://cao.dolgi.msk.ru/account/1011027828/", 1011027828)</f>
        <v>1011027828</v>
      </c>
      <c r="D3326">
        <v>0</v>
      </c>
    </row>
    <row r="3327" spans="1:4" hidden="1" x14ac:dyDescent="0.3">
      <c r="A3327" t="s">
        <v>348</v>
      </c>
      <c r="B3327" t="s">
        <v>132</v>
      </c>
      <c r="C3327" s="1">
        <f>HYPERLINK("https://cao.dolgi.msk.ru/account/1011027836/", 1011027836)</f>
        <v>1011027836</v>
      </c>
      <c r="D3327">
        <v>0</v>
      </c>
    </row>
    <row r="3328" spans="1:4" hidden="1" x14ac:dyDescent="0.3">
      <c r="A3328" t="s">
        <v>348</v>
      </c>
      <c r="B3328" t="s">
        <v>133</v>
      </c>
      <c r="C3328" s="1">
        <f>HYPERLINK("https://cao.dolgi.msk.ru/account/1011030031/", 1011030031)</f>
        <v>1011030031</v>
      </c>
      <c r="D3328">
        <v>0</v>
      </c>
    </row>
    <row r="3329" spans="1:4" hidden="1" x14ac:dyDescent="0.3">
      <c r="A3329" t="s">
        <v>348</v>
      </c>
      <c r="B3329" t="s">
        <v>134</v>
      </c>
      <c r="C3329" s="1">
        <f>HYPERLINK("https://cao.dolgi.msk.ru/account/1011031501/", 1011031501)</f>
        <v>1011031501</v>
      </c>
      <c r="D3329">
        <v>0</v>
      </c>
    </row>
    <row r="3330" spans="1:4" hidden="1" x14ac:dyDescent="0.3">
      <c r="A3330" t="s">
        <v>348</v>
      </c>
      <c r="B3330" t="s">
        <v>135</v>
      </c>
      <c r="C3330" s="1">
        <f>HYPERLINK("https://cao.dolgi.msk.ru/account/1011032344/", 1011032344)</f>
        <v>1011032344</v>
      </c>
      <c r="D3330">
        <v>-5749.36</v>
      </c>
    </row>
    <row r="3331" spans="1:4" hidden="1" x14ac:dyDescent="0.3">
      <c r="A3331" t="s">
        <v>348</v>
      </c>
      <c r="B3331" t="s">
        <v>264</v>
      </c>
      <c r="C3331" s="1">
        <f>HYPERLINK("https://cao.dolgi.msk.ru/account/1011030007/", 1011030007)</f>
        <v>1011030007</v>
      </c>
      <c r="D3331">
        <v>-9720.0499999999993</v>
      </c>
    </row>
    <row r="3332" spans="1:4" hidden="1" x14ac:dyDescent="0.3">
      <c r="A3332" t="s">
        <v>348</v>
      </c>
      <c r="B3332" t="s">
        <v>136</v>
      </c>
      <c r="C3332" s="1">
        <f>HYPERLINK("https://cao.dolgi.msk.ru/account/1011028521/", 1011028521)</f>
        <v>1011028521</v>
      </c>
      <c r="D3332">
        <v>0</v>
      </c>
    </row>
    <row r="3333" spans="1:4" hidden="1" x14ac:dyDescent="0.3">
      <c r="A3333" t="s">
        <v>348</v>
      </c>
      <c r="B3333" t="s">
        <v>137</v>
      </c>
      <c r="C3333" s="1">
        <f>HYPERLINK("https://cao.dolgi.msk.ru/account/1011030832/", 1011030832)</f>
        <v>1011030832</v>
      </c>
      <c r="D3333">
        <v>0</v>
      </c>
    </row>
    <row r="3334" spans="1:4" x14ac:dyDescent="0.3">
      <c r="A3334" t="s">
        <v>348</v>
      </c>
      <c r="B3334" t="s">
        <v>138</v>
      </c>
      <c r="C3334" s="1">
        <f>HYPERLINK("https://cao.dolgi.msk.ru/account/1011027844/", 1011027844)</f>
        <v>1011027844</v>
      </c>
      <c r="D3334">
        <v>7432.16</v>
      </c>
    </row>
    <row r="3335" spans="1:4" hidden="1" x14ac:dyDescent="0.3">
      <c r="A3335" t="s">
        <v>348</v>
      </c>
      <c r="B3335" t="s">
        <v>139</v>
      </c>
      <c r="C3335" s="1">
        <f>HYPERLINK("https://cao.dolgi.msk.ru/account/1011031528/", 1011031528)</f>
        <v>1011031528</v>
      </c>
      <c r="D3335">
        <v>0</v>
      </c>
    </row>
    <row r="3336" spans="1:4" hidden="1" x14ac:dyDescent="0.3">
      <c r="A3336" t="s">
        <v>348</v>
      </c>
      <c r="B3336" t="s">
        <v>140</v>
      </c>
      <c r="C3336" s="1">
        <f>HYPERLINK("https://cao.dolgi.msk.ru/account/1011028548/", 1011028548)</f>
        <v>1011028548</v>
      </c>
      <c r="D3336">
        <v>0</v>
      </c>
    </row>
    <row r="3337" spans="1:4" hidden="1" x14ac:dyDescent="0.3">
      <c r="A3337" t="s">
        <v>348</v>
      </c>
      <c r="B3337" t="s">
        <v>141</v>
      </c>
      <c r="C3337" s="1">
        <f>HYPERLINK("https://cao.dolgi.msk.ru/account/1011027852/", 1011027852)</f>
        <v>1011027852</v>
      </c>
      <c r="D3337">
        <v>-965.32</v>
      </c>
    </row>
    <row r="3338" spans="1:4" hidden="1" x14ac:dyDescent="0.3">
      <c r="A3338" t="s">
        <v>348</v>
      </c>
      <c r="B3338" t="s">
        <v>142</v>
      </c>
      <c r="C3338" s="1">
        <f>HYPERLINK("https://cao.dolgi.msk.ru/account/1011032352/", 1011032352)</f>
        <v>1011032352</v>
      </c>
      <c r="D3338">
        <v>-6399.45</v>
      </c>
    </row>
    <row r="3339" spans="1:4" hidden="1" x14ac:dyDescent="0.3">
      <c r="A3339" t="s">
        <v>348</v>
      </c>
      <c r="B3339" t="s">
        <v>143</v>
      </c>
      <c r="C3339" s="1">
        <f>HYPERLINK("https://cao.dolgi.msk.ru/account/1011031536/", 1011031536)</f>
        <v>1011031536</v>
      </c>
      <c r="D3339">
        <v>-9550.7900000000009</v>
      </c>
    </row>
    <row r="3340" spans="1:4" hidden="1" x14ac:dyDescent="0.3">
      <c r="A3340" t="s">
        <v>348</v>
      </c>
      <c r="B3340" t="s">
        <v>144</v>
      </c>
      <c r="C3340" s="1">
        <f>HYPERLINK("https://cao.dolgi.msk.ru/account/1011030058/", 1011030058)</f>
        <v>1011030058</v>
      </c>
      <c r="D3340">
        <v>-10813.57</v>
      </c>
    </row>
    <row r="3341" spans="1:4" hidden="1" x14ac:dyDescent="0.3">
      <c r="A3341" t="s">
        <v>348</v>
      </c>
      <c r="B3341" t="s">
        <v>145</v>
      </c>
      <c r="C3341" s="1">
        <f>HYPERLINK("https://cao.dolgi.msk.ru/account/1011028556/", 1011028556)</f>
        <v>1011028556</v>
      </c>
      <c r="D3341">
        <v>0</v>
      </c>
    </row>
    <row r="3342" spans="1:4" hidden="1" x14ac:dyDescent="0.3">
      <c r="A3342" t="s">
        <v>348</v>
      </c>
      <c r="B3342" t="s">
        <v>146</v>
      </c>
      <c r="C3342" s="1">
        <f>HYPERLINK("https://cao.dolgi.msk.ru/account/1011031552/", 1011031552)</f>
        <v>1011031552</v>
      </c>
      <c r="D3342">
        <v>0</v>
      </c>
    </row>
    <row r="3343" spans="1:4" hidden="1" x14ac:dyDescent="0.3">
      <c r="A3343" t="s">
        <v>348</v>
      </c>
      <c r="B3343" t="s">
        <v>147</v>
      </c>
      <c r="C3343" s="1">
        <f>HYPERLINK("https://cao.dolgi.msk.ru/account/1011030859/", 1011030859)</f>
        <v>1011030859</v>
      </c>
      <c r="D3343">
        <v>-8962.86</v>
      </c>
    </row>
    <row r="3344" spans="1:4" hidden="1" x14ac:dyDescent="0.3">
      <c r="A3344" t="s">
        <v>348</v>
      </c>
      <c r="B3344" t="s">
        <v>148</v>
      </c>
      <c r="C3344" s="1">
        <f>HYPERLINK("https://cao.dolgi.msk.ru/account/1011028564/", 1011028564)</f>
        <v>1011028564</v>
      </c>
      <c r="D3344">
        <v>0</v>
      </c>
    </row>
    <row r="3345" spans="1:4" hidden="1" x14ac:dyDescent="0.3">
      <c r="A3345" t="s">
        <v>348</v>
      </c>
      <c r="B3345" t="s">
        <v>149</v>
      </c>
      <c r="C3345" s="1">
        <f>HYPERLINK("https://cao.dolgi.msk.ru/account/1011029321/", 1011029321)</f>
        <v>1011029321</v>
      </c>
      <c r="D3345">
        <v>-6691.25</v>
      </c>
    </row>
    <row r="3346" spans="1:4" x14ac:dyDescent="0.3">
      <c r="A3346" t="s">
        <v>348</v>
      </c>
      <c r="B3346" t="s">
        <v>150</v>
      </c>
      <c r="C3346" s="1">
        <f>HYPERLINK("https://cao.dolgi.msk.ru/account/1011027879/", 1011027879)</f>
        <v>1011027879</v>
      </c>
      <c r="D3346">
        <v>27490.95</v>
      </c>
    </row>
    <row r="3347" spans="1:4" hidden="1" x14ac:dyDescent="0.3">
      <c r="A3347" t="s">
        <v>348</v>
      </c>
      <c r="B3347" t="s">
        <v>151</v>
      </c>
      <c r="C3347" s="1">
        <f>HYPERLINK("https://cao.dolgi.msk.ru/account/1011030867/", 1011030867)</f>
        <v>1011030867</v>
      </c>
      <c r="D3347">
        <v>-4578.9799999999996</v>
      </c>
    </row>
    <row r="3348" spans="1:4" hidden="1" x14ac:dyDescent="0.3">
      <c r="A3348" t="s">
        <v>348</v>
      </c>
      <c r="B3348" t="s">
        <v>152</v>
      </c>
      <c r="C3348" s="1">
        <f>HYPERLINK("https://cao.dolgi.msk.ru/account/1011032387/", 1011032387)</f>
        <v>1011032387</v>
      </c>
      <c r="D3348">
        <v>0</v>
      </c>
    </row>
    <row r="3349" spans="1:4" hidden="1" x14ac:dyDescent="0.3">
      <c r="A3349" t="s">
        <v>348</v>
      </c>
      <c r="B3349" t="s">
        <v>153</v>
      </c>
      <c r="C3349" s="1">
        <f>HYPERLINK("https://cao.dolgi.msk.ru/account/1011033056/", 1011033056)</f>
        <v>1011033056</v>
      </c>
      <c r="D3349">
        <v>-6662.38</v>
      </c>
    </row>
    <row r="3350" spans="1:4" hidden="1" x14ac:dyDescent="0.3">
      <c r="A3350" t="s">
        <v>348</v>
      </c>
      <c r="B3350" t="s">
        <v>154</v>
      </c>
      <c r="C3350" s="1">
        <f>HYPERLINK("https://cao.dolgi.msk.ru/account/1011030066/", 1011030066)</f>
        <v>1011030066</v>
      </c>
      <c r="D3350">
        <v>-5232.4399999999996</v>
      </c>
    </row>
    <row r="3351" spans="1:4" hidden="1" x14ac:dyDescent="0.3">
      <c r="A3351" t="s">
        <v>348</v>
      </c>
      <c r="B3351" t="s">
        <v>155</v>
      </c>
      <c r="C3351" s="1">
        <f>HYPERLINK("https://cao.dolgi.msk.ru/account/1011030074/", 1011030074)</f>
        <v>1011030074</v>
      </c>
      <c r="D3351">
        <v>0</v>
      </c>
    </row>
    <row r="3352" spans="1:4" hidden="1" x14ac:dyDescent="0.3">
      <c r="A3352" t="s">
        <v>348</v>
      </c>
      <c r="B3352" t="s">
        <v>155</v>
      </c>
      <c r="C3352" s="1">
        <f>HYPERLINK("https://cao.dolgi.msk.ru/account/1011504102/", 1011504102)</f>
        <v>1011504102</v>
      </c>
      <c r="D3352">
        <v>-222.48</v>
      </c>
    </row>
    <row r="3353" spans="1:4" hidden="1" x14ac:dyDescent="0.3">
      <c r="A3353" t="s">
        <v>348</v>
      </c>
      <c r="B3353" t="s">
        <v>156</v>
      </c>
      <c r="C3353" s="1">
        <f>HYPERLINK("https://cao.dolgi.msk.ru/account/1011027887/", 1011027887)</f>
        <v>1011027887</v>
      </c>
      <c r="D3353">
        <v>-5752.48</v>
      </c>
    </row>
    <row r="3354" spans="1:4" hidden="1" x14ac:dyDescent="0.3">
      <c r="A3354" t="s">
        <v>348</v>
      </c>
      <c r="B3354" t="s">
        <v>156</v>
      </c>
      <c r="C3354" s="1">
        <f>HYPERLINK("https://cao.dolgi.msk.ru/account/1011031579/", 1011031579)</f>
        <v>1011031579</v>
      </c>
      <c r="D3354">
        <v>-3789.52</v>
      </c>
    </row>
    <row r="3355" spans="1:4" hidden="1" x14ac:dyDescent="0.3">
      <c r="A3355" t="s">
        <v>348</v>
      </c>
      <c r="B3355" t="s">
        <v>157</v>
      </c>
      <c r="C3355" s="1">
        <f>HYPERLINK("https://cao.dolgi.msk.ru/account/1011027895/", 1011027895)</f>
        <v>1011027895</v>
      </c>
      <c r="D3355">
        <v>-2621.87</v>
      </c>
    </row>
    <row r="3356" spans="1:4" hidden="1" x14ac:dyDescent="0.3">
      <c r="A3356" t="s">
        <v>348</v>
      </c>
      <c r="B3356" t="s">
        <v>158</v>
      </c>
      <c r="C3356" s="1">
        <f>HYPERLINK("https://cao.dolgi.msk.ru/account/1011029348/", 1011029348)</f>
        <v>1011029348</v>
      </c>
      <c r="D3356">
        <v>0</v>
      </c>
    </row>
    <row r="3357" spans="1:4" x14ac:dyDescent="0.3">
      <c r="A3357" t="s">
        <v>348</v>
      </c>
      <c r="B3357" t="s">
        <v>159</v>
      </c>
      <c r="C3357" s="1">
        <f>HYPERLINK("https://cao.dolgi.msk.ru/account/1011033072/", 1011033072)</f>
        <v>1011033072</v>
      </c>
      <c r="D3357">
        <v>55009.440000000002</v>
      </c>
    </row>
    <row r="3358" spans="1:4" hidden="1" x14ac:dyDescent="0.3">
      <c r="A3358" t="s">
        <v>348</v>
      </c>
      <c r="B3358" t="s">
        <v>160</v>
      </c>
      <c r="C3358" s="1">
        <f>HYPERLINK("https://cao.dolgi.msk.ru/account/1011032395/", 1011032395)</f>
        <v>1011032395</v>
      </c>
      <c r="D3358">
        <v>0</v>
      </c>
    </row>
    <row r="3359" spans="1:4" x14ac:dyDescent="0.3">
      <c r="A3359" t="s">
        <v>348</v>
      </c>
      <c r="B3359" t="s">
        <v>161</v>
      </c>
      <c r="C3359" s="1">
        <f>HYPERLINK("https://cao.dolgi.msk.ru/account/1011029356/", 1011029356)</f>
        <v>1011029356</v>
      </c>
      <c r="D3359">
        <v>14911.28</v>
      </c>
    </row>
    <row r="3360" spans="1:4" hidden="1" x14ac:dyDescent="0.3">
      <c r="A3360" t="s">
        <v>348</v>
      </c>
      <c r="B3360" t="s">
        <v>162</v>
      </c>
      <c r="C3360" s="1">
        <f>HYPERLINK("https://cao.dolgi.msk.ru/account/1011028572/", 1011028572)</f>
        <v>1011028572</v>
      </c>
      <c r="D3360">
        <v>-11603.74</v>
      </c>
    </row>
    <row r="3361" spans="1:4" hidden="1" x14ac:dyDescent="0.3">
      <c r="A3361" t="s">
        <v>348</v>
      </c>
      <c r="B3361" t="s">
        <v>163</v>
      </c>
      <c r="C3361" s="1">
        <f>HYPERLINK("https://cao.dolgi.msk.ru/account/1011030875/", 1011030875)</f>
        <v>1011030875</v>
      </c>
      <c r="D3361">
        <v>0</v>
      </c>
    </row>
    <row r="3362" spans="1:4" hidden="1" x14ac:dyDescent="0.3">
      <c r="A3362" t="s">
        <v>348</v>
      </c>
      <c r="B3362" t="s">
        <v>164</v>
      </c>
      <c r="C3362" s="1">
        <f>HYPERLINK("https://cao.dolgi.msk.ru/account/1011031587/", 1011031587)</f>
        <v>1011031587</v>
      </c>
      <c r="D3362">
        <v>0</v>
      </c>
    </row>
    <row r="3363" spans="1:4" x14ac:dyDescent="0.3">
      <c r="A3363" t="s">
        <v>348</v>
      </c>
      <c r="B3363" t="s">
        <v>165</v>
      </c>
      <c r="C3363" s="1">
        <f>HYPERLINK("https://cao.dolgi.msk.ru/account/1011032408/", 1011032408)</f>
        <v>1011032408</v>
      </c>
      <c r="D3363">
        <v>11745.8</v>
      </c>
    </row>
    <row r="3364" spans="1:4" hidden="1" x14ac:dyDescent="0.3">
      <c r="A3364" t="s">
        <v>348</v>
      </c>
      <c r="B3364" t="s">
        <v>166</v>
      </c>
      <c r="C3364" s="1">
        <f>HYPERLINK("https://cao.dolgi.msk.ru/account/1011030082/", 1011030082)</f>
        <v>1011030082</v>
      </c>
      <c r="D3364">
        <v>-10325.42</v>
      </c>
    </row>
    <row r="3365" spans="1:4" hidden="1" x14ac:dyDescent="0.3">
      <c r="A3365" t="s">
        <v>348</v>
      </c>
      <c r="B3365" t="s">
        <v>167</v>
      </c>
      <c r="C3365" s="1">
        <f>HYPERLINK("https://cao.dolgi.msk.ru/account/1011033099/", 1011033099)</f>
        <v>1011033099</v>
      </c>
      <c r="D3365">
        <v>0</v>
      </c>
    </row>
    <row r="3366" spans="1:4" hidden="1" x14ac:dyDescent="0.3">
      <c r="A3366" t="s">
        <v>348</v>
      </c>
      <c r="B3366" t="s">
        <v>168</v>
      </c>
      <c r="C3366" s="1">
        <f>HYPERLINK("https://cao.dolgi.msk.ru/account/1011030883/", 1011030883)</f>
        <v>1011030883</v>
      </c>
      <c r="D3366">
        <v>-13815.63</v>
      </c>
    </row>
    <row r="3367" spans="1:4" hidden="1" x14ac:dyDescent="0.3">
      <c r="A3367" t="s">
        <v>348</v>
      </c>
      <c r="B3367" t="s">
        <v>169</v>
      </c>
      <c r="C3367" s="1">
        <f>HYPERLINK("https://cao.dolgi.msk.ru/account/1011028599/", 1011028599)</f>
        <v>1011028599</v>
      </c>
      <c r="D3367">
        <v>-17.71</v>
      </c>
    </row>
    <row r="3368" spans="1:4" hidden="1" x14ac:dyDescent="0.3">
      <c r="A3368" t="s">
        <v>348</v>
      </c>
      <c r="B3368" t="s">
        <v>170</v>
      </c>
      <c r="C3368" s="1">
        <f>HYPERLINK("https://cao.dolgi.msk.ru/account/1011030103/", 1011030103)</f>
        <v>1011030103</v>
      </c>
      <c r="D3368">
        <v>0</v>
      </c>
    </row>
    <row r="3369" spans="1:4" hidden="1" x14ac:dyDescent="0.3">
      <c r="A3369" t="s">
        <v>348</v>
      </c>
      <c r="B3369" t="s">
        <v>171</v>
      </c>
      <c r="C3369" s="1">
        <f>HYPERLINK("https://cao.dolgi.msk.ru/account/1011031608/", 1011031608)</f>
        <v>1011031608</v>
      </c>
      <c r="D3369">
        <v>0</v>
      </c>
    </row>
    <row r="3370" spans="1:4" hidden="1" x14ac:dyDescent="0.3">
      <c r="A3370" t="s">
        <v>348</v>
      </c>
      <c r="B3370" t="s">
        <v>172</v>
      </c>
      <c r="C3370" s="1">
        <f>HYPERLINK("https://cao.dolgi.msk.ru/account/1011027908/", 1011027908)</f>
        <v>1011027908</v>
      </c>
      <c r="D3370">
        <v>-8852.16</v>
      </c>
    </row>
    <row r="3371" spans="1:4" hidden="1" x14ac:dyDescent="0.3">
      <c r="A3371" t="s">
        <v>348</v>
      </c>
      <c r="B3371" t="s">
        <v>173</v>
      </c>
      <c r="C3371" s="1">
        <f>HYPERLINK("https://cao.dolgi.msk.ru/account/1011065082/", 1011065082)</f>
        <v>1011065082</v>
      </c>
      <c r="D3371">
        <v>-34.19</v>
      </c>
    </row>
    <row r="3372" spans="1:4" hidden="1" x14ac:dyDescent="0.3">
      <c r="A3372" t="s">
        <v>348</v>
      </c>
      <c r="B3372" t="s">
        <v>174</v>
      </c>
      <c r="C3372" s="1">
        <f>HYPERLINK("https://cao.dolgi.msk.ru/account/1011031616/", 1011031616)</f>
        <v>1011031616</v>
      </c>
      <c r="D3372">
        <v>-5880.23</v>
      </c>
    </row>
    <row r="3373" spans="1:4" hidden="1" x14ac:dyDescent="0.3">
      <c r="A3373" t="s">
        <v>348</v>
      </c>
      <c r="B3373" t="s">
        <v>175</v>
      </c>
      <c r="C3373" s="1">
        <f>HYPERLINK("https://cao.dolgi.msk.ru/account/1011030891/", 1011030891)</f>
        <v>1011030891</v>
      </c>
      <c r="D3373">
        <v>0</v>
      </c>
    </row>
    <row r="3374" spans="1:4" hidden="1" x14ac:dyDescent="0.3">
      <c r="A3374" t="s">
        <v>348</v>
      </c>
      <c r="B3374" t="s">
        <v>176</v>
      </c>
      <c r="C3374" s="1">
        <f>HYPERLINK("https://cao.dolgi.msk.ru/account/1011030111/", 1011030111)</f>
        <v>1011030111</v>
      </c>
      <c r="D3374">
        <v>-11375.24</v>
      </c>
    </row>
    <row r="3375" spans="1:4" hidden="1" x14ac:dyDescent="0.3">
      <c r="A3375" t="s">
        <v>348</v>
      </c>
      <c r="B3375" t="s">
        <v>176</v>
      </c>
      <c r="C3375" s="1">
        <f>HYPERLINK("https://cao.dolgi.msk.ru/account/1011032424/", 1011032424)</f>
        <v>1011032424</v>
      </c>
      <c r="D3375">
        <v>-6113.34</v>
      </c>
    </row>
    <row r="3376" spans="1:4" hidden="1" x14ac:dyDescent="0.3">
      <c r="A3376" t="s">
        <v>348</v>
      </c>
      <c r="B3376" t="s">
        <v>177</v>
      </c>
      <c r="C3376" s="1">
        <f>HYPERLINK("https://cao.dolgi.msk.ru/account/1011030904/", 1011030904)</f>
        <v>1011030904</v>
      </c>
      <c r="D3376">
        <v>-6343.51</v>
      </c>
    </row>
    <row r="3377" spans="1:4" hidden="1" x14ac:dyDescent="0.3">
      <c r="A3377" t="s">
        <v>348</v>
      </c>
      <c r="B3377" t="s">
        <v>178</v>
      </c>
      <c r="C3377" s="1">
        <f>HYPERLINK("https://cao.dolgi.msk.ru/account/1011029372/", 1011029372)</f>
        <v>1011029372</v>
      </c>
      <c r="D3377">
        <v>-135</v>
      </c>
    </row>
    <row r="3378" spans="1:4" hidden="1" x14ac:dyDescent="0.3">
      <c r="A3378" t="s">
        <v>348</v>
      </c>
      <c r="B3378" t="s">
        <v>178</v>
      </c>
      <c r="C3378" s="1">
        <f>HYPERLINK("https://cao.dolgi.msk.ru/account/1011062834/", 1011062834)</f>
        <v>1011062834</v>
      </c>
      <c r="D3378">
        <v>0</v>
      </c>
    </row>
    <row r="3379" spans="1:4" hidden="1" x14ac:dyDescent="0.3">
      <c r="A3379" t="s">
        <v>348</v>
      </c>
      <c r="B3379" t="s">
        <v>179</v>
      </c>
      <c r="C3379" s="1">
        <f>HYPERLINK("https://cao.dolgi.msk.ru/account/1011029399/", 1011029399)</f>
        <v>1011029399</v>
      </c>
      <c r="D3379">
        <v>0</v>
      </c>
    </row>
    <row r="3380" spans="1:4" x14ac:dyDescent="0.3">
      <c r="A3380" t="s">
        <v>348</v>
      </c>
      <c r="B3380" t="s">
        <v>273</v>
      </c>
      <c r="C3380" s="1">
        <f>HYPERLINK("https://cao.dolgi.msk.ru/account/1011027916/", 1011027916)</f>
        <v>1011027916</v>
      </c>
      <c r="D3380">
        <v>8576.11</v>
      </c>
    </row>
    <row r="3381" spans="1:4" hidden="1" x14ac:dyDescent="0.3">
      <c r="A3381" t="s">
        <v>348</v>
      </c>
      <c r="B3381" t="s">
        <v>180</v>
      </c>
      <c r="C3381" s="1">
        <f>HYPERLINK("https://cao.dolgi.msk.ru/account/1011030138/", 1011030138)</f>
        <v>1011030138</v>
      </c>
      <c r="D3381">
        <v>0</v>
      </c>
    </row>
    <row r="3382" spans="1:4" x14ac:dyDescent="0.3">
      <c r="A3382" t="s">
        <v>348</v>
      </c>
      <c r="B3382" t="s">
        <v>181</v>
      </c>
      <c r="C3382" s="1">
        <f>HYPERLINK("https://cao.dolgi.msk.ru/account/1011030912/", 1011030912)</f>
        <v>1011030912</v>
      </c>
      <c r="D3382">
        <v>53773.89</v>
      </c>
    </row>
    <row r="3383" spans="1:4" x14ac:dyDescent="0.3">
      <c r="A3383" t="s">
        <v>348</v>
      </c>
      <c r="B3383" t="s">
        <v>181</v>
      </c>
      <c r="C3383" s="1">
        <f>HYPERLINK("https://cao.dolgi.msk.ru/account/1011032432/", 1011032432)</f>
        <v>1011032432</v>
      </c>
      <c r="D3383">
        <v>366409.93</v>
      </c>
    </row>
    <row r="3384" spans="1:4" x14ac:dyDescent="0.3">
      <c r="A3384" t="s">
        <v>348</v>
      </c>
      <c r="B3384" t="s">
        <v>181</v>
      </c>
      <c r="C3384" s="1">
        <f>HYPERLINK("https://cao.dolgi.msk.ru/account/1011539356/", 1011539356)</f>
        <v>1011539356</v>
      </c>
      <c r="D3384">
        <v>1973.84</v>
      </c>
    </row>
    <row r="3385" spans="1:4" x14ac:dyDescent="0.3">
      <c r="A3385" t="s">
        <v>348</v>
      </c>
      <c r="B3385" t="s">
        <v>182</v>
      </c>
      <c r="C3385" s="1">
        <f>HYPERLINK("https://cao.dolgi.msk.ru/account/1011033101/", 1011033101)</f>
        <v>1011033101</v>
      </c>
      <c r="D3385">
        <v>237508.75</v>
      </c>
    </row>
    <row r="3386" spans="1:4" hidden="1" x14ac:dyDescent="0.3">
      <c r="A3386" t="s">
        <v>348</v>
      </c>
      <c r="B3386" t="s">
        <v>183</v>
      </c>
      <c r="C3386" s="1">
        <f>HYPERLINK("https://cao.dolgi.msk.ru/account/1011033128/", 1011033128)</f>
        <v>1011033128</v>
      </c>
      <c r="D3386">
        <v>-5032.18</v>
      </c>
    </row>
    <row r="3387" spans="1:4" hidden="1" x14ac:dyDescent="0.3">
      <c r="A3387" t="s">
        <v>348</v>
      </c>
      <c r="B3387" t="s">
        <v>184</v>
      </c>
      <c r="C3387" s="1">
        <f>HYPERLINK("https://cao.dolgi.msk.ru/account/1011028628/", 1011028628)</f>
        <v>1011028628</v>
      </c>
      <c r="D3387">
        <v>0</v>
      </c>
    </row>
    <row r="3388" spans="1:4" hidden="1" x14ac:dyDescent="0.3">
      <c r="A3388" t="s">
        <v>348</v>
      </c>
      <c r="B3388" t="s">
        <v>185</v>
      </c>
      <c r="C3388" s="1">
        <f>HYPERLINK("https://cao.dolgi.msk.ru/account/1011029401/", 1011029401)</f>
        <v>1011029401</v>
      </c>
      <c r="D3388">
        <v>-1204.9100000000001</v>
      </c>
    </row>
    <row r="3389" spans="1:4" hidden="1" x14ac:dyDescent="0.3">
      <c r="A3389" t="s">
        <v>348</v>
      </c>
      <c r="B3389" t="s">
        <v>274</v>
      </c>
      <c r="C3389" s="1">
        <f>HYPERLINK("https://cao.dolgi.msk.ru/account/1011033136/", 1011033136)</f>
        <v>1011033136</v>
      </c>
      <c r="D3389">
        <v>0</v>
      </c>
    </row>
    <row r="3390" spans="1:4" hidden="1" x14ac:dyDescent="0.3">
      <c r="A3390" t="s">
        <v>348</v>
      </c>
      <c r="B3390" t="s">
        <v>186</v>
      </c>
      <c r="C3390" s="1">
        <f>HYPERLINK("https://cao.dolgi.msk.ru/account/1011030939/", 1011030939)</f>
        <v>1011030939</v>
      </c>
      <c r="D3390">
        <v>0</v>
      </c>
    </row>
    <row r="3391" spans="1:4" hidden="1" x14ac:dyDescent="0.3">
      <c r="A3391" t="s">
        <v>348</v>
      </c>
      <c r="B3391" t="s">
        <v>187</v>
      </c>
      <c r="C3391" s="1">
        <f>HYPERLINK("https://cao.dolgi.msk.ru/account/1011032459/", 1011032459)</f>
        <v>1011032459</v>
      </c>
      <c r="D3391">
        <v>0</v>
      </c>
    </row>
    <row r="3392" spans="1:4" x14ac:dyDescent="0.3">
      <c r="A3392" t="s">
        <v>348</v>
      </c>
      <c r="B3392" t="s">
        <v>188</v>
      </c>
      <c r="C3392" s="1">
        <f>HYPERLINK("https://cao.dolgi.msk.ru/account/1011032467/", 1011032467)</f>
        <v>1011032467</v>
      </c>
      <c r="D3392">
        <v>48444.14</v>
      </c>
    </row>
    <row r="3393" spans="1:4" hidden="1" x14ac:dyDescent="0.3">
      <c r="A3393" t="s">
        <v>348</v>
      </c>
      <c r="B3393" t="s">
        <v>189</v>
      </c>
      <c r="C3393" s="1">
        <f>HYPERLINK("https://cao.dolgi.msk.ru/account/1011031624/", 1011031624)</f>
        <v>1011031624</v>
      </c>
      <c r="D3393">
        <v>0</v>
      </c>
    </row>
    <row r="3394" spans="1:4" hidden="1" x14ac:dyDescent="0.3">
      <c r="A3394" t="s">
        <v>348</v>
      </c>
      <c r="B3394" t="s">
        <v>190</v>
      </c>
      <c r="C3394" s="1">
        <f>HYPERLINK("https://cao.dolgi.msk.ru/account/1011030947/", 1011030947)</f>
        <v>1011030947</v>
      </c>
      <c r="D3394">
        <v>0</v>
      </c>
    </row>
    <row r="3395" spans="1:4" hidden="1" x14ac:dyDescent="0.3">
      <c r="A3395" t="s">
        <v>348</v>
      </c>
      <c r="B3395" t="s">
        <v>191</v>
      </c>
      <c r="C3395" s="1">
        <f>HYPERLINK("https://cao.dolgi.msk.ru/account/1011027924/", 1011027924)</f>
        <v>1011027924</v>
      </c>
      <c r="D3395">
        <v>-1389.6</v>
      </c>
    </row>
    <row r="3396" spans="1:4" x14ac:dyDescent="0.3">
      <c r="A3396" t="s">
        <v>348</v>
      </c>
      <c r="B3396" t="s">
        <v>192</v>
      </c>
      <c r="C3396" s="1">
        <f>HYPERLINK("https://cao.dolgi.msk.ru/account/1011031632/", 1011031632)</f>
        <v>1011031632</v>
      </c>
      <c r="D3396">
        <v>6268.71</v>
      </c>
    </row>
    <row r="3397" spans="1:4" hidden="1" x14ac:dyDescent="0.3">
      <c r="A3397" t="s">
        <v>348</v>
      </c>
      <c r="B3397" t="s">
        <v>325</v>
      </c>
      <c r="C3397" s="1">
        <f>HYPERLINK("https://cao.dolgi.msk.ru/account/1011030955/", 1011030955)</f>
        <v>1011030955</v>
      </c>
      <c r="D3397">
        <v>0</v>
      </c>
    </row>
    <row r="3398" spans="1:4" x14ac:dyDescent="0.3">
      <c r="A3398" t="s">
        <v>348</v>
      </c>
      <c r="B3398" t="s">
        <v>193</v>
      </c>
      <c r="C3398" s="1">
        <f>HYPERLINK("https://cao.dolgi.msk.ru/account/1011032475/", 1011032475)</f>
        <v>1011032475</v>
      </c>
      <c r="D3398">
        <v>10720.61</v>
      </c>
    </row>
    <row r="3399" spans="1:4" hidden="1" x14ac:dyDescent="0.3">
      <c r="A3399" t="s">
        <v>348</v>
      </c>
      <c r="B3399" t="s">
        <v>194</v>
      </c>
      <c r="C3399" s="1">
        <f>HYPERLINK("https://cao.dolgi.msk.ru/account/1011029428/", 1011029428)</f>
        <v>1011029428</v>
      </c>
      <c r="D3399">
        <v>-5908.14</v>
      </c>
    </row>
    <row r="3400" spans="1:4" hidden="1" x14ac:dyDescent="0.3">
      <c r="A3400" t="s">
        <v>348</v>
      </c>
      <c r="B3400" t="s">
        <v>195</v>
      </c>
      <c r="C3400" s="1">
        <f>HYPERLINK("https://cao.dolgi.msk.ru/account/1011027959/", 1011027959)</f>
        <v>1011027959</v>
      </c>
      <c r="D3400">
        <v>0</v>
      </c>
    </row>
    <row r="3401" spans="1:4" hidden="1" x14ac:dyDescent="0.3">
      <c r="A3401" t="s">
        <v>348</v>
      </c>
      <c r="B3401" t="s">
        <v>196</v>
      </c>
      <c r="C3401" s="1">
        <f>HYPERLINK("https://cao.dolgi.msk.ru/account/1011029436/", 1011029436)</f>
        <v>1011029436</v>
      </c>
      <c r="D3401">
        <v>-6147.19</v>
      </c>
    </row>
    <row r="3402" spans="1:4" hidden="1" x14ac:dyDescent="0.3">
      <c r="A3402" t="s">
        <v>348</v>
      </c>
      <c r="B3402" t="s">
        <v>197</v>
      </c>
      <c r="C3402" s="1">
        <f>HYPERLINK("https://cao.dolgi.msk.ru/account/1011030963/", 1011030963)</f>
        <v>1011030963</v>
      </c>
      <c r="D3402">
        <v>-8850.6200000000008</v>
      </c>
    </row>
    <row r="3403" spans="1:4" x14ac:dyDescent="0.3">
      <c r="A3403" t="s">
        <v>348</v>
      </c>
      <c r="B3403" t="s">
        <v>198</v>
      </c>
      <c r="C3403" s="1">
        <f>HYPERLINK("https://cao.dolgi.msk.ru/account/1011029444/", 1011029444)</f>
        <v>1011029444</v>
      </c>
      <c r="D3403">
        <v>10289.81</v>
      </c>
    </row>
    <row r="3404" spans="1:4" hidden="1" x14ac:dyDescent="0.3">
      <c r="A3404" t="s">
        <v>348</v>
      </c>
      <c r="B3404" t="s">
        <v>199</v>
      </c>
      <c r="C3404" s="1">
        <f>HYPERLINK("https://cao.dolgi.msk.ru/account/1011032483/", 1011032483)</f>
        <v>1011032483</v>
      </c>
      <c r="D3404">
        <v>-6199.52</v>
      </c>
    </row>
    <row r="3405" spans="1:4" hidden="1" x14ac:dyDescent="0.3">
      <c r="A3405" t="s">
        <v>348</v>
      </c>
      <c r="B3405" t="s">
        <v>200</v>
      </c>
      <c r="C3405" s="1">
        <f>HYPERLINK("https://cao.dolgi.msk.ru/account/1011027967/", 1011027967)</f>
        <v>1011027967</v>
      </c>
      <c r="D3405">
        <v>0</v>
      </c>
    </row>
    <row r="3406" spans="1:4" hidden="1" x14ac:dyDescent="0.3">
      <c r="A3406" t="s">
        <v>348</v>
      </c>
      <c r="B3406" t="s">
        <v>200</v>
      </c>
      <c r="C3406" s="1">
        <f>HYPERLINK("https://cao.dolgi.msk.ru/account/1011030154/", 1011030154)</f>
        <v>1011030154</v>
      </c>
      <c r="D3406">
        <v>0</v>
      </c>
    </row>
    <row r="3407" spans="1:4" hidden="1" x14ac:dyDescent="0.3">
      <c r="A3407" t="s">
        <v>348</v>
      </c>
      <c r="B3407" t="s">
        <v>201</v>
      </c>
      <c r="C3407" s="1">
        <f>HYPERLINK("https://cao.dolgi.msk.ru/account/1011027975/", 1011027975)</f>
        <v>1011027975</v>
      </c>
      <c r="D3407">
        <v>-1.99</v>
      </c>
    </row>
    <row r="3408" spans="1:4" hidden="1" x14ac:dyDescent="0.3">
      <c r="A3408" t="s">
        <v>348</v>
      </c>
      <c r="B3408" t="s">
        <v>202</v>
      </c>
      <c r="C3408" s="1">
        <f>HYPERLINK("https://cao.dolgi.msk.ru/account/1011030162/", 1011030162)</f>
        <v>1011030162</v>
      </c>
      <c r="D3408">
        <v>-10332.84</v>
      </c>
    </row>
    <row r="3409" spans="1:4" hidden="1" x14ac:dyDescent="0.3">
      <c r="A3409" t="s">
        <v>348</v>
      </c>
      <c r="B3409" t="s">
        <v>203</v>
      </c>
      <c r="C3409" s="1">
        <f>HYPERLINK("https://cao.dolgi.msk.ru/account/1011027983/", 1011027983)</f>
        <v>1011027983</v>
      </c>
      <c r="D3409">
        <v>0</v>
      </c>
    </row>
    <row r="3410" spans="1:4" hidden="1" x14ac:dyDescent="0.3">
      <c r="A3410" t="s">
        <v>348</v>
      </c>
      <c r="B3410" t="s">
        <v>326</v>
      </c>
      <c r="C3410" s="1">
        <f>HYPERLINK("https://cao.dolgi.msk.ru/account/1011029452/", 1011029452)</f>
        <v>1011029452</v>
      </c>
      <c r="D3410">
        <v>0</v>
      </c>
    </row>
    <row r="3411" spans="1:4" hidden="1" x14ac:dyDescent="0.3">
      <c r="A3411" t="s">
        <v>348</v>
      </c>
      <c r="B3411" t="s">
        <v>204</v>
      </c>
      <c r="C3411" s="1">
        <f>HYPERLINK("https://cao.dolgi.msk.ru/account/1011030189/", 1011030189)</f>
        <v>1011030189</v>
      </c>
      <c r="D3411">
        <v>-507</v>
      </c>
    </row>
    <row r="3412" spans="1:4" hidden="1" x14ac:dyDescent="0.3">
      <c r="A3412" t="s">
        <v>348</v>
      </c>
      <c r="B3412" t="s">
        <v>205</v>
      </c>
      <c r="C3412" s="1">
        <f>HYPERLINK("https://cao.dolgi.msk.ru/account/1011029479/", 1011029479)</f>
        <v>1011029479</v>
      </c>
      <c r="D3412">
        <v>-10536.06</v>
      </c>
    </row>
    <row r="3413" spans="1:4" hidden="1" x14ac:dyDescent="0.3">
      <c r="A3413" t="s">
        <v>348</v>
      </c>
      <c r="B3413" t="s">
        <v>206</v>
      </c>
      <c r="C3413" s="1">
        <f>HYPERLINK("https://cao.dolgi.msk.ru/account/1011033849/", 1011033849)</f>
        <v>1011033849</v>
      </c>
      <c r="D3413">
        <v>-9554.16</v>
      </c>
    </row>
    <row r="3414" spans="1:4" x14ac:dyDescent="0.3">
      <c r="A3414" t="s">
        <v>348</v>
      </c>
      <c r="B3414" t="s">
        <v>207</v>
      </c>
      <c r="C3414" s="1">
        <f>HYPERLINK("https://cao.dolgi.msk.ru/account/1011032491/", 1011032491)</f>
        <v>1011032491</v>
      </c>
      <c r="D3414">
        <v>22195.31</v>
      </c>
    </row>
    <row r="3415" spans="1:4" hidden="1" x14ac:dyDescent="0.3">
      <c r="A3415" t="s">
        <v>348</v>
      </c>
      <c r="B3415" t="s">
        <v>208</v>
      </c>
      <c r="C3415" s="1">
        <f>HYPERLINK("https://cao.dolgi.msk.ru/account/1011028636/", 1011028636)</f>
        <v>1011028636</v>
      </c>
      <c r="D3415">
        <v>0</v>
      </c>
    </row>
    <row r="3416" spans="1:4" hidden="1" x14ac:dyDescent="0.3">
      <c r="A3416" t="s">
        <v>348</v>
      </c>
      <c r="B3416" t="s">
        <v>327</v>
      </c>
      <c r="C3416" s="1">
        <f>HYPERLINK("https://cao.dolgi.msk.ru/account/1011027991/", 1011027991)</f>
        <v>1011027991</v>
      </c>
      <c r="D3416">
        <v>0</v>
      </c>
    </row>
    <row r="3417" spans="1:4" hidden="1" x14ac:dyDescent="0.3">
      <c r="A3417" t="s">
        <v>348</v>
      </c>
      <c r="B3417" t="s">
        <v>209</v>
      </c>
      <c r="C3417" s="1">
        <f>HYPERLINK("https://cao.dolgi.msk.ru/account/1011029487/", 1011029487)</f>
        <v>1011029487</v>
      </c>
      <c r="D3417">
        <v>0</v>
      </c>
    </row>
    <row r="3418" spans="1:4" hidden="1" x14ac:dyDescent="0.3">
      <c r="A3418" t="s">
        <v>348</v>
      </c>
      <c r="B3418" t="s">
        <v>210</v>
      </c>
      <c r="C3418" s="1">
        <f>HYPERLINK("https://cao.dolgi.msk.ru/account/1011031659/", 1011031659)</f>
        <v>1011031659</v>
      </c>
      <c r="D3418">
        <v>0</v>
      </c>
    </row>
    <row r="3419" spans="1:4" x14ac:dyDescent="0.3">
      <c r="A3419" t="s">
        <v>348</v>
      </c>
      <c r="B3419" t="s">
        <v>211</v>
      </c>
      <c r="C3419" s="1">
        <f>HYPERLINK("https://cao.dolgi.msk.ru/account/1011030197/", 1011030197)</f>
        <v>1011030197</v>
      </c>
      <c r="D3419">
        <v>5650.7</v>
      </c>
    </row>
    <row r="3420" spans="1:4" hidden="1" x14ac:dyDescent="0.3">
      <c r="A3420" t="s">
        <v>348</v>
      </c>
      <c r="B3420" t="s">
        <v>212</v>
      </c>
      <c r="C3420" s="1">
        <f>HYPERLINK("https://cao.dolgi.msk.ru/account/1011030218/", 1011030218)</f>
        <v>1011030218</v>
      </c>
      <c r="D3420">
        <v>-9924.9599999999991</v>
      </c>
    </row>
    <row r="3421" spans="1:4" x14ac:dyDescent="0.3">
      <c r="A3421" t="s">
        <v>348</v>
      </c>
      <c r="B3421" t="s">
        <v>212</v>
      </c>
      <c r="C3421" s="1">
        <f>HYPERLINK("https://cao.dolgi.msk.ru/account/1011531776/", 1011531776)</f>
        <v>1011531776</v>
      </c>
      <c r="D3421">
        <v>21105.72</v>
      </c>
    </row>
    <row r="3422" spans="1:4" hidden="1" x14ac:dyDescent="0.3">
      <c r="A3422" t="s">
        <v>348</v>
      </c>
      <c r="B3422" t="s">
        <v>213</v>
      </c>
      <c r="C3422" s="1">
        <f>HYPERLINK("https://cao.dolgi.msk.ru/account/1011030971/", 1011030971)</f>
        <v>1011030971</v>
      </c>
      <c r="D3422">
        <v>0</v>
      </c>
    </row>
    <row r="3423" spans="1:4" hidden="1" x14ac:dyDescent="0.3">
      <c r="A3423" t="s">
        <v>348</v>
      </c>
      <c r="B3423" t="s">
        <v>214</v>
      </c>
      <c r="C3423" s="1">
        <f>HYPERLINK("https://cao.dolgi.msk.ru/account/1011029495/", 1011029495)</f>
        <v>1011029495</v>
      </c>
      <c r="D3423">
        <v>-10513.44</v>
      </c>
    </row>
    <row r="3424" spans="1:4" hidden="1" x14ac:dyDescent="0.3">
      <c r="A3424" t="s">
        <v>348</v>
      </c>
      <c r="B3424" t="s">
        <v>215</v>
      </c>
      <c r="C3424" s="1">
        <f>HYPERLINK("https://cao.dolgi.msk.ru/account/1011031667/", 1011031667)</f>
        <v>1011031667</v>
      </c>
      <c r="D3424">
        <v>-63729.91</v>
      </c>
    </row>
    <row r="3425" spans="1:4" hidden="1" x14ac:dyDescent="0.3">
      <c r="A3425" t="s">
        <v>348</v>
      </c>
      <c r="B3425" t="s">
        <v>216</v>
      </c>
      <c r="C3425" s="1">
        <f>HYPERLINK("https://cao.dolgi.msk.ru/account/1011031675/", 1011031675)</f>
        <v>1011031675</v>
      </c>
      <c r="D3425">
        <v>0</v>
      </c>
    </row>
    <row r="3426" spans="1:4" x14ac:dyDescent="0.3">
      <c r="A3426" t="s">
        <v>348</v>
      </c>
      <c r="B3426" t="s">
        <v>286</v>
      </c>
      <c r="C3426" s="1">
        <f>HYPERLINK("https://cao.dolgi.msk.ru/account/1011033152/", 1011033152)</f>
        <v>1011033152</v>
      </c>
      <c r="D3426">
        <v>243.16</v>
      </c>
    </row>
    <row r="3427" spans="1:4" hidden="1" x14ac:dyDescent="0.3">
      <c r="A3427" t="s">
        <v>348</v>
      </c>
      <c r="B3427" t="s">
        <v>287</v>
      </c>
      <c r="C3427" s="1">
        <f>HYPERLINK("https://cao.dolgi.msk.ru/account/1011030226/", 1011030226)</f>
        <v>1011030226</v>
      </c>
      <c r="D3427">
        <v>0</v>
      </c>
    </row>
    <row r="3428" spans="1:4" hidden="1" x14ac:dyDescent="0.3">
      <c r="A3428" t="s">
        <v>348</v>
      </c>
      <c r="B3428" t="s">
        <v>217</v>
      </c>
      <c r="C3428" s="1">
        <f>HYPERLINK("https://cao.dolgi.msk.ru/account/1011031683/", 1011031683)</f>
        <v>1011031683</v>
      </c>
      <c r="D3428">
        <v>0</v>
      </c>
    </row>
    <row r="3429" spans="1:4" hidden="1" x14ac:dyDescent="0.3">
      <c r="A3429" t="s">
        <v>348</v>
      </c>
      <c r="B3429" t="s">
        <v>218</v>
      </c>
      <c r="C3429" s="1">
        <f>HYPERLINK("https://cao.dolgi.msk.ru/account/1011028652/", 1011028652)</f>
        <v>1011028652</v>
      </c>
      <c r="D3429">
        <v>-6759.6</v>
      </c>
    </row>
    <row r="3430" spans="1:4" hidden="1" x14ac:dyDescent="0.3">
      <c r="A3430" t="s">
        <v>348</v>
      </c>
      <c r="B3430" t="s">
        <v>219</v>
      </c>
      <c r="C3430" s="1">
        <f>HYPERLINK("https://cao.dolgi.msk.ru/account/1011033187/", 1011033187)</f>
        <v>1011033187</v>
      </c>
      <c r="D3430">
        <v>0</v>
      </c>
    </row>
    <row r="3431" spans="1:4" hidden="1" x14ac:dyDescent="0.3">
      <c r="A3431" t="s">
        <v>348</v>
      </c>
      <c r="B3431" t="s">
        <v>219</v>
      </c>
      <c r="C3431" s="1">
        <f>HYPERLINK("https://cao.dolgi.msk.ru/account/1011505009/", 1011505009)</f>
        <v>1011505009</v>
      </c>
      <c r="D3431">
        <v>0</v>
      </c>
    </row>
    <row r="3432" spans="1:4" hidden="1" x14ac:dyDescent="0.3">
      <c r="A3432" t="s">
        <v>348</v>
      </c>
      <c r="B3432" t="s">
        <v>220</v>
      </c>
      <c r="C3432" s="1">
        <f>HYPERLINK("https://cao.dolgi.msk.ru/account/1011031691/", 1011031691)</f>
        <v>1011031691</v>
      </c>
      <c r="D3432">
        <v>-10212.83</v>
      </c>
    </row>
    <row r="3433" spans="1:4" x14ac:dyDescent="0.3">
      <c r="A3433" t="s">
        <v>348</v>
      </c>
      <c r="B3433" t="s">
        <v>221</v>
      </c>
      <c r="C3433" s="1">
        <f>HYPERLINK("https://cao.dolgi.msk.ru/account/1011028003/", 1011028003)</f>
        <v>1011028003</v>
      </c>
      <c r="D3433">
        <v>4154.05</v>
      </c>
    </row>
    <row r="3434" spans="1:4" x14ac:dyDescent="0.3">
      <c r="A3434" t="s">
        <v>348</v>
      </c>
      <c r="B3434" t="s">
        <v>222</v>
      </c>
      <c r="C3434" s="1">
        <f>HYPERLINK("https://cao.dolgi.msk.ru/account/1011028679/", 1011028679)</f>
        <v>1011028679</v>
      </c>
      <c r="D3434">
        <v>9221.36</v>
      </c>
    </row>
    <row r="3435" spans="1:4" hidden="1" x14ac:dyDescent="0.3">
      <c r="A3435" t="s">
        <v>348</v>
      </c>
      <c r="B3435" t="s">
        <v>223</v>
      </c>
      <c r="C3435" s="1">
        <f>HYPERLINK("https://cao.dolgi.msk.ru/account/1011028011/", 1011028011)</f>
        <v>1011028011</v>
      </c>
      <c r="D3435">
        <v>0</v>
      </c>
    </row>
    <row r="3436" spans="1:4" hidden="1" x14ac:dyDescent="0.3">
      <c r="A3436" t="s">
        <v>348</v>
      </c>
      <c r="B3436" t="s">
        <v>224</v>
      </c>
      <c r="C3436" s="1">
        <f>HYPERLINK("https://cao.dolgi.msk.ru/account/1011029508/", 1011029508)</f>
        <v>1011029508</v>
      </c>
      <c r="D3436">
        <v>0</v>
      </c>
    </row>
    <row r="3437" spans="1:4" hidden="1" x14ac:dyDescent="0.3">
      <c r="A3437" t="s">
        <v>348</v>
      </c>
      <c r="B3437" t="s">
        <v>225</v>
      </c>
      <c r="C3437" s="1">
        <f>HYPERLINK("https://cao.dolgi.msk.ru/account/1011031704/", 1011031704)</f>
        <v>1011031704</v>
      </c>
      <c r="D3437">
        <v>-12407.13</v>
      </c>
    </row>
    <row r="3438" spans="1:4" hidden="1" x14ac:dyDescent="0.3">
      <c r="A3438" t="s">
        <v>348</v>
      </c>
      <c r="B3438" t="s">
        <v>226</v>
      </c>
      <c r="C3438" s="1">
        <f>HYPERLINK("https://cao.dolgi.msk.ru/account/1011033195/", 1011033195)</f>
        <v>1011033195</v>
      </c>
      <c r="D3438">
        <v>-12.68</v>
      </c>
    </row>
    <row r="3439" spans="1:4" hidden="1" x14ac:dyDescent="0.3">
      <c r="A3439" t="s">
        <v>348</v>
      </c>
      <c r="B3439" t="s">
        <v>227</v>
      </c>
      <c r="C3439" s="1">
        <f>HYPERLINK("https://cao.dolgi.msk.ru/account/1011032504/", 1011032504)</f>
        <v>1011032504</v>
      </c>
      <c r="D3439">
        <v>-35.46</v>
      </c>
    </row>
    <row r="3440" spans="1:4" hidden="1" x14ac:dyDescent="0.3">
      <c r="A3440" t="s">
        <v>348</v>
      </c>
      <c r="B3440" t="s">
        <v>228</v>
      </c>
      <c r="C3440" s="1">
        <f>HYPERLINK("https://cao.dolgi.msk.ru/account/1011030242/", 1011030242)</f>
        <v>1011030242</v>
      </c>
      <c r="D3440">
        <v>0</v>
      </c>
    </row>
    <row r="3441" spans="1:4" hidden="1" x14ac:dyDescent="0.3">
      <c r="A3441" t="s">
        <v>348</v>
      </c>
      <c r="B3441" t="s">
        <v>229</v>
      </c>
      <c r="C3441" s="1">
        <f>HYPERLINK("https://cao.dolgi.msk.ru/account/1011029516/", 1011029516)</f>
        <v>1011029516</v>
      </c>
      <c r="D3441">
        <v>0</v>
      </c>
    </row>
    <row r="3442" spans="1:4" hidden="1" x14ac:dyDescent="0.3">
      <c r="A3442" t="s">
        <v>348</v>
      </c>
      <c r="B3442" t="s">
        <v>230</v>
      </c>
      <c r="C3442" s="1">
        <f>HYPERLINK("https://cao.dolgi.msk.ru/account/1011033208/", 1011033208)</f>
        <v>1011033208</v>
      </c>
      <c r="D3442">
        <v>0</v>
      </c>
    </row>
    <row r="3443" spans="1:4" hidden="1" x14ac:dyDescent="0.3">
      <c r="A3443" t="s">
        <v>348</v>
      </c>
      <c r="B3443" t="s">
        <v>231</v>
      </c>
      <c r="C3443" s="1">
        <f>HYPERLINK("https://cao.dolgi.msk.ru/account/1011031712/", 1011031712)</f>
        <v>1011031712</v>
      </c>
      <c r="D3443">
        <v>0</v>
      </c>
    </row>
    <row r="3444" spans="1:4" hidden="1" x14ac:dyDescent="0.3">
      <c r="A3444" t="s">
        <v>348</v>
      </c>
      <c r="B3444" t="s">
        <v>232</v>
      </c>
      <c r="C3444" s="1">
        <f>HYPERLINK("https://cao.dolgi.msk.ru/account/1011030269/", 1011030269)</f>
        <v>1011030269</v>
      </c>
      <c r="D3444">
        <v>0</v>
      </c>
    </row>
    <row r="3445" spans="1:4" x14ac:dyDescent="0.3">
      <c r="A3445" t="s">
        <v>348</v>
      </c>
      <c r="B3445" t="s">
        <v>233</v>
      </c>
      <c r="C3445" s="1">
        <f>HYPERLINK("https://cao.dolgi.msk.ru/account/1011033216/", 1011033216)</f>
        <v>1011033216</v>
      </c>
      <c r="D3445">
        <v>9132.01</v>
      </c>
    </row>
    <row r="3446" spans="1:4" x14ac:dyDescent="0.3">
      <c r="A3446" t="s">
        <v>348</v>
      </c>
      <c r="B3446" t="s">
        <v>234</v>
      </c>
      <c r="C3446" s="1">
        <f>HYPERLINK("https://cao.dolgi.msk.ru/account/1011030998/", 1011030998)</f>
        <v>1011030998</v>
      </c>
      <c r="D3446">
        <v>243558.81</v>
      </c>
    </row>
    <row r="3447" spans="1:4" hidden="1" x14ac:dyDescent="0.3">
      <c r="A3447" t="s">
        <v>348</v>
      </c>
      <c r="B3447" t="s">
        <v>235</v>
      </c>
      <c r="C3447" s="1">
        <f>HYPERLINK("https://cao.dolgi.msk.ru/account/1011031739/", 1011031739)</f>
        <v>1011031739</v>
      </c>
      <c r="D3447">
        <v>0</v>
      </c>
    </row>
    <row r="3448" spans="1:4" hidden="1" x14ac:dyDescent="0.3">
      <c r="A3448" t="s">
        <v>348</v>
      </c>
      <c r="B3448" t="s">
        <v>288</v>
      </c>
      <c r="C3448" s="1">
        <f>HYPERLINK("https://cao.dolgi.msk.ru/account/1011032539/", 1011032539)</f>
        <v>1011032539</v>
      </c>
      <c r="D3448">
        <v>0</v>
      </c>
    </row>
    <row r="3449" spans="1:4" hidden="1" x14ac:dyDescent="0.3">
      <c r="A3449" t="s">
        <v>348</v>
      </c>
      <c r="B3449" t="s">
        <v>236</v>
      </c>
      <c r="C3449" s="1">
        <f>HYPERLINK("https://cao.dolgi.msk.ru/account/1011030285/", 1011030285)</f>
        <v>1011030285</v>
      </c>
      <c r="D3449">
        <v>-735</v>
      </c>
    </row>
    <row r="3450" spans="1:4" hidden="1" x14ac:dyDescent="0.3">
      <c r="A3450" t="s">
        <v>348</v>
      </c>
      <c r="B3450" t="s">
        <v>237</v>
      </c>
      <c r="C3450" s="1">
        <f>HYPERLINK("https://cao.dolgi.msk.ru/account/1011029532/", 1011029532)</f>
        <v>1011029532</v>
      </c>
      <c r="D3450">
        <v>0</v>
      </c>
    </row>
    <row r="3451" spans="1:4" hidden="1" x14ac:dyDescent="0.3">
      <c r="A3451" t="s">
        <v>348</v>
      </c>
      <c r="B3451" t="s">
        <v>238</v>
      </c>
      <c r="C3451" s="1">
        <f>HYPERLINK("https://cao.dolgi.msk.ru/account/1011028038/", 1011028038)</f>
        <v>1011028038</v>
      </c>
      <c r="D3451">
        <v>0</v>
      </c>
    </row>
    <row r="3452" spans="1:4" hidden="1" x14ac:dyDescent="0.3">
      <c r="A3452" t="s">
        <v>348</v>
      </c>
      <c r="B3452" t="s">
        <v>239</v>
      </c>
      <c r="C3452" s="1">
        <f>HYPERLINK("https://cao.dolgi.msk.ru/account/1011033224/", 1011033224)</f>
        <v>1011033224</v>
      </c>
      <c r="D3452">
        <v>-564.96</v>
      </c>
    </row>
    <row r="3453" spans="1:4" hidden="1" x14ac:dyDescent="0.3">
      <c r="A3453" t="s">
        <v>348</v>
      </c>
      <c r="B3453" t="s">
        <v>240</v>
      </c>
      <c r="C3453" s="1">
        <f>HYPERLINK("https://cao.dolgi.msk.ru/account/1011028687/", 1011028687)</f>
        <v>1011028687</v>
      </c>
      <c r="D3453">
        <v>0</v>
      </c>
    </row>
    <row r="3454" spans="1:4" hidden="1" x14ac:dyDescent="0.3">
      <c r="A3454" t="s">
        <v>348</v>
      </c>
      <c r="B3454" t="s">
        <v>241</v>
      </c>
      <c r="C3454" s="1">
        <f>HYPERLINK("https://cao.dolgi.msk.ru/account/1011029559/", 1011029559)</f>
        <v>1011029559</v>
      </c>
      <c r="D3454">
        <v>-14558.44</v>
      </c>
    </row>
    <row r="3455" spans="1:4" hidden="1" x14ac:dyDescent="0.3">
      <c r="A3455" t="s">
        <v>348</v>
      </c>
      <c r="B3455" t="s">
        <v>242</v>
      </c>
      <c r="C3455" s="1">
        <f>HYPERLINK("https://cao.dolgi.msk.ru/account/1011030293/", 1011030293)</f>
        <v>1011030293</v>
      </c>
      <c r="D3455">
        <v>-327.98</v>
      </c>
    </row>
    <row r="3456" spans="1:4" hidden="1" x14ac:dyDescent="0.3">
      <c r="A3456" t="s">
        <v>348</v>
      </c>
      <c r="B3456" t="s">
        <v>242</v>
      </c>
      <c r="C3456" s="1">
        <f>HYPERLINK("https://cao.dolgi.msk.ru/account/1011312928/", 1011312928)</f>
        <v>1011312928</v>
      </c>
      <c r="D3456">
        <v>-656.1</v>
      </c>
    </row>
    <row r="3457" spans="1:4" x14ac:dyDescent="0.3">
      <c r="A3457" t="s">
        <v>348</v>
      </c>
      <c r="B3457" t="s">
        <v>289</v>
      </c>
      <c r="C3457" s="1">
        <f>HYPERLINK("https://cao.dolgi.msk.ru/account/1011031747/", 1011031747)</f>
        <v>1011031747</v>
      </c>
      <c r="D3457">
        <v>6403.09</v>
      </c>
    </row>
    <row r="3458" spans="1:4" hidden="1" x14ac:dyDescent="0.3">
      <c r="A3458" t="s">
        <v>348</v>
      </c>
      <c r="B3458" t="s">
        <v>243</v>
      </c>
      <c r="C3458" s="1">
        <f>HYPERLINK("https://cao.dolgi.msk.ru/account/1011031755/", 1011031755)</f>
        <v>1011031755</v>
      </c>
      <c r="D3458">
        <v>-8511.35</v>
      </c>
    </row>
    <row r="3459" spans="1:4" hidden="1" x14ac:dyDescent="0.3">
      <c r="A3459" t="s">
        <v>348</v>
      </c>
      <c r="B3459" t="s">
        <v>244</v>
      </c>
      <c r="C3459" s="1">
        <f>HYPERLINK("https://cao.dolgi.msk.ru/account/1011028046/", 1011028046)</f>
        <v>1011028046</v>
      </c>
      <c r="D3459">
        <v>0</v>
      </c>
    </row>
    <row r="3460" spans="1:4" hidden="1" x14ac:dyDescent="0.3">
      <c r="A3460" t="s">
        <v>348</v>
      </c>
      <c r="B3460" t="s">
        <v>245</v>
      </c>
      <c r="C3460" s="1">
        <f>HYPERLINK("https://cao.dolgi.msk.ru/account/1011031763/", 1011031763)</f>
        <v>1011031763</v>
      </c>
      <c r="D3460">
        <v>0</v>
      </c>
    </row>
    <row r="3461" spans="1:4" hidden="1" x14ac:dyDescent="0.3">
      <c r="A3461" t="s">
        <v>348</v>
      </c>
      <c r="B3461" t="s">
        <v>246</v>
      </c>
      <c r="C3461" s="1">
        <f>HYPERLINK("https://cao.dolgi.msk.ru/account/1011031026/", 1011031026)</f>
        <v>1011031026</v>
      </c>
      <c r="D3461">
        <v>-7251.48</v>
      </c>
    </row>
    <row r="3462" spans="1:4" hidden="1" x14ac:dyDescent="0.3">
      <c r="A3462" t="s">
        <v>348</v>
      </c>
      <c r="B3462" t="s">
        <v>247</v>
      </c>
      <c r="C3462" s="1">
        <f>HYPERLINK("https://cao.dolgi.msk.ru/account/1011028695/", 1011028695)</f>
        <v>1011028695</v>
      </c>
      <c r="D3462">
        <v>0</v>
      </c>
    </row>
    <row r="3463" spans="1:4" hidden="1" x14ac:dyDescent="0.3">
      <c r="A3463" t="s">
        <v>348</v>
      </c>
      <c r="B3463" t="s">
        <v>248</v>
      </c>
      <c r="C3463" s="1">
        <f>HYPERLINK("https://cao.dolgi.msk.ru/account/1011028054/", 1011028054)</f>
        <v>1011028054</v>
      </c>
      <c r="D3463">
        <v>0</v>
      </c>
    </row>
    <row r="3464" spans="1:4" hidden="1" x14ac:dyDescent="0.3">
      <c r="A3464" t="s">
        <v>348</v>
      </c>
      <c r="B3464" t="s">
        <v>290</v>
      </c>
      <c r="C3464" s="1">
        <f>HYPERLINK("https://cao.dolgi.msk.ru/account/1011029567/", 1011029567)</f>
        <v>1011029567</v>
      </c>
      <c r="D3464">
        <v>0</v>
      </c>
    </row>
    <row r="3465" spans="1:4" hidden="1" x14ac:dyDescent="0.3">
      <c r="A3465" t="s">
        <v>348</v>
      </c>
      <c r="B3465" t="s">
        <v>249</v>
      </c>
      <c r="C3465" s="1">
        <f>HYPERLINK("https://cao.dolgi.msk.ru/account/1011028708/", 1011028708)</f>
        <v>1011028708</v>
      </c>
      <c r="D3465">
        <v>-9171.6299999999992</v>
      </c>
    </row>
    <row r="3466" spans="1:4" x14ac:dyDescent="0.3">
      <c r="A3466" t="s">
        <v>348</v>
      </c>
      <c r="B3466" t="s">
        <v>250</v>
      </c>
      <c r="C3466" s="1">
        <f>HYPERLINK("https://cao.dolgi.msk.ru/account/1011032547/", 1011032547)</f>
        <v>1011032547</v>
      </c>
      <c r="D3466">
        <v>16149.04</v>
      </c>
    </row>
    <row r="3467" spans="1:4" hidden="1" x14ac:dyDescent="0.3">
      <c r="A3467" t="s">
        <v>348</v>
      </c>
      <c r="B3467" t="s">
        <v>251</v>
      </c>
      <c r="C3467" s="1">
        <f>HYPERLINK("https://cao.dolgi.msk.ru/account/1011028062/", 1011028062)</f>
        <v>1011028062</v>
      </c>
      <c r="D3467">
        <v>-17.71</v>
      </c>
    </row>
    <row r="3468" spans="1:4" hidden="1" x14ac:dyDescent="0.3">
      <c r="A3468" t="s">
        <v>348</v>
      </c>
      <c r="B3468" t="s">
        <v>252</v>
      </c>
      <c r="C3468" s="1">
        <f>HYPERLINK("https://cao.dolgi.msk.ru/account/1011028716/", 1011028716)</f>
        <v>1011028716</v>
      </c>
      <c r="D3468">
        <v>-2614.7199999999998</v>
      </c>
    </row>
    <row r="3469" spans="1:4" hidden="1" x14ac:dyDescent="0.3">
      <c r="A3469" t="s">
        <v>348</v>
      </c>
      <c r="B3469" t="s">
        <v>253</v>
      </c>
      <c r="C3469" s="1">
        <f>HYPERLINK("https://cao.dolgi.msk.ru/account/1011028724/", 1011028724)</f>
        <v>1011028724</v>
      </c>
      <c r="D3469">
        <v>-3209.76</v>
      </c>
    </row>
    <row r="3470" spans="1:4" hidden="1" x14ac:dyDescent="0.3">
      <c r="A3470" t="s">
        <v>348</v>
      </c>
      <c r="B3470" t="s">
        <v>253</v>
      </c>
      <c r="C3470" s="1">
        <f>HYPERLINK("https://cao.dolgi.msk.ru/account/1011031034/", 1011031034)</f>
        <v>1011031034</v>
      </c>
      <c r="D3470">
        <v>-5574.94</v>
      </c>
    </row>
    <row r="3471" spans="1:4" hidden="1" x14ac:dyDescent="0.3">
      <c r="A3471" t="s">
        <v>348</v>
      </c>
      <c r="B3471" t="s">
        <v>254</v>
      </c>
      <c r="C3471" s="1">
        <f>HYPERLINK("https://cao.dolgi.msk.ru/account/1011028732/", 1011028732)</f>
        <v>1011028732</v>
      </c>
      <c r="D3471">
        <v>-1096.6099999999999</v>
      </c>
    </row>
    <row r="3472" spans="1:4" hidden="1" x14ac:dyDescent="0.3">
      <c r="A3472" t="s">
        <v>348</v>
      </c>
      <c r="B3472" t="s">
        <v>255</v>
      </c>
      <c r="C3472" s="1">
        <f>HYPERLINK("https://cao.dolgi.msk.ru/account/1011515223/", 1011515223)</f>
        <v>1011515223</v>
      </c>
      <c r="D3472">
        <v>-902.97</v>
      </c>
    </row>
    <row r="3473" spans="1:4" hidden="1" x14ac:dyDescent="0.3">
      <c r="A3473" t="s">
        <v>348</v>
      </c>
      <c r="B3473" t="s">
        <v>256</v>
      </c>
      <c r="C3473" s="1">
        <f>HYPERLINK("https://cao.dolgi.msk.ru/account/1011028097/", 1011028097)</f>
        <v>1011028097</v>
      </c>
      <c r="D3473">
        <v>0</v>
      </c>
    </row>
    <row r="3474" spans="1:4" hidden="1" x14ac:dyDescent="0.3">
      <c r="A3474" t="s">
        <v>348</v>
      </c>
      <c r="B3474" t="s">
        <v>257</v>
      </c>
      <c r="C3474" s="1">
        <f>HYPERLINK("https://cao.dolgi.msk.ru/account/1011030314/", 1011030314)</f>
        <v>1011030314</v>
      </c>
      <c r="D3474">
        <v>0</v>
      </c>
    </row>
    <row r="3475" spans="1:4" hidden="1" x14ac:dyDescent="0.3">
      <c r="A3475" t="s">
        <v>348</v>
      </c>
      <c r="B3475" t="s">
        <v>291</v>
      </c>
      <c r="C3475" s="1">
        <f>HYPERLINK("https://cao.dolgi.msk.ru/account/1011028759/", 1011028759)</f>
        <v>1011028759</v>
      </c>
      <c r="D3475">
        <v>-8857.35</v>
      </c>
    </row>
    <row r="3476" spans="1:4" hidden="1" x14ac:dyDescent="0.3">
      <c r="A3476" t="s">
        <v>348</v>
      </c>
      <c r="B3476" t="s">
        <v>292</v>
      </c>
      <c r="C3476" s="1">
        <f>HYPERLINK("https://cao.dolgi.msk.ru/account/1011030322/", 1011030322)</f>
        <v>1011030322</v>
      </c>
      <c r="D3476">
        <v>-205.05</v>
      </c>
    </row>
    <row r="3477" spans="1:4" hidden="1" x14ac:dyDescent="0.3">
      <c r="A3477" t="s">
        <v>348</v>
      </c>
      <c r="B3477" t="s">
        <v>293</v>
      </c>
      <c r="C3477" s="1">
        <f>HYPERLINK("https://cao.dolgi.msk.ru/account/1011030349/", 1011030349)</f>
        <v>1011030349</v>
      </c>
      <c r="D3477">
        <v>0</v>
      </c>
    </row>
    <row r="3478" spans="1:4" hidden="1" x14ac:dyDescent="0.3">
      <c r="A3478" t="s">
        <v>348</v>
      </c>
      <c r="B3478" t="s">
        <v>294</v>
      </c>
      <c r="C3478" s="1">
        <f>HYPERLINK("https://cao.dolgi.msk.ru/account/1011033232/", 1011033232)</f>
        <v>1011033232</v>
      </c>
      <c r="D3478">
        <v>-304.04000000000002</v>
      </c>
    </row>
    <row r="3479" spans="1:4" hidden="1" x14ac:dyDescent="0.3">
      <c r="A3479" t="s">
        <v>348</v>
      </c>
      <c r="B3479" t="s">
        <v>295</v>
      </c>
      <c r="C3479" s="1">
        <f>HYPERLINK("https://cao.dolgi.msk.ru/account/1011028767/", 1011028767)</f>
        <v>1011028767</v>
      </c>
      <c r="D3479">
        <v>0</v>
      </c>
    </row>
    <row r="3480" spans="1:4" hidden="1" x14ac:dyDescent="0.3">
      <c r="A3480" t="s">
        <v>348</v>
      </c>
      <c r="B3480" t="s">
        <v>296</v>
      </c>
      <c r="C3480" s="1">
        <f>HYPERLINK("https://cao.dolgi.msk.ru/account/1011028118/", 1011028118)</f>
        <v>1011028118</v>
      </c>
      <c r="D3480">
        <v>0</v>
      </c>
    </row>
    <row r="3481" spans="1:4" hidden="1" x14ac:dyDescent="0.3">
      <c r="A3481" t="s">
        <v>348</v>
      </c>
      <c r="B3481" t="s">
        <v>296</v>
      </c>
      <c r="C3481" s="1">
        <f>HYPERLINK("https://cao.dolgi.msk.ru/account/1011031771/", 1011031771)</f>
        <v>1011031771</v>
      </c>
      <c r="D3481">
        <v>0</v>
      </c>
    </row>
    <row r="3482" spans="1:4" hidden="1" x14ac:dyDescent="0.3">
      <c r="A3482" t="s">
        <v>348</v>
      </c>
      <c r="B3482" t="s">
        <v>297</v>
      </c>
      <c r="C3482" s="1">
        <f>HYPERLINK("https://cao.dolgi.msk.ru/account/1011033259/", 1011033259)</f>
        <v>1011033259</v>
      </c>
      <c r="D3482">
        <v>-13228.29</v>
      </c>
    </row>
    <row r="3483" spans="1:4" hidden="1" x14ac:dyDescent="0.3">
      <c r="A3483" t="s">
        <v>348</v>
      </c>
      <c r="B3483" t="s">
        <v>298</v>
      </c>
      <c r="C3483" s="1">
        <f>HYPERLINK("https://cao.dolgi.msk.ru/account/1011030357/", 1011030357)</f>
        <v>1011030357</v>
      </c>
      <c r="D3483">
        <v>0</v>
      </c>
    </row>
    <row r="3484" spans="1:4" hidden="1" x14ac:dyDescent="0.3">
      <c r="A3484" t="s">
        <v>348</v>
      </c>
      <c r="B3484" t="s">
        <v>299</v>
      </c>
      <c r="C3484" s="1">
        <f>HYPERLINK("https://cao.dolgi.msk.ru/account/1011028126/", 1011028126)</f>
        <v>1011028126</v>
      </c>
      <c r="D3484">
        <v>0</v>
      </c>
    </row>
    <row r="3485" spans="1:4" hidden="1" x14ac:dyDescent="0.3">
      <c r="A3485" t="s">
        <v>348</v>
      </c>
      <c r="B3485" t="s">
        <v>300</v>
      </c>
      <c r="C3485" s="1">
        <f>HYPERLINK("https://cao.dolgi.msk.ru/account/1011033267/", 1011033267)</f>
        <v>1011033267</v>
      </c>
      <c r="D3485">
        <v>0</v>
      </c>
    </row>
    <row r="3486" spans="1:4" hidden="1" x14ac:dyDescent="0.3">
      <c r="A3486" t="s">
        <v>348</v>
      </c>
      <c r="B3486" t="s">
        <v>301</v>
      </c>
      <c r="C3486" s="1">
        <f>HYPERLINK("https://cao.dolgi.msk.ru/account/1011031798/", 1011031798)</f>
        <v>1011031798</v>
      </c>
      <c r="D3486">
        <v>-70.88</v>
      </c>
    </row>
    <row r="3487" spans="1:4" hidden="1" x14ac:dyDescent="0.3">
      <c r="A3487" t="s">
        <v>348</v>
      </c>
      <c r="B3487" t="s">
        <v>349</v>
      </c>
      <c r="C3487" s="1">
        <f>HYPERLINK("https://cao.dolgi.msk.ru/account/1011028775/", 1011028775)</f>
        <v>1011028775</v>
      </c>
      <c r="D3487">
        <v>0</v>
      </c>
    </row>
    <row r="3488" spans="1:4" hidden="1" x14ac:dyDescent="0.3">
      <c r="A3488" t="s">
        <v>348</v>
      </c>
      <c r="B3488" t="s">
        <v>304</v>
      </c>
      <c r="C3488" s="1">
        <f>HYPERLINK("https://cao.dolgi.msk.ru/account/1011028783/", 1011028783)</f>
        <v>1011028783</v>
      </c>
      <c r="D3488">
        <v>0</v>
      </c>
    </row>
    <row r="3489" spans="1:4" hidden="1" x14ac:dyDescent="0.3">
      <c r="A3489" t="s">
        <v>348</v>
      </c>
      <c r="B3489" t="s">
        <v>305</v>
      </c>
      <c r="C3489" s="1">
        <f>HYPERLINK("https://cao.dolgi.msk.ru/account/1011031819/", 1011031819)</f>
        <v>1011031819</v>
      </c>
      <c r="D3489">
        <v>-18377.689999999999</v>
      </c>
    </row>
    <row r="3490" spans="1:4" x14ac:dyDescent="0.3">
      <c r="A3490" t="s">
        <v>348</v>
      </c>
      <c r="B3490" t="s">
        <v>306</v>
      </c>
      <c r="C3490" s="1">
        <f>HYPERLINK("https://cao.dolgi.msk.ru/account/1011028791/", 1011028791)</f>
        <v>1011028791</v>
      </c>
      <c r="D3490">
        <v>11827.22</v>
      </c>
    </row>
    <row r="3491" spans="1:4" hidden="1" x14ac:dyDescent="0.3">
      <c r="A3491" t="s">
        <v>348</v>
      </c>
      <c r="B3491" t="s">
        <v>307</v>
      </c>
      <c r="C3491" s="1">
        <f>HYPERLINK("https://cao.dolgi.msk.ru/account/1011029284/", 1011029284)</f>
        <v>1011029284</v>
      </c>
      <c r="D3491">
        <v>0</v>
      </c>
    </row>
    <row r="3492" spans="1:4" hidden="1" x14ac:dyDescent="0.3">
      <c r="A3492" t="s">
        <v>348</v>
      </c>
      <c r="B3492" t="s">
        <v>308</v>
      </c>
      <c r="C3492" s="1">
        <f>HYPERLINK("https://cao.dolgi.msk.ru/account/1011028804/", 1011028804)</f>
        <v>1011028804</v>
      </c>
      <c r="D3492">
        <v>0</v>
      </c>
    </row>
    <row r="3493" spans="1:4" hidden="1" x14ac:dyDescent="0.3">
      <c r="A3493" t="s">
        <v>348</v>
      </c>
      <c r="B3493" t="s">
        <v>309</v>
      </c>
      <c r="C3493" s="1">
        <f>HYPERLINK("https://cao.dolgi.msk.ru/account/1011033275/", 1011033275)</f>
        <v>1011033275</v>
      </c>
      <c r="D3493">
        <v>-212.27</v>
      </c>
    </row>
    <row r="3494" spans="1:4" hidden="1" x14ac:dyDescent="0.3">
      <c r="A3494" t="s">
        <v>348</v>
      </c>
      <c r="B3494" t="s">
        <v>310</v>
      </c>
      <c r="C3494" s="1">
        <f>HYPERLINK("https://cao.dolgi.msk.ru/account/1011031042/", 1011031042)</f>
        <v>1011031042</v>
      </c>
      <c r="D3494">
        <v>-6225.96</v>
      </c>
    </row>
    <row r="3495" spans="1:4" hidden="1" x14ac:dyDescent="0.3">
      <c r="A3495" t="s">
        <v>348</v>
      </c>
      <c r="B3495" t="s">
        <v>311</v>
      </c>
      <c r="C3495" s="1">
        <f>HYPERLINK("https://cao.dolgi.msk.ru/account/1011030365/", 1011030365)</f>
        <v>1011030365</v>
      </c>
      <c r="D3495">
        <v>0</v>
      </c>
    </row>
    <row r="3496" spans="1:4" x14ac:dyDescent="0.3">
      <c r="A3496" t="s">
        <v>348</v>
      </c>
      <c r="B3496" t="s">
        <v>312</v>
      </c>
      <c r="C3496" s="1">
        <f>HYPERLINK("https://cao.dolgi.msk.ru/account/1011033283/", 1011033283)</f>
        <v>1011033283</v>
      </c>
      <c r="D3496">
        <v>9696.69</v>
      </c>
    </row>
    <row r="3497" spans="1:4" x14ac:dyDescent="0.3">
      <c r="A3497" t="s">
        <v>348</v>
      </c>
      <c r="B3497" t="s">
        <v>313</v>
      </c>
      <c r="C3497" s="1">
        <f>HYPERLINK("https://cao.dolgi.msk.ru/account/1011031827/", 1011031827)</f>
        <v>1011031827</v>
      </c>
      <c r="D3497">
        <v>10901.68</v>
      </c>
    </row>
    <row r="3498" spans="1:4" hidden="1" x14ac:dyDescent="0.3">
      <c r="A3498" t="s">
        <v>348</v>
      </c>
      <c r="B3498" t="s">
        <v>314</v>
      </c>
      <c r="C3498" s="1">
        <f>HYPERLINK("https://cao.dolgi.msk.ru/account/1011032555/", 1011032555)</f>
        <v>1011032555</v>
      </c>
      <c r="D3498">
        <v>0</v>
      </c>
    </row>
    <row r="3499" spans="1:4" hidden="1" x14ac:dyDescent="0.3">
      <c r="A3499" t="s">
        <v>348</v>
      </c>
      <c r="B3499" t="s">
        <v>315</v>
      </c>
      <c r="C3499" s="1">
        <f>HYPERLINK("https://cao.dolgi.msk.ru/account/1011031069/", 1011031069)</f>
        <v>1011031069</v>
      </c>
      <c r="D3499">
        <v>-1951.16</v>
      </c>
    </row>
    <row r="3500" spans="1:4" x14ac:dyDescent="0.3">
      <c r="A3500" t="s">
        <v>348</v>
      </c>
      <c r="B3500" t="s">
        <v>316</v>
      </c>
      <c r="C3500" s="1">
        <f>HYPERLINK("https://cao.dolgi.msk.ru/account/1011032563/", 1011032563)</f>
        <v>1011032563</v>
      </c>
      <c r="D3500">
        <v>7941.59</v>
      </c>
    </row>
    <row r="3501" spans="1:4" x14ac:dyDescent="0.3">
      <c r="A3501" t="s">
        <v>348</v>
      </c>
      <c r="B3501" t="s">
        <v>317</v>
      </c>
      <c r="C3501" s="1">
        <f>HYPERLINK("https://cao.dolgi.msk.ru/account/1011028812/", 1011028812)</f>
        <v>1011028812</v>
      </c>
      <c r="D3501">
        <v>10269.49</v>
      </c>
    </row>
    <row r="3502" spans="1:4" hidden="1" x14ac:dyDescent="0.3">
      <c r="A3502" t="s">
        <v>348</v>
      </c>
      <c r="B3502" t="s">
        <v>318</v>
      </c>
      <c r="C3502" s="1">
        <f>HYPERLINK("https://cao.dolgi.msk.ru/account/1011028134/", 1011028134)</f>
        <v>1011028134</v>
      </c>
      <c r="D3502">
        <v>-11665.67</v>
      </c>
    </row>
    <row r="3503" spans="1:4" hidden="1" x14ac:dyDescent="0.3">
      <c r="A3503" t="s">
        <v>348</v>
      </c>
      <c r="B3503" t="s">
        <v>319</v>
      </c>
      <c r="C3503" s="1">
        <f>HYPERLINK("https://cao.dolgi.msk.ru/account/1011030381/", 1011030381)</f>
        <v>1011030381</v>
      </c>
      <c r="D3503">
        <v>0</v>
      </c>
    </row>
    <row r="3504" spans="1:4" hidden="1" x14ac:dyDescent="0.3">
      <c r="A3504" t="s">
        <v>348</v>
      </c>
      <c r="B3504" t="s">
        <v>320</v>
      </c>
      <c r="C3504" s="1">
        <f>HYPERLINK("https://cao.dolgi.msk.ru/account/1011031843/", 1011031843)</f>
        <v>1011031843</v>
      </c>
      <c r="D3504">
        <v>0</v>
      </c>
    </row>
    <row r="3505" spans="1:4" hidden="1" x14ac:dyDescent="0.3">
      <c r="A3505" t="s">
        <v>348</v>
      </c>
      <c r="B3505" t="s">
        <v>321</v>
      </c>
      <c r="C3505" s="1">
        <f>HYPERLINK("https://cao.dolgi.msk.ru/account/1011033291/", 1011033291)</f>
        <v>1011033291</v>
      </c>
      <c r="D3505">
        <v>0</v>
      </c>
    </row>
    <row r="3506" spans="1:4" hidden="1" x14ac:dyDescent="0.3">
      <c r="A3506" t="s">
        <v>348</v>
      </c>
      <c r="B3506" t="s">
        <v>322</v>
      </c>
      <c r="C3506" s="1">
        <f>HYPERLINK("https://cao.dolgi.msk.ru/account/1011032571/", 1011032571)</f>
        <v>1011032571</v>
      </c>
      <c r="D3506">
        <v>0</v>
      </c>
    </row>
    <row r="3507" spans="1:4" hidden="1" x14ac:dyDescent="0.3">
      <c r="A3507" t="s">
        <v>348</v>
      </c>
      <c r="B3507" t="s">
        <v>350</v>
      </c>
      <c r="C3507" s="1">
        <f>HYPERLINK("https://cao.dolgi.msk.ru/account/1011031077/", 1011031077)</f>
        <v>1011031077</v>
      </c>
      <c r="D3507">
        <v>0</v>
      </c>
    </row>
    <row r="3508" spans="1:4" hidden="1" x14ac:dyDescent="0.3">
      <c r="A3508" t="s">
        <v>348</v>
      </c>
      <c r="B3508" t="s">
        <v>351</v>
      </c>
      <c r="C3508" s="1">
        <f>HYPERLINK("https://cao.dolgi.msk.ru/account/1011030402/", 1011030402)</f>
        <v>1011030402</v>
      </c>
      <c r="D3508">
        <v>-33.58</v>
      </c>
    </row>
    <row r="3509" spans="1:4" x14ac:dyDescent="0.3">
      <c r="A3509" t="s">
        <v>348</v>
      </c>
      <c r="B3509" t="s">
        <v>352</v>
      </c>
      <c r="C3509" s="1">
        <f>HYPERLINK("https://cao.dolgi.msk.ru/account/1011033304/", 1011033304)</f>
        <v>1011033304</v>
      </c>
      <c r="D3509">
        <v>24730.34</v>
      </c>
    </row>
    <row r="3510" spans="1:4" hidden="1" x14ac:dyDescent="0.3">
      <c r="A3510" t="s">
        <v>348</v>
      </c>
      <c r="B3510" t="s">
        <v>353</v>
      </c>
      <c r="C3510" s="1">
        <f>HYPERLINK("https://cao.dolgi.msk.ru/account/1011029604/", 1011029604)</f>
        <v>1011029604</v>
      </c>
      <c r="D3510">
        <v>0</v>
      </c>
    </row>
    <row r="3511" spans="1:4" hidden="1" x14ac:dyDescent="0.3">
      <c r="A3511" t="s">
        <v>348</v>
      </c>
      <c r="B3511" t="s">
        <v>354</v>
      </c>
      <c r="C3511" s="1">
        <f>HYPERLINK("https://cao.dolgi.msk.ru/account/1011074595/", 1011074595)</f>
        <v>1011074595</v>
      </c>
      <c r="D3511">
        <v>0</v>
      </c>
    </row>
    <row r="3512" spans="1:4" hidden="1" x14ac:dyDescent="0.3">
      <c r="A3512" t="s">
        <v>348</v>
      </c>
      <c r="B3512" t="s">
        <v>355</v>
      </c>
      <c r="C3512" s="1">
        <f>HYPERLINK("https://cao.dolgi.msk.ru/account/1011028142/", 1011028142)</f>
        <v>1011028142</v>
      </c>
      <c r="D3512">
        <v>-8465.17</v>
      </c>
    </row>
    <row r="3513" spans="1:4" hidden="1" x14ac:dyDescent="0.3">
      <c r="A3513" t="s">
        <v>348</v>
      </c>
      <c r="B3513" t="s">
        <v>356</v>
      </c>
      <c r="C3513" s="1">
        <f>HYPERLINK("https://cao.dolgi.msk.ru/account/1011032598/", 1011032598)</f>
        <v>1011032598</v>
      </c>
      <c r="D3513">
        <v>0</v>
      </c>
    </row>
    <row r="3514" spans="1:4" hidden="1" x14ac:dyDescent="0.3">
      <c r="A3514" t="s">
        <v>348</v>
      </c>
      <c r="B3514" t="s">
        <v>357</v>
      </c>
      <c r="C3514" s="1">
        <f>HYPERLINK("https://cao.dolgi.msk.ru/account/1011030445/", 1011030445)</f>
        <v>1011030445</v>
      </c>
      <c r="D3514">
        <v>0</v>
      </c>
    </row>
    <row r="3515" spans="1:4" hidden="1" x14ac:dyDescent="0.3">
      <c r="A3515" t="s">
        <v>348</v>
      </c>
      <c r="B3515" t="s">
        <v>357</v>
      </c>
      <c r="C3515" s="1">
        <f>HYPERLINK("https://cao.dolgi.msk.ru/account/1011032619/", 1011032619)</f>
        <v>1011032619</v>
      </c>
      <c r="D3515">
        <v>0</v>
      </c>
    </row>
    <row r="3516" spans="1:4" hidden="1" x14ac:dyDescent="0.3">
      <c r="A3516" t="s">
        <v>348</v>
      </c>
      <c r="B3516" t="s">
        <v>358</v>
      </c>
      <c r="C3516" s="1">
        <f>HYPERLINK("https://cao.dolgi.msk.ru/account/1011031085/", 1011031085)</f>
        <v>1011031085</v>
      </c>
      <c r="D3516">
        <v>0</v>
      </c>
    </row>
    <row r="3517" spans="1:4" hidden="1" x14ac:dyDescent="0.3">
      <c r="A3517" t="s">
        <v>348</v>
      </c>
      <c r="B3517" t="s">
        <v>359</v>
      </c>
      <c r="C3517" s="1">
        <f>HYPERLINK("https://cao.dolgi.msk.ru/account/1011033312/", 1011033312)</f>
        <v>1011033312</v>
      </c>
      <c r="D3517">
        <v>0</v>
      </c>
    </row>
    <row r="3518" spans="1:4" hidden="1" x14ac:dyDescent="0.3">
      <c r="A3518" t="s">
        <v>348</v>
      </c>
      <c r="B3518" t="s">
        <v>360</v>
      </c>
      <c r="C3518" s="1">
        <f>HYPERLINK("https://cao.dolgi.msk.ru/account/1011029612/", 1011029612)</f>
        <v>1011029612</v>
      </c>
      <c r="D3518">
        <v>0</v>
      </c>
    </row>
    <row r="3519" spans="1:4" hidden="1" x14ac:dyDescent="0.3">
      <c r="A3519" t="s">
        <v>348</v>
      </c>
      <c r="B3519" t="s">
        <v>361</v>
      </c>
      <c r="C3519" s="1">
        <f>HYPERLINK("https://cao.dolgi.msk.ru/account/1011028169/", 1011028169)</f>
        <v>1011028169</v>
      </c>
      <c r="D3519">
        <v>0</v>
      </c>
    </row>
    <row r="3520" spans="1:4" hidden="1" x14ac:dyDescent="0.3">
      <c r="A3520" t="s">
        <v>348</v>
      </c>
      <c r="B3520" t="s">
        <v>362</v>
      </c>
      <c r="C3520" s="1">
        <f>HYPERLINK("https://cao.dolgi.msk.ru/account/1011028839/", 1011028839)</f>
        <v>1011028839</v>
      </c>
      <c r="D3520">
        <v>0</v>
      </c>
    </row>
    <row r="3521" spans="1:4" x14ac:dyDescent="0.3">
      <c r="A3521" t="s">
        <v>348</v>
      </c>
      <c r="B3521" t="s">
        <v>363</v>
      </c>
      <c r="C3521" s="1">
        <f>HYPERLINK("https://cao.dolgi.msk.ru/account/1011033339/", 1011033339)</f>
        <v>1011033339</v>
      </c>
      <c r="D3521">
        <v>324</v>
      </c>
    </row>
    <row r="3522" spans="1:4" hidden="1" x14ac:dyDescent="0.3">
      <c r="A3522" t="s">
        <v>348</v>
      </c>
      <c r="B3522" t="s">
        <v>364</v>
      </c>
      <c r="C3522" s="1">
        <f>HYPERLINK("https://cao.dolgi.msk.ru/account/1011032627/", 1011032627)</f>
        <v>1011032627</v>
      </c>
      <c r="D3522">
        <v>0</v>
      </c>
    </row>
    <row r="3523" spans="1:4" hidden="1" x14ac:dyDescent="0.3">
      <c r="A3523" t="s">
        <v>348</v>
      </c>
      <c r="B3523" t="s">
        <v>365</v>
      </c>
      <c r="C3523" s="1">
        <f>HYPERLINK("https://cao.dolgi.msk.ru/account/1011033347/", 1011033347)</f>
        <v>1011033347</v>
      </c>
      <c r="D3523">
        <v>0</v>
      </c>
    </row>
    <row r="3524" spans="1:4" hidden="1" x14ac:dyDescent="0.3">
      <c r="A3524" t="s">
        <v>348</v>
      </c>
      <c r="B3524" t="s">
        <v>366</v>
      </c>
      <c r="C3524" s="1">
        <f>HYPERLINK("https://cao.dolgi.msk.ru/account/1011031886/", 1011031886)</f>
        <v>1011031886</v>
      </c>
      <c r="D3524">
        <v>0</v>
      </c>
    </row>
    <row r="3525" spans="1:4" hidden="1" x14ac:dyDescent="0.3">
      <c r="A3525" t="s">
        <v>348</v>
      </c>
      <c r="B3525" t="s">
        <v>367</v>
      </c>
      <c r="C3525" s="1">
        <f>HYPERLINK("https://cao.dolgi.msk.ru/account/1011031894/", 1011031894)</f>
        <v>1011031894</v>
      </c>
      <c r="D3525">
        <v>-4500.95</v>
      </c>
    </row>
    <row r="3526" spans="1:4" hidden="1" x14ac:dyDescent="0.3">
      <c r="A3526" t="s">
        <v>348</v>
      </c>
      <c r="B3526" t="s">
        <v>368</v>
      </c>
      <c r="C3526" s="1">
        <f>HYPERLINK("https://cao.dolgi.msk.ru/account/1011031093/", 1011031093)</f>
        <v>1011031093</v>
      </c>
      <c r="D3526">
        <v>-8542.01</v>
      </c>
    </row>
    <row r="3527" spans="1:4" x14ac:dyDescent="0.3">
      <c r="A3527" t="s">
        <v>348</v>
      </c>
      <c r="B3527" t="s">
        <v>369</v>
      </c>
      <c r="C3527" s="1">
        <f>HYPERLINK("https://cao.dolgi.msk.ru/account/1011028847/", 1011028847)</f>
        <v>1011028847</v>
      </c>
      <c r="D3527">
        <v>6934.21</v>
      </c>
    </row>
    <row r="3528" spans="1:4" hidden="1" x14ac:dyDescent="0.3">
      <c r="A3528" t="s">
        <v>348</v>
      </c>
      <c r="B3528" t="s">
        <v>369</v>
      </c>
      <c r="C3528" s="1">
        <f>HYPERLINK("https://cao.dolgi.msk.ru/account/1011031106/", 1011031106)</f>
        <v>1011031106</v>
      </c>
      <c r="D3528">
        <v>-2000</v>
      </c>
    </row>
    <row r="3529" spans="1:4" hidden="1" x14ac:dyDescent="0.3">
      <c r="A3529" t="s">
        <v>348</v>
      </c>
      <c r="B3529" t="s">
        <v>369</v>
      </c>
      <c r="C3529" s="1">
        <f>HYPERLINK("https://cao.dolgi.msk.ru/account/1011033355/", 1011033355)</f>
        <v>1011033355</v>
      </c>
      <c r="D3529">
        <v>-4066.64</v>
      </c>
    </row>
    <row r="3530" spans="1:4" hidden="1" x14ac:dyDescent="0.3">
      <c r="A3530" t="s">
        <v>348</v>
      </c>
      <c r="B3530" t="s">
        <v>370</v>
      </c>
      <c r="C3530" s="1">
        <f>HYPERLINK("https://cao.dolgi.msk.ru/account/1011028177/", 1011028177)</f>
        <v>1011028177</v>
      </c>
      <c r="D3530">
        <v>-9641.02</v>
      </c>
    </row>
    <row r="3531" spans="1:4" x14ac:dyDescent="0.3">
      <c r="A3531" t="s">
        <v>348</v>
      </c>
      <c r="B3531" t="s">
        <v>371</v>
      </c>
      <c r="C3531" s="1">
        <f>HYPERLINK("https://cao.dolgi.msk.ru/account/1011028855/", 1011028855)</f>
        <v>1011028855</v>
      </c>
      <c r="D3531">
        <v>16919.41</v>
      </c>
    </row>
    <row r="3532" spans="1:4" x14ac:dyDescent="0.3">
      <c r="A3532" t="s">
        <v>348</v>
      </c>
      <c r="B3532" t="s">
        <v>372</v>
      </c>
      <c r="C3532" s="1">
        <f>HYPERLINK("https://cao.dolgi.msk.ru/account/1011033363/", 1011033363)</f>
        <v>1011033363</v>
      </c>
      <c r="D3532">
        <v>9313.44</v>
      </c>
    </row>
    <row r="3533" spans="1:4" hidden="1" x14ac:dyDescent="0.3">
      <c r="A3533" t="s">
        <v>348</v>
      </c>
      <c r="B3533" t="s">
        <v>373</v>
      </c>
      <c r="C3533" s="1">
        <f>HYPERLINK("https://cao.dolgi.msk.ru/account/1011028185/", 1011028185)</f>
        <v>1011028185</v>
      </c>
      <c r="D3533">
        <v>0</v>
      </c>
    </row>
    <row r="3534" spans="1:4" hidden="1" x14ac:dyDescent="0.3">
      <c r="A3534" t="s">
        <v>348</v>
      </c>
      <c r="B3534" t="s">
        <v>374</v>
      </c>
      <c r="C3534" s="1">
        <f>HYPERLINK("https://cao.dolgi.msk.ru/account/1011029639/", 1011029639)</f>
        <v>1011029639</v>
      </c>
      <c r="D3534">
        <v>0</v>
      </c>
    </row>
    <row r="3535" spans="1:4" hidden="1" x14ac:dyDescent="0.3">
      <c r="A3535" t="s">
        <v>348</v>
      </c>
      <c r="B3535" t="s">
        <v>375</v>
      </c>
      <c r="C3535" s="1">
        <f>HYPERLINK("https://cao.dolgi.msk.ru/account/1011031114/", 1011031114)</f>
        <v>1011031114</v>
      </c>
      <c r="D3535">
        <v>0</v>
      </c>
    </row>
    <row r="3536" spans="1:4" x14ac:dyDescent="0.3">
      <c r="A3536" t="s">
        <v>348</v>
      </c>
      <c r="B3536" t="s">
        <v>376</v>
      </c>
      <c r="C3536" s="1">
        <f>HYPERLINK("https://cao.dolgi.msk.ru/account/1011029647/", 1011029647)</f>
        <v>1011029647</v>
      </c>
      <c r="D3536">
        <v>10207.99</v>
      </c>
    </row>
    <row r="3537" spans="1:4" hidden="1" x14ac:dyDescent="0.3">
      <c r="A3537" t="s">
        <v>348</v>
      </c>
      <c r="B3537" t="s">
        <v>377</v>
      </c>
      <c r="C3537" s="1">
        <f>HYPERLINK("https://cao.dolgi.msk.ru/account/1011028193/", 1011028193)</f>
        <v>1011028193</v>
      </c>
      <c r="D3537">
        <v>0</v>
      </c>
    </row>
    <row r="3538" spans="1:4" hidden="1" x14ac:dyDescent="0.3">
      <c r="A3538" t="s">
        <v>348</v>
      </c>
      <c r="B3538" t="s">
        <v>378</v>
      </c>
      <c r="C3538" s="1">
        <f>HYPERLINK("https://cao.dolgi.msk.ru/account/1011029655/", 1011029655)</f>
        <v>1011029655</v>
      </c>
      <c r="D3538">
        <v>0</v>
      </c>
    </row>
    <row r="3539" spans="1:4" x14ac:dyDescent="0.3">
      <c r="A3539" t="s">
        <v>348</v>
      </c>
      <c r="B3539" t="s">
        <v>379</v>
      </c>
      <c r="C3539" s="1">
        <f>HYPERLINK("https://cao.dolgi.msk.ru/account/1011028206/", 1011028206)</f>
        <v>1011028206</v>
      </c>
      <c r="D3539">
        <v>7380.19</v>
      </c>
    </row>
    <row r="3540" spans="1:4" hidden="1" x14ac:dyDescent="0.3">
      <c r="A3540" t="s">
        <v>348</v>
      </c>
      <c r="B3540" t="s">
        <v>380</v>
      </c>
      <c r="C3540" s="1">
        <f>HYPERLINK("https://cao.dolgi.msk.ru/account/1011028214/", 1011028214)</f>
        <v>1011028214</v>
      </c>
      <c r="D3540">
        <v>0</v>
      </c>
    </row>
    <row r="3541" spans="1:4" x14ac:dyDescent="0.3">
      <c r="A3541" t="s">
        <v>348</v>
      </c>
      <c r="B3541" t="s">
        <v>381</v>
      </c>
      <c r="C3541" s="1">
        <f>HYPERLINK("https://cao.dolgi.msk.ru/account/1011031122/", 1011031122)</f>
        <v>1011031122</v>
      </c>
      <c r="D3541">
        <v>20042.29</v>
      </c>
    </row>
    <row r="3542" spans="1:4" hidden="1" x14ac:dyDescent="0.3">
      <c r="A3542" t="s">
        <v>348</v>
      </c>
      <c r="B3542" t="s">
        <v>382</v>
      </c>
      <c r="C3542" s="1">
        <f>HYPERLINK("https://cao.dolgi.msk.ru/account/1011028863/", 1011028863)</f>
        <v>1011028863</v>
      </c>
      <c r="D3542">
        <v>0</v>
      </c>
    </row>
    <row r="3543" spans="1:4" hidden="1" x14ac:dyDescent="0.3">
      <c r="A3543" t="s">
        <v>348</v>
      </c>
      <c r="B3543" t="s">
        <v>383</v>
      </c>
      <c r="C3543" s="1">
        <f>HYPERLINK("https://cao.dolgi.msk.ru/account/1011030453/", 1011030453)</f>
        <v>1011030453</v>
      </c>
      <c r="D3543">
        <v>0</v>
      </c>
    </row>
    <row r="3544" spans="1:4" hidden="1" x14ac:dyDescent="0.3">
      <c r="A3544" t="s">
        <v>348</v>
      </c>
      <c r="B3544" t="s">
        <v>384</v>
      </c>
      <c r="C3544" s="1">
        <f>HYPERLINK("https://cao.dolgi.msk.ru/account/1011032635/", 1011032635)</f>
        <v>1011032635</v>
      </c>
      <c r="D3544">
        <v>0</v>
      </c>
    </row>
    <row r="3545" spans="1:4" hidden="1" x14ac:dyDescent="0.3">
      <c r="A3545" t="s">
        <v>348</v>
      </c>
      <c r="B3545" t="s">
        <v>385</v>
      </c>
      <c r="C3545" s="1">
        <f>HYPERLINK("https://cao.dolgi.msk.ru/account/1011031907/", 1011031907)</f>
        <v>1011031907</v>
      </c>
      <c r="D3545">
        <v>-4777.99</v>
      </c>
    </row>
    <row r="3546" spans="1:4" hidden="1" x14ac:dyDescent="0.3">
      <c r="A3546" t="s">
        <v>348</v>
      </c>
      <c r="B3546" t="s">
        <v>385</v>
      </c>
      <c r="C3546" s="1">
        <f>HYPERLINK("https://cao.dolgi.msk.ru/account/1011032643/", 1011032643)</f>
        <v>1011032643</v>
      </c>
      <c r="D3546">
        <v>0</v>
      </c>
    </row>
    <row r="3547" spans="1:4" hidden="1" x14ac:dyDescent="0.3">
      <c r="A3547" t="s">
        <v>348</v>
      </c>
      <c r="B3547" t="s">
        <v>386</v>
      </c>
      <c r="C3547" s="1">
        <f>HYPERLINK("https://cao.dolgi.msk.ru/account/1011031149/", 1011031149)</f>
        <v>1011031149</v>
      </c>
      <c r="D3547">
        <v>-10186.4</v>
      </c>
    </row>
    <row r="3548" spans="1:4" hidden="1" x14ac:dyDescent="0.3">
      <c r="A3548" t="s">
        <v>348</v>
      </c>
      <c r="B3548" t="s">
        <v>387</v>
      </c>
      <c r="C3548" s="1">
        <f>HYPERLINK("https://cao.dolgi.msk.ru/account/1011033419/", 1011033419)</f>
        <v>1011033419</v>
      </c>
      <c r="D3548">
        <v>-498.72</v>
      </c>
    </row>
    <row r="3549" spans="1:4" x14ac:dyDescent="0.3">
      <c r="A3549" t="s">
        <v>348</v>
      </c>
      <c r="B3549" t="s">
        <v>388</v>
      </c>
      <c r="C3549" s="1">
        <f>HYPERLINK("https://cao.dolgi.msk.ru/account/1011030461/", 1011030461)</f>
        <v>1011030461</v>
      </c>
      <c r="D3549">
        <v>548.19000000000005</v>
      </c>
    </row>
    <row r="3550" spans="1:4" hidden="1" x14ac:dyDescent="0.3">
      <c r="A3550" t="s">
        <v>348</v>
      </c>
      <c r="B3550" t="s">
        <v>389</v>
      </c>
      <c r="C3550" s="1">
        <f>HYPERLINK("https://cao.dolgi.msk.ru/account/1011031915/", 1011031915)</f>
        <v>1011031915</v>
      </c>
      <c r="D3550">
        <v>-6432.39</v>
      </c>
    </row>
    <row r="3551" spans="1:4" hidden="1" x14ac:dyDescent="0.3">
      <c r="A3551" t="s">
        <v>348</v>
      </c>
      <c r="B3551" t="s">
        <v>390</v>
      </c>
      <c r="C3551" s="1">
        <f>HYPERLINK("https://cao.dolgi.msk.ru/account/1011031923/", 1011031923)</f>
        <v>1011031923</v>
      </c>
      <c r="D3551">
        <v>0</v>
      </c>
    </row>
    <row r="3552" spans="1:4" hidden="1" x14ac:dyDescent="0.3">
      <c r="A3552" t="s">
        <v>348</v>
      </c>
      <c r="B3552" t="s">
        <v>391</v>
      </c>
      <c r="C3552" s="1">
        <f>HYPERLINK("https://cao.dolgi.msk.ru/account/1011031931/", 1011031931)</f>
        <v>1011031931</v>
      </c>
      <c r="D3552">
        <v>-3220.08</v>
      </c>
    </row>
    <row r="3553" spans="1:4" hidden="1" x14ac:dyDescent="0.3">
      <c r="A3553" t="s">
        <v>348</v>
      </c>
      <c r="B3553" t="s">
        <v>391</v>
      </c>
      <c r="C3553" s="1">
        <f>HYPERLINK("https://cao.dolgi.msk.ru/account/1011118113/", 1011118113)</f>
        <v>1011118113</v>
      </c>
      <c r="D3553">
        <v>-4295.66</v>
      </c>
    </row>
    <row r="3554" spans="1:4" hidden="1" x14ac:dyDescent="0.3">
      <c r="A3554" t="s">
        <v>348</v>
      </c>
      <c r="B3554" t="s">
        <v>392</v>
      </c>
      <c r="C3554" s="1">
        <f>HYPERLINK("https://cao.dolgi.msk.ru/account/1011029663/", 1011029663)</f>
        <v>1011029663</v>
      </c>
      <c r="D3554">
        <v>0</v>
      </c>
    </row>
    <row r="3555" spans="1:4" hidden="1" x14ac:dyDescent="0.3">
      <c r="A3555" t="s">
        <v>348</v>
      </c>
      <c r="B3555" t="s">
        <v>393</v>
      </c>
      <c r="C3555" s="1">
        <f>HYPERLINK("https://cao.dolgi.msk.ru/account/1011030488/", 1011030488)</f>
        <v>1011030488</v>
      </c>
      <c r="D3555">
        <v>0</v>
      </c>
    </row>
    <row r="3556" spans="1:4" hidden="1" x14ac:dyDescent="0.3">
      <c r="A3556" t="s">
        <v>348</v>
      </c>
      <c r="B3556" t="s">
        <v>394</v>
      </c>
      <c r="C3556" s="1">
        <f>HYPERLINK("https://cao.dolgi.msk.ru/account/1011033427/", 1011033427)</f>
        <v>1011033427</v>
      </c>
      <c r="D3556">
        <v>-1247.1600000000001</v>
      </c>
    </row>
    <row r="3557" spans="1:4" x14ac:dyDescent="0.3">
      <c r="A3557" t="s">
        <v>348</v>
      </c>
      <c r="B3557" t="s">
        <v>395</v>
      </c>
      <c r="C3557" s="1">
        <f>HYPERLINK("https://cao.dolgi.msk.ru/account/1011031165/", 1011031165)</f>
        <v>1011031165</v>
      </c>
      <c r="D3557">
        <v>1892.51</v>
      </c>
    </row>
    <row r="3558" spans="1:4" x14ac:dyDescent="0.3">
      <c r="A3558" t="s">
        <v>348</v>
      </c>
      <c r="B3558" t="s">
        <v>396</v>
      </c>
      <c r="C3558" s="1">
        <f>HYPERLINK("https://cao.dolgi.msk.ru/account/1011033435/", 1011033435)</f>
        <v>1011033435</v>
      </c>
      <c r="D3558">
        <v>3918.65</v>
      </c>
    </row>
    <row r="3559" spans="1:4" hidden="1" x14ac:dyDescent="0.3">
      <c r="A3559" t="s">
        <v>348</v>
      </c>
      <c r="B3559" t="s">
        <v>397</v>
      </c>
      <c r="C3559" s="1">
        <f>HYPERLINK("https://cao.dolgi.msk.ru/account/1011028222/", 1011028222)</f>
        <v>1011028222</v>
      </c>
      <c r="D3559">
        <v>0</v>
      </c>
    </row>
    <row r="3560" spans="1:4" hidden="1" x14ac:dyDescent="0.3">
      <c r="A3560" t="s">
        <v>348</v>
      </c>
      <c r="B3560" t="s">
        <v>398</v>
      </c>
      <c r="C3560" s="1">
        <f>HYPERLINK("https://cao.dolgi.msk.ru/account/1011031173/", 1011031173)</f>
        <v>1011031173</v>
      </c>
      <c r="D3560">
        <v>0</v>
      </c>
    </row>
    <row r="3561" spans="1:4" hidden="1" x14ac:dyDescent="0.3">
      <c r="A3561" t="s">
        <v>348</v>
      </c>
      <c r="B3561" t="s">
        <v>399</v>
      </c>
      <c r="C3561" s="1">
        <f>HYPERLINK("https://cao.dolgi.msk.ru/account/1011031958/", 1011031958)</f>
        <v>1011031958</v>
      </c>
      <c r="D3561">
        <v>0</v>
      </c>
    </row>
    <row r="3562" spans="1:4" hidden="1" x14ac:dyDescent="0.3">
      <c r="A3562" t="s">
        <v>348</v>
      </c>
      <c r="B3562" t="s">
        <v>400</v>
      </c>
      <c r="C3562" s="1">
        <f>HYPERLINK("https://cao.dolgi.msk.ru/account/1011032651/", 1011032651)</f>
        <v>1011032651</v>
      </c>
      <c r="D3562">
        <v>-88143.27</v>
      </c>
    </row>
    <row r="3563" spans="1:4" hidden="1" x14ac:dyDescent="0.3">
      <c r="A3563" t="s">
        <v>348</v>
      </c>
      <c r="B3563" t="s">
        <v>401</v>
      </c>
      <c r="C3563" s="1">
        <f>HYPERLINK("https://cao.dolgi.msk.ru/account/1011028898/", 1011028898)</f>
        <v>1011028898</v>
      </c>
      <c r="D3563">
        <v>-2499.34</v>
      </c>
    </row>
    <row r="3564" spans="1:4" x14ac:dyDescent="0.3">
      <c r="A3564" t="s">
        <v>348</v>
      </c>
      <c r="B3564" t="s">
        <v>401</v>
      </c>
      <c r="C3564" s="1">
        <f>HYPERLINK("https://cao.dolgi.msk.ru/account/1011031966/", 1011031966)</f>
        <v>1011031966</v>
      </c>
      <c r="D3564">
        <v>11361.62</v>
      </c>
    </row>
    <row r="3565" spans="1:4" x14ac:dyDescent="0.3">
      <c r="A3565" t="s">
        <v>348</v>
      </c>
      <c r="B3565" t="s">
        <v>402</v>
      </c>
      <c r="C3565" s="1">
        <f>HYPERLINK("https://cao.dolgi.msk.ru/account/1011028919/", 1011028919)</f>
        <v>1011028919</v>
      </c>
      <c r="D3565">
        <v>6476.02</v>
      </c>
    </row>
    <row r="3566" spans="1:4" hidden="1" x14ac:dyDescent="0.3">
      <c r="A3566" t="s">
        <v>348</v>
      </c>
      <c r="B3566" t="s">
        <v>403</v>
      </c>
      <c r="C3566" s="1">
        <f>HYPERLINK("https://cao.dolgi.msk.ru/account/1011028249/", 1011028249)</f>
        <v>1011028249</v>
      </c>
      <c r="D3566">
        <v>-6276.59</v>
      </c>
    </row>
    <row r="3567" spans="1:4" hidden="1" x14ac:dyDescent="0.3">
      <c r="A3567" t="s">
        <v>348</v>
      </c>
      <c r="B3567" t="s">
        <v>404</v>
      </c>
      <c r="C3567" s="1">
        <f>HYPERLINK("https://cao.dolgi.msk.ru/account/1011029671/", 1011029671)</f>
        <v>1011029671</v>
      </c>
      <c r="D3567">
        <v>0</v>
      </c>
    </row>
    <row r="3568" spans="1:4" hidden="1" x14ac:dyDescent="0.3">
      <c r="A3568" t="s">
        <v>348</v>
      </c>
      <c r="B3568" t="s">
        <v>405</v>
      </c>
      <c r="C3568" s="1">
        <f>HYPERLINK("https://cao.dolgi.msk.ru/account/1011028257/", 1011028257)</f>
        <v>1011028257</v>
      </c>
      <c r="D3568">
        <v>0</v>
      </c>
    </row>
    <row r="3569" spans="1:4" x14ac:dyDescent="0.3">
      <c r="A3569" t="s">
        <v>348</v>
      </c>
      <c r="B3569" t="s">
        <v>406</v>
      </c>
      <c r="C3569" s="1">
        <f>HYPERLINK("https://cao.dolgi.msk.ru/account/1011032678/", 1011032678)</f>
        <v>1011032678</v>
      </c>
      <c r="D3569">
        <v>11164.68</v>
      </c>
    </row>
    <row r="3570" spans="1:4" x14ac:dyDescent="0.3">
      <c r="A3570" t="s">
        <v>348</v>
      </c>
      <c r="B3570" t="s">
        <v>407</v>
      </c>
      <c r="C3570" s="1">
        <f>HYPERLINK("https://cao.dolgi.msk.ru/account/1011031181/", 1011031181)</f>
        <v>1011031181</v>
      </c>
      <c r="D3570">
        <v>1868.47</v>
      </c>
    </row>
    <row r="3571" spans="1:4" hidden="1" x14ac:dyDescent="0.3">
      <c r="A3571" t="s">
        <v>348</v>
      </c>
      <c r="B3571" t="s">
        <v>408</v>
      </c>
      <c r="C3571" s="1">
        <f>HYPERLINK("https://cao.dolgi.msk.ru/account/1011028927/", 1011028927)</f>
        <v>1011028927</v>
      </c>
      <c r="D3571">
        <v>-6711.61</v>
      </c>
    </row>
    <row r="3572" spans="1:4" hidden="1" x14ac:dyDescent="0.3">
      <c r="A3572" t="s">
        <v>348</v>
      </c>
      <c r="B3572" t="s">
        <v>409</v>
      </c>
      <c r="C3572" s="1">
        <f>HYPERLINK("https://cao.dolgi.msk.ru/account/1011031202/", 1011031202)</f>
        <v>1011031202</v>
      </c>
      <c r="D3572">
        <v>0</v>
      </c>
    </row>
    <row r="3573" spans="1:4" hidden="1" x14ac:dyDescent="0.3">
      <c r="A3573" t="s">
        <v>348</v>
      </c>
      <c r="B3573" t="s">
        <v>410</v>
      </c>
      <c r="C3573" s="1">
        <f>HYPERLINK("https://cao.dolgi.msk.ru/account/1011030509/", 1011030509)</f>
        <v>1011030509</v>
      </c>
      <c r="D3573">
        <v>0</v>
      </c>
    </row>
    <row r="3574" spans="1:4" x14ac:dyDescent="0.3">
      <c r="A3574" t="s">
        <v>348</v>
      </c>
      <c r="B3574" t="s">
        <v>411</v>
      </c>
      <c r="C3574" s="1">
        <f>HYPERLINK("https://cao.dolgi.msk.ru/account/1011031974/", 1011031974)</f>
        <v>1011031974</v>
      </c>
      <c r="D3574">
        <v>132054.94</v>
      </c>
    </row>
    <row r="3575" spans="1:4" hidden="1" x14ac:dyDescent="0.3">
      <c r="A3575" t="s">
        <v>348</v>
      </c>
      <c r="B3575" t="s">
        <v>411</v>
      </c>
      <c r="C3575" s="1">
        <f>HYPERLINK("https://cao.dolgi.msk.ru/account/1011033443/", 1011033443)</f>
        <v>1011033443</v>
      </c>
      <c r="D3575">
        <v>-13405.89</v>
      </c>
    </row>
    <row r="3576" spans="1:4" hidden="1" x14ac:dyDescent="0.3">
      <c r="A3576" t="s">
        <v>348</v>
      </c>
      <c r="B3576" t="s">
        <v>412</v>
      </c>
      <c r="C3576" s="1">
        <f>HYPERLINK("https://cao.dolgi.msk.ru/account/1011030517/", 1011030517)</f>
        <v>1011030517</v>
      </c>
      <c r="D3576">
        <v>0</v>
      </c>
    </row>
    <row r="3577" spans="1:4" x14ac:dyDescent="0.3">
      <c r="A3577" t="s">
        <v>348</v>
      </c>
      <c r="B3577" t="s">
        <v>413</v>
      </c>
      <c r="C3577" s="1">
        <f>HYPERLINK("https://cao.dolgi.msk.ru/account/1011033451/", 1011033451)</f>
        <v>1011033451</v>
      </c>
      <c r="D3577">
        <v>444787.15</v>
      </c>
    </row>
    <row r="3578" spans="1:4" hidden="1" x14ac:dyDescent="0.3">
      <c r="A3578" t="s">
        <v>348</v>
      </c>
      <c r="B3578" t="s">
        <v>414</v>
      </c>
      <c r="C3578" s="1">
        <f>HYPERLINK("https://cao.dolgi.msk.ru/account/1011029719/", 1011029719)</f>
        <v>1011029719</v>
      </c>
      <c r="D3578">
        <v>0</v>
      </c>
    </row>
    <row r="3579" spans="1:4" hidden="1" x14ac:dyDescent="0.3">
      <c r="A3579" t="s">
        <v>348</v>
      </c>
      <c r="B3579" t="s">
        <v>414</v>
      </c>
      <c r="C3579" s="1">
        <f>HYPERLINK("https://cao.dolgi.msk.ru/account/1011031982/", 1011031982)</f>
        <v>1011031982</v>
      </c>
      <c r="D3579">
        <v>-10382.77</v>
      </c>
    </row>
    <row r="3580" spans="1:4" x14ac:dyDescent="0.3">
      <c r="A3580" t="s">
        <v>348</v>
      </c>
      <c r="B3580" t="s">
        <v>414</v>
      </c>
      <c r="C3580" s="1">
        <f>HYPERLINK("https://cao.dolgi.msk.ru/account/1011032002/", 1011032002)</f>
        <v>1011032002</v>
      </c>
      <c r="D3580">
        <v>995.66</v>
      </c>
    </row>
    <row r="3581" spans="1:4" x14ac:dyDescent="0.3">
      <c r="A3581" t="s">
        <v>348</v>
      </c>
      <c r="B3581" t="s">
        <v>414</v>
      </c>
      <c r="C3581" s="1">
        <f>HYPERLINK("https://cao.dolgi.msk.ru/account/1011032686/", 1011032686)</f>
        <v>1011032686</v>
      </c>
      <c r="D3581">
        <v>3688.43</v>
      </c>
    </row>
    <row r="3582" spans="1:4" hidden="1" x14ac:dyDescent="0.3">
      <c r="A3582" t="s">
        <v>348</v>
      </c>
      <c r="B3582" t="s">
        <v>415</v>
      </c>
      <c r="C3582" s="1">
        <f>HYPERLINK("https://cao.dolgi.msk.ru/account/1011032029/", 1011032029)</f>
        <v>1011032029</v>
      </c>
      <c r="D3582">
        <v>-15867.93</v>
      </c>
    </row>
    <row r="3583" spans="1:4" hidden="1" x14ac:dyDescent="0.3">
      <c r="A3583" t="s">
        <v>348</v>
      </c>
      <c r="B3583" t="s">
        <v>416</v>
      </c>
      <c r="C3583" s="1">
        <f>HYPERLINK("https://cao.dolgi.msk.ru/account/1011028935/", 1011028935)</f>
        <v>1011028935</v>
      </c>
      <c r="D3583">
        <v>0</v>
      </c>
    </row>
    <row r="3584" spans="1:4" hidden="1" x14ac:dyDescent="0.3">
      <c r="A3584" t="s">
        <v>348</v>
      </c>
      <c r="B3584" t="s">
        <v>417</v>
      </c>
      <c r="C3584" s="1">
        <f>HYPERLINK("https://cao.dolgi.msk.ru/account/1011033478/", 1011033478)</f>
        <v>1011033478</v>
      </c>
      <c r="D3584">
        <v>0</v>
      </c>
    </row>
    <row r="3585" spans="1:4" hidden="1" x14ac:dyDescent="0.3">
      <c r="A3585" t="s">
        <v>348</v>
      </c>
      <c r="B3585" t="s">
        <v>418</v>
      </c>
      <c r="C3585" s="1">
        <f>HYPERLINK("https://cao.dolgi.msk.ru/account/1011030525/", 1011030525)</f>
        <v>1011030525</v>
      </c>
      <c r="D3585">
        <v>0</v>
      </c>
    </row>
    <row r="3586" spans="1:4" hidden="1" x14ac:dyDescent="0.3">
      <c r="A3586" t="s">
        <v>348</v>
      </c>
      <c r="B3586" t="s">
        <v>419</v>
      </c>
      <c r="C3586" s="1">
        <f>HYPERLINK("https://cao.dolgi.msk.ru/account/1011032037/", 1011032037)</f>
        <v>1011032037</v>
      </c>
      <c r="D3586">
        <v>0</v>
      </c>
    </row>
    <row r="3587" spans="1:4" hidden="1" x14ac:dyDescent="0.3">
      <c r="A3587" t="s">
        <v>348</v>
      </c>
      <c r="B3587" t="s">
        <v>420</v>
      </c>
      <c r="C3587" s="1">
        <f>HYPERLINK("https://cao.dolgi.msk.ru/account/1011033486/", 1011033486)</f>
        <v>1011033486</v>
      </c>
      <c r="D3587">
        <v>-72.05</v>
      </c>
    </row>
    <row r="3588" spans="1:4" hidden="1" x14ac:dyDescent="0.3">
      <c r="A3588" t="s">
        <v>348</v>
      </c>
      <c r="B3588" t="s">
        <v>421</v>
      </c>
      <c r="C3588" s="1">
        <f>HYPERLINK("https://cao.dolgi.msk.ru/account/1011028943/", 1011028943)</f>
        <v>1011028943</v>
      </c>
      <c r="D3588">
        <v>0</v>
      </c>
    </row>
    <row r="3589" spans="1:4" hidden="1" x14ac:dyDescent="0.3">
      <c r="A3589" t="s">
        <v>348</v>
      </c>
      <c r="B3589" t="s">
        <v>422</v>
      </c>
      <c r="C3589" s="1">
        <f>HYPERLINK("https://cao.dolgi.msk.ru/account/1011030533/", 1011030533)</f>
        <v>1011030533</v>
      </c>
      <c r="D3589">
        <v>0</v>
      </c>
    </row>
    <row r="3590" spans="1:4" hidden="1" x14ac:dyDescent="0.3">
      <c r="A3590" t="s">
        <v>348</v>
      </c>
      <c r="B3590" t="s">
        <v>423</v>
      </c>
      <c r="C3590" s="1">
        <f>HYPERLINK("https://cao.dolgi.msk.ru/account/1011032694/", 1011032694)</f>
        <v>1011032694</v>
      </c>
      <c r="D3590">
        <v>-4955.26</v>
      </c>
    </row>
    <row r="3591" spans="1:4" hidden="1" x14ac:dyDescent="0.3">
      <c r="A3591" t="s">
        <v>348</v>
      </c>
      <c r="B3591" t="s">
        <v>424</v>
      </c>
      <c r="C3591" s="1">
        <f>HYPERLINK("https://cao.dolgi.msk.ru/account/1011032045/", 1011032045)</f>
        <v>1011032045</v>
      </c>
      <c r="D3591">
        <v>0</v>
      </c>
    </row>
    <row r="3592" spans="1:4" hidden="1" x14ac:dyDescent="0.3">
      <c r="A3592" t="s">
        <v>348</v>
      </c>
      <c r="B3592" t="s">
        <v>425</v>
      </c>
      <c r="C3592" s="1">
        <f>HYPERLINK("https://cao.dolgi.msk.ru/account/1011030015/", 1011030015)</f>
        <v>1011030015</v>
      </c>
      <c r="D3592">
        <v>-703.99</v>
      </c>
    </row>
    <row r="3593" spans="1:4" hidden="1" x14ac:dyDescent="0.3">
      <c r="A3593" t="s">
        <v>348</v>
      </c>
      <c r="B3593" t="s">
        <v>426</v>
      </c>
      <c r="C3593" s="1">
        <f>HYPERLINK("https://cao.dolgi.msk.ru/account/1011031237/", 1011031237)</f>
        <v>1011031237</v>
      </c>
      <c r="D3593">
        <v>0</v>
      </c>
    </row>
    <row r="3594" spans="1:4" x14ac:dyDescent="0.3">
      <c r="A3594" t="s">
        <v>348</v>
      </c>
      <c r="B3594" t="s">
        <v>427</v>
      </c>
      <c r="C3594" s="1">
        <f>HYPERLINK("https://cao.dolgi.msk.ru/account/1011028951/", 1011028951)</f>
        <v>1011028951</v>
      </c>
      <c r="D3594">
        <v>7266.2</v>
      </c>
    </row>
    <row r="3595" spans="1:4" hidden="1" x14ac:dyDescent="0.3">
      <c r="A3595" t="s">
        <v>348</v>
      </c>
      <c r="B3595" t="s">
        <v>428</v>
      </c>
      <c r="C3595" s="1">
        <f>HYPERLINK("https://cao.dolgi.msk.ru/account/1011029727/", 1011029727)</f>
        <v>1011029727</v>
      </c>
      <c r="D3595">
        <v>0</v>
      </c>
    </row>
    <row r="3596" spans="1:4" hidden="1" x14ac:dyDescent="0.3">
      <c r="A3596" t="s">
        <v>348</v>
      </c>
      <c r="B3596" t="s">
        <v>429</v>
      </c>
      <c r="C3596" s="1">
        <f>HYPERLINK("https://cao.dolgi.msk.ru/account/1011028265/", 1011028265)</f>
        <v>1011028265</v>
      </c>
      <c r="D3596">
        <v>-138.96</v>
      </c>
    </row>
    <row r="3597" spans="1:4" hidden="1" x14ac:dyDescent="0.3">
      <c r="A3597" t="s">
        <v>348</v>
      </c>
      <c r="B3597" t="s">
        <v>430</v>
      </c>
      <c r="C3597" s="1">
        <f>HYPERLINK("https://cao.dolgi.msk.ru/account/1011031245/", 1011031245)</f>
        <v>1011031245</v>
      </c>
      <c r="D3597">
        <v>0</v>
      </c>
    </row>
    <row r="3598" spans="1:4" hidden="1" x14ac:dyDescent="0.3">
      <c r="A3598" t="s">
        <v>348</v>
      </c>
      <c r="B3598" t="s">
        <v>431</v>
      </c>
      <c r="C3598" s="1">
        <f>HYPERLINK("https://cao.dolgi.msk.ru/account/1011028978/", 1011028978)</f>
        <v>1011028978</v>
      </c>
      <c r="D3598">
        <v>0</v>
      </c>
    </row>
    <row r="3599" spans="1:4" hidden="1" x14ac:dyDescent="0.3">
      <c r="A3599" t="s">
        <v>348</v>
      </c>
      <c r="B3599" t="s">
        <v>432</v>
      </c>
      <c r="C3599" s="1">
        <f>HYPERLINK("https://cao.dolgi.msk.ru/account/1011029735/", 1011029735)</f>
        <v>1011029735</v>
      </c>
      <c r="D3599">
        <v>0</v>
      </c>
    </row>
    <row r="3600" spans="1:4" hidden="1" x14ac:dyDescent="0.3">
      <c r="A3600" t="s">
        <v>348</v>
      </c>
      <c r="B3600" t="s">
        <v>433</v>
      </c>
      <c r="C3600" s="1">
        <f>HYPERLINK("https://cao.dolgi.msk.ru/account/1011030541/", 1011030541)</f>
        <v>1011030541</v>
      </c>
      <c r="D3600">
        <v>0</v>
      </c>
    </row>
    <row r="3601" spans="1:4" hidden="1" x14ac:dyDescent="0.3">
      <c r="A3601" t="s">
        <v>348</v>
      </c>
      <c r="B3601" t="s">
        <v>434</v>
      </c>
      <c r="C3601" s="1">
        <f>HYPERLINK("https://cao.dolgi.msk.ru/account/1011029743/", 1011029743)</f>
        <v>1011029743</v>
      </c>
      <c r="D3601">
        <v>-2537.21</v>
      </c>
    </row>
    <row r="3602" spans="1:4" x14ac:dyDescent="0.3">
      <c r="A3602" t="s">
        <v>348</v>
      </c>
      <c r="B3602" t="s">
        <v>435</v>
      </c>
      <c r="C3602" s="1">
        <f>HYPERLINK("https://cao.dolgi.msk.ru/account/1011032061/", 1011032061)</f>
        <v>1011032061</v>
      </c>
      <c r="D3602">
        <v>7752.78</v>
      </c>
    </row>
    <row r="3603" spans="1:4" hidden="1" x14ac:dyDescent="0.3">
      <c r="A3603" t="s">
        <v>348</v>
      </c>
      <c r="B3603" t="s">
        <v>436</v>
      </c>
      <c r="C3603" s="1">
        <f>HYPERLINK("https://cao.dolgi.msk.ru/account/1011030568/", 1011030568)</f>
        <v>1011030568</v>
      </c>
      <c r="D3603">
        <v>0</v>
      </c>
    </row>
    <row r="3604" spans="1:4" hidden="1" x14ac:dyDescent="0.3">
      <c r="A3604" t="s">
        <v>348</v>
      </c>
      <c r="B3604" t="s">
        <v>437</v>
      </c>
      <c r="C3604" s="1">
        <f>HYPERLINK("https://cao.dolgi.msk.ru/account/1011031253/", 1011031253)</f>
        <v>1011031253</v>
      </c>
      <c r="D3604">
        <v>0</v>
      </c>
    </row>
    <row r="3605" spans="1:4" x14ac:dyDescent="0.3">
      <c r="A3605" t="s">
        <v>348</v>
      </c>
      <c r="B3605" t="s">
        <v>438</v>
      </c>
      <c r="C3605" s="1">
        <f>HYPERLINK("https://cao.dolgi.msk.ru/account/1011030576/", 1011030576)</f>
        <v>1011030576</v>
      </c>
      <c r="D3605">
        <v>20134.509999999998</v>
      </c>
    </row>
    <row r="3606" spans="1:4" hidden="1" x14ac:dyDescent="0.3">
      <c r="A3606" t="s">
        <v>348</v>
      </c>
      <c r="B3606" t="s">
        <v>438</v>
      </c>
      <c r="C3606" s="1">
        <f>HYPERLINK("https://cao.dolgi.msk.ru/account/1011031261/", 1011031261)</f>
        <v>1011031261</v>
      </c>
      <c r="D3606">
        <v>0</v>
      </c>
    </row>
    <row r="3607" spans="1:4" x14ac:dyDescent="0.3">
      <c r="A3607" t="s">
        <v>348</v>
      </c>
      <c r="B3607" t="s">
        <v>438</v>
      </c>
      <c r="C3607" s="1">
        <f>HYPERLINK("https://cao.dolgi.msk.ru/account/1011032088/", 1011032088)</f>
        <v>1011032088</v>
      </c>
      <c r="D3607">
        <v>7239.46</v>
      </c>
    </row>
    <row r="3608" spans="1:4" x14ac:dyDescent="0.3">
      <c r="A3608" t="s">
        <v>348</v>
      </c>
      <c r="B3608" t="s">
        <v>438</v>
      </c>
      <c r="C3608" s="1">
        <f>HYPERLINK("https://cao.dolgi.msk.ru/account/1011065699/", 1011065699)</f>
        <v>1011065699</v>
      </c>
      <c r="D3608">
        <v>1459.72</v>
      </c>
    </row>
    <row r="3609" spans="1:4" hidden="1" x14ac:dyDescent="0.3">
      <c r="A3609" t="s">
        <v>348</v>
      </c>
      <c r="B3609" t="s">
        <v>439</v>
      </c>
      <c r="C3609" s="1">
        <f>HYPERLINK("https://cao.dolgi.msk.ru/account/1011030584/", 1011030584)</f>
        <v>1011030584</v>
      </c>
      <c r="D3609">
        <v>0</v>
      </c>
    </row>
    <row r="3610" spans="1:4" hidden="1" x14ac:dyDescent="0.3">
      <c r="A3610" t="s">
        <v>348</v>
      </c>
      <c r="B3610" t="s">
        <v>440</v>
      </c>
      <c r="C3610" s="1">
        <f>HYPERLINK("https://cao.dolgi.msk.ru/account/1011029751/", 1011029751)</f>
        <v>1011029751</v>
      </c>
      <c r="D3610">
        <v>0</v>
      </c>
    </row>
    <row r="3611" spans="1:4" x14ac:dyDescent="0.3">
      <c r="A3611" t="s">
        <v>348</v>
      </c>
      <c r="B3611" t="s">
        <v>441</v>
      </c>
      <c r="C3611" s="1">
        <f>HYPERLINK("https://cao.dolgi.msk.ru/account/1011031288/", 1011031288)</f>
        <v>1011031288</v>
      </c>
      <c r="D3611">
        <v>10385.450000000001</v>
      </c>
    </row>
    <row r="3612" spans="1:4" hidden="1" x14ac:dyDescent="0.3">
      <c r="A3612" t="s">
        <v>348</v>
      </c>
      <c r="B3612" t="s">
        <v>441</v>
      </c>
      <c r="C3612" s="1">
        <f>HYPERLINK("https://cao.dolgi.msk.ru/account/1011033507/", 1011033507)</f>
        <v>1011033507</v>
      </c>
      <c r="D3612">
        <v>-17.71</v>
      </c>
    </row>
    <row r="3613" spans="1:4" hidden="1" x14ac:dyDescent="0.3">
      <c r="A3613" t="s">
        <v>348</v>
      </c>
      <c r="B3613" t="s">
        <v>442</v>
      </c>
      <c r="C3613" s="1">
        <f>HYPERLINK("https://cao.dolgi.msk.ru/account/1011031309/", 1011031309)</f>
        <v>1011031309</v>
      </c>
      <c r="D3613">
        <v>0</v>
      </c>
    </row>
    <row r="3614" spans="1:4" hidden="1" x14ac:dyDescent="0.3">
      <c r="A3614" t="s">
        <v>348</v>
      </c>
      <c r="B3614" t="s">
        <v>443</v>
      </c>
      <c r="C3614" s="1">
        <f>HYPERLINK("https://cao.dolgi.msk.ru/account/1011028986/", 1011028986)</f>
        <v>1011028986</v>
      </c>
      <c r="D3614">
        <v>-12714.61</v>
      </c>
    </row>
    <row r="3615" spans="1:4" x14ac:dyDescent="0.3">
      <c r="A3615" t="s">
        <v>348</v>
      </c>
      <c r="B3615" t="s">
        <v>444</v>
      </c>
      <c r="C3615" s="1">
        <f>HYPERLINK("https://cao.dolgi.msk.ru/account/1011030592/", 1011030592)</f>
        <v>1011030592</v>
      </c>
      <c r="D3615">
        <v>20668.52</v>
      </c>
    </row>
    <row r="3616" spans="1:4" hidden="1" x14ac:dyDescent="0.3">
      <c r="A3616" t="s">
        <v>348</v>
      </c>
      <c r="B3616" t="s">
        <v>445</v>
      </c>
      <c r="C3616" s="1">
        <f>HYPERLINK("https://cao.dolgi.msk.ru/account/1011028273/", 1011028273)</f>
        <v>1011028273</v>
      </c>
      <c r="D3616">
        <v>0</v>
      </c>
    </row>
    <row r="3617" spans="1:4" hidden="1" x14ac:dyDescent="0.3">
      <c r="A3617" t="s">
        <v>348</v>
      </c>
      <c r="B3617" t="s">
        <v>446</v>
      </c>
      <c r="C3617" s="1">
        <f>HYPERLINK("https://cao.dolgi.msk.ru/account/1011028994/", 1011028994)</f>
        <v>1011028994</v>
      </c>
      <c r="D3617">
        <v>-29130.23</v>
      </c>
    </row>
    <row r="3618" spans="1:4" hidden="1" x14ac:dyDescent="0.3">
      <c r="A3618" t="s">
        <v>348</v>
      </c>
      <c r="B3618" t="s">
        <v>447</v>
      </c>
      <c r="C3618" s="1">
        <f>HYPERLINK("https://cao.dolgi.msk.ru/account/1011030605/", 1011030605)</f>
        <v>1011030605</v>
      </c>
      <c r="D3618">
        <v>0</v>
      </c>
    </row>
    <row r="3619" spans="1:4" hidden="1" x14ac:dyDescent="0.3">
      <c r="A3619" t="s">
        <v>348</v>
      </c>
      <c r="B3619" t="s">
        <v>448</v>
      </c>
      <c r="C3619" s="1">
        <f>HYPERLINK("https://cao.dolgi.msk.ru/account/1011033515/", 1011033515)</f>
        <v>1011033515</v>
      </c>
      <c r="D3619">
        <v>-33135.089999999997</v>
      </c>
    </row>
    <row r="3620" spans="1:4" hidden="1" x14ac:dyDescent="0.3">
      <c r="A3620" t="s">
        <v>348</v>
      </c>
      <c r="B3620" t="s">
        <v>449</v>
      </c>
      <c r="C3620" s="1">
        <f>HYPERLINK("https://cao.dolgi.msk.ru/account/1011030816/", 1011030816)</f>
        <v>1011030816</v>
      </c>
      <c r="D3620">
        <v>-134.27000000000001</v>
      </c>
    </row>
    <row r="3621" spans="1:4" hidden="1" x14ac:dyDescent="0.3">
      <c r="A3621" t="s">
        <v>348</v>
      </c>
      <c r="B3621" t="s">
        <v>450</v>
      </c>
      <c r="C3621" s="1">
        <f>HYPERLINK("https://cao.dolgi.msk.ru/account/1011029006/", 1011029006)</f>
        <v>1011029006</v>
      </c>
      <c r="D3621">
        <v>-1349.13</v>
      </c>
    </row>
    <row r="3622" spans="1:4" hidden="1" x14ac:dyDescent="0.3">
      <c r="A3622" t="s">
        <v>348</v>
      </c>
      <c r="B3622" t="s">
        <v>451</v>
      </c>
      <c r="C3622" s="1">
        <f>HYPERLINK("https://cao.dolgi.msk.ru/account/1011033523/", 1011033523)</f>
        <v>1011033523</v>
      </c>
      <c r="D3622">
        <v>0</v>
      </c>
    </row>
    <row r="3623" spans="1:4" hidden="1" x14ac:dyDescent="0.3">
      <c r="A3623" t="s">
        <v>348</v>
      </c>
      <c r="B3623" t="s">
        <v>452</v>
      </c>
      <c r="C3623" s="1">
        <f>HYPERLINK("https://cao.dolgi.msk.ru/account/1011028302/", 1011028302)</f>
        <v>1011028302</v>
      </c>
      <c r="D3623">
        <v>0</v>
      </c>
    </row>
    <row r="3624" spans="1:4" hidden="1" x14ac:dyDescent="0.3">
      <c r="A3624" t="s">
        <v>348</v>
      </c>
      <c r="B3624" t="s">
        <v>453</v>
      </c>
      <c r="C3624" s="1">
        <f>HYPERLINK("https://cao.dolgi.msk.ru/account/1011033531/", 1011033531)</f>
        <v>1011033531</v>
      </c>
      <c r="D3624">
        <v>-9026.1</v>
      </c>
    </row>
    <row r="3625" spans="1:4" x14ac:dyDescent="0.3">
      <c r="A3625" t="s">
        <v>348</v>
      </c>
      <c r="B3625" t="s">
        <v>454</v>
      </c>
      <c r="C3625" s="1">
        <f>HYPERLINK("https://cao.dolgi.msk.ru/account/1011033558/", 1011033558)</f>
        <v>1011033558</v>
      </c>
      <c r="D3625">
        <v>5627.81</v>
      </c>
    </row>
    <row r="3626" spans="1:4" x14ac:dyDescent="0.3">
      <c r="A3626" t="s">
        <v>348</v>
      </c>
      <c r="B3626" t="s">
        <v>455</v>
      </c>
      <c r="C3626" s="1">
        <f>HYPERLINK("https://cao.dolgi.msk.ru/account/1011030613/", 1011030613)</f>
        <v>1011030613</v>
      </c>
      <c r="D3626">
        <v>5825.07</v>
      </c>
    </row>
    <row r="3627" spans="1:4" hidden="1" x14ac:dyDescent="0.3">
      <c r="A3627" t="s">
        <v>348</v>
      </c>
      <c r="B3627" t="s">
        <v>456</v>
      </c>
      <c r="C3627" s="1">
        <f>HYPERLINK("https://cao.dolgi.msk.ru/account/1011033566/", 1011033566)</f>
        <v>1011033566</v>
      </c>
      <c r="D3627">
        <v>0</v>
      </c>
    </row>
    <row r="3628" spans="1:4" hidden="1" x14ac:dyDescent="0.3">
      <c r="A3628" t="s">
        <v>348</v>
      </c>
      <c r="B3628" t="s">
        <v>457</v>
      </c>
      <c r="C3628" s="1">
        <f>HYPERLINK("https://cao.dolgi.msk.ru/account/1011033574/", 1011033574)</f>
        <v>1011033574</v>
      </c>
      <c r="D3628">
        <v>0</v>
      </c>
    </row>
    <row r="3629" spans="1:4" hidden="1" x14ac:dyDescent="0.3">
      <c r="A3629" t="s">
        <v>348</v>
      </c>
      <c r="B3629" t="s">
        <v>458</v>
      </c>
      <c r="C3629" s="1">
        <f>HYPERLINK("https://cao.dolgi.msk.ru/account/1011028329/", 1011028329)</f>
        <v>1011028329</v>
      </c>
      <c r="D3629">
        <v>0</v>
      </c>
    </row>
    <row r="3630" spans="1:4" hidden="1" x14ac:dyDescent="0.3">
      <c r="A3630" t="s">
        <v>348</v>
      </c>
      <c r="B3630" t="s">
        <v>459</v>
      </c>
      <c r="C3630" s="1">
        <f>HYPERLINK("https://cao.dolgi.msk.ru/account/1011032715/", 1011032715)</f>
        <v>1011032715</v>
      </c>
      <c r="D3630">
        <v>0</v>
      </c>
    </row>
    <row r="3631" spans="1:4" hidden="1" x14ac:dyDescent="0.3">
      <c r="A3631" t="s">
        <v>348</v>
      </c>
      <c r="B3631" t="s">
        <v>460</v>
      </c>
      <c r="C3631" s="1">
        <f>HYPERLINK("https://cao.dolgi.msk.ru/account/1011030621/", 1011030621)</f>
        <v>1011030621</v>
      </c>
      <c r="D3631">
        <v>-1791.49</v>
      </c>
    </row>
    <row r="3632" spans="1:4" hidden="1" x14ac:dyDescent="0.3">
      <c r="A3632" t="s">
        <v>348</v>
      </c>
      <c r="B3632" t="s">
        <v>460</v>
      </c>
      <c r="C3632" s="1">
        <f>HYPERLINK("https://cao.dolgi.msk.ru/account/1011031317/", 1011031317)</f>
        <v>1011031317</v>
      </c>
      <c r="D3632">
        <v>-1791.49</v>
      </c>
    </row>
    <row r="3633" spans="1:4" hidden="1" x14ac:dyDescent="0.3">
      <c r="A3633" t="s">
        <v>348</v>
      </c>
      <c r="B3633" t="s">
        <v>460</v>
      </c>
      <c r="C3633" s="1">
        <f>HYPERLINK("https://cao.dolgi.msk.ru/account/1011032096/", 1011032096)</f>
        <v>1011032096</v>
      </c>
      <c r="D3633">
        <v>-6573.01</v>
      </c>
    </row>
    <row r="3634" spans="1:4" hidden="1" x14ac:dyDescent="0.3">
      <c r="A3634" t="s">
        <v>348</v>
      </c>
      <c r="B3634" t="s">
        <v>460</v>
      </c>
      <c r="C3634" s="1">
        <f>HYPERLINK("https://cao.dolgi.msk.ru/account/1011032723/", 1011032723)</f>
        <v>1011032723</v>
      </c>
      <c r="D3634">
        <v>-1791.49</v>
      </c>
    </row>
    <row r="3635" spans="1:4" hidden="1" x14ac:dyDescent="0.3">
      <c r="A3635" t="s">
        <v>348</v>
      </c>
      <c r="B3635" t="s">
        <v>461</v>
      </c>
      <c r="C3635" s="1">
        <f>HYPERLINK("https://cao.dolgi.msk.ru/account/1011032731/", 1011032731)</f>
        <v>1011032731</v>
      </c>
      <c r="D3635">
        <v>0</v>
      </c>
    </row>
    <row r="3636" spans="1:4" hidden="1" x14ac:dyDescent="0.3">
      <c r="A3636" t="s">
        <v>348</v>
      </c>
      <c r="B3636" t="s">
        <v>462</v>
      </c>
      <c r="C3636" s="1">
        <f>HYPERLINK("https://cao.dolgi.msk.ru/account/1011030648/", 1011030648)</f>
        <v>1011030648</v>
      </c>
      <c r="D3636">
        <v>-76.19</v>
      </c>
    </row>
    <row r="3637" spans="1:4" hidden="1" x14ac:dyDescent="0.3">
      <c r="A3637" t="s">
        <v>348</v>
      </c>
      <c r="B3637" t="s">
        <v>463</v>
      </c>
      <c r="C3637" s="1">
        <f>HYPERLINK("https://cao.dolgi.msk.ru/account/1011030656/", 1011030656)</f>
        <v>1011030656</v>
      </c>
      <c r="D3637">
        <v>-9576.9</v>
      </c>
    </row>
    <row r="3638" spans="1:4" hidden="1" x14ac:dyDescent="0.3">
      <c r="A3638" t="s">
        <v>348</v>
      </c>
      <c r="B3638" t="s">
        <v>464</v>
      </c>
      <c r="C3638" s="1">
        <f>HYPERLINK("https://cao.dolgi.msk.ru/account/1011030664/", 1011030664)</f>
        <v>1011030664</v>
      </c>
      <c r="D3638">
        <v>-7435.03</v>
      </c>
    </row>
    <row r="3639" spans="1:4" hidden="1" x14ac:dyDescent="0.3">
      <c r="A3639" t="s">
        <v>348</v>
      </c>
      <c r="B3639" t="s">
        <v>465</v>
      </c>
      <c r="C3639" s="1">
        <f>HYPERLINK("https://cao.dolgi.msk.ru/account/1011032109/", 1011032109)</f>
        <v>1011032109</v>
      </c>
      <c r="D3639">
        <v>-8501.93</v>
      </c>
    </row>
    <row r="3640" spans="1:4" hidden="1" x14ac:dyDescent="0.3">
      <c r="A3640" t="s">
        <v>348</v>
      </c>
      <c r="B3640" t="s">
        <v>466</v>
      </c>
      <c r="C3640" s="1">
        <f>HYPERLINK("https://cao.dolgi.msk.ru/account/1011032766/", 1011032766)</f>
        <v>1011032766</v>
      </c>
      <c r="D3640">
        <v>-6087.78</v>
      </c>
    </row>
    <row r="3641" spans="1:4" hidden="1" x14ac:dyDescent="0.3">
      <c r="A3641" t="s">
        <v>348</v>
      </c>
      <c r="B3641" t="s">
        <v>467</v>
      </c>
      <c r="C3641" s="1">
        <f>HYPERLINK("https://cao.dolgi.msk.ru/account/1011033582/", 1011033582)</f>
        <v>1011033582</v>
      </c>
      <c r="D3641">
        <v>0</v>
      </c>
    </row>
    <row r="3642" spans="1:4" hidden="1" x14ac:dyDescent="0.3">
      <c r="A3642" t="s">
        <v>348</v>
      </c>
      <c r="B3642" t="s">
        <v>467</v>
      </c>
      <c r="C3642" s="1">
        <f>HYPERLINK("https://cao.dolgi.msk.ru/account/1011109196/", 1011109196)</f>
        <v>1011109196</v>
      </c>
      <c r="D3642">
        <v>0</v>
      </c>
    </row>
    <row r="3643" spans="1:4" hidden="1" x14ac:dyDescent="0.3">
      <c r="A3643" t="s">
        <v>348</v>
      </c>
      <c r="B3643" t="s">
        <v>468</v>
      </c>
      <c r="C3643" s="1">
        <f>HYPERLINK("https://cao.dolgi.msk.ru/account/1011032117/", 1011032117)</f>
        <v>1011032117</v>
      </c>
      <c r="D3643">
        <v>-9780.19</v>
      </c>
    </row>
    <row r="3644" spans="1:4" hidden="1" x14ac:dyDescent="0.3">
      <c r="A3644" t="s">
        <v>348</v>
      </c>
      <c r="B3644" t="s">
        <v>469</v>
      </c>
      <c r="C3644" s="1">
        <f>HYPERLINK("https://cao.dolgi.msk.ru/account/1011028337/", 1011028337)</f>
        <v>1011028337</v>
      </c>
      <c r="D3644">
        <v>-10301.86</v>
      </c>
    </row>
    <row r="3645" spans="1:4" hidden="1" x14ac:dyDescent="0.3">
      <c r="A3645" t="s">
        <v>348</v>
      </c>
      <c r="B3645" t="s">
        <v>470</v>
      </c>
      <c r="C3645" s="1">
        <f>HYPERLINK("https://cao.dolgi.msk.ru/account/1011030672/", 1011030672)</f>
        <v>1011030672</v>
      </c>
      <c r="D3645">
        <v>0</v>
      </c>
    </row>
    <row r="3646" spans="1:4" hidden="1" x14ac:dyDescent="0.3">
      <c r="A3646" t="s">
        <v>348</v>
      </c>
      <c r="B3646" t="s">
        <v>471</v>
      </c>
      <c r="C3646" s="1">
        <f>HYPERLINK("https://cao.dolgi.msk.ru/account/1011032125/", 1011032125)</f>
        <v>1011032125</v>
      </c>
      <c r="D3646">
        <v>-8038.23</v>
      </c>
    </row>
    <row r="3647" spans="1:4" hidden="1" x14ac:dyDescent="0.3">
      <c r="A3647" t="s">
        <v>348</v>
      </c>
      <c r="B3647" t="s">
        <v>472</v>
      </c>
      <c r="C3647" s="1">
        <f>HYPERLINK("https://cao.dolgi.msk.ru/account/1011028345/", 1011028345)</f>
        <v>1011028345</v>
      </c>
      <c r="D3647">
        <v>0</v>
      </c>
    </row>
    <row r="3648" spans="1:4" hidden="1" x14ac:dyDescent="0.3">
      <c r="A3648" t="s">
        <v>348</v>
      </c>
      <c r="B3648" t="s">
        <v>472</v>
      </c>
      <c r="C3648" s="1">
        <f>HYPERLINK("https://cao.dolgi.msk.ru/account/1011033603/", 1011033603)</f>
        <v>1011033603</v>
      </c>
      <c r="D3648">
        <v>0</v>
      </c>
    </row>
    <row r="3649" spans="1:4" x14ac:dyDescent="0.3">
      <c r="A3649" t="s">
        <v>348</v>
      </c>
      <c r="B3649" t="s">
        <v>473</v>
      </c>
      <c r="C3649" s="1">
        <f>HYPERLINK("https://cao.dolgi.msk.ru/account/1011029786/", 1011029786)</f>
        <v>1011029786</v>
      </c>
      <c r="D3649">
        <v>6768.59</v>
      </c>
    </row>
    <row r="3650" spans="1:4" hidden="1" x14ac:dyDescent="0.3">
      <c r="A3650" t="s">
        <v>348</v>
      </c>
      <c r="B3650" t="s">
        <v>474</v>
      </c>
      <c r="C3650" s="1">
        <f>HYPERLINK("https://cao.dolgi.msk.ru/account/1011033611/", 1011033611)</f>
        <v>1011033611</v>
      </c>
      <c r="D3650">
        <v>-35.46</v>
      </c>
    </row>
    <row r="3651" spans="1:4" hidden="1" x14ac:dyDescent="0.3">
      <c r="A3651" t="s">
        <v>348</v>
      </c>
      <c r="B3651" t="s">
        <v>475</v>
      </c>
      <c r="C3651" s="1">
        <f>HYPERLINK("https://cao.dolgi.msk.ru/account/1011032133/", 1011032133)</f>
        <v>1011032133</v>
      </c>
      <c r="D3651">
        <v>-5918.4</v>
      </c>
    </row>
    <row r="3652" spans="1:4" hidden="1" x14ac:dyDescent="0.3">
      <c r="A3652" t="s">
        <v>348</v>
      </c>
      <c r="B3652" t="s">
        <v>476</v>
      </c>
      <c r="C3652" s="1">
        <f>HYPERLINK("https://cao.dolgi.msk.ru/account/1011033638/", 1011033638)</f>
        <v>1011033638</v>
      </c>
      <c r="D3652">
        <v>0</v>
      </c>
    </row>
    <row r="3653" spans="1:4" hidden="1" x14ac:dyDescent="0.3">
      <c r="A3653" t="s">
        <v>348</v>
      </c>
      <c r="B3653" t="s">
        <v>477</v>
      </c>
      <c r="C3653" s="1">
        <f>HYPERLINK("https://cao.dolgi.msk.ru/account/1011029014/", 1011029014)</f>
        <v>1011029014</v>
      </c>
      <c r="D3653">
        <v>0</v>
      </c>
    </row>
    <row r="3654" spans="1:4" hidden="1" x14ac:dyDescent="0.3">
      <c r="A3654" t="s">
        <v>348</v>
      </c>
      <c r="B3654" t="s">
        <v>478</v>
      </c>
      <c r="C3654" s="1">
        <f>HYPERLINK("https://cao.dolgi.msk.ru/account/1011032141/", 1011032141)</f>
        <v>1011032141</v>
      </c>
      <c r="D3654">
        <v>-815.21</v>
      </c>
    </row>
    <row r="3655" spans="1:4" hidden="1" x14ac:dyDescent="0.3">
      <c r="A3655" t="s">
        <v>348</v>
      </c>
      <c r="B3655" t="s">
        <v>479</v>
      </c>
      <c r="C3655" s="1">
        <f>HYPERLINK("https://cao.dolgi.msk.ru/account/1011033646/", 1011033646)</f>
        <v>1011033646</v>
      </c>
      <c r="D3655">
        <v>0</v>
      </c>
    </row>
    <row r="3656" spans="1:4" hidden="1" x14ac:dyDescent="0.3">
      <c r="A3656" t="s">
        <v>348</v>
      </c>
      <c r="B3656" t="s">
        <v>480</v>
      </c>
      <c r="C3656" s="1">
        <f>HYPERLINK("https://cao.dolgi.msk.ru/account/1011029794/", 1011029794)</f>
        <v>1011029794</v>
      </c>
      <c r="D3656">
        <v>0</v>
      </c>
    </row>
    <row r="3657" spans="1:4" hidden="1" x14ac:dyDescent="0.3">
      <c r="A3657" t="s">
        <v>348</v>
      </c>
      <c r="B3657" t="s">
        <v>480</v>
      </c>
      <c r="C3657" s="1">
        <f>HYPERLINK("https://cao.dolgi.msk.ru/account/1011030699/", 1011030699)</f>
        <v>1011030699</v>
      </c>
      <c r="D3657">
        <v>0</v>
      </c>
    </row>
    <row r="3658" spans="1:4" hidden="1" x14ac:dyDescent="0.3">
      <c r="A3658" t="s">
        <v>348</v>
      </c>
      <c r="B3658" t="s">
        <v>480</v>
      </c>
      <c r="C3658" s="1">
        <f>HYPERLINK("https://cao.dolgi.msk.ru/account/1011032168/", 1011032168)</f>
        <v>1011032168</v>
      </c>
      <c r="D3658">
        <v>-3975.38</v>
      </c>
    </row>
    <row r="3659" spans="1:4" hidden="1" x14ac:dyDescent="0.3">
      <c r="A3659" t="s">
        <v>348</v>
      </c>
      <c r="B3659" t="s">
        <v>481</v>
      </c>
      <c r="C3659" s="1">
        <f>HYPERLINK("https://cao.dolgi.msk.ru/account/1011030023/", 1011030023)</f>
        <v>1011030023</v>
      </c>
      <c r="D3659">
        <v>-51096.37</v>
      </c>
    </row>
    <row r="3660" spans="1:4" hidden="1" x14ac:dyDescent="0.3">
      <c r="A3660" t="s">
        <v>348</v>
      </c>
      <c r="B3660" t="s">
        <v>482</v>
      </c>
      <c r="C3660" s="1">
        <f>HYPERLINK("https://cao.dolgi.msk.ru/account/1011028353/", 1011028353)</f>
        <v>1011028353</v>
      </c>
      <c r="D3660">
        <v>-7913.36</v>
      </c>
    </row>
    <row r="3661" spans="1:4" hidden="1" x14ac:dyDescent="0.3">
      <c r="A3661" t="s">
        <v>348</v>
      </c>
      <c r="B3661" t="s">
        <v>483</v>
      </c>
      <c r="C3661" s="1">
        <f>HYPERLINK("https://cao.dolgi.msk.ru/account/1011029807/", 1011029807)</f>
        <v>1011029807</v>
      </c>
      <c r="D3661">
        <v>0</v>
      </c>
    </row>
    <row r="3662" spans="1:4" hidden="1" x14ac:dyDescent="0.3">
      <c r="A3662" t="s">
        <v>348</v>
      </c>
      <c r="B3662" t="s">
        <v>484</v>
      </c>
      <c r="C3662" s="1">
        <f>HYPERLINK("https://cao.dolgi.msk.ru/account/1011032782/", 1011032782)</f>
        <v>1011032782</v>
      </c>
      <c r="D3662">
        <v>0</v>
      </c>
    </row>
    <row r="3663" spans="1:4" hidden="1" x14ac:dyDescent="0.3">
      <c r="A3663" t="s">
        <v>348</v>
      </c>
      <c r="B3663" t="s">
        <v>485</v>
      </c>
      <c r="C3663" s="1">
        <f>HYPERLINK("https://cao.dolgi.msk.ru/account/1011029049/", 1011029049)</f>
        <v>1011029049</v>
      </c>
      <c r="D3663">
        <v>0</v>
      </c>
    </row>
    <row r="3664" spans="1:4" hidden="1" x14ac:dyDescent="0.3">
      <c r="A3664" t="s">
        <v>348</v>
      </c>
      <c r="B3664" t="s">
        <v>486</v>
      </c>
      <c r="C3664" s="1">
        <f>HYPERLINK("https://cao.dolgi.msk.ru/account/1011033654/", 1011033654)</f>
        <v>1011033654</v>
      </c>
      <c r="D3664">
        <v>-10.18</v>
      </c>
    </row>
    <row r="3665" spans="1:4" hidden="1" x14ac:dyDescent="0.3">
      <c r="A3665" t="s">
        <v>348</v>
      </c>
      <c r="B3665" t="s">
        <v>487</v>
      </c>
      <c r="C3665" s="1">
        <f>HYPERLINK("https://cao.dolgi.msk.ru/account/1011029815/", 1011029815)</f>
        <v>1011029815</v>
      </c>
      <c r="D3665">
        <v>0</v>
      </c>
    </row>
    <row r="3666" spans="1:4" hidden="1" x14ac:dyDescent="0.3">
      <c r="A3666" t="s">
        <v>348</v>
      </c>
      <c r="B3666" t="s">
        <v>487</v>
      </c>
      <c r="C3666" s="1">
        <f>HYPERLINK("https://cao.dolgi.msk.ru/account/1011032803/", 1011032803)</f>
        <v>1011032803</v>
      </c>
      <c r="D3666">
        <v>0</v>
      </c>
    </row>
    <row r="3667" spans="1:4" hidden="1" x14ac:dyDescent="0.3">
      <c r="A3667" t="s">
        <v>348</v>
      </c>
      <c r="B3667" t="s">
        <v>488</v>
      </c>
      <c r="C3667" s="1">
        <f>HYPERLINK("https://cao.dolgi.msk.ru/account/1011028361/", 1011028361)</f>
        <v>1011028361</v>
      </c>
      <c r="D3667">
        <v>-8636.7999999999993</v>
      </c>
    </row>
    <row r="3668" spans="1:4" hidden="1" x14ac:dyDescent="0.3">
      <c r="A3668" t="s">
        <v>348</v>
      </c>
      <c r="B3668" t="s">
        <v>489</v>
      </c>
      <c r="C3668" s="1">
        <f>HYPERLINK("https://cao.dolgi.msk.ru/account/1011029057/", 1011029057)</f>
        <v>1011029057</v>
      </c>
      <c r="D3668">
        <v>-6541.11</v>
      </c>
    </row>
    <row r="3669" spans="1:4" hidden="1" x14ac:dyDescent="0.3">
      <c r="A3669" t="s">
        <v>348</v>
      </c>
      <c r="B3669" t="s">
        <v>489</v>
      </c>
      <c r="C3669" s="1">
        <f>HYPERLINK("https://cao.dolgi.msk.ru/account/1011530634/", 1011530634)</f>
        <v>1011530634</v>
      </c>
      <c r="D3669">
        <v>-5196.97</v>
      </c>
    </row>
    <row r="3670" spans="1:4" hidden="1" x14ac:dyDescent="0.3">
      <c r="A3670" t="s">
        <v>348</v>
      </c>
      <c r="B3670" t="s">
        <v>490</v>
      </c>
      <c r="C3670" s="1">
        <f>HYPERLINK("https://cao.dolgi.msk.ru/account/1011032811/", 1011032811)</f>
        <v>1011032811</v>
      </c>
      <c r="D3670">
        <v>0</v>
      </c>
    </row>
    <row r="3671" spans="1:4" x14ac:dyDescent="0.3">
      <c r="A3671" t="s">
        <v>348</v>
      </c>
      <c r="B3671" t="s">
        <v>491</v>
      </c>
      <c r="C3671" s="1">
        <f>HYPERLINK("https://cao.dolgi.msk.ru/account/1011029065/", 1011029065)</f>
        <v>1011029065</v>
      </c>
      <c r="D3671">
        <v>29463.53</v>
      </c>
    </row>
    <row r="3672" spans="1:4" hidden="1" x14ac:dyDescent="0.3">
      <c r="A3672" t="s">
        <v>348</v>
      </c>
      <c r="B3672" t="s">
        <v>492</v>
      </c>
      <c r="C3672" s="1">
        <f>HYPERLINK("https://cao.dolgi.msk.ru/account/1011031333/", 1011031333)</f>
        <v>1011031333</v>
      </c>
      <c r="D3672">
        <v>0</v>
      </c>
    </row>
    <row r="3673" spans="1:4" hidden="1" x14ac:dyDescent="0.3">
      <c r="A3673" t="s">
        <v>348</v>
      </c>
      <c r="B3673" t="s">
        <v>493</v>
      </c>
      <c r="C3673" s="1">
        <f>HYPERLINK("https://cao.dolgi.msk.ru/account/1011031341/", 1011031341)</f>
        <v>1011031341</v>
      </c>
      <c r="D3673">
        <v>0</v>
      </c>
    </row>
    <row r="3674" spans="1:4" hidden="1" x14ac:dyDescent="0.3">
      <c r="A3674" t="s">
        <v>348</v>
      </c>
      <c r="B3674" t="s">
        <v>494</v>
      </c>
      <c r="C3674" s="1">
        <f>HYPERLINK("https://cao.dolgi.msk.ru/account/1011029823/", 1011029823)</f>
        <v>1011029823</v>
      </c>
      <c r="D3674">
        <v>-2869.54</v>
      </c>
    </row>
    <row r="3675" spans="1:4" hidden="1" x14ac:dyDescent="0.3">
      <c r="A3675" t="s">
        <v>348</v>
      </c>
      <c r="B3675" t="s">
        <v>494</v>
      </c>
      <c r="C3675" s="1">
        <f>HYPERLINK("https://cao.dolgi.msk.ru/account/1011031368/", 1011031368)</f>
        <v>1011031368</v>
      </c>
      <c r="D3675">
        <v>-8774.5499999999993</v>
      </c>
    </row>
    <row r="3676" spans="1:4" hidden="1" x14ac:dyDescent="0.3">
      <c r="A3676" t="s">
        <v>348</v>
      </c>
      <c r="B3676" t="s">
        <v>495</v>
      </c>
      <c r="C3676" s="1">
        <f>HYPERLINK("https://cao.dolgi.msk.ru/account/1011029073/", 1011029073)</f>
        <v>1011029073</v>
      </c>
      <c r="D3676">
        <v>0</v>
      </c>
    </row>
    <row r="3677" spans="1:4" hidden="1" x14ac:dyDescent="0.3">
      <c r="A3677" t="s">
        <v>348</v>
      </c>
      <c r="B3677" t="s">
        <v>496</v>
      </c>
      <c r="C3677" s="1">
        <f>HYPERLINK("https://cao.dolgi.msk.ru/account/1011028388/", 1011028388)</f>
        <v>1011028388</v>
      </c>
      <c r="D3677">
        <v>-732.16</v>
      </c>
    </row>
    <row r="3678" spans="1:4" hidden="1" x14ac:dyDescent="0.3">
      <c r="A3678" t="s">
        <v>348</v>
      </c>
      <c r="B3678" t="s">
        <v>497</v>
      </c>
      <c r="C3678" s="1">
        <f>HYPERLINK("https://cao.dolgi.msk.ru/account/1011030701/", 1011030701)</f>
        <v>1011030701</v>
      </c>
      <c r="D3678">
        <v>0</v>
      </c>
    </row>
    <row r="3679" spans="1:4" hidden="1" x14ac:dyDescent="0.3">
      <c r="A3679" t="s">
        <v>348</v>
      </c>
      <c r="B3679" t="s">
        <v>498</v>
      </c>
      <c r="C3679" s="1">
        <f>HYPERLINK("https://cao.dolgi.msk.ru/account/1011031376/", 1011031376)</f>
        <v>1011031376</v>
      </c>
      <c r="D3679">
        <v>-5990.14</v>
      </c>
    </row>
    <row r="3680" spans="1:4" hidden="1" x14ac:dyDescent="0.3">
      <c r="A3680" t="s">
        <v>348</v>
      </c>
      <c r="B3680" t="s">
        <v>499</v>
      </c>
      <c r="C3680" s="1">
        <f>HYPERLINK("https://cao.dolgi.msk.ru/account/1011032838/", 1011032838)</f>
        <v>1011032838</v>
      </c>
      <c r="D3680">
        <v>0</v>
      </c>
    </row>
    <row r="3681" spans="1:4" hidden="1" x14ac:dyDescent="0.3">
      <c r="A3681" t="s">
        <v>348</v>
      </c>
      <c r="B3681" t="s">
        <v>500</v>
      </c>
      <c r="C3681" s="1">
        <f>HYPERLINK("https://cao.dolgi.msk.ru/account/1011028396/", 1011028396)</f>
        <v>1011028396</v>
      </c>
      <c r="D3681">
        <v>-20869.900000000001</v>
      </c>
    </row>
    <row r="3682" spans="1:4" hidden="1" x14ac:dyDescent="0.3">
      <c r="A3682" t="s">
        <v>348</v>
      </c>
      <c r="B3682" t="s">
        <v>501</v>
      </c>
      <c r="C3682" s="1">
        <f>HYPERLINK("https://cao.dolgi.msk.ru/account/1011527056/", 1011527056)</f>
        <v>1011527056</v>
      </c>
      <c r="D3682">
        <v>0</v>
      </c>
    </row>
    <row r="3683" spans="1:4" hidden="1" x14ac:dyDescent="0.3">
      <c r="A3683" t="s">
        <v>348</v>
      </c>
      <c r="B3683" t="s">
        <v>502</v>
      </c>
      <c r="C3683" s="1">
        <f>HYPERLINK("https://cao.dolgi.msk.ru/account/1011029831/", 1011029831)</f>
        <v>1011029831</v>
      </c>
      <c r="D3683">
        <v>0</v>
      </c>
    </row>
    <row r="3684" spans="1:4" hidden="1" x14ac:dyDescent="0.3">
      <c r="A3684" t="s">
        <v>348</v>
      </c>
      <c r="B3684" t="s">
        <v>503</v>
      </c>
      <c r="C3684" s="1">
        <f>HYPERLINK("https://cao.dolgi.msk.ru/account/1011029858/", 1011029858)</f>
        <v>1011029858</v>
      </c>
      <c r="D3684">
        <v>0</v>
      </c>
    </row>
    <row r="3685" spans="1:4" hidden="1" x14ac:dyDescent="0.3">
      <c r="A3685" t="s">
        <v>348</v>
      </c>
      <c r="B3685" t="s">
        <v>504</v>
      </c>
      <c r="C3685" s="1">
        <f>HYPERLINK("https://cao.dolgi.msk.ru/account/1011032846/", 1011032846)</f>
        <v>1011032846</v>
      </c>
      <c r="D3685">
        <v>0</v>
      </c>
    </row>
    <row r="3686" spans="1:4" hidden="1" x14ac:dyDescent="0.3">
      <c r="A3686" t="s">
        <v>348</v>
      </c>
      <c r="B3686" t="s">
        <v>505</v>
      </c>
      <c r="C3686" s="1">
        <f>HYPERLINK("https://cao.dolgi.msk.ru/account/1011032854/", 1011032854)</f>
        <v>1011032854</v>
      </c>
      <c r="D3686">
        <v>0</v>
      </c>
    </row>
    <row r="3687" spans="1:4" x14ac:dyDescent="0.3">
      <c r="A3687" t="s">
        <v>348</v>
      </c>
      <c r="B3687" t="s">
        <v>506</v>
      </c>
      <c r="C3687" s="1">
        <f>HYPERLINK("https://cao.dolgi.msk.ru/account/1011032176/", 1011032176)</f>
        <v>1011032176</v>
      </c>
      <c r="D3687">
        <v>12736.53</v>
      </c>
    </row>
    <row r="3688" spans="1:4" hidden="1" x14ac:dyDescent="0.3">
      <c r="A3688" t="s">
        <v>348</v>
      </c>
      <c r="B3688" t="s">
        <v>507</v>
      </c>
      <c r="C3688" s="1">
        <f>HYPERLINK("https://cao.dolgi.msk.ru/account/1011032862/", 1011032862)</f>
        <v>1011032862</v>
      </c>
      <c r="D3688">
        <v>0</v>
      </c>
    </row>
    <row r="3689" spans="1:4" x14ac:dyDescent="0.3">
      <c r="A3689" t="s">
        <v>348</v>
      </c>
      <c r="B3689" t="s">
        <v>508</v>
      </c>
      <c r="C3689" s="1">
        <f>HYPERLINK("https://cao.dolgi.msk.ru/account/1011032889/", 1011032889)</f>
        <v>1011032889</v>
      </c>
      <c r="D3689">
        <v>9875.48</v>
      </c>
    </row>
    <row r="3690" spans="1:4" hidden="1" x14ac:dyDescent="0.3">
      <c r="A3690" t="s">
        <v>348</v>
      </c>
      <c r="B3690" t="s">
        <v>509</v>
      </c>
      <c r="C3690" s="1">
        <f>HYPERLINK("https://cao.dolgi.msk.ru/account/1011029866/", 1011029866)</f>
        <v>1011029866</v>
      </c>
      <c r="D3690">
        <v>-9529.59</v>
      </c>
    </row>
    <row r="3691" spans="1:4" hidden="1" x14ac:dyDescent="0.3">
      <c r="A3691" t="s">
        <v>348</v>
      </c>
      <c r="B3691" t="s">
        <v>510</v>
      </c>
      <c r="C3691" s="1">
        <f>HYPERLINK("https://cao.dolgi.msk.ru/account/1011032184/", 1011032184)</f>
        <v>1011032184</v>
      </c>
      <c r="D3691">
        <v>-7011.29</v>
      </c>
    </row>
    <row r="3692" spans="1:4" hidden="1" x14ac:dyDescent="0.3">
      <c r="A3692" t="s">
        <v>348</v>
      </c>
      <c r="B3692" t="s">
        <v>511</v>
      </c>
      <c r="C3692" s="1">
        <f>HYPERLINK("https://cao.dolgi.msk.ru/account/1011029102/", 1011029102)</f>
        <v>1011029102</v>
      </c>
      <c r="D3692">
        <v>-9026.44</v>
      </c>
    </row>
    <row r="3693" spans="1:4" hidden="1" x14ac:dyDescent="0.3">
      <c r="A3693" t="s">
        <v>348</v>
      </c>
      <c r="B3693" t="s">
        <v>512</v>
      </c>
      <c r="C3693" s="1">
        <f>HYPERLINK("https://cao.dolgi.msk.ru/account/1011029874/", 1011029874)</f>
        <v>1011029874</v>
      </c>
      <c r="D3693">
        <v>0</v>
      </c>
    </row>
    <row r="3694" spans="1:4" hidden="1" x14ac:dyDescent="0.3">
      <c r="A3694" t="s">
        <v>348</v>
      </c>
      <c r="B3694" t="s">
        <v>513</v>
      </c>
      <c r="C3694" s="1">
        <f>HYPERLINK("https://cao.dolgi.msk.ru/account/1011028409/", 1011028409)</f>
        <v>1011028409</v>
      </c>
      <c r="D3694">
        <v>-7491.83</v>
      </c>
    </row>
    <row r="3695" spans="1:4" hidden="1" x14ac:dyDescent="0.3">
      <c r="A3695" t="s">
        <v>348</v>
      </c>
      <c r="B3695" t="s">
        <v>514</v>
      </c>
      <c r="C3695" s="1">
        <f>HYPERLINK("https://cao.dolgi.msk.ru/account/1011033021/", 1011033021)</f>
        <v>1011033021</v>
      </c>
      <c r="D3695">
        <v>-1412.66</v>
      </c>
    </row>
    <row r="3696" spans="1:4" hidden="1" x14ac:dyDescent="0.3">
      <c r="A3696" t="s">
        <v>348</v>
      </c>
      <c r="B3696" t="s">
        <v>515</v>
      </c>
      <c r="C3696" s="1">
        <f>HYPERLINK("https://cao.dolgi.msk.ru/account/1011031384/", 1011031384)</f>
        <v>1011031384</v>
      </c>
      <c r="D3696">
        <v>0</v>
      </c>
    </row>
    <row r="3697" spans="1:4" hidden="1" x14ac:dyDescent="0.3">
      <c r="A3697" t="s">
        <v>348</v>
      </c>
      <c r="B3697" t="s">
        <v>516</v>
      </c>
      <c r="C3697" s="1">
        <f>HYPERLINK("https://cao.dolgi.msk.ru/account/1011032205/", 1011032205)</f>
        <v>1011032205</v>
      </c>
      <c r="D3697">
        <v>0</v>
      </c>
    </row>
    <row r="3698" spans="1:4" hidden="1" x14ac:dyDescent="0.3">
      <c r="A3698" t="s">
        <v>348</v>
      </c>
      <c r="B3698" t="s">
        <v>517</v>
      </c>
      <c r="C3698" s="1">
        <f>HYPERLINK("https://cao.dolgi.msk.ru/account/1011033697/", 1011033697)</f>
        <v>1011033697</v>
      </c>
      <c r="D3698">
        <v>0</v>
      </c>
    </row>
    <row r="3699" spans="1:4" hidden="1" x14ac:dyDescent="0.3">
      <c r="A3699" t="s">
        <v>348</v>
      </c>
      <c r="B3699" t="s">
        <v>518</v>
      </c>
      <c r="C3699" s="1">
        <f>HYPERLINK("https://cao.dolgi.msk.ru/account/1011029129/", 1011029129)</f>
        <v>1011029129</v>
      </c>
      <c r="D3699">
        <v>0</v>
      </c>
    </row>
    <row r="3700" spans="1:4" hidden="1" x14ac:dyDescent="0.3">
      <c r="A3700" t="s">
        <v>348</v>
      </c>
      <c r="B3700" t="s">
        <v>519</v>
      </c>
      <c r="C3700" s="1">
        <f>HYPERLINK("https://cao.dolgi.msk.ru/account/1011029882/", 1011029882)</f>
        <v>1011029882</v>
      </c>
      <c r="D3700">
        <v>0</v>
      </c>
    </row>
    <row r="3701" spans="1:4" hidden="1" x14ac:dyDescent="0.3">
      <c r="A3701" t="s">
        <v>348</v>
      </c>
      <c r="B3701" t="s">
        <v>520</v>
      </c>
      <c r="C3701" s="1">
        <f>HYPERLINK("https://cao.dolgi.msk.ru/account/1011028417/", 1011028417)</f>
        <v>1011028417</v>
      </c>
      <c r="D3701">
        <v>0</v>
      </c>
    </row>
    <row r="3702" spans="1:4" hidden="1" x14ac:dyDescent="0.3">
      <c r="A3702" t="s">
        <v>348</v>
      </c>
      <c r="B3702" t="s">
        <v>521</v>
      </c>
      <c r="C3702" s="1">
        <f>HYPERLINK("https://cao.dolgi.msk.ru/account/1011032897/", 1011032897)</f>
        <v>1011032897</v>
      </c>
      <c r="D3702">
        <v>0</v>
      </c>
    </row>
    <row r="3703" spans="1:4" hidden="1" x14ac:dyDescent="0.3">
      <c r="A3703" t="s">
        <v>348</v>
      </c>
      <c r="B3703" t="s">
        <v>522</v>
      </c>
      <c r="C3703" s="1">
        <f>HYPERLINK("https://cao.dolgi.msk.ru/account/1011033718/", 1011033718)</f>
        <v>1011033718</v>
      </c>
      <c r="D3703">
        <v>0</v>
      </c>
    </row>
    <row r="3704" spans="1:4" hidden="1" x14ac:dyDescent="0.3">
      <c r="A3704" t="s">
        <v>348</v>
      </c>
      <c r="B3704" t="s">
        <v>523</v>
      </c>
      <c r="C3704" s="1">
        <f>HYPERLINK("https://cao.dolgi.msk.ru/account/1011029137/", 1011029137)</f>
        <v>1011029137</v>
      </c>
      <c r="D3704">
        <v>0</v>
      </c>
    </row>
    <row r="3705" spans="1:4" hidden="1" x14ac:dyDescent="0.3">
      <c r="A3705" t="s">
        <v>348</v>
      </c>
      <c r="B3705" t="s">
        <v>524</v>
      </c>
      <c r="C3705" s="1">
        <f>HYPERLINK("https://cao.dolgi.msk.ru/account/1011033726/", 1011033726)</f>
        <v>1011033726</v>
      </c>
      <c r="D3705">
        <v>-12515.02</v>
      </c>
    </row>
    <row r="3706" spans="1:4" hidden="1" x14ac:dyDescent="0.3">
      <c r="A3706" t="s">
        <v>348</v>
      </c>
      <c r="B3706" t="s">
        <v>525</v>
      </c>
      <c r="C3706" s="1">
        <f>HYPERLINK("https://cao.dolgi.msk.ru/account/1011032918/", 1011032918)</f>
        <v>1011032918</v>
      </c>
      <c r="D3706">
        <v>0</v>
      </c>
    </row>
    <row r="3707" spans="1:4" hidden="1" x14ac:dyDescent="0.3">
      <c r="A3707" t="s">
        <v>348</v>
      </c>
      <c r="B3707" t="s">
        <v>526</v>
      </c>
      <c r="C3707" s="1">
        <f>HYPERLINK("https://cao.dolgi.msk.ru/account/1011032926/", 1011032926)</f>
        <v>1011032926</v>
      </c>
      <c r="D3707">
        <v>0</v>
      </c>
    </row>
    <row r="3708" spans="1:4" hidden="1" x14ac:dyDescent="0.3">
      <c r="A3708" t="s">
        <v>348</v>
      </c>
      <c r="B3708" t="s">
        <v>527</v>
      </c>
      <c r="C3708" s="1">
        <f>HYPERLINK("https://cao.dolgi.msk.ru/account/1011030728/", 1011030728)</f>
        <v>1011030728</v>
      </c>
      <c r="D3708">
        <v>0</v>
      </c>
    </row>
    <row r="3709" spans="1:4" x14ac:dyDescent="0.3">
      <c r="A3709" t="s">
        <v>348</v>
      </c>
      <c r="B3709" t="s">
        <v>528</v>
      </c>
      <c r="C3709" s="1">
        <f>HYPERLINK("https://cao.dolgi.msk.ru/account/1011028425/", 1011028425)</f>
        <v>1011028425</v>
      </c>
      <c r="D3709">
        <v>203507.86</v>
      </c>
    </row>
    <row r="3710" spans="1:4" hidden="1" x14ac:dyDescent="0.3">
      <c r="A3710" t="s">
        <v>348</v>
      </c>
      <c r="B3710" t="s">
        <v>529</v>
      </c>
      <c r="C3710" s="1">
        <f>HYPERLINK("https://cao.dolgi.msk.ru/account/1011029145/", 1011029145)</f>
        <v>1011029145</v>
      </c>
      <c r="D3710">
        <v>0</v>
      </c>
    </row>
    <row r="3711" spans="1:4" hidden="1" x14ac:dyDescent="0.3">
      <c r="A3711" t="s">
        <v>348</v>
      </c>
      <c r="B3711" t="s">
        <v>530</v>
      </c>
      <c r="C3711" s="1">
        <f>HYPERLINK("https://cao.dolgi.msk.ru/account/1011029153/", 1011029153)</f>
        <v>1011029153</v>
      </c>
      <c r="D3711">
        <v>-1680.52</v>
      </c>
    </row>
    <row r="3712" spans="1:4" hidden="1" x14ac:dyDescent="0.3">
      <c r="A3712" t="s">
        <v>348</v>
      </c>
      <c r="B3712" t="s">
        <v>531</v>
      </c>
      <c r="C3712" s="1">
        <f>HYPERLINK("https://cao.dolgi.msk.ru/account/1011029911/", 1011029911)</f>
        <v>1011029911</v>
      </c>
      <c r="D3712">
        <v>0</v>
      </c>
    </row>
    <row r="3713" spans="1:4" hidden="1" x14ac:dyDescent="0.3">
      <c r="A3713" t="s">
        <v>348</v>
      </c>
      <c r="B3713" t="s">
        <v>532</v>
      </c>
      <c r="C3713" s="1">
        <f>HYPERLINK("https://cao.dolgi.msk.ru/account/1011030736/", 1011030736)</f>
        <v>1011030736</v>
      </c>
      <c r="D3713">
        <v>0</v>
      </c>
    </row>
    <row r="3714" spans="1:4" hidden="1" x14ac:dyDescent="0.3">
      <c r="A3714" t="s">
        <v>348</v>
      </c>
      <c r="B3714" t="s">
        <v>533</v>
      </c>
      <c r="C3714" s="1">
        <f>HYPERLINK("https://cao.dolgi.msk.ru/account/1011032934/", 1011032934)</f>
        <v>1011032934</v>
      </c>
      <c r="D3714">
        <v>0</v>
      </c>
    </row>
    <row r="3715" spans="1:4" hidden="1" x14ac:dyDescent="0.3">
      <c r="A3715" t="s">
        <v>348</v>
      </c>
      <c r="B3715" t="s">
        <v>534</v>
      </c>
      <c r="C3715" s="1">
        <f>HYPERLINK("https://cao.dolgi.msk.ru/account/1011032942/", 1011032942)</f>
        <v>1011032942</v>
      </c>
      <c r="D3715">
        <v>0</v>
      </c>
    </row>
    <row r="3716" spans="1:4" hidden="1" x14ac:dyDescent="0.3">
      <c r="A3716" t="s">
        <v>348</v>
      </c>
      <c r="B3716" t="s">
        <v>535</v>
      </c>
      <c r="C3716" s="1">
        <f>HYPERLINK("https://cao.dolgi.msk.ru/account/1011032969/", 1011032969)</f>
        <v>1011032969</v>
      </c>
      <c r="D3716">
        <v>0</v>
      </c>
    </row>
    <row r="3717" spans="1:4" x14ac:dyDescent="0.3">
      <c r="A3717" t="s">
        <v>348</v>
      </c>
      <c r="B3717" t="s">
        <v>536</v>
      </c>
      <c r="C3717" s="1">
        <f>HYPERLINK("https://cao.dolgi.msk.ru/account/1011032213/", 1011032213)</f>
        <v>1011032213</v>
      </c>
      <c r="D3717">
        <v>2857.14</v>
      </c>
    </row>
    <row r="3718" spans="1:4" hidden="1" x14ac:dyDescent="0.3">
      <c r="A3718" t="s">
        <v>348</v>
      </c>
      <c r="B3718" t="s">
        <v>537</v>
      </c>
      <c r="C3718" s="1">
        <f>HYPERLINK("https://cao.dolgi.msk.ru/account/1011030744/", 1011030744)</f>
        <v>1011030744</v>
      </c>
      <c r="D3718">
        <v>0</v>
      </c>
    </row>
    <row r="3719" spans="1:4" x14ac:dyDescent="0.3">
      <c r="A3719" t="s">
        <v>538</v>
      </c>
      <c r="B3719" t="s">
        <v>6</v>
      </c>
      <c r="C3719" s="1">
        <f>HYPERLINK("https://cao.dolgi.msk.ru/account/1011075045/", 1011075045)</f>
        <v>1011075045</v>
      </c>
      <c r="D3719">
        <v>4544.95</v>
      </c>
    </row>
    <row r="3720" spans="1:4" x14ac:dyDescent="0.3">
      <c r="A3720" t="s">
        <v>538</v>
      </c>
      <c r="B3720" t="s">
        <v>6</v>
      </c>
      <c r="C3720" s="1">
        <f>HYPERLINK("https://cao.dolgi.msk.ru/account/1011130729/", 1011130729)</f>
        <v>1011130729</v>
      </c>
      <c r="D3720">
        <v>4366.37</v>
      </c>
    </row>
    <row r="3721" spans="1:4" hidden="1" x14ac:dyDescent="0.3">
      <c r="A3721" t="s">
        <v>538</v>
      </c>
      <c r="B3721" t="s">
        <v>28</v>
      </c>
      <c r="C3721" s="1">
        <f>HYPERLINK("https://cao.dolgi.msk.ru/account/1011075037/", 1011075037)</f>
        <v>1011075037</v>
      </c>
      <c r="D3721">
        <v>0</v>
      </c>
    </row>
    <row r="3722" spans="1:4" hidden="1" x14ac:dyDescent="0.3">
      <c r="A3722" t="s">
        <v>538</v>
      </c>
      <c r="B3722" t="s">
        <v>35</v>
      </c>
      <c r="C3722" s="1">
        <f>HYPERLINK("https://cao.dolgi.msk.ru/account/1011075053/", 1011075053)</f>
        <v>1011075053</v>
      </c>
      <c r="D3722">
        <v>0</v>
      </c>
    </row>
    <row r="3723" spans="1:4" hidden="1" x14ac:dyDescent="0.3">
      <c r="A3723" t="s">
        <v>538</v>
      </c>
      <c r="B3723" t="s">
        <v>5</v>
      </c>
      <c r="C3723" s="1">
        <f>HYPERLINK("https://cao.dolgi.msk.ru/account/1011075061/", 1011075061)</f>
        <v>1011075061</v>
      </c>
      <c r="D3723">
        <v>0</v>
      </c>
    </row>
    <row r="3724" spans="1:4" hidden="1" x14ac:dyDescent="0.3">
      <c r="A3724" t="s">
        <v>538</v>
      </c>
      <c r="B3724" t="s">
        <v>7</v>
      </c>
      <c r="C3724" s="1">
        <f>HYPERLINK("https://cao.dolgi.msk.ru/account/1011075088/", 1011075088)</f>
        <v>1011075088</v>
      </c>
      <c r="D3724">
        <v>0</v>
      </c>
    </row>
    <row r="3725" spans="1:4" hidden="1" x14ac:dyDescent="0.3">
      <c r="A3725" t="s">
        <v>538</v>
      </c>
      <c r="B3725" t="s">
        <v>8</v>
      </c>
      <c r="C3725" s="1">
        <f>HYPERLINK("https://cao.dolgi.msk.ru/account/1011075096/", 1011075096)</f>
        <v>1011075096</v>
      </c>
      <c r="D3725">
        <v>0</v>
      </c>
    </row>
    <row r="3726" spans="1:4" hidden="1" x14ac:dyDescent="0.3">
      <c r="A3726" t="s">
        <v>538</v>
      </c>
      <c r="B3726" t="s">
        <v>31</v>
      </c>
      <c r="C3726" s="1">
        <f>HYPERLINK("https://cao.dolgi.msk.ru/account/1011075109/", 1011075109)</f>
        <v>1011075109</v>
      </c>
      <c r="D3726">
        <v>0</v>
      </c>
    </row>
    <row r="3727" spans="1:4" hidden="1" x14ac:dyDescent="0.3">
      <c r="A3727" t="s">
        <v>538</v>
      </c>
      <c r="B3727" t="s">
        <v>9</v>
      </c>
      <c r="C3727" s="1">
        <f>HYPERLINK("https://cao.dolgi.msk.ru/account/1011075117/", 1011075117)</f>
        <v>1011075117</v>
      </c>
      <c r="D3727">
        <v>-0.83</v>
      </c>
    </row>
    <row r="3728" spans="1:4" hidden="1" x14ac:dyDescent="0.3">
      <c r="A3728" t="s">
        <v>538</v>
      </c>
      <c r="B3728" t="s">
        <v>10</v>
      </c>
      <c r="C3728" s="1">
        <f>HYPERLINK("https://cao.dolgi.msk.ru/account/1011075125/", 1011075125)</f>
        <v>1011075125</v>
      </c>
      <c r="D3728">
        <v>-562.54999999999995</v>
      </c>
    </row>
    <row r="3729" spans="1:4" hidden="1" x14ac:dyDescent="0.3">
      <c r="A3729" t="s">
        <v>538</v>
      </c>
      <c r="B3729" t="s">
        <v>11</v>
      </c>
      <c r="C3729" s="1">
        <f>HYPERLINK("https://cao.dolgi.msk.ru/account/1011075133/", 1011075133)</f>
        <v>1011075133</v>
      </c>
      <c r="D3729">
        <v>0</v>
      </c>
    </row>
    <row r="3730" spans="1:4" hidden="1" x14ac:dyDescent="0.3">
      <c r="A3730" t="s">
        <v>538</v>
      </c>
      <c r="B3730" t="s">
        <v>12</v>
      </c>
      <c r="C3730" s="1">
        <f>HYPERLINK("https://cao.dolgi.msk.ru/account/1011075141/", 1011075141)</f>
        <v>1011075141</v>
      </c>
      <c r="D3730">
        <v>0</v>
      </c>
    </row>
    <row r="3731" spans="1:4" hidden="1" x14ac:dyDescent="0.3">
      <c r="A3731" t="s">
        <v>538</v>
      </c>
      <c r="B3731" t="s">
        <v>23</v>
      </c>
      <c r="C3731" s="1">
        <f>HYPERLINK("https://cao.dolgi.msk.ru/account/1011075168/", 1011075168)</f>
        <v>1011075168</v>
      </c>
      <c r="D3731">
        <v>-526.85</v>
      </c>
    </row>
    <row r="3732" spans="1:4" hidden="1" x14ac:dyDescent="0.3">
      <c r="A3732" t="s">
        <v>538</v>
      </c>
      <c r="B3732" t="s">
        <v>13</v>
      </c>
      <c r="C3732" s="1">
        <f>HYPERLINK("https://cao.dolgi.msk.ru/account/1011075176/", 1011075176)</f>
        <v>1011075176</v>
      </c>
      <c r="D3732">
        <v>-13743.97</v>
      </c>
    </row>
    <row r="3733" spans="1:4" hidden="1" x14ac:dyDescent="0.3">
      <c r="A3733" t="s">
        <v>538</v>
      </c>
      <c r="B3733" t="s">
        <v>14</v>
      </c>
      <c r="C3733" s="1">
        <f>HYPERLINK("https://cao.dolgi.msk.ru/account/1011075184/", 1011075184)</f>
        <v>1011075184</v>
      </c>
      <c r="D3733">
        <v>-9152.26</v>
      </c>
    </row>
    <row r="3734" spans="1:4" x14ac:dyDescent="0.3">
      <c r="A3734" t="s">
        <v>538</v>
      </c>
      <c r="B3734" t="s">
        <v>16</v>
      </c>
      <c r="C3734" s="1">
        <f>HYPERLINK("https://cao.dolgi.msk.ru/account/1011075192/", 1011075192)</f>
        <v>1011075192</v>
      </c>
      <c r="D3734">
        <v>77694.22</v>
      </c>
    </row>
    <row r="3735" spans="1:4" hidden="1" x14ac:dyDescent="0.3">
      <c r="A3735" t="s">
        <v>538</v>
      </c>
      <c r="B3735" t="s">
        <v>17</v>
      </c>
      <c r="C3735" s="1">
        <f>HYPERLINK("https://cao.dolgi.msk.ru/account/1011075205/", 1011075205)</f>
        <v>1011075205</v>
      </c>
      <c r="D3735">
        <v>-271.67</v>
      </c>
    </row>
    <row r="3736" spans="1:4" hidden="1" x14ac:dyDescent="0.3">
      <c r="A3736" t="s">
        <v>538</v>
      </c>
      <c r="B3736" t="s">
        <v>18</v>
      </c>
      <c r="C3736" s="1">
        <f>HYPERLINK("https://cao.dolgi.msk.ru/account/1011075213/", 1011075213)</f>
        <v>1011075213</v>
      </c>
      <c r="D3736">
        <v>-13220.15</v>
      </c>
    </row>
    <row r="3737" spans="1:4" hidden="1" x14ac:dyDescent="0.3">
      <c r="A3737" t="s">
        <v>538</v>
      </c>
      <c r="B3737" t="s">
        <v>19</v>
      </c>
      <c r="C3737" s="1">
        <f>HYPERLINK("https://cao.dolgi.msk.ru/account/1011075221/", 1011075221)</f>
        <v>1011075221</v>
      </c>
      <c r="D3737">
        <v>0</v>
      </c>
    </row>
    <row r="3738" spans="1:4" x14ac:dyDescent="0.3">
      <c r="A3738" t="s">
        <v>538</v>
      </c>
      <c r="B3738" t="s">
        <v>20</v>
      </c>
      <c r="C3738" s="1">
        <f>HYPERLINK("https://cao.dolgi.msk.ru/account/1011075248/", 1011075248)</f>
        <v>1011075248</v>
      </c>
      <c r="D3738">
        <v>7561.67</v>
      </c>
    </row>
    <row r="3739" spans="1:4" hidden="1" x14ac:dyDescent="0.3">
      <c r="A3739" t="s">
        <v>538</v>
      </c>
      <c r="B3739" t="s">
        <v>21</v>
      </c>
      <c r="C3739" s="1">
        <f>HYPERLINK("https://cao.dolgi.msk.ru/account/1011075256/", 1011075256)</f>
        <v>1011075256</v>
      </c>
      <c r="D3739">
        <v>-10043.33</v>
      </c>
    </row>
    <row r="3740" spans="1:4" hidden="1" x14ac:dyDescent="0.3">
      <c r="A3740" t="s">
        <v>538</v>
      </c>
      <c r="B3740" t="s">
        <v>22</v>
      </c>
      <c r="C3740" s="1">
        <f>HYPERLINK("https://cao.dolgi.msk.ru/account/1011075264/", 1011075264)</f>
        <v>1011075264</v>
      </c>
      <c r="D3740">
        <v>0</v>
      </c>
    </row>
    <row r="3741" spans="1:4" hidden="1" x14ac:dyDescent="0.3">
      <c r="A3741" t="s">
        <v>538</v>
      </c>
      <c r="B3741" t="s">
        <v>24</v>
      </c>
      <c r="C3741" s="1">
        <f>HYPERLINK("https://cao.dolgi.msk.ru/account/1011075272/", 1011075272)</f>
        <v>1011075272</v>
      </c>
      <c r="D3741">
        <v>-164.48</v>
      </c>
    </row>
    <row r="3742" spans="1:4" hidden="1" x14ac:dyDescent="0.3">
      <c r="A3742" t="s">
        <v>538</v>
      </c>
      <c r="B3742" t="s">
        <v>25</v>
      </c>
      <c r="C3742" s="1">
        <f>HYPERLINK("https://cao.dolgi.msk.ru/account/1011075299/", 1011075299)</f>
        <v>1011075299</v>
      </c>
      <c r="D3742">
        <v>-7353.67</v>
      </c>
    </row>
    <row r="3743" spans="1:4" hidden="1" x14ac:dyDescent="0.3">
      <c r="A3743" t="s">
        <v>538</v>
      </c>
      <c r="B3743" t="s">
        <v>26</v>
      </c>
      <c r="C3743" s="1">
        <f>HYPERLINK("https://cao.dolgi.msk.ru/account/1011075301/", 1011075301)</f>
        <v>1011075301</v>
      </c>
      <c r="D3743">
        <v>-297.17</v>
      </c>
    </row>
    <row r="3744" spans="1:4" hidden="1" x14ac:dyDescent="0.3">
      <c r="A3744" t="s">
        <v>538</v>
      </c>
      <c r="B3744" t="s">
        <v>27</v>
      </c>
      <c r="C3744" s="1">
        <f>HYPERLINK("https://cao.dolgi.msk.ru/account/1011075328/", 1011075328)</f>
        <v>1011075328</v>
      </c>
      <c r="D3744">
        <v>0</v>
      </c>
    </row>
    <row r="3745" spans="1:4" hidden="1" x14ac:dyDescent="0.3">
      <c r="A3745" t="s">
        <v>538</v>
      </c>
      <c r="B3745" t="s">
        <v>29</v>
      </c>
      <c r="C3745" s="1">
        <f>HYPERLINK("https://cao.dolgi.msk.ru/account/1011075336/", 1011075336)</f>
        <v>1011075336</v>
      </c>
      <c r="D3745">
        <v>0</v>
      </c>
    </row>
    <row r="3746" spans="1:4" hidden="1" x14ac:dyDescent="0.3">
      <c r="A3746" t="s">
        <v>538</v>
      </c>
      <c r="B3746" t="s">
        <v>38</v>
      </c>
      <c r="C3746" s="1">
        <f>HYPERLINK("https://cao.dolgi.msk.ru/account/1011075344/", 1011075344)</f>
        <v>1011075344</v>
      </c>
      <c r="D3746">
        <v>0</v>
      </c>
    </row>
    <row r="3747" spans="1:4" hidden="1" x14ac:dyDescent="0.3">
      <c r="A3747" t="s">
        <v>538</v>
      </c>
      <c r="B3747" t="s">
        <v>39</v>
      </c>
      <c r="C3747" s="1">
        <f>HYPERLINK("https://cao.dolgi.msk.ru/account/1011075352/", 1011075352)</f>
        <v>1011075352</v>
      </c>
      <c r="D3747">
        <v>0</v>
      </c>
    </row>
    <row r="3748" spans="1:4" hidden="1" x14ac:dyDescent="0.3">
      <c r="A3748" t="s">
        <v>538</v>
      </c>
      <c r="B3748" t="s">
        <v>40</v>
      </c>
      <c r="C3748" s="1">
        <f>HYPERLINK("https://cao.dolgi.msk.ru/account/1011075379/", 1011075379)</f>
        <v>1011075379</v>
      </c>
      <c r="D3748">
        <v>-174.59</v>
      </c>
    </row>
    <row r="3749" spans="1:4" hidden="1" x14ac:dyDescent="0.3">
      <c r="A3749" t="s">
        <v>538</v>
      </c>
      <c r="B3749" t="s">
        <v>41</v>
      </c>
      <c r="C3749" s="1">
        <f>HYPERLINK("https://cao.dolgi.msk.ru/account/1011075387/", 1011075387)</f>
        <v>1011075387</v>
      </c>
      <c r="D3749">
        <v>-11001.66</v>
      </c>
    </row>
    <row r="3750" spans="1:4" x14ac:dyDescent="0.3">
      <c r="A3750" t="s">
        <v>538</v>
      </c>
      <c r="B3750" t="s">
        <v>51</v>
      </c>
      <c r="C3750" s="1">
        <f>HYPERLINK("https://cao.dolgi.msk.ru/account/1011075395/", 1011075395)</f>
        <v>1011075395</v>
      </c>
      <c r="D3750">
        <v>8119.37</v>
      </c>
    </row>
    <row r="3751" spans="1:4" x14ac:dyDescent="0.3">
      <c r="A3751" t="s">
        <v>538</v>
      </c>
      <c r="B3751" t="s">
        <v>52</v>
      </c>
      <c r="C3751" s="1">
        <f>HYPERLINK("https://cao.dolgi.msk.ru/account/1011075408/", 1011075408)</f>
        <v>1011075408</v>
      </c>
      <c r="D3751">
        <v>4668.29</v>
      </c>
    </row>
    <row r="3752" spans="1:4" hidden="1" x14ac:dyDescent="0.3">
      <c r="A3752" t="s">
        <v>538</v>
      </c>
      <c r="B3752" t="s">
        <v>53</v>
      </c>
      <c r="C3752" s="1">
        <f>HYPERLINK("https://cao.dolgi.msk.ru/account/1011075416/", 1011075416)</f>
        <v>1011075416</v>
      </c>
      <c r="D3752">
        <v>-8168.77</v>
      </c>
    </row>
    <row r="3753" spans="1:4" hidden="1" x14ac:dyDescent="0.3">
      <c r="A3753" t="s">
        <v>538</v>
      </c>
      <c r="B3753" t="s">
        <v>54</v>
      </c>
      <c r="C3753" s="1">
        <f>HYPERLINK("https://cao.dolgi.msk.ru/account/1011075424/", 1011075424)</f>
        <v>1011075424</v>
      </c>
      <c r="D3753">
        <v>0</v>
      </c>
    </row>
    <row r="3754" spans="1:4" hidden="1" x14ac:dyDescent="0.3">
      <c r="A3754" t="s">
        <v>538</v>
      </c>
      <c r="B3754" t="s">
        <v>55</v>
      </c>
      <c r="C3754" s="1">
        <f>HYPERLINK("https://cao.dolgi.msk.ru/account/1011075432/", 1011075432)</f>
        <v>1011075432</v>
      </c>
      <c r="D3754">
        <v>0</v>
      </c>
    </row>
    <row r="3755" spans="1:4" hidden="1" x14ac:dyDescent="0.3">
      <c r="A3755" t="s">
        <v>538</v>
      </c>
      <c r="B3755" t="s">
        <v>56</v>
      </c>
      <c r="C3755" s="1">
        <f>HYPERLINK("https://cao.dolgi.msk.ru/account/1011075459/", 1011075459)</f>
        <v>1011075459</v>
      </c>
      <c r="D3755">
        <v>-22774.080000000002</v>
      </c>
    </row>
    <row r="3756" spans="1:4" hidden="1" x14ac:dyDescent="0.3">
      <c r="A3756" t="s">
        <v>538</v>
      </c>
      <c r="B3756" t="s">
        <v>87</v>
      </c>
      <c r="C3756" s="1">
        <f>HYPERLINK("https://cao.dolgi.msk.ru/account/1011075467/", 1011075467)</f>
        <v>1011075467</v>
      </c>
      <c r="D3756">
        <v>0</v>
      </c>
    </row>
    <row r="3757" spans="1:4" x14ac:dyDescent="0.3">
      <c r="A3757" t="s">
        <v>538</v>
      </c>
      <c r="B3757" t="s">
        <v>88</v>
      </c>
      <c r="C3757" s="1">
        <f>HYPERLINK("https://cao.dolgi.msk.ru/account/1011075475/", 1011075475)</f>
        <v>1011075475</v>
      </c>
      <c r="D3757">
        <v>9176.0400000000009</v>
      </c>
    </row>
    <row r="3758" spans="1:4" x14ac:dyDescent="0.3">
      <c r="A3758" t="s">
        <v>538</v>
      </c>
      <c r="B3758" t="s">
        <v>89</v>
      </c>
      <c r="C3758" s="1">
        <f>HYPERLINK("https://cao.dolgi.msk.ru/account/1011075483/", 1011075483)</f>
        <v>1011075483</v>
      </c>
      <c r="D3758">
        <v>9139.5400000000009</v>
      </c>
    </row>
    <row r="3759" spans="1:4" hidden="1" x14ac:dyDescent="0.3">
      <c r="A3759" t="s">
        <v>538</v>
      </c>
      <c r="B3759" t="s">
        <v>90</v>
      </c>
      <c r="C3759" s="1">
        <f>HYPERLINK("https://cao.dolgi.msk.ru/account/1011075491/", 1011075491)</f>
        <v>1011075491</v>
      </c>
      <c r="D3759">
        <v>-85867.89</v>
      </c>
    </row>
    <row r="3760" spans="1:4" hidden="1" x14ac:dyDescent="0.3">
      <c r="A3760" t="s">
        <v>538</v>
      </c>
      <c r="B3760" t="s">
        <v>96</v>
      </c>
      <c r="C3760" s="1">
        <f>HYPERLINK("https://cao.dolgi.msk.ru/account/1011075504/", 1011075504)</f>
        <v>1011075504</v>
      </c>
      <c r="D3760">
        <v>-13426.24</v>
      </c>
    </row>
    <row r="3761" spans="1:4" hidden="1" x14ac:dyDescent="0.3">
      <c r="A3761" t="s">
        <v>538</v>
      </c>
      <c r="B3761" t="s">
        <v>97</v>
      </c>
      <c r="C3761" s="1">
        <f>HYPERLINK("https://cao.dolgi.msk.ru/account/1011075512/", 1011075512)</f>
        <v>1011075512</v>
      </c>
      <c r="D3761">
        <v>-120.18</v>
      </c>
    </row>
    <row r="3762" spans="1:4" hidden="1" x14ac:dyDescent="0.3">
      <c r="A3762" t="s">
        <v>538</v>
      </c>
      <c r="B3762" t="s">
        <v>97</v>
      </c>
      <c r="C3762" s="1">
        <f>HYPERLINK("https://cao.dolgi.msk.ru/account/1011130876/", 1011130876)</f>
        <v>1011130876</v>
      </c>
      <c r="D3762">
        <v>0</v>
      </c>
    </row>
    <row r="3763" spans="1:4" x14ac:dyDescent="0.3">
      <c r="A3763" t="s">
        <v>538</v>
      </c>
      <c r="B3763" t="s">
        <v>58</v>
      </c>
      <c r="C3763" s="1">
        <f>HYPERLINK("https://cao.dolgi.msk.ru/account/1011075539/", 1011075539)</f>
        <v>1011075539</v>
      </c>
      <c r="D3763">
        <v>13570.37</v>
      </c>
    </row>
    <row r="3764" spans="1:4" x14ac:dyDescent="0.3">
      <c r="A3764" t="s">
        <v>538</v>
      </c>
      <c r="B3764" t="s">
        <v>59</v>
      </c>
      <c r="C3764" s="1">
        <f>HYPERLINK("https://cao.dolgi.msk.ru/account/1011075547/", 1011075547)</f>
        <v>1011075547</v>
      </c>
      <c r="D3764">
        <v>8910.61</v>
      </c>
    </row>
    <row r="3765" spans="1:4" hidden="1" x14ac:dyDescent="0.3">
      <c r="A3765" t="s">
        <v>538</v>
      </c>
      <c r="B3765" t="s">
        <v>60</v>
      </c>
      <c r="C3765" s="1">
        <f>HYPERLINK("https://cao.dolgi.msk.ru/account/1011075555/", 1011075555)</f>
        <v>1011075555</v>
      </c>
      <c r="D3765">
        <v>0</v>
      </c>
    </row>
    <row r="3766" spans="1:4" hidden="1" x14ac:dyDescent="0.3">
      <c r="A3766" t="s">
        <v>538</v>
      </c>
      <c r="B3766" t="s">
        <v>61</v>
      </c>
      <c r="C3766" s="1">
        <f>HYPERLINK("https://cao.dolgi.msk.ru/account/1011075563/", 1011075563)</f>
        <v>1011075563</v>
      </c>
      <c r="D3766">
        <v>-10082.07</v>
      </c>
    </row>
    <row r="3767" spans="1:4" hidden="1" x14ac:dyDescent="0.3">
      <c r="A3767" t="s">
        <v>538</v>
      </c>
      <c r="B3767" t="s">
        <v>62</v>
      </c>
      <c r="C3767" s="1">
        <f>HYPERLINK("https://cao.dolgi.msk.ru/account/1011075571/", 1011075571)</f>
        <v>1011075571</v>
      </c>
      <c r="D3767">
        <v>-20192.54</v>
      </c>
    </row>
    <row r="3768" spans="1:4" hidden="1" x14ac:dyDescent="0.3">
      <c r="A3768" t="s">
        <v>538</v>
      </c>
      <c r="B3768" t="s">
        <v>63</v>
      </c>
      <c r="C3768" s="1">
        <f>HYPERLINK("https://cao.dolgi.msk.ru/account/1011075598/", 1011075598)</f>
        <v>1011075598</v>
      </c>
      <c r="D3768">
        <v>0</v>
      </c>
    </row>
    <row r="3769" spans="1:4" hidden="1" x14ac:dyDescent="0.3">
      <c r="A3769" t="s">
        <v>538</v>
      </c>
      <c r="B3769" t="s">
        <v>64</v>
      </c>
      <c r="C3769" s="1">
        <f>HYPERLINK("https://cao.dolgi.msk.ru/account/1011075619/", 1011075619)</f>
        <v>1011075619</v>
      </c>
      <c r="D3769">
        <v>0</v>
      </c>
    </row>
    <row r="3770" spans="1:4" hidden="1" x14ac:dyDescent="0.3">
      <c r="A3770" t="s">
        <v>538</v>
      </c>
      <c r="B3770" t="s">
        <v>65</v>
      </c>
      <c r="C3770" s="1">
        <f>HYPERLINK("https://cao.dolgi.msk.ru/account/1011075627/", 1011075627)</f>
        <v>1011075627</v>
      </c>
      <c r="D3770">
        <v>0</v>
      </c>
    </row>
    <row r="3771" spans="1:4" hidden="1" x14ac:dyDescent="0.3">
      <c r="A3771" t="s">
        <v>538</v>
      </c>
      <c r="B3771" t="s">
        <v>66</v>
      </c>
      <c r="C3771" s="1">
        <f>HYPERLINK("https://cao.dolgi.msk.ru/account/1011075635/", 1011075635)</f>
        <v>1011075635</v>
      </c>
      <c r="D3771">
        <v>-29.71</v>
      </c>
    </row>
    <row r="3772" spans="1:4" hidden="1" x14ac:dyDescent="0.3">
      <c r="A3772" t="s">
        <v>538</v>
      </c>
      <c r="B3772" t="s">
        <v>67</v>
      </c>
      <c r="C3772" s="1">
        <f>HYPERLINK("https://cao.dolgi.msk.ru/account/1011075643/", 1011075643)</f>
        <v>1011075643</v>
      </c>
      <c r="D3772">
        <v>0</v>
      </c>
    </row>
    <row r="3773" spans="1:4" hidden="1" x14ac:dyDescent="0.3">
      <c r="A3773" t="s">
        <v>538</v>
      </c>
      <c r="B3773" t="s">
        <v>68</v>
      </c>
      <c r="C3773" s="1">
        <f>HYPERLINK("https://cao.dolgi.msk.ru/account/1011075651/", 1011075651)</f>
        <v>1011075651</v>
      </c>
      <c r="D3773">
        <v>-15551.81</v>
      </c>
    </row>
    <row r="3774" spans="1:4" x14ac:dyDescent="0.3">
      <c r="A3774" t="s">
        <v>538</v>
      </c>
      <c r="B3774" t="s">
        <v>69</v>
      </c>
      <c r="C3774" s="1">
        <f>HYPERLINK("https://cao.dolgi.msk.ru/account/1011075678/", 1011075678)</f>
        <v>1011075678</v>
      </c>
      <c r="D3774">
        <v>17860.23</v>
      </c>
    </row>
    <row r="3775" spans="1:4" x14ac:dyDescent="0.3">
      <c r="A3775" t="s">
        <v>538</v>
      </c>
      <c r="B3775" t="s">
        <v>70</v>
      </c>
      <c r="C3775" s="1">
        <f>HYPERLINK("https://cao.dolgi.msk.ru/account/1011075686/", 1011075686)</f>
        <v>1011075686</v>
      </c>
      <c r="D3775">
        <v>12111.57</v>
      </c>
    </row>
    <row r="3776" spans="1:4" x14ac:dyDescent="0.3">
      <c r="A3776" t="s">
        <v>538</v>
      </c>
      <c r="B3776" t="s">
        <v>259</v>
      </c>
      <c r="C3776" s="1">
        <f>HYPERLINK("https://cao.dolgi.msk.ru/account/1011075694/", 1011075694)</f>
        <v>1011075694</v>
      </c>
      <c r="D3776">
        <v>2148.81</v>
      </c>
    </row>
    <row r="3777" spans="1:4" hidden="1" x14ac:dyDescent="0.3">
      <c r="A3777" t="s">
        <v>538</v>
      </c>
      <c r="B3777" t="s">
        <v>100</v>
      </c>
      <c r="C3777" s="1">
        <f>HYPERLINK("https://cao.dolgi.msk.ru/account/1011075707/", 1011075707)</f>
        <v>1011075707</v>
      </c>
      <c r="D3777">
        <v>0</v>
      </c>
    </row>
    <row r="3778" spans="1:4" x14ac:dyDescent="0.3">
      <c r="A3778" t="s">
        <v>538</v>
      </c>
      <c r="B3778" t="s">
        <v>72</v>
      </c>
      <c r="C3778" s="1">
        <f>HYPERLINK("https://cao.dolgi.msk.ru/account/1011075715/", 1011075715)</f>
        <v>1011075715</v>
      </c>
      <c r="D3778">
        <v>11980.61</v>
      </c>
    </row>
    <row r="3779" spans="1:4" hidden="1" x14ac:dyDescent="0.3">
      <c r="A3779" t="s">
        <v>538</v>
      </c>
      <c r="B3779" t="s">
        <v>73</v>
      </c>
      <c r="C3779" s="1">
        <f>HYPERLINK("https://cao.dolgi.msk.ru/account/1011507522/", 1011507522)</f>
        <v>1011507522</v>
      </c>
      <c r="D3779">
        <v>-1477.57</v>
      </c>
    </row>
    <row r="3780" spans="1:4" hidden="1" x14ac:dyDescent="0.3">
      <c r="A3780" t="s">
        <v>538</v>
      </c>
      <c r="B3780" t="s">
        <v>74</v>
      </c>
      <c r="C3780" s="1">
        <f>HYPERLINK("https://cao.dolgi.msk.ru/account/1011075731/", 1011075731)</f>
        <v>1011075731</v>
      </c>
      <c r="D3780">
        <v>-241.55</v>
      </c>
    </row>
    <row r="3781" spans="1:4" hidden="1" x14ac:dyDescent="0.3">
      <c r="A3781" t="s">
        <v>538</v>
      </c>
      <c r="B3781" t="s">
        <v>75</v>
      </c>
      <c r="C3781" s="1">
        <f>HYPERLINK("https://cao.dolgi.msk.ru/account/1011075758/", 1011075758)</f>
        <v>1011075758</v>
      </c>
      <c r="D3781">
        <v>-3700.59</v>
      </c>
    </row>
    <row r="3782" spans="1:4" hidden="1" x14ac:dyDescent="0.3">
      <c r="A3782" t="s">
        <v>538</v>
      </c>
      <c r="B3782" t="s">
        <v>76</v>
      </c>
      <c r="C3782" s="1">
        <f>HYPERLINK("https://cao.dolgi.msk.ru/account/1011075766/", 1011075766)</f>
        <v>1011075766</v>
      </c>
      <c r="D3782">
        <v>0</v>
      </c>
    </row>
    <row r="3783" spans="1:4" x14ac:dyDescent="0.3">
      <c r="A3783" t="s">
        <v>538</v>
      </c>
      <c r="B3783" t="s">
        <v>77</v>
      </c>
      <c r="C3783" s="1">
        <f>HYPERLINK("https://cao.dolgi.msk.ru/account/1011075774/", 1011075774)</f>
        <v>1011075774</v>
      </c>
      <c r="D3783">
        <v>15914.06</v>
      </c>
    </row>
    <row r="3784" spans="1:4" hidden="1" x14ac:dyDescent="0.3">
      <c r="A3784" t="s">
        <v>538</v>
      </c>
      <c r="B3784" t="s">
        <v>78</v>
      </c>
      <c r="C3784" s="1">
        <f>HYPERLINK("https://cao.dolgi.msk.ru/account/1011075782/", 1011075782)</f>
        <v>1011075782</v>
      </c>
      <c r="D3784">
        <v>-17275.849999999999</v>
      </c>
    </row>
    <row r="3785" spans="1:4" hidden="1" x14ac:dyDescent="0.3">
      <c r="A3785" t="s">
        <v>538</v>
      </c>
      <c r="B3785" t="s">
        <v>79</v>
      </c>
      <c r="C3785" s="1">
        <f>HYPERLINK("https://cao.dolgi.msk.ru/account/1011075803/", 1011075803)</f>
        <v>1011075803</v>
      </c>
      <c r="D3785">
        <v>-20539.98</v>
      </c>
    </row>
    <row r="3786" spans="1:4" hidden="1" x14ac:dyDescent="0.3">
      <c r="A3786" t="s">
        <v>538</v>
      </c>
      <c r="B3786" t="s">
        <v>80</v>
      </c>
      <c r="C3786" s="1">
        <f>HYPERLINK("https://cao.dolgi.msk.ru/account/1011075811/", 1011075811)</f>
        <v>1011075811</v>
      </c>
      <c r="D3786">
        <v>-5924.22</v>
      </c>
    </row>
    <row r="3787" spans="1:4" hidden="1" x14ac:dyDescent="0.3">
      <c r="A3787" t="s">
        <v>538</v>
      </c>
      <c r="B3787" t="s">
        <v>81</v>
      </c>
      <c r="C3787" s="1">
        <f>HYPERLINK("https://cao.dolgi.msk.ru/account/1011075838/", 1011075838)</f>
        <v>1011075838</v>
      </c>
      <c r="D3787">
        <v>0</v>
      </c>
    </row>
    <row r="3788" spans="1:4" hidden="1" x14ac:dyDescent="0.3">
      <c r="A3788" t="s">
        <v>538</v>
      </c>
      <c r="B3788" t="s">
        <v>101</v>
      </c>
      <c r="C3788" s="1">
        <f>HYPERLINK("https://cao.dolgi.msk.ru/account/1011075846/", 1011075846)</f>
        <v>1011075846</v>
      </c>
      <c r="D3788">
        <v>-4628.24</v>
      </c>
    </row>
    <row r="3789" spans="1:4" hidden="1" x14ac:dyDescent="0.3">
      <c r="A3789" t="s">
        <v>538</v>
      </c>
      <c r="B3789" t="s">
        <v>82</v>
      </c>
      <c r="C3789" s="1">
        <f>HYPERLINK("https://cao.dolgi.msk.ru/account/1011075854/", 1011075854)</f>
        <v>1011075854</v>
      </c>
      <c r="D3789">
        <v>-445.83</v>
      </c>
    </row>
    <row r="3790" spans="1:4" hidden="1" x14ac:dyDescent="0.3">
      <c r="A3790" t="s">
        <v>538</v>
      </c>
      <c r="B3790" t="s">
        <v>83</v>
      </c>
      <c r="C3790" s="1">
        <f>HYPERLINK("https://cao.dolgi.msk.ru/account/1011075862/", 1011075862)</f>
        <v>1011075862</v>
      </c>
      <c r="D3790">
        <v>0</v>
      </c>
    </row>
    <row r="3791" spans="1:4" hidden="1" x14ac:dyDescent="0.3">
      <c r="A3791" t="s">
        <v>538</v>
      </c>
      <c r="B3791" t="s">
        <v>84</v>
      </c>
      <c r="C3791" s="1">
        <f>HYPERLINK("https://cao.dolgi.msk.ru/account/1011075889/", 1011075889)</f>
        <v>1011075889</v>
      </c>
      <c r="D3791">
        <v>-9065.43</v>
      </c>
    </row>
    <row r="3792" spans="1:4" hidden="1" x14ac:dyDescent="0.3">
      <c r="A3792" t="s">
        <v>538</v>
      </c>
      <c r="B3792" t="s">
        <v>85</v>
      </c>
      <c r="C3792" s="1">
        <f>HYPERLINK("https://cao.dolgi.msk.ru/account/1011075897/", 1011075897)</f>
        <v>1011075897</v>
      </c>
      <c r="D3792">
        <v>0</v>
      </c>
    </row>
    <row r="3793" spans="1:4" hidden="1" x14ac:dyDescent="0.3">
      <c r="A3793" t="s">
        <v>538</v>
      </c>
      <c r="B3793" t="s">
        <v>102</v>
      </c>
      <c r="C3793" s="1">
        <f>HYPERLINK("https://cao.dolgi.msk.ru/account/1011075918/", 1011075918)</f>
        <v>1011075918</v>
      </c>
      <c r="D3793">
        <v>0</v>
      </c>
    </row>
    <row r="3794" spans="1:4" hidden="1" x14ac:dyDescent="0.3">
      <c r="A3794" t="s">
        <v>538</v>
      </c>
      <c r="B3794" t="s">
        <v>103</v>
      </c>
      <c r="C3794" s="1">
        <f>HYPERLINK("https://cao.dolgi.msk.ru/account/1011075926/", 1011075926)</f>
        <v>1011075926</v>
      </c>
      <c r="D3794">
        <v>-29.64</v>
      </c>
    </row>
    <row r="3795" spans="1:4" hidden="1" x14ac:dyDescent="0.3">
      <c r="A3795" t="s">
        <v>538</v>
      </c>
      <c r="B3795" t="s">
        <v>104</v>
      </c>
      <c r="C3795" s="1">
        <f>HYPERLINK("https://cao.dolgi.msk.ru/account/1011075934/", 1011075934)</f>
        <v>1011075934</v>
      </c>
      <c r="D3795">
        <v>-6759.24</v>
      </c>
    </row>
    <row r="3796" spans="1:4" hidden="1" x14ac:dyDescent="0.3">
      <c r="A3796" t="s">
        <v>538</v>
      </c>
      <c r="B3796" t="s">
        <v>105</v>
      </c>
      <c r="C3796" s="1">
        <f>HYPERLINK("https://cao.dolgi.msk.ru/account/1011075942/", 1011075942)</f>
        <v>1011075942</v>
      </c>
      <c r="D3796">
        <v>0</v>
      </c>
    </row>
    <row r="3797" spans="1:4" hidden="1" x14ac:dyDescent="0.3">
      <c r="A3797" t="s">
        <v>538</v>
      </c>
      <c r="B3797" t="s">
        <v>106</v>
      </c>
      <c r="C3797" s="1">
        <f>HYPERLINK("https://cao.dolgi.msk.ru/account/1011075969/", 1011075969)</f>
        <v>1011075969</v>
      </c>
      <c r="D3797">
        <v>0</v>
      </c>
    </row>
    <row r="3798" spans="1:4" hidden="1" x14ac:dyDescent="0.3">
      <c r="A3798" t="s">
        <v>538</v>
      </c>
      <c r="B3798" t="s">
        <v>107</v>
      </c>
      <c r="C3798" s="1">
        <f>HYPERLINK("https://cao.dolgi.msk.ru/account/1011075977/", 1011075977)</f>
        <v>1011075977</v>
      </c>
      <c r="D3798">
        <v>-1279.81</v>
      </c>
    </row>
    <row r="3799" spans="1:4" hidden="1" x14ac:dyDescent="0.3">
      <c r="A3799" t="s">
        <v>538</v>
      </c>
      <c r="B3799" t="s">
        <v>108</v>
      </c>
      <c r="C3799" s="1">
        <f>HYPERLINK("https://cao.dolgi.msk.ru/account/1011075985/", 1011075985)</f>
        <v>1011075985</v>
      </c>
      <c r="D3799">
        <v>-9276.92</v>
      </c>
    </row>
    <row r="3800" spans="1:4" hidden="1" x14ac:dyDescent="0.3">
      <c r="A3800" t="s">
        <v>538</v>
      </c>
      <c r="B3800" t="s">
        <v>109</v>
      </c>
      <c r="C3800" s="1">
        <f>HYPERLINK("https://cao.dolgi.msk.ru/account/1011075993/", 1011075993)</f>
        <v>1011075993</v>
      </c>
      <c r="D3800">
        <v>-8235.27</v>
      </c>
    </row>
    <row r="3801" spans="1:4" x14ac:dyDescent="0.3">
      <c r="A3801" t="s">
        <v>538</v>
      </c>
      <c r="B3801" t="s">
        <v>110</v>
      </c>
      <c r="C3801" s="1">
        <f>HYPERLINK("https://cao.dolgi.msk.ru/account/1011076005/", 1011076005)</f>
        <v>1011076005</v>
      </c>
      <c r="D3801">
        <v>9451.6200000000008</v>
      </c>
    </row>
    <row r="3802" spans="1:4" hidden="1" x14ac:dyDescent="0.3">
      <c r="A3802" t="s">
        <v>538</v>
      </c>
      <c r="B3802" t="s">
        <v>111</v>
      </c>
      <c r="C3802" s="1">
        <f>HYPERLINK("https://cao.dolgi.msk.ru/account/1011076013/", 1011076013)</f>
        <v>1011076013</v>
      </c>
      <c r="D3802">
        <v>0</v>
      </c>
    </row>
    <row r="3803" spans="1:4" hidden="1" x14ac:dyDescent="0.3">
      <c r="A3803" t="s">
        <v>538</v>
      </c>
      <c r="B3803" t="s">
        <v>112</v>
      </c>
      <c r="C3803" s="1">
        <f>HYPERLINK("https://cao.dolgi.msk.ru/account/1011076021/", 1011076021)</f>
        <v>1011076021</v>
      </c>
      <c r="D3803">
        <v>-5146.6000000000004</v>
      </c>
    </row>
    <row r="3804" spans="1:4" hidden="1" x14ac:dyDescent="0.3">
      <c r="A3804" t="s">
        <v>538</v>
      </c>
      <c r="B3804" t="s">
        <v>113</v>
      </c>
      <c r="C3804" s="1">
        <f>HYPERLINK("https://cao.dolgi.msk.ru/account/1011076048/", 1011076048)</f>
        <v>1011076048</v>
      </c>
      <c r="D3804">
        <v>0</v>
      </c>
    </row>
    <row r="3805" spans="1:4" hidden="1" x14ac:dyDescent="0.3">
      <c r="A3805" t="s">
        <v>538</v>
      </c>
      <c r="B3805" t="s">
        <v>114</v>
      </c>
      <c r="C3805" s="1">
        <f>HYPERLINK("https://cao.dolgi.msk.ru/account/1011076056/", 1011076056)</f>
        <v>1011076056</v>
      </c>
      <c r="D3805">
        <v>0</v>
      </c>
    </row>
    <row r="3806" spans="1:4" hidden="1" x14ac:dyDescent="0.3">
      <c r="A3806" t="s">
        <v>538</v>
      </c>
      <c r="B3806" t="s">
        <v>115</v>
      </c>
      <c r="C3806" s="1">
        <f>HYPERLINK("https://cao.dolgi.msk.ru/account/1011076064/", 1011076064)</f>
        <v>1011076064</v>
      </c>
      <c r="D3806">
        <v>0</v>
      </c>
    </row>
    <row r="3807" spans="1:4" hidden="1" x14ac:dyDescent="0.3">
      <c r="A3807" t="s">
        <v>538</v>
      </c>
      <c r="B3807" t="s">
        <v>116</v>
      </c>
      <c r="C3807" s="1">
        <f>HYPERLINK("https://cao.dolgi.msk.ru/account/1011076099/", 1011076099)</f>
        <v>1011076099</v>
      </c>
      <c r="D3807">
        <v>0</v>
      </c>
    </row>
    <row r="3808" spans="1:4" x14ac:dyDescent="0.3">
      <c r="A3808" t="s">
        <v>538</v>
      </c>
      <c r="B3808" t="s">
        <v>266</v>
      </c>
      <c r="C3808" s="1">
        <f>HYPERLINK("https://cao.dolgi.msk.ru/account/1011076101/", 1011076101)</f>
        <v>1011076101</v>
      </c>
      <c r="D3808">
        <v>6194.53</v>
      </c>
    </row>
    <row r="3809" spans="1:4" hidden="1" x14ac:dyDescent="0.3">
      <c r="A3809" t="s">
        <v>538</v>
      </c>
      <c r="B3809" t="s">
        <v>117</v>
      </c>
      <c r="C3809" s="1">
        <f>HYPERLINK("https://cao.dolgi.msk.ru/account/1011076128/", 1011076128)</f>
        <v>1011076128</v>
      </c>
      <c r="D3809">
        <v>0</v>
      </c>
    </row>
    <row r="3810" spans="1:4" hidden="1" x14ac:dyDescent="0.3">
      <c r="A3810" t="s">
        <v>538</v>
      </c>
      <c r="B3810" t="s">
        <v>118</v>
      </c>
      <c r="C3810" s="1">
        <f>HYPERLINK("https://cao.dolgi.msk.ru/account/1011076136/", 1011076136)</f>
        <v>1011076136</v>
      </c>
      <c r="D3810">
        <v>0</v>
      </c>
    </row>
    <row r="3811" spans="1:4" hidden="1" x14ac:dyDescent="0.3">
      <c r="A3811" t="s">
        <v>538</v>
      </c>
      <c r="B3811" t="s">
        <v>119</v>
      </c>
      <c r="C3811" s="1">
        <f>HYPERLINK("https://cao.dolgi.msk.ru/account/1011076152/", 1011076152)</f>
        <v>1011076152</v>
      </c>
      <c r="D3811">
        <v>-6437.72</v>
      </c>
    </row>
    <row r="3812" spans="1:4" x14ac:dyDescent="0.3">
      <c r="A3812" t="s">
        <v>538</v>
      </c>
      <c r="B3812" t="s">
        <v>120</v>
      </c>
      <c r="C3812" s="1">
        <f>HYPERLINK("https://cao.dolgi.msk.ru/account/1011076179/", 1011076179)</f>
        <v>1011076179</v>
      </c>
      <c r="D3812">
        <v>25718.12</v>
      </c>
    </row>
    <row r="3813" spans="1:4" hidden="1" x14ac:dyDescent="0.3">
      <c r="A3813" t="s">
        <v>538</v>
      </c>
      <c r="B3813" t="s">
        <v>121</v>
      </c>
      <c r="C3813" s="1">
        <f>HYPERLINK("https://cao.dolgi.msk.ru/account/1011076187/", 1011076187)</f>
        <v>1011076187</v>
      </c>
      <c r="D3813">
        <v>0</v>
      </c>
    </row>
    <row r="3814" spans="1:4" hidden="1" x14ac:dyDescent="0.3">
      <c r="A3814" t="s">
        <v>538</v>
      </c>
      <c r="B3814" t="s">
        <v>122</v>
      </c>
      <c r="C3814" s="1">
        <f>HYPERLINK("https://cao.dolgi.msk.ru/account/1011076195/", 1011076195)</f>
        <v>1011076195</v>
      </c>
      <c r="D3814">
        <v>0</v>
      </c>
    </row>
    <row r="3815" spans="1:4" hidden="1" x14ac:dyDescent="0.3">
      <c r="A3815" t="s">
        <v>538</v>
      </c>
      <c r="B3815" t="s">
        <v>123</v>
      </c>
      <c r="C3815" s="1">
        <f>HYPERLINK("https://cao.dolgi.msk.ru/account/1011076208/", 1011076208)</f>
        <v>1011076208</v>
      </c>
      <c r="D3815">
        <v>0</v>
      </c>
    </row>
    <row r="3816" spans="1:4" hidden="1" x14ac:dyDescent="0.3">
      <c r="A3816" t="s">
        <v>538</v>
      </c>
      <c r="B3816" t="s">
        <v>124</v>
      </c>
      <c r="C3816" s="1">
        <f>HYPERLINK("https://cao.dolgi.msk.ru/account/1011076216/", 1011076216)</f>
        <v>1011076216</v>
      </c>
      <c r="D3816">
        <v>-5310.38</v>
      </c>
    </row>
    <row r="3817" spans="1:4" hidden="1" x14ac:dyDescent="0.3">
      <c r="A3817" t="s">
        <v>538</v>
      </c>
      <c r="B3817" t="s">
        <v>125</v>
      </c>
      <c r="C3817" s="1">
        <f>HYPERLINK("https://cao.dolgi.msk.ru/account/1011076224/", 1011076224)</f>
        <v>1011076224</v>
      </c>
      <c r="D3817">
        <v>0</v>
      </c>
    </row>
    <row r="3818" spans="1:4" hidden="1" x14ac:dyDescent="0.3">
      <c r="A3818" t="s">
        <v>538</v>
      </c>
      <c r="B3818" t="s">
        <v>126</v>
      </c>
      <c r="C3818" s="1">
        <f>HYPERLINK("https://cao.dolgi.msk.ru/account/1011076232/", 1011076232)</f>
        <v>1011076232</v>
      </c>
      <c r="D3818">
        <v>0</v>
      </c>
    </row>
    <row r="3819" spans="1:4" hidden="1" x14ac:dyDescent="0.3">
      <c r="A3819" t="s">
        <v>538</v>
      </c>
      <c r="B3819" t="s">
        <v>127</v>
      </c>
      <c r="C3819" s="1">
        <f>HYPERLINK("https://cao.dolgi.msk.ru/account/1011076259/", 1011076259)</f>
        <v>1011076259</v>
      </c>
      <c r="D3819">
        <v>0</v>
      </c>
    </row>
    <row r="3820" spans="1:4" hidden="1" x14ac:dyDescent="0.3">
      <c r="A3820" t="s">
        <v>538</v>
      </c>
      <c r="B3820" t="s">
        <v>262</v>
      </c>
      <c r="C3820" s="1">
        <f>HYPERLINK("https://cao.dolgi.msk.ru/account/1011076267/", 1011076267)</f>
        <v>1011076267</v>
      </c>
      <c r="D3820">
        <v>-5841.23</v>
      </c>
    </row>
    <row r="3821" spans="1:4" hidden="1" x14ac:dyDescent="0.3">
      <c r="A3821" t="s">
        <v>538</v>
      </c>
      <c r="B3821" t="s">
        <v>128</v>
      </c>
      <c r="C3821" s="1">
        <f>HYPERLINK("https://cao.dolgi.msk.ru/account/1011076275/", 1011076275)</f>
        <v>1011076275</v>
      </c>
      <c r="D3821">
        <v>-4339.96</v>
      </c>
    </row>
    <row r="3822" spans="1:4" x14ac:dyDescent="0.3">
      <c r="A3822" t="s">
        <v>538</v>
      </c>
      <c r="B3822" t="s">
        <v>129</v>
      </c>
      <c r="C3822" s="1">
        <f>HYPERLINK("https://cao.dolgi.msk.ru/account/1011076283/", 1011076283)</f>
        <v>1011076283</v>
      </c>
      <c r="D3822">
        <v>32926.9</v>
      </c>
    </row>
    <row r="3823" spans="1:4" hidden="1" x14ac:dyDescent="0.3">
      <c r="A3823" t="s">
        <v>538</v>
      </c>
      <c r="B3823" t="s">
        <v>130</v>
      </c>
      <c r="C3823" s="1">
        <f>HYPERLINK("https://cao.dolgi.msk.ru/account/1011076304/", 1011076304)</f>
        <v>1011076304</v>
      </c>
      <c r="D3823">
        <v>-2921.42</v>
      </c>
    </row>
    <row r="3824" spans="1:4" hidden="1" x14ac:dyDescent="0.3">
      <c r="A3824" t="s">
        <v>538</v>
      </c>
      <c r="B3824" t="s">
        <v>131</v>
      </c>
      <c r="C3824" s="1">
        <f>HYPERLINK("https://cao.dolgi.msk.ru/account/1011076291/", 1011076291)</f>
        <v>1011076291</v>
      </c>
      <c r="D3824">
        <v>0</v>
      </c>
    </row>
    <row r="3825" spans="1:4" x14ac:dyDescent="0.3">
      <c r="A3825" t="s">
        <v>538</v>
      </c>
      <c r="B3825" t="s">
        <v>132</v>
      </c>
      <c r="C3825" s="1">
        <f>HYPERLINK("https://cao.dolgi.msk.ru/account/1011076312/", 1011076312)</f>
        <v>1011076312</v>
      </c>
      <c r="D3825">
        <v>5304.28</v>
      </c>
    </row>
    <row r="3826" spans="1:4" hidden="1" x14ac:dyDescent="0.3">
      <c r="A3826" t="s">
        <v>538</v>
      </c>
      <c r="B3826" t="s">
        <v>133</v>
      </c>
      <c r="C3826" s="1">
        <f>HYPERLINK("https://cao.dolgi.msk.ru/account/1011076339/", 1011076339)</f>
        <v>1011076339</v>
      </c>
      <c r="D3826">
        <v>0</v>
      </c>
    </row>
    <row r="3827" spans="1:4" hidden="1" x14ac:dyDescent="0.3">
      <c r="A3827" t="s">
        <v>538</v>
      </c>
      <c r="B3827" t="s">
        <v>134</v>
      </c>
      <c r="C3827" s="1">
        <f>HYPERLINK("https://cao.dolgi.msk.ru/account/1011076347/", 1011076347)</f>
        <v>1011076347</v>
      </c>
      <c r="D3827">
        <v>-10846.09</v>
      </c>
    </row>
    <row r="3828" spans="1:4" x14ac:dyDescent="0.3">
      <c r="A3828" t="s">
        <v>538</v>
      </c>
      <c r="B3828" t="s">
        <v>135</v>
      </c>
      <c r="C3828" s="1">
        <f>HYPERLINK("https://cao.dolgi.msk.ru/account/1011076363/", 1011076363)</f>
        <v>1011076363</v>
      </c>
      <c r="D3828">
        <v>7900.91</v>
      </c>
    </row>
    <row r="3829" spans="1:4" x14ac:dyDescent="0.3">
      <c r="A3829" t="s">
        <v>538</v>
      </c>
      <c r="B3829" t="s">
        <v>264</v>
      </c>
      <c r="C3829" s="1">
        <f>HYPERLINK("https://cao.dolgi.msk.ru/account/1011076355/", 1011076355)</f>
        <v>1011076355</v>
      </c>
      <c r="D3829">
        <v>23308.49</v>
      </c>
    </row>
    <row r="3830" spans="1:4" x14ac:dyDescent="0.3">
      <c r="A3830" t="s">
        <v>538</v>
      </c>
      <c r="B3830" t="s">
        <v>136</v>
      </c>
      <c r="C3830" s="1">
        <f>HYPERLINK("https://cao.dolgi.msk.ru/account/1011076371/", 1011076371)</f>
        <v>1011076371</v>
      </c>
      <c r="D3830">
        <v>48260.2</v>
      </c>
    </row>
    <row r="3831" spans="1:4" hidden="1" x14ac:dyDescent="0.3">
      <c r="A3831" t="s">
        <v>538</v>
      </c>
      <c r="B3831" t="s">
        <v>137</v>
      </c>
      <c r="C3831" s="1">
        <f>HYPERLINK("https://cao.dolgi.msk.ru/account/1011076398/", 1011076398)</f>
        <v>1011076398</v>
      </c>
      <c r="D3831">
        <v>0</v>
      </c>
    </row>
    <row r="3832" spans="1:4" x14ac:dyDescent="0.3">
      <c r="A3832" t="s">
        <v>538</v>
      </c>
      <c r="B3832" t="s">
        <v>138</v>
      </c>
      <c r="C3832" s="1">
        <f>HYPERLINK("https://cao.dolgi.msk.ru/account/1011076419/", 1011076419)</f>
        <v>1011076419</v>
      </c>
      <c r="D3832">
        <v>8759.7000000000007</v>
      </c>
    </row>
    <row r="3833" spans="1:4" x14ac:dyDescent="0.3">
      <c r="A3833" t="s">
        <v>538</v>
      </c>
      <c r="B3833" t="s">
        <v>139</v>
      </c>
      <c r="C3833" s="1">
        <f>HYPERLINK("https://cao.dolgi.msk.ru/account/1011076427/", 1011076427)</f>
        <v>1011076427</v>
      </c>
      <c r="D3833">
        <v>14543.28</v>
      </c>
    </row>
    <row r="3834" spans="1:4" hidden="1" x14ac:dyDescent="0.3">
      <c r="A3834" t="s">
        <v>538</v>
      </c>
      <c r="B3834" t="s">
        <v>140</v>
      </c>
      <c r="C3834" s="1">
        <f>HYPERLINK("https://cao.dolgi.msk.ru/account/1011076435/", 1011076435)</f>
        <v>1011076435</v>
      </c>
      <c r="D3834">
        <v>0</v>
      </c>
    </row>
    <row r="3835" spans="1:4" hidden="1" x14ac:dyDescent="0.3">
      <c r="A3835" t="s">
        <v>538</v>
      </c>
      <c r="B3835" t="s">
        <v>141</v>
      </c>
      <c r="C3835" s="1">
        <f>HYPERLINK("https://cao.dolgi.msk.ru/account/1011076443/", 1011076443)</f>
        <v>1011076443</v>
      </c>
      <c r="D3835">
        <v>-5726.78</v>
      </c>
    </row>
    <row r="3836" spans="1:4" hidden="1" x14ac:dyDescent="0.3">
      <c r="A3836" t="s">
        <v>538</v>
      </c>
      <c r="B3836" t="s">
        <v>142</v>
      </c>
      <c r="C3836" s="1">
        <f>HYPERLINK("https://cao.dolgi.msk.ru/account/1011076451/", 1011076451)</f>
        <v>1011076451</v>
      </c>
      <c r="D3836">
        <v>-12317.13</v>
      </c>
    </row>
    <row r="3837" spans="1:4" x14ac:dyDescent="0.3">
      <c r="A3837" t="s">
        <v>538</v>
      </c>
      <c r="B3837" t="s">
        <v>143</v>
      </c>
      <c r="C3837" s="1">
        <f>HYPERLINK("https://cao.dolgi.msk.ru/account/1011076478/", 1011076478)</f>
        <v>1011076478</v>
      </c>
      <c r="D3837">
        <v>151532.41</v>
      </c>
    </row>
    <row r="3838" spans="1:4" x14ac:dyDescent="0.3">
      <c r="A3838" t="s">
        <v>538</v>
      </c>
      <c r="B3838" t="s">
        <v>144</v>
      </c>
      <c r="C3838" s="1">
        <f>HYPERLINK("https://cao.dolgi.msk.ru/account/1011076486/", 1011076486)</f>
        <v>1011076486</v>
      </c>
      <c r="D3838">
        <v>17253.22</v>
      </c>
    </row>
    <row r="3839" spans="1:4" hidden="1" x14ac:dyDescent="0.3">
      <c r="A3839" t="s">
        <v>538</v>
      </c>
      <c r="B3839" t="s">
        <v>145</v>
      </c>
      <c r="C3839" s="1">
        <f>HYPERLINK("https://cao.dolgi.msk.ru/account/1011076494/", 1011076494)</f>
        <v>1011076494</v>
      </c>
      <c r="D3839">
        <v>0</v>
      </c>
    </row>
    <row r="3840" spans="1:4" hidden="1" x14ac:dyDescent="0.3">
      <c r="A3840" t="s">
        <v>538</v>
      </c>
      <c r="B3840" t="s">
        <v>146</v>
      </c>
      <c r="C3840" s="1">
        <f>HYPERLINK("https://cao.dolgi.msk.ru/account/1011076507/", 1011076507)</f>
        <v>1011076507</v>
      </c>
      <c r="D3840">
        <v>0</v>
      </c>
    </row>
    <row r="3841" spans="1:4" hidden="1" x14ac:dyDescent="0.3">
      <c r="A3841" t="s">
        <v>538</v>
      </c>
      <c r="B3841" t="s">
        <v>147</v>
      </c>
      <c r="C3841" s="1">
        <f>HYPERLINK("https://cao.dolgi.msk.ru/account/1011076515/", 1011076515)</f>
        <v>1011076515</v>
      </c>
      <c r="D3841">
        <v>0</v>
      </c>
    </row>
    <row r="3842" spans="1:4" hidden="1" x14ac:dyDescent="0.3">
      <c r="A3842" t="s">
        <v>538</v>
      </c>
      <c r="B3842" t="s">
        <v>148</v>
      </c>
      <c r="C3842" s="1">
        <f>HYPERLINK("https://cao.dolgi.msk.ru/account/1011076523/", 1011076523)</f>
        <v>1011076523</v>
      </c>
      <c r="D3842">
        <v>0</v>
      </c>
    </row>
    <row r="3843" spans="1:4" hidden="1" x14ac:dyDescent="0.3">
      <c r="A3843" t="s">
        <v>538</v>
      </c>
      <c r="B3843" t="s">
        <v>149</v>
      </c>
      <c r="C3843" s="1">
        <f>HYPERLINK("https://cao.dolgi.msk.ru/account/1011076531/", 1011076531)</f>
        <v>1011076531</v>
      </c>
      <c r="D3843">
        <v>-11949.49</v>
      </c>
    </row>
    <row r="3844" spans="1:4" hidden="1" x14ac:dyDescent="0.3">
      <c r="A3844" t="s">
        <v>538</v>
      </c>
      <c r="B3844" t="s">
        <v>150</v>
      </c>
      <c r="C3844" s="1">
        <f>HYPERLINK("https://cao.dolgi.msk.ru/account/1011076566/", 1011076566)</f>
        <v>1011076566</v>
      </c>
      <c r="D3844">
        <v>-713.75</v>
      </c>
    </row>
    <row r="3845" spans="1:4" hidden="1" x14ac:dyDescent="0.3">
      <c r="A3845" t="s">
        <v>538</v>
      </c>
      <c r="B3845" t="s">
        <v>151</v>
      </c>
      <c r="C3845" s="1">
        <f>HYPERLINK("https://cao.dolgi.msk.ru/account/1011076574/", 1011076574)</f>
        <v>1011076574</v>
      </c>
      <c r="D3845">
        <v>0</v>
      </c>
    </row>
    <row r="3846" spans="1:4" x14ac:dyDescent="0.3">
      <c r="A3846" t="s">
        <v>538</v>
      </c>
      <c r="B3846" t="s">
        <v>152</v>
      </c>
      <c r="C3846" s="1">
        <f>HYPERLINK("https://cao.dolgi.msk.ru/account/1011076582/", 1011076582)</f>
        <v>1011076582</v>
      </c>
      <c r="D3846">
        <v>779.74</v>
      </c>
    </row>
    <row r="3847" spans="1:4" hidden="1" x14ac:dyDescent="0.3">
      <c r="A3847" t="s">
        <v>538</v>
      </c>
      <c r="B3847" t="s">
        <v>153</v>
      </c>
      <c r="C3847" s="1">
        <f>HYPERLINK("https://cao.dolgi.msk.ru/account/1011076603/", 1011076603)</f>
        <v>1011076603</v>
      </c>
      <c r="D3847">
        <v>0</v>
      </c>
    </row>
    <row r="3848" spans="1:4" hidden="1" x14ac:dyDescent="0.3">
      <c r="A3848" t="s">
        <v>538</v>
      </c>
      <c r="B3848" t="s">
        <v>154</v>
      </c>
      <c r="C3848" s="1">
        <f>HYPERLINK("https://cao.dolgi.msk.ru/account/1011076611/", 1011076611)</f>
        <v>1011076611</v>
      </c>
      <c r="D3848">
        <v>0</v>
      </c>
    </row>
    <row r="3849" spans="1:4" x14ac:dyDescent="0.3">
      <c r="A3849" t="s">
        <v>538</v>
      </c>
      <c r="B3849" t="s">
        <v>155</v>
      </c>
      <c r="C3849" s="1">
        <f>HYPERLINK("https://cao.dolgi.msk.ru/account/1011076638/", 1011076638)</f>
        <v>1011076638</v>
      </c>
      <c r="D3849">
        <v>6861.28</v>
      </c>
    </row>
    <row r="3850" spans="1:4" x14ac:dyDescent="0.3">
      <c r="A3850" t="s">
        <v>538</v>
      </c>
      <c r="B3850" t="s">
        <v>156</v>
      </c>
      <c r="C3850" s="1">
        <f>HYPERLINK("https://cao.dolgi.msk.ru/account/1011076646/", 1011076646)</f>
        <v>1011076646</v>
      </c>
      <c r="D3850">
        <v>10099.209999999999</v>
      </c>
    </row>
    <row r="3851" spans="1:4" hidden="1" x14ac:dyDescent="0.3">
      <c r="A3851" t="s">
        <v>538</v>
      </c>
      <c r="B3851" t="s">
        <v>539</v>
      </c>
      <c r="C3851" s="1">
        <f>HYPERLINK("https://cao.dolgi.msk.ru/account/1011076654/", 1011076654)</f>
        <v>1011076654</v>
      </c>
      <c r="D3851">
        <v>0</v>
      </c>
    </row>
    <row r="3852" spans="1:4" hidden="1" x14ac:dyDescent="0.3">
      <c r="A3852" t="s">
        <v>538</v>
      </c>
      <c r="B3852" t="s">
        <v>159</v>
      </c>
      <c r="C3852" s="1">
        <f>HYPERLINK("https://cao.dolgi.msk.ru/account/1011076662/", 1011076662)</f>
        <v>1011076662</v>
      </c>
      <c r="D3852">
        <v>0</v>
      </c>
    </row>
    <row r="3853" spans="1:4" hidden="1" x14ac:dyDescent="0.3">
      <c r="A3853" t="s">
        <v>538</v>
      </c>
      <c r="B3853" t="s">
        <v>160</v>
      </c>
      <c r="C3853" s="1">
        <f>HYPERLINK("https://cao.dolgi.msk.ru/account/1011076689/", 1011076689)</f>
        <v>1011076689</v>
      </c>
      <c r="D3853">
        <v>-2.12</v>
      </c>
    </row>
    <row r="3854" spans="1:4" hidden="1" x14ac:dyDescent="0.3">
      <c r="A3854" t="s">
        <v>538</v>
      </c>
      <c r="B3854" t="s">
        <v>161</v>
      </c>
      <c r="C3854" s="1">
        <f>HYPERLINK("https://cao.dolgi.msk.ru/account/1011076697/", 1011076697)</f>
        <v>1011076697</v>
      </c>
      <c r="D3854">
        <v>0</v>
      </c>
    </row>
    <row r="3855" spans="1:4" x14ac:dyDescent="0.3">
      <c r="A3855" t="s">
        <v>538</v>
      </c>
      <c r="B3855" t="s">
        <v>162</v>
      </c>
      <c r="C3855" s="1">
        <f>HYPERLINK("https://cao.dolgi.msk.ru/account/1011076718/", 1011076718)</f>
        <v>1011076718</v>
      </c>
      <c r="D3855">
        <v>7782.02</v>
      </c>
    </row>
    <row r="3856" spans="1:4" hidden="1" x14ac:dyDescent="0.3">
      <c r="A3856" t="s">
        <v>538</v>
      </c>
      <c r="B3856" t="s">
        <v>163</v>
      </c>
      <c r="C3856" s="1">
        <f>HYPERLINK("https://cao.dolgi.msk.ru/account/1011076726/", 1011076726)</f>
        <v>1011076726</v>
      </c>
      <c r="D3856">
        <v>0</v>
      </c>
    </row>
    <row r="3857" spans="1:4" hidden="1" x14ac:dyDescent="0.3">
      <c r="A3857" t="s">
        <v>538</v>
      </c>
      <c r="B3857" t="s">
        <v>164</v>
      </c>
      <c r="C3857" s="1">
        <f>HYPERLINK("https://cao.dolgi.msk.ru/account/1011076734/", 1011076734)</f>
        <v>1011076734</v>
      </c>
      <c r="D3857">
        <v>0</v>
      </c>
    </row>
    <row r="3858" spans="1:4" x14ac:dyDescent="0.3">
      <c r="A3858" t="s">
        <v>538</v>
      </c>
      <c r="B3858" t="s">
        <v>165</v>
      </c>
      <c r="C3858" s="1">
        <f>HYPERLINK("https://cao.dolgi.msk.ru/account/1011076742/", 1011076742)</f>
        <v>1011076742</v>
      </c>
      <c r="D3858">
        <v>12825.3</v>
      </c>
    </row>
    <row r="3859" spans="1:4" hidden="1" x14ac:dyDescent="0.3">
      <c r="A3859" t="s">
        <v>538</v>
      </c>
      <c r="B3859" t="s">
        <v>166</v>
      </c>
      <c r="C3859" s="1">
        <f>HYPERLINK("https://cao.dolgi.msk.ru/account/1011076769/", 1011076769)</f>
        <v>1011076769</v>
      </c>
      <c r="D3859">
        <v>0</v>
      </c>
    </row>
    <row r="3860" spans="1:4" hidden="1" x14ac:dyDescent="0.3">
      <c r="A3860" t="s">
        <v>538</v>
      </c>
      <c r="B3860" t="s">
        <v>167</v>
      </c>
      <c r="C3860" s="1">
        <f>HYPERLINK("https://cao.dolgi.msk.ru/account/1011076777/", 1011076777)</f>
        <v>1011076777</v>
      </c>
      <c r="D3860">
        <v>0</v>
      </c>
    </row>
    <row r="3861" spans="1:4" hidden="1" x14ac:dyDescent="0.3">
      <c r="A3861" t="s">
        <v>538</v>
      </c>
      <c r="B3861" t="s">
        <v>168</v>
      </c>
      <c r="C3861" s="1">
        <f>HYPERLINK("https://cao.dolgi.msk.ru/account/1011076785/", 1011076785)</f>
        <v>1011076785</v>
      </c>
      <c r="D3861">
        <v>-11509.55</v>
      </c>
    </row>
    <row r="3862" spans="1:4" hidden="1" x14ac:dyDescent="0.3">
      <c r="A3862" t="s">
        <v>538</v>
      </c>
      <c r="B3862" t="s">
        <v>169</v>
      </c>
      <c r="C3862" s="1">
        <f>HYPERLINK("https://cao.dolgi.msk.ru/account/1011076793/", 1011076793)</f>
        <v>1011076793</v>
      </c>
      <c r="D3862">
        <v>-8794.6</v>
      </c>
    </row>
    <row r="3863" spans="1:4" x14ac:dyDescent="0.3">
      <c r="A3863" t="s">
        <v>538</v>
      </c>
      <c r="B3863" t="s">
        <v>170</v>
      </c>
      <c r="C3863" s="1">
        <f>HYPERLINK("https://cao.dolgi.msk.ru/account/1011076806/", 1011076806)</f>
        <v>1011076806</v>
      </c>
      <c r="D3863">
        <v>24140.29</v>
      </c>
    </row>
    <row r="3864" spans="1:4" hidden="1" x14ac:dyDescent="0.3">
      <c r="A3864" t="s">
        <v>538</v>
      </c>
      <c r="B3864" t="s">
        <v>171</v>
      </c>
      <c r="C3864" s="1">
        <f>HYPERLINK("https://cao.dolgi.msk.ru/account/1011076814/", 1011076814)</f>
        <v>1011076814</v>
      </c>
      <c r="D3864">
        <v>0</v>
      </c>
    </row>
    <row r="3865" spans="1:4" hidden="1" x14ac:dyDescent="0.3">
      <c r="A3865" t="s">
        <v>538</v>
      </c>
      <c r="B3865" t="s">
        <v>172</v>
      </c>
      <c r="C3865" s="1">
        <f>HYPERLINK("https://cao.dolgi.msk.ru/account/1011076822/", 1011076822)</f>
        <v>1011076822</v>
      </c>
      <c r="D3865">
        <v>0</v>
      </c>
    </row>
    <row r="3866" spans="1:4" hidden="1" x14ac:dyDescent="0.3">
      <c r="A3866" t="s">
        <v>538</v>
      </c>
      <c r="B3866" t="s">
        <v>173</v>
      </c>
      <c r="C3866" s="1">
        <f>HYPERLINK("https://cao.dolgi.msk.ru/account/1011076849/", 1011076849)</f>
        <v>1011076849</v>
      </c>
      <c r="D3866">
        <v>-1904.75</v>
      </c>
    </row>
    <row r="3867" spans="1:4" hidden="1" x14ac:dyDescent="0.3">
      <c r="A3867" t="s">
        <v>538</v>
      </c>
      <c r="B3867" t="s">
        <v>174</v>
      </c>
      <c r="C3867" s="1">
        <f>HYPERLINK("https://cao.dolgi.msk.ru/account/1011076857/", 1011076857)</f>
        <v>1011076857</v>
      </c>
      <c r="D3867">
        <v>-12970.16</v>
      </c>
    </row>
    <row r="3868" spans="1:4" hidden="1" x14ac:dyDescent="0.3">
      <c r="A3868" t="s">
        <v>538</v>
      </c>
      <c r="B3868" t="s">
        <v>175</v>
      </c>
      <c r="C3868" s="1">
        <f>HYPERLINK("https://cao.dolgi.msk.ru/account/1011076865/", 1011076865)</f>
        <v>1011076865</v>
      </c>
      <c r="D3868">
        <v>-143.66999999999999</v>
      </c>
    </row>
    <row r="3869" spans="1:4" x14ac:dyDescent="0.3">
      <c r="A3869" t="s">
        <v>538</v>
      </c>
      <c r="B3869" t="s">
        <v>176</v>
      </c>
      <c r="C3869" s="1">
        <f>HYPERLINK("https://cao.dolgi.msk.ru/account/1011076873/", 1011076873)</f>
        <v>1011076873</v>
      </c>
      <c r="D3869">
        <v>10255.23</v>
      </c>
    </row>
    <row r="3870" spans="1:4" hidden="1" x14ac:dyDescent="0.3">
      <c r="A3870" t="s">
        <v>538</v>
      </c>
      <c r="B3870" t="s">
        <v>177</v>
      </c>
      <c r="C3870" s="1">
        <f>HYPERLINK("https://cao.dolgi.msk.ru/account/1011076881/", 1011076881)</f>
        <v>1011076881</v>
      </c>
      <c r="D3870">
        <v>-199.11</v>
      </c>
    </row>
    <row r="3871" spans="1:4" hidden="1" x14ac:dyDescent="0.3">
      <c r="A3871" t="s">
        <v>538</v>
      </c>
      <c r="B3871" t="s">
        <v>178</v>
      </c>
      <c r="C3871" s="1">
        <f>HYPERLINK("https://cao.dolgi.msk.ru/account/1011076902/", 1011076902)</f>
        <v>1011076902</v>
      </c>
      <c r="D3871">
        <v>-8197.83</v>
      </c>
    </row>
    <row r="3872" spans="1:4" hidden="1" x14ac:dyDescent="0.3">
      <c r="A3872" t="s">
        <v>538</v>
      </c>
      <c r="B3872" t="s">
        <v>179</v>
      </c>
      <c r="C3872" s="1">
        <f>HYPERLINK("https://cao.dolgi.msk.ru/account/1011076929/", 1011076929)</f>
        <v>1011076929</v>
      </c>
      <c r="D3872">
        <v>0</v>
      </c>
    </row>
    <row r="3873" spans="1:4" hidden="1" x14ac:dyDescent="0.3">
      <c r="A3873" t="s">
        <v>538</v>
      </c>
      <c r="B3873" t="s">
        <v>273</v>
      </c>
      <c r="C3873" s="1">
        <f>HYPERLINK("https://cao.dolgi.msk.ru/account/1011076937/", 1011076937)</f>
        <v>1011076937</v>
      </c>
      <c r="D3873">
        <v>0</v>
      </c>
    </row>
    <row r="3874" spans="1:4" hidden="1" x14ac:dyDescent="0.3">
      <c r="A3874" t="s">
        <v>538</v>
      </c>
      <c r="B3874" t="s">
        <v>180</v>
      </c>
      <c r="C3874" s="1">
        <f>HYPERLINK("https://cao.dolgi.msk.ru/account/1011076945/", 1011076945)</f>
        <v>1011076945</v>
      </c>
      <c r="D3874">
        <v>0</v>
      </c>
    </row>
    <row r="3875" spans="1:4" hidden="1" x14ac:dyDescent="0.3">
      <c r="A3875" t="s">
        <v>538</v>
      </c>
      <c r="B3875" t="s">
        <v>181</v>
      </c>
      <c r="C3875" s="1">
        <f>HYPERLINK("https://cao.dolgi.msk.ru/account/1011076953/", 1011076953)</f>
        <v>1011076953</v>
      </c>
      <c r="D3875">
        <v>0</v>
      </c>
    </row>
    <row r="3876" spans="1:4" hidden="1" x14ac:dyDescent="0.3">
      <c r="A3876" t="s">
        <v>538</v>
      </c>
      <c r="B3876" t="s">
        <v>183</v>
      </c>
      <c r="C3876" s="1">
        <f>HYPERLINK("https://cao.dolgi.msk.ru/account/1011076961/", 1011076961)</f>
        <v>1011076961</v>
      </c>
      <c r="D3876">
        <v>0</v>
      </c>
    </row>
    <row r="3877" spans="1:4" hidden="1" x14ac:dyDescent="0.3">
      <c r="A3877" t="s">
        <v>538</v>
      </c>
      <c r="B3877" t="s">
        <v>184</v>
      </c>
      <c r="C3877" s="1">
        <f>HYPERLINK("https://cao.dolgi.msk.ru/account/1011076988/", 1011076988)</f>
        <v>1011076988</v>
      </c>
      <c r="D3877">
        <v>0</v>
      </c>
    </row>
    <row r="3878" spans="1:4" hidden="1" x14ac:dyDescent="0.3">
      <c r="A3878" t="s">
        <v>538</v>
      </c>
      <c r="B3878" t="s">
        <v>185</v>
      </c>
      <c r="C3878" s="1">
        <f>HYPERLINK("https://cao.dolgi.msk.ru/account/1011076996/", 1011076996)</f>
        <v>1011076996</v>
      </c>
      <c r="D3878">
        <v>0</v>
      </c>
    </row>
    <row r="3879" spans="1:4" hidden="1" x14ac:dyDescent="0.3">
      <c r="A3879" t="s">
        <v>538</v>
      </c>
      <c r="B3879" t="s">
        <v>274</v>
      </c>
      <c r="C3879" s="1">
        <f>HYPERLINK("https://cao.dolgi.msk.ru/account/1011077008/", 1011077008)</f>
        <v>1011077008</v>
      </c>
      <c r="D3879">
        <v>0</v>
      </c>
    </row>
    <row r="3880" spans="1:4" hidden="1" x14ac:dyDescent="0.3">
      <c r="A3880" t="s">
        <v>538</v>
      </c>
      <c r="B3880" t="s">
        <v>186</v>
      </c>
      <c r="C3880" s="1">
        <f>HYPERLINK("https://cao.dolgi.msk.ru/account/1011077016/", 1011077016)</f>
        <v>1011077016</v>
      </c>
      <c r="D3880">
        <v>-10730.91</v>
      </c>
    </row>
    <row r="3881" spans="1:4" hidden="1" x14ac:dyDescent="0.3">
      <c r="A3881" t="s">
        <v>540</v>
      </c>
      <c r="B3881" t="s">
        <v>6</v>
      </c>
      <c r="C3881" s="1">
        <f>HYPERLINK("https://cao.dolgi.msk.ru/account/1011312901/", 1011312901)</f>
        <v>1011312901</v>
      </c>
      <c r="D3881">
        <v>-1665.63</v>
      </c>
    </row>
    <row r="3882" spans="1:4" hidden="1" x14ac:dyDescent="0.3">
      <c r="A3882" t="s">
        <v>540</v>
      </c>
      <c r="B3882" t="s">
        <v>28</v>
      </c>
      <c r="C3882" s="1">
        <f>HYPERLINK("https://cao.dolgi.msk.ru/account/1011116724/", 1011116724)</f>
        <v>1011116724</v>
      </c>
      <c r="D3882">
        <v>0</v>
      </c>
    </row>
    <row r="3883" spans="1:4" hidden="1" x14ac:dyDescent="0.3">
      <c r="A3883" t="s">
        <v>540</v>
      </c>
      <c r="B3883" t="s">
        <v>35</v>
      </c>
      <c r="C3883" s="1">
        <f>HYPERLINK("https://cao.dolgi.msk.ru/account/1011116732/", 1011116732)</f>
        <v>1011116732</v>
      </c>
      <c r="D3883">
        <v>0</v>
      </c>
    </row>
    <row r="3884" spans="1:4" hidden="1" x14ac:dyDescent="0.3">
      <c r="A3884" t="s">
        <v>540</v>
      </c>
      <c r="B3884" t="s">
        <v>5</v>
      </c>
      <c r="C3884" s="1">
        <f>HYPERLINK("https://cao.dolgi.msk.ru/account/1011116759/", 1011116759)</f>
        <v>1011116759</v>
      </c>
      <c r="D3884">
        <v>0</v>
      </c>
    </row>
    <row r="3885" spans="1:4" hidden="1" x14ac:dyDescent="0.3">
      <c r="A3885" t="s">
        <v>540</v>
      </c>
      <c r="B3885" t="s">
        <v>7</v>
      </c>
      <c r="C3885" s="1">
        <f>HYPERLINK("https://cao.dolgi.msk.ru/account/1011135802/", 1011135802)</f>
        <v>1011135802</v>
      </c>
      <c r="D3885">
        <v>0</v>
      </c>
    </row>
    <row r="3886" spans="1:4" hidden="1" x14ac:dyDescent="0.3">
      <c r="A3886" t="s">
        <v>540</v>
      </c>
      <c r="B3886" t="s">
        <v>8</v>
      </c>
      <c r="C3886" s="1">
        <f>HYPERLINK("https://cao.dolgi.msk.ru/account/1011116767/", 1011116767)</f>
        <v>1011116767</v>
      </c>
      <c r="D3886">
        <v>0</v>
      </c>
    </row>
    <row r="3887" spans="1:4" x14ac:dyDescent="0.3">
      <c r="A3887" t="s">
        <v>540</v>
      </c>
      <c r="B3887" t="s">
        <v>31</v>
      </c>
      <c r="C3887" s="1">
        <f>HYPERLINK("https://cao.dolgi.msk.ru/account/1011116775/", 1011116775)</f>
        <v>1011116775</v>
      </c>
      <c r="D3887">
        <v>6409.3</v>
      </c>
    </row>
    <row r="3888" spans="1:4" hidden="1" x14ac:dyDescent="0.3">
      <c r="A3888" t="s">
        <v>540</v>
      </c>
      <c r="B3888" t="s">
        <v>9</v>
      </c>
      <c r="C3888" s="1">
        <f>HYPERLINK("https://cao.dolgi.msk.ru/account/1011116783/", 1011116783)</f>
        <v>1011116783</v>
      </c>
      <c r="D3888">
        <v>0</v>
      </c>
    </row>
    <row r="3889" spans="1:4" x14ac:dyDescent="0.3">
      <c r="A3889" t="s">
        <v>540</v>
      </c>
      <c r="B3889" t="s">
        <v>10</v>
      </c>
      <c r="C3889" s="1">
        <f>HYPERLINK("https://cao.dolgi.msk.ru/account/1011116791/", 1011116791)</f>
        <v>1011116791</v>
      </c>
      <c r="D3889">
        <v>11721.5</v>
      </c>
    </row>
    <row r="3890" spans="1:4" hidden="1" x14ac:dyDescent="0.3">
      <c r="A3890" t="s">
        <v>540</v>
      </c>
      <c r="B3890" t="s">
        <v>11</v>
      </c>
      <c r="C3890" s="1">
        <f>HYPERLINK("https://cao.dolgi.msk.ru/account/1011125065/", 1011125065)</f>
        <v>1011125065</v>
      </c>
      <c r="D3890">
        <v>-6949</v>
      </c>
    </row>
    <row r="3891" spans="1:4" hidden="1" x14ac:dyDescent="0.3">
      <c r="A3891" t="s">
        <v>540</v>
      </c>
      <c r="B3891" t="s">
        <v>12</v>
      </c>
      <c r="C3891" s="1">
        <f>HYPERLINK("https://cao.dolgi.msk.ru/account/1011116804/", 1011116804)</f>
        <v>1011116804</v>
      </c>
      <c r="D3891">
        <v>0</v>
      </c>
    </row>
    <row r="3892" spans="1:4" hidden="1" x14ac:dyDescent="0.3">
      <c r="A3892" t="s">
        <v>540</v>
      </c>
      <c r="B3892" t="s">
        <v>23</v>
      </c>
      <c r="C3892" s="1">
        <f>HYPERLINK("https://cao.dolgi.msk.ru/account/1011116812/", 1011116812)</f>
        <v>1011116812</v>
      </c>
      <c r="D3892">
        <v>-3839.65</v>
      </c>
    </row>
    <row r="3893" spans="1:4" hidden="1" x14ac:dyDescent="0.3">
      <c r="A3893" t="s">
        <v>540</v>
      </c>
      <c r="B3893" t="s">
        <v>13</v>
      </c>
      <c r="C3893" s="1">
        <f>HYPERLINK("https://cao.dolgi.msk.ru/account/1011135845/", 1011135845)</f>
        <v>1011135845</v>
      </c>
      <c r="D3893">
        <v>0</v>
      </c>
    </row>
    <row r="3894" spans="1:4" x14ac:dyDescent="0.3">
      <c r="A3894" t="s">
        <v>540</v>
      </c>
      <c r="B3894" t="s">
        <v>14</v>
      </c>
      <c r="C3894" s="1">
        <f>HYPERLINK("https://cao.dolgi.msk.ru/account/1011116839/", 1011116839)</f>
        <v>1011116839</v>
      </c>
      <c r="D3894">
        <v>9619.5</v>
      </c>
    </row>
    <row r="3895" spans="1:4" hidden="1" x14ac:dyDescent="0.3">
      <c r="A3895" t="s">
        <v>540</v>
      </c>
      <c r="B3895" t="s">
        <v>16</v>
      </c>
      <c r="C3895" s="1">
        <f>HYPERLINK("https://cao.dolgi.msk.ru/account/1011116847/", 1011116847)</f>
        <v>1011116847</v>
      </c>
      <c r="D3895">
        <v>0</v>
      </c>
    </row>
    <row r="3896" spans="1:4" hidden="1" x14ac:dyDescent="0.3">
      <c r="A3896" t="s">
        <v>540</v>
      </c>
      <c r="B3896" t="s">
        <v>17</v>
      </c>
      <c r="C3896" s="1">
        <f>HYPERLINK("https://cao.dolgi.msk.ru/account/1011116855/", 1011116855)</f>
        <v>1011116855</v>
      </c>
      <c r="D3896">
        <v>-3071.07</v>
      </c>
    </row>
    <row r="3897" spans="1:4" hidden="1" x14ac:dyDescent="0.3">
      <c r="A3897" t="s">
        <v>540</v>
      </c>
      <c r="B3897" t="s">
        <v>18</v>
      </c>
      <c r="C3897" s="1">
        <f>HYPERLINK("https://cao.dolgi.msk.ru/account/1011135925/", 1011135925)</f>
        <v>1011135925</v>
      </c>
      <c r="D3897">
        <v>-1083.58</v>
      </c>
    </row>
    <row r="3898" spans="1:4" x14ac:dyDescent="0.3">
      <c r="A3898" t="s">
        <v>540</v>
      </c>
      <c r="B3898" t="s">
        <v>19</v>
      </c>
      <c r="C3898" s="1">
        <f>HYPERLINK("https://cao.dolgi.msk.ru/account/1011116863/", 1011116863)</f>
        <v>1011116863</v>
      </c>
      <c r="D3898">
        <v>504.9</v>
      </c>
    </row>
    <row r="3899" spans="1:4" x14ac:dyDescent="0.3">
      <c r="A3899" t="s">
        <v>540</v>
      </c>
      <c r="B3899" t="s">
        <v>20</v>
      </c>
      <c r="C3899" s="1">
        <f>HYPERLINK("https://cao.dolgi.msk.ru/account/1011116871/", 1011116871)</f>
        <v>1011116871</v>
      </c>
      <c r="D3899">
        <v>7235.93</v>
      </c>
    </row>
    <row r="3900" spans="1:4" hidden="1" x14ac:dyDescent="0.3">
      <c r="A3900" t="s">
        <v>540</v>
      </c>
      <c r="B3900" t="s">
        <v>21</v>
      </c>
      <c r="C3900" s="1">
        <f>HYPERLINK("https://cao.dolgi.msk.ru/account/1011135597/", 1011135597)</f>
        <v>1011135597</v>
      </c>
      <c r="D3900">
        <v>-106157.94</v>
      </c>
    </row>
    <row r="3901" spans="1:4" hidden="1" x14ac:dyDescent="0.3">
      <c r="A3901" t="s">
        <v>540</v>
      </c>
      <c r="B3901" t="s">
        <v>22</v>
      </c>
      <c r="C3901" s="1">
        <f>HYPERLINK("https://cao.dolgi.msk.ru/account/1011116898/", 1011116898)</f>
        <v>1011116898</v>
      </c>
      <c r="D3901">
        <v>0</v>
      </c>
    </row>
    <row r="3902" spans="1:4" hidden="1" x14ac:dyDescent="0.3">
      <c r="A3902" t="s">
        <v>540</v>
      </c>
      <c r="B3902" t="s">
        <v>24</v>
      </c>
      <c r="C3902" s="1">
        <f>HYPERLINK("https://cao.dolgi.msk.ru/account/1011116919/", 1011116919)</f>
        <v>1011116919</v>
      </c>
      <c r="D3902">
        <v>-8108.19</v>
      </c>
    </row>
    <row r="3903" spans="1:4" x14ac:dyDescent="0.3">
      <c r="A3903" t="s">
        <v>540</v>
      </c>
      <c r="B3903" t="s">
        <v>25</v>
      </c>
      <c r="C3903" s="1">
        <f>HYPERLINK("https://cao.dolgi.msk.ru/account/1011117882/", 1011117882)</f>
        <v>1011117882</v>
      </c>
      <c r="D3903">
        <v>60.8</v>
      </c>
    </row>
    <row r="3904" spans="1:4" hidden="1" x14ac:dyDescent="0.3">
      <c r="A3904" t="s">
        <v>540</v>
      </c>
      <c r="B3904" t="s">
        <v>26</v>
      </c>
      <c r="C3904" s="1">
        <f>HYPERLINK("https://cao.dolgi.msk.ru/account/1011116927/", 1011116927)</f>
        <v>1011116927</v>
      </c>
      <c r="D3904">
        <v>0</v>
      </c>
    </row>
    <row r="3905" spans="1:4" hidden="1" x14ac:dyDescent="0.3">
      <c r="A3905" t="s">
        <v>540</v>
      </c>
      <c r="B3905" t="s">
        <v>27</v>
      </c>
      <c r="C3905" s="1">
        <f>HYPERLINK("https://cao.dolgi.msk.ru/account/1011116935/", 1011116935)</f>
        <v>1011116935</v>
      </c>
      <c r="D3905">
        <v>0</v>
      </c>
    </row>
    <row r="3906" spans="1:4" hidden="1" x14ac:dyDescent="0.3">
      <c r="A3906" t="s">
        <v>540</v>
      </c>
      <c r="B3906" t="s">
        <v>29</v>
      </c>
      <c r="C3906" s="1">
        <f>HYPERLINK("https://cao.dolgi.msk.ru/account/1011116943/", 1011116943)</f>
        <v>1011116943</v>
      </c>
      <c r="D3906">
        <v>-3641.23</v>
      </c>
    </row>
    <row r="3907" spans="1:4" x14ac:dyDescent="0.3">
      <c r="A3907" t="s">
        <v>540</v>
      </c>
      <c r="B3907" t="s">
        <v>38</v>
      </c>
      <c r="C3907" s="1">
        <f>HYPERLINK("https://cao.dolgi.msk.ru/account/1011116951/", 1011116951)</f>
        <v>1011116951</v>
      </c>
      <c r="D3907">
        <v>6098.86</v>
      </c>
    </row>
    <row r="3908" spans="1:4" hidden="1" x14ac:dyDescent="0.3">
      <c r="A3908" t="s">
        <v>540</v>
      </c>
      <c r="B3908" t="s">
        <v>39</v>
      </c>
      <c r="C3908" s="1">
        <f>HYPERLINK("https://cao.dolgi.msk.ru/account/1011116978/", 1011116978)</f>
        <v>1011116978</v>
      </c>
      <c r="D3908">
        <v>-4209.78</v>
      </c>
    </row>
    <row r="3909" spans="1:4" x14ac:dyDescent="0.3">
      <c r="A3909" t="s">
        <v>540</v>
      </c>
      <c r="B3909" t="s">
        <v>40</v>
      </c>
      <c r="C3909" s="1">
        <f>HYPERLINK("https://cao.dolgi.msk.ru/account/1011189456/", 1011189456)</f>
        <v>1011189456</v>
      </c>
      <c r="D3909">
        <v>17507.23</v>
      </c>
    </row>
    <row r="3910" spans="1:4" hidden="1" x14ac:dyDescent="0.3">
      <c r="A3910" t="s">
        <v>540</v>
      </c>
      <c r="B3910" t="s">
        <v>41</v>
      </c>
      <c r="C3910" s="1">
        <f>HYPERLINK("https://cao.dolgi.msk.ru/account/1011116986/", 1011116986)</f>
        <v>1011116986</v>
      </c>
      <c r="D3910">
        <v>-3906.58</v>
      </c>
    </row>
    <row r="3911" spans="1:4" hidden="1" x14ac:dyDescent="0.3">
      <c r="A3911" t="s">
        <v>540</v>
      </c>
      <c r="B3911" t="s">
        <v>51</v>
      </c>
      <c r="C3911" s="1">
        <f>HYPERLINK("https://cao.dolgi.msk.ru/account/1011135589/", 1011135589)</f>
        <v>1011135589</v>
      </c>
      <c r="D3911">
        <v>0</v>
      </c>
    </row>
    <row r="3912" spans="1:4" hidden="1" x14ac:dyDescent="0.3">
      <c r="A3912" t="s">
        <v>540</v>
      </c>
      <c r="B3912" t="s">
        <v>52</v>
      </c>
      <c r="C3912" s="1">
        <f>HYPERLINK("https://cao.dolgi.msk.ru/account/1011121072/", 1011121072)</f>
        <v>1011121072</v>
      </c>
      <c r="D3912">
        <v>-57098.52</v>
      </c>
    </row>
    <row r="3913" spans="1:4" hidden="1" x14ac:dyDescent="0.3">
      <c r="A3913" t="s">
        <v>540</v>
      </c>
      <c r="B3913" t="s">
        <v>53</v>
      </c>
      <c r="C3913" s="1">
        <f>HYPERLINK("https://cao.dolgi.msk.ru/account/1011135837/", 1011135837)</f>
        <v>1011135837</v>
      </c>
      <c r="D3913">
        <v>-126325.51</v>
      </c>
    </row>
    <row r="3914" spans="1:4" hidden="1" x14ac:dyDescent="0.3">
      <c r="A3914" t="s">
        <v>540</v>
      </c>
      <c r="B3914" t="s">
        <v>54</v>
      </c>
      <c r="C3914" s="1">
        <f>HYPERLINK("https://cao.dolgi.msk.ru/account/1011125073/", 1011125073)</f>
        <v>1011125073</v>
      </c>
      <c r="D3914">
        <v>-5938</v>
      </c>
    </row>
    <row r="3915" spans="1:4" hidden="1" x14ac:dyDescent="0.3">
      <c r="A3915" t="s">
        <v>540</v>
      </c>
      <c r="B3915" t="s">
        <v>55</v>
      </c>
      <c r="C3915" s="1">
        <f>HYPERLINK("https://cao.dolgi.msk.ru/account/1011116994/", 1011116994)</f>
        <v>1011116994</v>
      </c>
      <c r="D3915">
        <v>-6702.86</v>
      </c>
    </row>
    <row r="3916" spans="1:4" x14ac:dyDescent="0.3">
      <c r="A3916" t="s">
        <v>540</v>
      </c>
      <c r="B3916" t="s">
        <v>56</v>
      </c>
      <c r="C3916" s="1">
        <f>HYPERLINK("https://cao.dolgi.msk.ru/account/1011135888/", 1011135888)</f>
        <v>1011135888</v>
      </c>
      <c r="D3916">
        <v>5622.71</v>
      </c>
    </row>
    <row r="3917" spans="1:4" hidden="1" x14ac:dyDescent="0.3">
      <c r="A3917" t="s">
        <v>541</v>
      </c>
      <c r="B3917" t="s">
        <v>6</v>
      </c>
      <c r="C3917" s="1">
        <f>HYPERLINK("https://cao.dolgi.msk.ru/account/1010510631/", 1010510631)</f>
        <v>1010510631</v>
      </c>
      <c r="D3917">
        <v>-204139.55</v>
      </c>
    </row>
    <row r="3918" spans="1:4" hidden="1" x14ac:dyDescent="0.3">
      <c r="A3918" t="s">
        <v>541</v>
      </c>
      <c r="B3918" t="s">
        <v>28</v>
      </c>
      <c r="C3918" s="1">
        <f>HYPERLINK("https://cao.dolgi.msk.ru/account/1010577326/", 1010577326)</f>
        <v>1010577326</v>
      </c>
      <c r="D3918">
        <v>-4908.28</v>
      </c>
    </row>
    <row r="3919" spans="1:4" x14ac:dyDescent="0.3">
      <c r="A3919" t="s">
        <v>541</v>
      </c>
      <c r="B3919" t="s">
        <v>35</v>
      </c>
      <c r="C3919" s="1">
        <f>HYPERLINK("https://cao.dolgi.msk.ru/account/1010567478/", 1010567478)</f>
        <v>1010567478</v>
      </c>
      <c r="D3919">
        <v>10961.12</v>
      </c>
    </row>
    <row r="3920" spans="1:4" hidden="1" x14ac:dyDescent="0.3">
      <c r="A3920" t="s">
        <v>541</v>
      </c>
      <c r="B3920" t="s">
        <v>5</v>
      </c>
      <c r="C3920" s="1">
        <f>HYPERLINK("https://cao.dolgi.msk.ru/account/1010510674/", 1010510674)</f>
        <v>1010510674</v>
      </c>
      <c r="D3920">
        <v>-245676.27</v>
      </c>
    </row>
    <row r="3921" spans="1:4" x14ac:dyDescent="0.3">
      <c r="A3921" t="s">
        <v>541</v>
      </c>
      <c r="B3921" t="s">
        <v>7</v>
      </c>
      <c r="C3921" s="1">
        <f>HYPERLINK("https://cao.dolgi.msk.ru/account/1010510682/", 1010510682)</f>
        <v>1010510682</v>
      </c>
      <c r="D3921">
        <v>8591.2099999999991</v>
      </c>
    </row>
    <row r="3922" spans="1:4" hidden="1" x14ac:dyDescent="0.3">
      <c r="A3922" t="s">
        <v>541</v>
      </c>
      <c r="B3922" t="s">
        <v>8</v>
      </c>
      <c r="C3922" s="1">
        <f>HYPERLINK("https://cao.dolgi.msk.ru/account/1010510703/", 1010510703)</f>
        <v>1010510703</v>
      </c>
      <c r="D3922">
        <v>-1324.8</v>
      </c>
    </row>
    <row r="3923" spans="1:4" x14ac:dyDescent="0.3">
      <c r="A3923" t="s">
        <v>541</v>
      </c>
      <c r="B3923" t="s">
        <v>9</v>
      </c>
      <c r="C3923" s="1">
        <f>HYPERLINK("https://cao.dolgi.msk.ru/account/1010510738/", 1010510738)</f>
        <v>1010510738</v>
      </c>
      <c r="D3923">
        <v>10695.4</v>
      </c>
    </row>
    <row r="3924" spans="1:4" hidden="1" x14ac:dyDescent="0.3">
      <c r="A3924" t="s">
        <v>541</v>
      </c>
      <c r="B3924" t="s">
        <v>10</v>
      </c>
      <c r="C3924" s="1">
        <f>HYPERLINK("https://cao.dolgi.msk.ru/account/1010510746/", 1010510746)</f>
        <v>1010510746</v>
      </c>
      <c r="D3924">
        <v>0</v>
      </c>
    </row>
    <row r="3925" spans="1:4" hidden="1" x14ac:dyDescent="0.3">
      <c r="A3925" t="s">
        <v>541</v>
      </c>
      <c r="B3925" t="s">
        <v>11</v>
      </c>
      <c r="C3925" s="1">
        <f>HYPERLINK("https://cao.dolgi.msk.ru/account/1010510754/", 1010510754)</f>
        <v>1010510754</v>
      </c>
      <c r="D3925">
        <v>-1894.4</v>
      </c>
    </row>
    <row r="3926" spans="1:4" x14ac:dyDescent="0.3">
      <c r="A3926" t="s">
        <v>541</v>
      </c>
      <c r="B3926" t="s">
        <v>12</v>
      </c>
      <c r="C3926" s="1">
        <f>HYPERLINK("https://cao.dolgi.msk.ru/account/1010510762/", 1010510762)</f>
        <v>1010510762</v>
      </c>
      <c r="D3926">
        <v>41767.449999999997</v>
      </c>
    </row>
    <row r="3927" spans="1:4" hidden="1" x14ac:dyDescent="0.3">
      <c r="A3927" t="s">
        <v>541</v>
      </c>
      <c r="B3927" t="s">
        <v>23</v>
      </c>
      <c r="C3927" s="1">
        <f>HYPERLINK("https://cao.dolgi.msk.ru/account/1010510789/", 1010510789)</f>
        <v>1010510789</v>
      </c>
      <c r="D3927">
        <v>-63.46</v>
      </c>
    </row>
    <row r="3928" spans="1:4" x14ac:dyDescent="0.3">
      <c r="A3928" t="s">
        <v>541</v>
      </c>
      <c r="B3928" t="s">
        <v>13</v>
      </c>
      <c r="C3928" s="1">
        <f>HYPERLINK("https://cao.dolgi.msk.ru/account/1010577529/", 1010577529)</f>
        <v>1010577529</v>
      </c>
      <c r="D3928">
        <v>15043.47</v>
      </c>
    </row>
    <row r="3929" spans="1:4" hidden="1" x14ac:dyDescent="0.3">
      <c r="A3929" t="s">
        <v>541</v>
      </c>
      <c r="B3929" t="s">
        <v>14</v>
      </c>
      <c r="C3929" s="1">
        <f>HYPERLINK("https://cao.dolgi.msk.ru/account/1010510818/", 1010510818)</f>
        <v>1010510818</v>
      </c>
      <c r="D3929">
        <v>0</v>
      </c>
    </row>
    <row r="3930" spans="1:4" hidden="1" x14ac:dyDescent="0.3">
      <c r="A3930" t="s">
        <v>541</v>
      </c>
      <c r="B3930" t="s">
        <v>16</v>
      </c>
      <c r="C3930" s="1">
        <f>HYPERLINK("https://cao.dolgi.msk.ru/account/1010510826/", 1010510826)</f>
        <v>1010510826</v>
      </c>
      <c r="D3930">
        <v>-9517.16</v>
      </c>
    </row>
    <row r="3931" spans="1:4" hidden="1" x14ac:dyDescent="0.3">
      <c r="A3931" t="s">
        <v>541</v>
      </c>
      <c r="B3931" t="s">
        <v>17</v>
      </c>
      <c r="C3931" s="1">
        <f>HYPERLINK("https://cao.dolgi.msk.ru/account/1010510834/", 1010510834)</f>
        <v>1010510834</v>
      </c>
      <c r="D3931">
        <v>0</v>
      </c>
    </row>
    <row r="3932" spans="1:4" hidden="1" x14ac:dyDescent="0.3">
      <c r="A3932" t="s">
        <v>541</v>
      </c>
      <c r="B3932" t="s">
        <v>18</v>
      </c>
      <c r="C3932" s="1">
        <f>HYPERLINK("https://cao.dolgi.msk.ru/account/1010510842/", 1010510842)</f>
        <v>1010510842</v>
      </c>
      <c r="D3932">
        <v>-9190.9</v>
      </c>
    </row>
    <row r="3933" spans="1:4" hidden="1" x14ac:dyDescent="0.3">
      <c r="A3933" t="s">
        <v>541</v>
      </c>
      <c r="B3933" t="s">
        <v>19</v>
      </c>
      <c r="C3933" s="1">
        <f>HYPERLINK("https://cao.dolgi.msk.ru/account/1010510869/", 1010510869)</f>
        <v>1010510869</v>
      </c>
      <c r="D3933">
        <v>-4030.47</v>
      </c>
    </row>
    <row r="3934" spans="1:4" hidden="1" x14ac:dyDescent="0.3">
      <c r="A3934" t="s">
        <v>541</v>
      </c>
      <c r="B3934" t="s">
        <v>20</v>
      </c>
      <c r="C3934" s="1">
        <f>HYPERLINK("https://cao.dolgi.msk.ru/account/1010510877/", 1010510877)</f>
        <v>1010510877</v>
      </c>
      <c r="D3934">
        <v>-4711.6899999999996</v>
      </c>
    </row>
    <row r="3935" spans="1:4" hidden="1" x14ac:dyDescent="0.3">
      <c r="A3935" t="s">
        <v>541</v>
      </c>
      <c r="B3935" t="s">
        <v>21</v>
      </c>
      <c r="C3935" s="1">
        <f>HYPERLINK("https://cao.dolgi.msk.ru/account/1010510885/", 1010510885)</f>
        <v>1010510885</v>
      </c>
      <c r="D3935">
        <v>-8321.4500000000007</v>
      </c>
    </row>
    <row r="3936" spans="1:4" hidden="1" x14ac:dyDescent="0.3">
      <c r="A3936" t="s">
        <v>541</v>
      </c>
      <c r="B3936" t="s">
        <v>22</v>
      </c>
      <c r="C3936" s="1">
        <f>HYPERLINK("https://cao.dolgi.msk.ru/account/1010510893/", 1010510893)</f>
        <v>1010510893</v>
      </c>
      <c r="D3936">
        <v>0</v>
      </c>
    </row>
    <row r="3937" spans="1:4" x14ac:dyDescent="0.3">
      <c r="A3937" t="s">
        <v>541</v>
      </c>
      <c r="B3937" t="s">
        <v>24</v>
      </c>
      <c r="C3937" s="1">
        <f>HYPERLINK("https://cao.dolgi.msk.ru/account/1010510906/", 1010510906)</f>
        <v>1010510906</v>
      </c>
      <c r="D3937">
        <v>25560</v>
      </c>
    </row>
    <row r="3938" spans="1:4" hidden="1" x14ac:dyDescent="0.3">
      <c r="A3938" t="s">
        <v>541</v>
      </c>
      <c r="B3938" t="s">
        <v>25</v>
      </c>
      <c r="C3938" s="1">
        <f>HYPERLINK("https://cao.dolgi.msk.ru/account/1010510914/", 1010510914)</f>
        <v>1010510914</v>
      </c>
      <c r="D3938">
        <v>0</v>
      </c>
    </row>
    <row r="3939" spans="1:4" hidden="1" x14ac:dyDescent="0.3">
      <c r="A3939" t="s">
        <v>541</v>
      </c>
      <c r="B3939" t="s">
        <v>26</v>
      </c>
      <c r="C3939" s="1">
        <f>HYPERLINK("https://cao.dolgi.msk.ru/account/1010510922/", 1010510922)</f>
        <v>1010510922</v>
      </c>
      <c r="D3939">
        <v>-66573.03</v>
      </c>
    </row>
    <row r="3940" spans="1:4" hidden="1" x14ac:dyDescent="0.3">
      <c r="A3940" t="s">
        <v>541</v>
      </c>
      <c r="B3940" t="s">
        <v>27</v>
      </c>
      <c r="C3940" s="1">
        <f>HYPERLINK("https://cao.dolgi.msk.ru/account/1010510949/", 1010510949)</f>
        <v>1010510949</v>
      </c>
      <c r="D3940">
        <v>-440595.42</v>
      </c>
    </row>
    <row r="3941" spans="1:4" x14ac:dyDescent="0.3">
      <c r="A3941" t="s">
        <v>541</v>
      </c>
      <c r="B3941" t="s">
        <v>29</v>
      </c>
      <c r="C3941" s="1">
        <f>HYPERLINK("https://cao.dolgi.msk.ru/account/1010510957/", 1010510957)</f>
        <v>1010510957</v>
      </c>
      <c r="D3941">
        <v>8359.5499999999993</v>
      </c>
    </row>
    <row r="3942" spans="1:4" hidden="1" x14ac:dyDescent="0.3">
      <c r="A3942" t="s">
        <v>541</v>
      </c>
      <c r="B3942" t="s">
        <v>38</v>
      </c>
      <c r="C3942" s="1">
        <f>HYPERLINK("https://cao.dolgi.msk.ru/account/1010510965/", 1010510965)</f>
        <v>1010510965</v>
      </c>
      <c r="D3942">
        <v>0</v>
      </c>
    </row>
    <row r="3943" spans="1:4" hidden="1" x14ac:dyDescent="0.3">
      <c r="A3943" t="s">
        <v>541</v>
      </c>
      <c r="B3943" t="s">
        <v>39</v>
      </c>
      <c r="C3943" s="1">
        <f>HYPERLINK("https://cao.dolgi.msk.ru/account/1010510973/", 1010510973)</f>
        <v>1010510973</v>
      </c>
      <c r="D3943">
        <v>-42.76</v>
      </c>
    </row>
    <row r="3944" spans="1:4" x14ac:dyDescent="0.3">
      <c r="A3944" t="s">
        <v>541</v>
      </c>
      <c r="B3944" t="s">
        <v>40</v>
      </c>
      <c r="C3944" s="1">
        <f>HYPERLINK("https://cao.dolgi.msk.ru/account/1010510981/", 1010510981)</f>
        <v>1010510981</v>
      </c>
      <c r="D3944">
        <v>6914.4</v>
      </c>
    </row>
    <row r="3945" spans="1:4" hidden="1" x14ac:dyDescent="0.3">
      <c r="A3945" t="s">
        <v>541</v>
      </c>
      <c r="B3945" t="s">
        <v>41</v>
      </c>
      <c r="C3945" s="1">
        <f>HYPERLINK("https://cao.dolgi.msk.ru/account/1010511001/", 1010511001)</f>
        <v>1010511001</v>
      </c>
      <c r="D3945">
        <v>-7051.66</v>
      </c>
    </row>
    <row r="3946" spans="1:4" hidden="1" x14ac:dyDescent="0.3">
      <c r="A3946" t="s">
        <v>541</v>
      </c>
      <c r="B3946" t="s">
        <v>51</v>
      </c>
      <c r="C3946" s="1">
        <f>HYPERLINK("https://cao.dolgi.msk.ru/account/1010511028/", 1010511028)</f>
        <v>1010511028</v>
      </c>
      <c r="D3946">
        <v>0</v>
      </c>
    </row>
    <row r="3947" spans="1:4" hidden="1" x14ac:dyDescent="0.3">
      <c r="A3947" t="s">
        <v>541</v>
      </c>
      <c r="B3947" t="s">
        <v>52</v>
      </c>
      <c r="C3947" s="1">
        <f>HYPERLINK("https://cao.dolgi.msk.ru/account/1019014028/", 1019014028)</f>
        <v>1019014028</v>
      </c>
      <c r="D3947">
        <v>0</v>
      </c>
    </row>
    <row r="3948" spans="1:4" hidden="1" x14ac:dyDescent="0.3">
      <c r="A3948" t="s">
        <v>541</v>
      </c>
      <c r="B3948" t="s">
        <v>53</v>
      </c>
      <c r="C3948" s="1">
        <f>HYPERLINK("https://cao.dolgi.msk.ru/account/1010511044/", 1010511044)</f>
        <v>1010511044</v>
      </c>
      <c r="D3948">
        <v>-40.49</v>
      </c>
    </row>
    <row r="3949" spans="1:4" x14ac:dyDescent="0.3">
      <c r="A3949" t="s">
        <v>541</v>
      </c>
      <c r="B3949" t="s">
        <v>54</v>
      </c>
      <c r="C3949" s="1">
        <f>HYPERLINK("https://cao.dolgi.msk.ru/account/1010511052/", 1010511052)</f>
        <v>1010511052</v>
      </c>
      <c r="D3949">
        <v>9507.44</v>
      </c>
    </row>
    <row r="3950" spans="1:4" hidden="1" x14ac:dyDescent="0.3">
      <c r="A3950" t="s">
        <v>541</v>
      </c>
      <c r="B3950" t="s">
        <v>55</v>
      </c>
      <c r="C3950" s="1">
        <f>HYPERLINK("https://cao.dolgi.msk.ru/account/1010511079/", 1010511079)</f>
        <v>1010511079</v>
      </c>
      <c r="D3950">
        <v>0</v>
      </c>
    </row>
    <row r="3951" spans="1:4" hidden="1" x14ac:dyDescent="0.3">
      <c r="A3951" t="s">
        <v>541</v>
      </c>
      <c r="B3951" t="s">
        <v>56</v>
      </c>
      <c r="C3951" s="1">
        <f>HYPERLINK("https://cao.dolgi.msk.ru/account/1010577289/", 1010577289)</f>
        <v>1010577289</v>
      </c>
      <c r="D3951">
        <v>0</v>
      </c>
    </row>
    <row r="3952" spans="1:4" hidden="1" x14ac:dyDescent="0.3">
      <c r="A3952" t="s">
        <v>541</v>
      </c>
      <c r="B3952" t="s">
        <v>87</v>
      </c>
      <c r="C3952" s="1">
        <f>HYPERLINK("https://cao.dolgi.msk.ru/account/1010511095/", 1010511095)</f>
        <v>1010511095</v>
      </c>
      <c r="D3952">
        <v>-2919.01</v>
      </c>
    </row>
    <row r="3953" spans="1:4" x14ac:dyDescent="0.3">
      <c r="A3953" t="s">
        <v>541</v>
      </c>
      <c r="B3953" t="s">
        <v>88</v>
      </c>
      <c r="C3953" s="1">
        <f>HYPERLINK("https://cao.dolgi.msk.ru/account/1010511108/", 1010511108)</f>
        <v>1010511108</v>
      </c>
      <c r="D3953">
        <v>5730.41</v>
      </c>
    </row>
    <row r="3954" spans="1:4" hidden="1" x14ac:dyDescent="0.3">
      <c r="A3954" t="s">
        <v>541</v>
      </c>
      <c r="B3954" t="s">
        <v>89</v>
      </c>
      <c r="C3954" s="1">
        <f>HYPERLINK("https://cao.dolgi.msk.ru/account/1010511116/", 1010511116)</f>
        <v>1010511116</v>
      </c>
      <c r="D3954">
        <v>-60028.98</v>
      </c>
    </row>
    <row r="3955" spans="1:4" hidden="1" x14ac:dyDescent="0.3">
      <c r="A3955" t="s">
        <v>541</v>
      </c>
      <c r="B3955" t="s">
        <v>96</v>
      </c>
      <c r="C3955" s="1">
        <f>HYPERLINK("https://cao.dolgi.msk.ru/account/1010511132/", 1010511132)</f>
        <v>1010511132</v>
      </c>
      <c r="D3955">
        <v>-116</v>
      </c>
    </row>
    <row r="3956" spans="1:4" x14ac:dyDescent="0.3">
      <c r="A3956" t="s">
        <v>541</v>
      </c>
      <c r="B3956" t="s">
        <v>97</v>
      </c>
      <c r="C3956" s="1">
        <f>HYPERLINK("https://cao.dolgi.msk.ru/account/1010511159/", 1010511159)</f>
        <v>1010511159</v>
      </c>
      <c r="D3956">
        <v>6233.64</v>
      </c>
    </row>
    <row r="3957" spans="1:4" x14ac:dyDescent="0.3">
      <c r="A3957" t="s">
        <v>541</v>
      </c>
      <c r="B3957" t="s">
        <v>98</v>
      </c>
      <c r="C3957" s="1">
        <f>HYPERLINK("https://cao.dolgi.msk.ru/account/1010511167/", 1010511167)</f>
        <v>1010511167</v>
      </c>
      <c r="D3957">
        <v>74429.710000000006</v>
      </c>
    </row>
    <row r="3958" spans="1:4" x14ac:dyDescent="0.3">
      <c r="A3958" t="s">
        <v>541</v>
      </c>
      <c r="B3958" t="s">
        <v>58</v>
      </c>
      <c r="C3958" s="1">
        <f>HYPERLINK("https://cao.dolgi.msk.ru/account/1010511175/", 1010511175)</f>
        <v>1010511175</v>
      </c>
      <c r="D3958">
        <v>9061.0300000000007</v>
      </c>
    </row>
    <row r="3959" spans="1:4" x14ac:dyDescent="0.3">
      <c r="A3959" t="s">
        <v>541</v>
      </c>
      <c r="B3959" t="s">
        <v>59</v>
      </c>
      <c r="C3959" s="1">
        <f>HYPERLINK("https://cao.dolgi.msk.ru/account/1010511183/", 1010511183)</f>
        <v>1010511183</v>
      </c>
      <c r="D3959">
        <v>8922.74</v>
      </c>
    </row>
    <row r="3960" spans="1:4" x14ac:dyDescent="0.3">
      <c r="A3960" t="s">
        <v>541</v>
      </c>
      <c r="B3960" t="s">
        <v>60</v>
      </c>
      <c r="C3960" s="1">
        <f>HYPERLINK("https://cao.dolgi.msk.ru/account/1010511191/", 1010511191)</f>
        <v>1010511191</v>
      </c>
      <c r="D3960">
        <v>3237.53</v>
      </c>
    </row>
    <row r="3961" spans="1:4" hidden="1" x14ac:dyDescent="0.3">
      <c r="A3961" t="s">
        <v>541</v>
      </c>
      <c r="B3961" t="s">
        <v>61</v>
      </c>
      <c r="C3961" s="1">
        <f>HYPERLINK("https://cao.dolgi.msk.ru/account/1010511204/", 1010511204)</f>
        <v>1010511204</v>
      </c>
      <c r="D3961">
        <v>0</v>
      </c>
    </row>
    <row r="3962" spans="1:4" x14ac:dyDescent="0.3">
      <c r="A3962" t="s">
        <v>541</v>
      </c>
      <c r="B3962" t="s">
        <v>62</v>
      </c>
      <c r="C3962" s="1">
        <f>HYPERLINK("https://cao.dolgi.msk.ru/account/1010577465/", 1010577465)</f>
        <v>1010577465</v>
      </c>
      <c r="D3962">
        <v>81317.960000000006</v>
      </c>
    </row>
    <row r="3963" spans="1:4" hidden="1" x14ac:dyDescent="0.3">
      <c r="A3963" t="s">
        <v>541</v>
      </c>
      <c r="B3963" t="s">
        <v>63</v>
      </c>
      <c r="C3963" s="1">
        <f>HYPERLINK("https://cao.dolgi.msk.ru/account/1010511239/", 1010511239)</f>
        <v>1010511239</v>
      </c>
      <c r="D3963">
        <v>-15.15</v>
      </c>
    </row>
    <row r="3964" spans="1:4" hidden="1" x14ac:dyDescent="0.3">
      <c r="A3964" t="s">
        <v>541</v>
      </c>
      <c r="B3964" t="s">
        <v>64</v>
      </c>
      <c r="C3964" s="1">
        <f>HYPERLINK("https://cao.dolgi.msk.ru/account/1011066173/", 1011066173)</f>
        <v>1011066173</v>
      </c>
      <c r="D3964">
        <v>0</v>
      </c>
    </row>
    <row r="3965" spans="1:4" hidden="1" x14ac:dyDescent="0.3">
      <c r="A3965" t="s">
        <v>541</v>
      </c>
      <c r="B3965" t="s">
        <v>65</v>
      </c>
      <c r="C3965" s="1">
        <f>HYPERLINK("https://cao.dolgi.msk.ru/account/1010511255/", 1010511255)</f>
        <v>1010511255</v>
      </c>
      <c r="D3965">
        <v>0</v>
      </c>
    </row>
    <row r="3966" spans="1:4" hidden="1" x14ac:dyDescent="0.3">
      <c r="A3966" t="s">
        <v>541</v>
      </c>
      <c r="B3966" t="s">
        <v>66</v>
      </c>
      <c r="C3966" s="1">
        <f>HYPERLINK("https://cao.dolgi.msk.ru/account/1010511263/", 1010511263)</f>
        <v>1010511263</v>
      </c>
      <c r="D3966">
        <v>-25887.5</v>
      </c>
    </row>
    <row r="3967" spans="1:4" hidden="1" x14ac:dyDescent="0.3">
      <c r="A3967" t="s">
        <v>541</v>
      </c>
      <c r="B3967" t="s">
        <v>67</v>
      </c>
      <c r="C3967" s="1">
        <f>HYPERLINK("https://cao.dolgi.msk.ru/account/1010511271/", 1010511271)</f>
        <v>1010511271</v>
      </c>
      <c r="D3967">
        <v>0</v>
      </c>
    </row>
    <row r="3968" spans="1:4" x14ac:dyDescent="0.3">
      <c r="A3968" t="s">
        <v>541</v>
      </c>
      <c r="B3968" t="s">
        <v>68</v>
      </c>
      <c r="C3968" s="1">
        <f>HYPERLINK("https://cao.dolgi.msk.ru/account/1010511298/", 1010511298)</f>
        <v>1010511298</v>
      </c>
      <c r="D3968">
        <v>7740.08</v>
      </c>
    </row>
    <row r="3969" spans="1:4" hidden="1" x14ac:dyDescent="0.3">
      <c r="A3969" t="s">
        <v>541</v>
      </c>
      <c r="B3969" t="s">
        <v>69</v>
      </c>
      <c r="C3969" s="1">
        <f>HYPERLINK("https://cao.dolgi.msk.ru/account/1010577238/", 1010577238)</f>
        <v>1010577238</v>
      </c>
      <c r="D3969">
        <v>0</v>
      </c>
    </row>
    <row r="3970" spans="1:4" x14ac:dyDescent="0.3">
      <c r="A3970" t="s">
        <v>541</v>
      </c>
      <c r="B3970" t="s">
        <v>70</v>
      </c>
      <c r="C3970" s="1">
        <f>HYPERLINK("https://cao.dolgi.msk.ru/account/1010511327/", 1010511327)</f>
        <v>1010511327</v>
      </c>
      <c r="D3970">
        <v>4879.4799999999996</v>
      </c>
    </row>
    <row r="3971" spans="1:4" hidden="1" x14ac:dyDescent="0.3">
      <c r="A3971" t="s">
        <v>541</v>
      </c>
      <c r="B3971" t="s">
        <v>259</v>
      </c>
      <c r="C3971" s="1">
        <f>HYPERLINK("https://cao.dolgi.msk.ru/account/1010511335/", 1010511335)</f>
        <v>1010511335</v>
      </c>
      <c r="D3971">
        <v>0</v>
      </c>
    </row>
    <row r="3972" spans="1:4" x14ac:dyDescent="0.3">
      <c r="A3972" t="s">
        <v>541</v>
      </c>
      <c r="B3972" t="s">
        <v>100</v>
      </c>
      <c r="C3972" s="1">
        <f>HYPERLINK("https://cao.dolgi.msk.ru/account/1010511343/", 1010511343)</f>
        <v>1010511343</v>
      </c>
      <c r="D3972">
        <v>1224.04</v>
      </c>
    </row>
    <row r="3973" spans="1:4" hidden="1" x14ac:dyDescent="0.3">
      <c r="A3973" t="s">
        <v>541</v>
      </c>
      <c r="B3973" t="s">
        <v>72</v>
      </c>
      <c r="C3973" s="1">
        <f>HYPERLINK("https://cao.dolgi.msk.ru/account/1010511351/", 1010511351)</f>
        <v>1010511351</v>
      </c>
      <c r="D3973">
        <v>0</v>
      </c>
    </row>
    <row r="3974" spans="1:4" x14ac:dyDescent="0.3">
      <c r="A3974" t="s">
        <v>541</v>
      </c>
      <c r="B3974" t="s">
        <v>73</v>
      </c>
      <c r="C3974" s="1">
        <f>HYPERLINK("https://cao.dolgi.msk.ru/account/1010511378/", 1010511378)</f>
        <v>1010511378</v>
      </c>
      <c r="D3974">
        <v>8694.1299999999992</v>
      </c>
    </row>
    <row r="3975" spans="1:4" x14ac:dyDescent="0.3">
      <c r="A3975" t="s">
        <v>541</v>
      </c>
      <c r="B3975" t="s">
        <v>74</v>
      </c>
      <c r="C3975" s="1">
        <f>HYPERLINK("https://cao.dolgi.msk.ru/account/1010511386/", 1010511386)</f>
        <v>1010511386</v>
      </c>
      <c r="D3975">
        <v>4667.22</v>
      </c>
    </row>
    <row r="3976" spans="1:4" hidden="1" x14ac:dyDescent="0.3">
      <c r="A3976" t="s">
        <v>541</v>
      </c>
      <c r="B3976" t="s">
        <v>75</v>
      </c>
      <c r="C3976" s="1">
        <f>HYPERLINK("https://cao.dolgi.msk.ru/account/1010577481/", 1010577481)</f>
        <v>1010577481</v>
      </c>
      <c r="D3976">
        <v>-1534.1</v>
      </c>
    </row>
    <row r="3977" spans="1:4" hidden="1" x14ac:dyDescent="0.3">
      <c r="A3977" t="s">
        <v>541</v>
      </c>
      <c r="B3977" t="s">
        <v>76</v>
      </c>
      <c r="C3977" s="1">
        <f>HYPERLINK("https://cao.dolgi.msk.ru/account/1010511407/", 1010511407)</f>
        <v>1010511407</v>
      </c>
      <c r="D3977">
        <v>0</v>
      </c>
    </row>
    <row r="3978" spans="1:4" hidden="1" x14ac:dyDescent="0.3">
      <c r="A3978" t="s">
        <v>541</v>
      </c>
      <c r="B3978" t="s">
        <v>77</v>
      </c>
      <c r="C3978" s="1">
        <f>HYPERLINK("https://cao.dolgi.msk.ru/account/1010511415/", 1010511415)</f>
        <v>1010511415</v>
      </c>
      <c r="D3978">
        <v>-121.17</v>
      </c>
    </row>
    <row r="3979" spans="1:4" hidden="1" x14ac:dyDescent="0.3">
      <c r="A3979" t="s">
        <v>541</v>
      </c>
      <c r="B3979" t="s">
        <v>78</v>
      </c>
      <c r="C3979" s="1">
        <f>HYPERLINK("https://cao.dolgi.msk.ru/account/1010511423/", 1010511423)</f>
        <v>1010511423</v>
      </c>
      <c r="D3979">
        <v>0</v>
      </c>
    </row>
    <row r="3980" spans="1:4" x14ac:dyDescent="0.3">
      <c r="A3980" t="s">
        <v>541</v>
      </c>
      <c r="B3980" t="s">
        <v>79</v>
      </c>
      <c r="C3980" s="1">
        <f>HYPERLINK("https://cao.dolgi.msk.ru/account/1010511431/", 1010511431)</f>
        <v>1010511431</v>
      </c>
      <c r="D3980">
        <v>6360.43</v>
      </c>
    </row>
    <row r="3981" spans="1:4" hidden="1" x14ac:dyDescent="0.3">
      <c r="A3981" t="s">
        <v>541</v>
      </c>
      <c r="B3981" t="s">
        <v>80</v>
      </c>
      <c r="C3981" s="1">
        <f>HYPERLINK("https://cao.dolgi.msk.ru/account/1010511458/", 1010511458)</f>
        <v>1010511458</v>
      </c>
      <c r="D3981">
        <v>0</v>
      </c>
    </row>
    <row r="3982" spans="1:4" hidden="1" x14ac:dyDescent="0.3">
      <c r="A3982" t="s">
        <v>541</v>
      </c>
      <c r="B3982" t="s">
        <v>81</v>
      </c>
      <c r="C3982" s="1">
        <f>HYPERLINK("https://cao.dolgi.msk.ru/account/1011117065/", 1011117065)</f>
        <v>1011117065</v>
      </c>
      <c r="D3982">
        <v>0</v>
      </c>
    </row>
    <row r="3983" spans="1:4" x14ac:dyDescent="0.3">
      <c r="A3983" t="s">
        <v>541</v>
      </c>
      <c r="B3983" t="s">
        <v>101</v>
      </c>
      <c r="C3983" s="1">
        <f>HYPERLINK("https://cao.dolgi.msk.ru/account/1010511474/", 1010511474)</f>
        <v>1010511474</v>
      </c>
      <c r="D3983">
        <v>14463.28</v>
      </c>
    </row>
    <row r="3984" spans="1:4" hidden="1" x14ac:dyDescent="0.3">
      <c r="A3984" t="s">
        <v>541</v>
      </c>
      <c r="B3984" t="s">
        <v>82</v>
      </c>
      <c r="C3984" s="1">
        <f>HYPERLINK("https://cao.dolgi.msk.ru/account/1010511482/", 1010511482)</f>
        <v>1010511482</v>
      </c>
      <c r="D3984">
        <v>0</v>
      </c>
    </row>
    <row r="3985" spans="1:4" hidden="1" x14ac:dyDescent="0.3">
      <c r="A3985" t="s">
        <v>541</v>
      </c>
      <c r="B3985" t="s">
        <v>83</v>
      </c>
      <c r="C3985" s="1">
        <f>HYPERLINK("https://cao.dolgi.msk.ru/account/1010511503/", 1010511503)</f>
        <v>1010511503</v>
      </c>
      <c r="D3985">
        <v>0</v>
      </c>
    </row>
    <row r="3986" spans="1:4" hidden="1" x14ac:dyDescent="0.3">
      <c r="A3986" t="s">
        <v>541</v>
      </c>
      <c r="B3986" t="s">
        <v>84</v>
      </c>
      <c r="C3986" s="1">
        <f>HYPERLINK("https://cao.dolgi.msk.ru/account/1010511511/", 1010511511)</f>
        <v>1010511511</v>
      </c>
      <c r="D3986">
        <v>-11183.91</v>
      </c>
    </row>
    <row r="3987" spans="1:4" hidden="1" x14ac:dyDescent="0.3">
      <c r="A3987" t="s">
        <v>541</v>
      </c>
      <c r="B3987" t="s">
        <v>85</v>
      </c>
      <c r="C3987" s="1">
        <f>HYPERLINK("https://cao.dolgi.msk.ru/account/1010511538/", 1010511538)</f>
        <v>1010511538</v>
      </c>
      <c r="D3987">
        <v>-3710.18</v>
      </c>
    </row>
    <row r="3988" spans="1:4" x14ac:dyDescent="0.3">
      <c r="A3988" t="s">
        <v>541</v>
      </c>
      <c r="B3988" t="s">
        <v>102</v>
      </c>
      <c r="C3988" s="1">
        <f>HYPERLINK("https://cao.dolgi.msk.ru/account/1010511546/", 1010511546)</f>
        <v>1010511546</v>
      </c>
      <c r="D3988">
        <v>19822.75</v>
      </c>
    </row>
    <row r="3989" spans="1:4" x14ac:dyDescent="0.3">
      <c r="A3989" t="s">
        <v>541</v>
      </c>
      <c r="B3989" t="s">
        <v>103</v>
      </c>
      <c r="C3989" s="1">
        <f>HYPERLINK("https://cao.dolgi.msk.ru/account/1010511554/", 1010511554)</f>
        <v>1010511554</v>
      </c>
      <c r="D3989">
        <v>3216.55</v>
      </c>
    </row>
    <row r="3990" spans="1:4" hidden="1" x14ac:dyDescent="0.3">
      <c r="A3990" t="s">
        <v>541</v>
      </c>
      <c r="B3990" t="s">
        <v>104</v>
      </c>
      <c r="C3990" s="1">
        <f>HYPERLINK("https://cao.dolgi.msk.ru/account/1010511562/", 1010511562)</f>
        <v>1010511562</v>
      </c>
      <c r="D3990">
        <v>0</v>
      </c>
    </row>
    <row r="3991" spans="1:4" x14ac:dyDescent="0.3">
      <c r="A3991" t="s">
        <v>541</v>
      </c>
      <c r="B3991" t="s">
        <v>105</v>
      </c>
      <c r="C3991" s="1">
        <f>HYPERLINK("https://cao.dolgi.msk.ru/account/1010511589/", 1010511589)</f>
        <v>1010511589</v>
      </c>
      <c r="D3991">
        <v>7707.72</v>
      </c>
    </row>
    <row r="3992" spans="1:4" hidden="1" x14ac:dyDescent="0.3">
      <c r="A3992" t="s">
        <v>541</v>
      </c>
      <c r="B3992" t="s">
        <v>106</v>
      </c>
      <c r="C3992" s="1">
        <f>HYPERLINK("https://cao.dolgi.msk.ru/account/1010511597/", 1010511597)</f>
        <v>1010511597</v>
      </c>
      <c r="D3992">
        <v>0</v>
      </c>
    </row>
    <row r="3993" spans="1:4" x14ac:dyDescent="0.3">
      <c r="A3993" t="s">
        <v>541</v>
      </c>
      <c r="B3993" t="s">
        <v>107</v>
      </c>
      <c r="C3993" s="1">
        <f>HYPERLINK("https://cao.dolgi.msk.ru/account/1011097295/", 1011097295)</f>
        <v>1011097295</v>
      </c>
      <c r="D3993">
        <v>2961.34</v>
      </c>
    </row>
    <row r="3994" spans="1:4" x14ac:dyDescent="0.3">
      <c r="A3994" t="s">
        <v>541</v>
      </c>
      <c r="B3994" t="s">
        <v>108</v>
      </c>
      <c r="C3994" s="1">
        <f>HYPERLINK("https://cao.dolgi.msk.ru/account/1010511626/", 1010511626)</f>
        <v>1010511626</v>
      </c>
      <c r="D3994">
        <v>9037.0300000000007</v>
      </c>
    </row>
    <row r="3995" spans="1:4" hidden="1" x14ac:dyDescent="0.3">
      <c r="A3995" t="s">
        <v>541</v>
      </c>
      <c r="B3995" t="s">
        <v>109</v>
      </c>
      <c r="C3995" s="1">
        <f>HYPERLINK("https://cao.dolgi.msk.ru/account/1010511634/", 1010511634)</f>
        <v>1010511634</v>
      </c>
      <c r="D3995">
        <v>-64.400000000000006</v>
      </c>
    </row>
    <row r="3996" spans="1:4" hidden="1" x14ac:dyDescent="0.3">
      <c r="A3996" t="s">
        <v>542</v>
      </c>
      <c r="B3996" t="s">
        <v>6</v>
      </c>
      <c r="C3996" s="1">
        <f>HYPERLINK("https://cao.dolgi.msk.ru/account/1011472075/", 1011472075)</f>
        <v>1011472075</v>
      </c>
      <c r="D3996">
        <v>0</v>
      </c>
    </row>
    <row r="3997" spans="1:4" x14ac:dyDescent="0.3">
      <c r="A3997" t="s">
        <v>542</v>
      </c>
      <c r="B3997" t="s">
        <v>28</v>
      </c>
      <c r="C3997" s="1">
        <f>HYPERLINK("https://cao.dolgi.msk.ru/account/1011472147/", 1011472147)</f>
        <v>1011472147</v>
      </c>
      <c r="D3997">
        <v>38423.15</v>
      </c>
    </row>
    <row r="3998" spans="1:4" hidden="1" x14ac:dyDescent="0.3">
      <c r="A3998" t="s">
        <v>542</v>
      </c>
      <c r="B3998" t="s">
        <v>35</v>
      </c>
      <c r="C3998" s="1">
        <f>HYPERLINK("https://cao.dolgi.msk.ru/account/1011472024/", 1011472024)</f>
        <v>1011472024</v>
      </c>
      <c r="D3998">
        <v>-9379.2199999999993</v>
      </c>
    </row>
    <row r="3999" spans="1:4" hidden="1" x14ac:dyDescent="0.3">
      <c r="A3999" t="s">
        <v>542</v>
      </c>
      <c r="B3999" t="s">
        <v>5</v>
      </c>
      <c r="C3999" s="1">
        <f>HYPERLINK("https://cao.dolgi.msk.ru/account/1011472155/", 1011472155)</f>
        <v>1011472155</v>
      </c>
      <c r="D3999">
        <v>0</v>
      </c>
    </row>
    <row r="4000" spans="1:4" hidden="1" x14ac:dyDescent="0.3">
      <c r="A4000" t="s">
        <v>542</v>
      </c>
      <c r="B4000" t="s">
        <v>7</v>
      </c>
      <c r="C4000" s="1">
        <f>HYPERLINK("https://cao.dolgi.msk.ru/account/1011471902/", 1011471902)</f>
        <v>1011471902</v>
      </c>
      <c r="D4000">
        <v>-7198.4</v>
      </c>
    </row>
    <row r="4001" spans="1:4" hidden="1" x14ac:dyDescent="0.3">
      <c r="A4001" t="s">
        <v>542</v>
      </c>
      <c r="B4001" t="s">
        <v>8</v>
      </c>
      <c r="C4001" s="1">
        <f>HYPERLINK("https://cao.dolgi.msk.ru/account/1011471929/", 1011471929)</f>
        <v>1011471929</v>
      </c>
      <c r="D4001">
        <v>0</v>
      </c>
    </row>
    <row r="4002" spans="1:4" x14ac:dyDescent="0.3">
      <c r="A4002" t="s">
        <v>542</v>
      </c>
      <c r="B4002" t="s">
        <v>31</v>
      </c>
      <c r="C4002" s="1">
        <f>HYPERLINK("https://cao.dolgi.msk.ru/account/1011471822/", 1011471822)</f>
        <v>1011471822</v>
      </c>
      <c r="D4002">
        <v>11020.46</v>
      </c>
    </row>
    <row r="4003" spans="1:4" hidden="1" x14ac:dyDescent="0.3">
      <c r="A4003" t="s">
        <v>542</v>
      </c>
      <c r="B4003" t="s">
        <v>9</v>
      </c>
      <c r="C4003" s="1">
        <f>HYPERLINK("https://cao.dolgi.msk.ru/account/1011472083/", 1011472083)</f>
        <v>1011472083</v>
      </c>
      <c r="D4003">
        <v>-6553</v>
      </c>
    </row>
    <row r="4004" spans="1:4" hidden="1" x14ac:dyDescent="0.3">
      <c r="A4004" t="s">
        <v>542</v>
      </c>
      <c r="B4004" t="s">
        <v>10</v>
      </c>
      <c r="C4004" s="1">
        <f>HYPERLINK("https://cao.dolgi.msk.ru/account/1011471849/", 1011471849)</f>
        <v>1011471849</v>
      </c>
      <c r="D4004">
        <v>0</v>
      </c>
    </row>
    <row r="4005" spans="1:4" x14ac:dyDescent="0.3">
      <c r="A4005" t="s">
        <v>542</v>
      </c>
      <c r="B4005" t="s">
        <v>11</v>
      </c>
      <c r="C4005" s="1">
        <f>HYPERLINK("https://cao.dolgi.msk.ru/account/1011471857/", 1011471857)</f>
        <v>1011471857</v>
      </c>
      <c r="D4005">
        <v>90402.54</v>
      </c>
    </row>
    <row r="4006" spans="1:4" hidden="1" x14ac:dyDescent="0.3">
      <c r="A4006" t="s">
        <v>542</v>
      </c>
      <c r="B4006" t="s">
        <v>12</v>
      </c>
      <c r="C4006" s="1">
        <f>HYPERLINK("https://cao.dolgi.msk.ru/account/1011472163/", 1011472163)</f>
        <v>1011472163</v>
      </c>
      <c r="D4006">
        <v>-104.44</v>
      </c>
    </row>
    <row r="4007" spans="1:4" hidden="1" x14ac:dyDescent="0.3">
      <c r="A4007" t="s">
        <v>542</v>
      </c>
      <c r="B4007" t="s">
        <v>23</v>
      </c>
      <c r="C4007" s="1">
        <f>HYPERLINK("https://cao.dolgi.msk.ru/account/1011471806/", 1011471806)</f>
        <v>1011471806</v>
      </c>
      <c r="D4007">
        <v>-47.97</v>
      </c>
    </row>
    <row r="4008" spans="1:4" hidden="1" x14ac:dyDescent="0.3">
      <c r="A4008" t="s">
        <v>542</v>
      </c>
      <c r="B4008" t="s">
        <v>13</v>
      </c>
      <c r="C4008" s="1">
        <f>HYPERLINK("https://cao.dolgi.msk.ru/account/1011472032/", 1011472032)</f>
        <v>1011472032</v>
      </c>
      <c r="D4008">
        <v>-67.92</v>
      </c>
    </row>
    <row r="4009" spans="1:4" hidden="1" x14ac:dyDescent="0.3">
      <c r="A4009" t="s">
        <v>542</v>
      </c>
      <c r="B4009" t="s">
        <v>16</v>
      </c>
      <c r="C4009" s="1">
        <f>HYPERLINK("https://cao.dolgi.msk.ru/account/1011471865/", 1011471865)</f>
        <v>1011471865</v>
      </c>
      <c r="D4009">
        <v>-6954.29</v>
      </c>
    </row>
    <row r="4010" spans="1:4" hidden="1" x14ac:dyDescent="0.3">
      <c r="A4010" t="s">
        <v>542</v>
      </c>
      <c r="B4010" t="s">
        <v>17</v>
      </c>
      <c r="C4010" s="1">
        <f>HYPERLINK("https://cao.dolgi.msk.ru/account/1011471873/", 1011471873)</f>
        <v>1011471873</v>
      </c>
      <c r="D4010">
        <v>-112.32</v>
      </c>
    </row>
    <row r="4011" spans="1:4" hidden="1" x14ac:dyDescent="0.3">
      <c r="A4011" t="s">
        <v>542</v>
      </c>
      <c r="B4011" t="s">
        <v>18</v>
      </c>
      <c r="C4011" s="1">
        <f>HYPERLINK("https://cao.dolgi.msk.ru/account/1011472008/", 1011472008)</f>
        <v>1011472008</v>
      </c>
      <c r="D4011">
        <v>-7974.06</v>
      </c>
    </row>
    <row r="4012" spans="1:4" hidden="1" x14ac:dyDescent="0.3">
      <c r="A4012" t="s">
        <v>542</v>
      </c>
      <c r="B4012" t="s">
        <v>19</v>
      </c>
      <c r="C4012" s="1">
        <f>HYPERLINK("https://cao.dolgi.msk.ru/account/1011472171/", 1011472171)</f>
        <v>1011472171</v>
      </c>
      <c r="D4012">
        <v>-9900.85</v>
      </c>
    </row>
    <row r="4013" spans="1:4" hidden="1" x14ac:dyDescent="0.3">
      <c r="A4013" t="s">
        <v>542</v>
      </c>
      <c r="B4013" t="s">
        <v>20</v>
      </c>
      <c r="C4013" s="1">
        <f>HYPERLINK("https://cao.dolgi.msk.ru/account/1011472059/", 1011472059)</f>
        <v>1011472059</v>
      </c>
      <c r="D4013">
        <v>0</v>
      </c>
    </row>
    <row r="4014" spans="1:4" hidden="1" x14ac:dyDescent="0.3">
      <c r="A4014" t="s">
        <v>542</v>
      </c>
      <c r="B4014" t="s">
        <v>21</v>
      </c>
      <c r="C4014" s="1">
        <f>HYPERLINK("https://cao.dolgi.msk.ru/account/1011472067/", 1011472067)</f>
        <v>1011472067</v>
      </c>
      <c r="D4014">
        <v>0</v>
      </c>
    </row>
    <row r="4015" spans="1:4" x14ac:dyDescent="0.3">
      <c r="A4015" t="s">
        <v>542</v>
      </c>
      <c r="B4015" t="s">
        <v>22</v>
      </c>
      <c r="C4015" s="1">
        <f>HYPERLINK("https://cao.dolgi.msk.ru/account/1011471937/", 1011471937)</f>
        <v>1011471937</v>
      </c>
      <c r="D4015">
        <v>4913.5</v>
      </c>
    </row>
    <row r="4016" spans="1:4" hidden="1" x14ac:dyDescent="0.3">
      <c r="A4016" t="s">
        <v>542</v>
      </c>
      <c r="B4016" t="s">
        <v>24</v>
      </c>
      <c r="C4016" s="1">
        <f>HYPERLINK("https://cao.dolgi.msk.ru/account/1011471945/", 1011471945)</f>
        <v>1011471945</v>
      </c>
      <c r="D4016">
        <v>0</v>
      </c>
    </row>
    <row r="4017" spans="1:4" hidden="1" x14ac:dyDescent="0.3">
      <c r="A4017" t="s">
        <v>542</v>
      </c>
      <c r="B4017" t="s">
        <v>25</v>
      </c>
      <c r="C4017" s="1">
        <f>HYPERLINK("https://cao.dolgi.msk.ru/account/1011471953/", 1011471953)</f>
        <v>1011471953</v>
      </c>
      <c r="D4017">
        <v>0</v>
      </c>
    </row>
    <row r="4018" spans="1:4" x14ac:dyDescent="0.3">
      <c r="A4018" t="s">
        <v>542</v>
      </c>
      <c r="B4018" t="s">
        <v>26</v>
      </c>
      <c r="C4018" s="1">
        <f>HYPERLINK("https://cao.dolgi.msk.ru/account/1011471793/", 1011471793)</f>
        <v>1011471793</v>
      </c>
      <c r="D4018">
        <v>6062.73</v>
      </c>
    </row>
    <row r="4019" spans="1:4" hidden="1" x14ac:dyDescent="0.3">
      <c r="A4019" t="s">
        <v>542</v>
      </c>
      <c r="B4019" t="s">
        <v>27</v>
      </c>
      <c r="C4019" s="1">
        <f>HYPERLINK("https://cao.dolgi.msk.ru/account/1011471961/", 1011471961)</f>
        <v>1011471961</v>
      </c>
      <c r="D4019">
        <v>0</v>
      </c>
    </row>
    <row r="4020" spans="1:4" hidden="1" x14ac:dyDescent="0.3">
      <c r="A4020" t="s">
        <v>542</v>
      </c>
      <c r="B4020" t="s">
        <v>29</v>
      </c>
      <c r="C4020" s="1">
        <f>HYPERLINK("https://cao.dolgi.msk.ru/account/1011471881/", 1011471881)</f>
        <v>1011471881</v>
      </c>
      <c r="D4020">
        <v>-10705.62</v>
      </c>
    </row>
    <row r="4021" spans="1:4" hidden="1" x14ac:dyDescent="0.3">
      <c r="A4021" t="s">
        <v>542</v>
      </c>
      <c r="B4021" t="s">
        <v>38</v>
      </c>
      <c r="C4021" s="1">
        <f>HYPERLINK("https://cao.dolgi.msk.ru/account/1011471814/", 1011471814)</f>
        <v>1011471814</v>
      </c>
      <c r="D4021">
        <v>-4852.66</v>
      </c>
    </row>
    <row r="4022" spans="1:4" hidden="1" x14ac:dyDescent="0.3">
      <c r="A4022" t="s">
        <v>542</v>
      </c>
      <c r="B4022" t="s">
        <v>38</v>
      </c>
      <c r="C4022" s="1">
        <f>HYPERLINK("https://cao.dolgi.msk.ru/account/1011472104/", 1011472104)</f>
        <v>1011472104</v>
      </c>
      <c r="D4022">
        <v>0</v>
      </c>
    </row>
    <row r="4023" spans="1:4" hidden="1" x14ac:dyDescent="0.3">
      <c r="A4023" t="s">
        <v>542</v>
      </c>
      <c r="B4023" t="s">
        <v>39</v>
      </c>
      <c r="C4023" s="1">
        <f>HYPERLINK("https://cao.dolgi.msk.ru/account/1011471988/", 1011471988)</f>
        <v>1011471988</v>
      </c>
      <c r="D4023">
        <v>0</v>
      </c>
    </row>
    <row r="4024" spans="1:4" x14ac:dyDescent="0.3">
      <c r="A4024" t="s">
        <v>542</v>
      </c>
      <c r="B4024" t="s">
        <v>40</v>
      </c>
      <c r="C4024" s="1">
        <f>HYPERLINK("https://cao.dolgi.msk.ru/account/1011472198/", 1011472198)</f>
        <v>1011472198</v>
      </c>
      <c r="D4024">
        <v>254.99</v>
      </c>
    </row>
    <row r="4025" spans="1:4" hidden="1" x14ac:dyDescent="0.3">
      <c r="A4025" t="s">
        <v>542</v>
      </c>
      <c r="B4025" t="s">
        <v>41</v>
      </c>
      <c r="C4025" s="1">
        <f>HYPERLINK("https://cao.dolgi.msk.ru/account/1011471996/", 1011471996)</f>
        <v>1011471996</v>
      </c>
      <c r="D4025">
        <v>-160.87</v>
      </c>
    </row>
    <row r="4026" spans="1:4" hidden="1" x14ac:dyDescent="0.3">
      <c r="A4026" t="s">
        <v>542</v>
      </c>
      <c r="B4026" t="s">
        <v>51</v>
      </c>
      <c r="C4026" s="1">
        <f>HYPERLINK("https://cao.dolgi.msk.ru/account/1011472112/", 1011472112)</f>
        <v>1011472112</v>
      </c>
      <c r="D4026">
        <v>-144.47999999999999</v>
      </c>
    </row>
    <row r="4027" spans="1:4" hidden="1" x14ac:dyDescent="0.3">
      <c r="A4027" t="s">
        <v>542</v>
      </c>
      <c r="B4027" t="s">
        <v>52</v>
      </c>
      <c r="C4027" s="1">
        <f>HYPERLINK("https://cao.dolgi.msk.ru/account/1011472016/", 1011472016)</f>
        <v>1011472016</v>
      </c>
      <c r="D4027">
        <v>0</v>
      </c>
    </row>
    <row r="4028" spans="1:4" hidden="1" x14ac:dyDescent="0.3">
      <c r="A4028" t="s">
        <v>542</v>
      </c>
      <c r="B4028" t="s">
        <v>53</v>
      </c>
      <c r="C4028" s="1">
        <f>HYPERLINK("https://cao.dolgi.msk.ru/account/1011472139/", 1011472139)</f>
        <v>1011472139</v>
      </c>
      <c r="D4028">
        <v>-7971.82</v>
      </c>
    </row>
    <row r="4029" spans="1:4" hidden="1" x14ac:dyDescent="0.3">
      <c r="A4029" t="s">
        <v>543</v>
      </c>
      <c r="B4029" t="s">
        <v>35</v>
      </c>
      <c r="C4029" s="1">
        <f>HYPERLINK("https://cao.dolgi.msk.ru/account/1011069358/", 1011069358)</f>
        <v>1011069358</v>
      </c>
      <c r="D4029">
        <v>-26538.639999999999</v>
      </c>
    </row>
    <row r="4030" spans="1:4" hidden="1" x14ac:dyDescent="0.3">
      <c r="A4030" t="s">
        <v>543</v>
      </c>
      <c r="B4030" t="s">
        <v>5</v>
      </c>
      <c r="C4030" s="1">
        <f>HYPERLINK("https://cao.dolgi.msk.ru/account/1011069315/", 1011069315)</f>
        <v>1011069315</v>
      </c>
      <c r="D4030">
        <v>-19221.099999999999</v>
      </c>
    </row>
    <row r="4031" spans="1:4" hidden="1" x14ac:dyDescent="0.3">
      <c r="A4031" t="s">
        <v>543</v>
      </c>
      <c r="B4031" t="s">
        <v>7</v>
      </c>
      <c r="C4031" s="1">
        <f>HYPERLINK("https://cao.dolgi.msk.ru/account/1011069323/", 1011069323)</f>
        <v>1011069323</v>
      </c>
      <c r="D4031">
        <v>-26466.26</v>
      </c>
    </row>
    <row r="4032" spans="1:4" hidden="1" x14ac:dyDescent="0.3">
      <c r="A4032" t="s">
        <v>543</v>
      </c>
      <c r="B4032" t="s">
        <v>8</v>
      </c>
      <c r="C4032" s="1">
        <f>HYPERLINK("https://cao.dolgi.msk.ru/account/1011069374/", 1011069374)</f>
        <v>1011069374</v>
      </c>
      <c r="D4032">
        <v>-15609.04</v>
      </c>
    </row>
    <row r="4033" spans="1:4" x14ac:dyDescent="0.3">
      <c r="A4033" t="s">
        <v>544</v>
      </c>
      <c r="B4033" t="s">
        <v>9</v>
      </c>
      <c r="C4033" s="1">
        <f>HYPERLINK("https://cao.dolgi.msk.ru/account/1011472227/", 1011472227)</f>
        <v>1011472227</v>
      </c>
      <c r="D4033">
        <v>9859.5</v>
      </c>
    </row>
    <row r="4034" spans="1:4" hidden="1" x14ac:dyDescent="0.3">
      <c r="A4034" t="s">
        <v>544</v>
      </c>
      <c r="B4034" t="s">
        <v>10</v>
      </c>
      <c r="C4034" s="1">
        <f>HYPERLINK("https://cao.dolgi.msk.ru/account/1011472219/", 1011472219)</f>
        <v>1011472219</v>
      </c>
      <c r="D4034">
        <v>0</v>
      </c>
    </row>
    <row r="4035" spans="1:4" x14ac:dyDescent="0.3">
      <c r="A4035" t="s">
        <v>544</v>
      </c>
      <c r="B4035" t="s">
        <v>11</v>
      </c>
      <c r="C4035" s="1">
        <f>HYPERLINK("https://cao.dolgi.msk.ru/account/1011472235/", 1011472235)</f>
        <v>1011472235</v>
      </c>
      <c r="D4035">
        <v>8409.01</v>
      </c>
    </row>
    <row r="4036" spans="1:4" hidden="1" x14ac:dyDescent="0.3">
      <c r="A4036" t="s">
        <v>545</v>
      </c>
      <c r="B4036" t="s">
        <v>6</v>
      </c>
      <c r="C4036" s="1">
        <f>HYPERLINK("https://cao.dolgi.msk.ru/account/1011193041/", 1011193041)</f>
        <v>1011193041</v>
      </c>
      <c r="D4036">
        <v>-12.47</v>
      </c>
    </row>
    <row r="4037" spans="1:4" hidden="1" x14ac:dyDescent="0.3">
      <c r="A4037" t="s">
        <v>545</v>
      </c>
      <c r="B4037" t="s">
        <v>28</v>
      </c>
      <c r="C4037" s="1">
        <f>HYPERLINK("https://cao.dolgi.msk.ru/account/1011192719/", 1011192719)</f>
        <v>1011192719</v>
      </c>
      <c r="D4037">
        <v>0</v>
      </c>
    </row>
    <row r="4038" spans="1:4" x14ac:dyDescent="0.3">
      <c r="A4038" t="s">
        <v>545</v>
      </c>
      <c r="B4038" t="s">
        <v>35</v>
      </c>
      <c r="C4038" s="1">
        <f>HYPERLINK("https://cao.dolgi.msk.ru/account/1011192364/", 1011192364)</f>
        <v>1011192364</v>
      </c>
      <c r="D4038">
        <v>4566.3500000000004</v>
      </c>
    </row>
    <row r="4039" spans="1:4" hidden="1" x14ac:dyDescent="0.3">
      <c r="A4039" t="s">
        <v>545</v>
      </c>
      <c r="B4039" t="s">
        <v>5</v>
      </c>
      <c r="C4039" s="1">
        <f>HYPERLINK("https://cao.dolgi.msk.ru/account/1011192575/", 1011192575)</f>
        <v>1011192575</v>
      </c>
      <c r="D4039">
        <v>-10456.33</v>
      </c>
    </row>
    <row r="4040" spans="1:4" hidden="1" x14ac:dyDescent="0.3">
      <c r="A4040" t="s">
        <v>545</v>
      </c>
      <c r="B4040" t="s">
        <v>7</v>
      </c>
      <c r="C4040" s="1">
        <f>HYPERLINK("https://cao.dolgi.msk.ru/account/1011192583/", 1011192583)</f>
        <v>1011192583</v>
      </c>
      <c r="D4040">
        <v>0</v>
      </c>
    </row>
    <row r="4041" spans="1:4" hidden="1" x14ac:dyDescent="0.3">
      <c r="A4041" t="s">
        <v>545</v>
      </c>
      <c r="B4041" t="s">
        <v>8</v>
      </c>
      <c r="C4041" s="1">
        <f>HYPERLINK("https://cao.dolgi.msk.ru/account/1011193068/", 1011193068)</f>
        <v>1011193068</v>
      </c>
      <c r="D4041">
        <v>0</v>
      </c>
    </row>
    <row r="4042" spans="1:4" hidden="1" x14ac:dyDescent="0.3">
      <c r="A4042" t="s">
        <v>545</v>
      </c>
      <c r="B4042" t="s">
        <v>31</v>
      </c>
      <c r="C4042" s="1">
        <f>HYPERLINK("https://cao.dolgi.msk.ru/account/1011192452/", 1011192452)</f>
        <v>1011192452</v>
      </c>
      <c r="D4042">
        <v>-4741.3999999999996</v>
      </c>
    </row>
    <row r="4043" spans="1:4" x14ac:dyDescent="0.3">
      <c r="A4043" t="s">
        <v>545</v>
      </c>
      <c r="B4043" t="s">
        <v>9</v>
      </c>
      <c r="C4043" s="1">
        <f>HYPERLINK("https://cao.dolgi.msk.ru/account/1011192268/", 1011192268)</f>
        <v>1011192268</v>
      </c>
      <c r="D4043">
        <v>0.36</v>
      </c>
    </row>
    <row r="4044" spans="1:4" hidden="1" x14ac:dyDescent="0.3">
      <c r="A4044" t="s">
        <v>545</v>
      </c>
      <c r="B4044" t="s">
        <v>10</v>
      </c>
      <c r="C4044" s="1">
        <f>HYPERLINK("https://cao.dolgi.msk.ru/account/1011192444/", 1011192444)</f>
        <v>1011192444</v>
      </c>
      <c r="D4044">
        <v>-7647.45</v>
      </c>
    </row>
    <row r="4045" spans="1:4" hidden="1" x14ac:dyDescent="0.3">
      <c r="A4045" t="s">
        <v>545</v>
      </c>
      <c r="B4045" t="s">
        <v>11</v>
      </c>
      <c r="C4045" s="1">
        <f>HYPERLINK("https://cao.dolgi.msk.ru/account/1011193076/", 1011193076)</f>
        <v>1011193076</v>
      </c>
      <c r="D4045">
        <v>0</v>
      </c>
    </row>
    <row r="4046" spans="1:4" hidden="1" x14ac:dyDescent="0.3">
      <c r="A4046" t="s">
        <v>545</v>
      </c>
      <c r="B4046" t="s">
        <v>12</v>
      </c>
      <c r="C4046" s="1">
        <f>HYPERLINK("https://cao.dolgi.msk.ru/account/1011192479/", 1011192479)</f>
        <v>1011192479</v>
      </c>
      <c r="D4046">
        <v>0</v>
      </c>
    </row>
    <row r="4047" spans="1:4" hidden="1" x14ac:dyDescent="0.3">
      <c r="A4047" t="s">
        <v>545</v>
      </c>
      <c r="B4047" t="s">
        <v>23</v>
      </c>
      <c r="C4047" s="1">
        <f>HYPERLINK("https://cao.dolgi.msk.ru/account/1011192276/", 1011192276)</f>
        <v>1011192276</v>
      </c>
      <c r="D4047">
        <v>0</v>
      </c>
    </row>
    <row r="4048" spans="1:4" hidden="1" x14ac:dyDescent="0.3">
      <c r="A4048" t="s">
        <v>545</v>
      </c>
      <c r="B4048" t="s">
        <v>13</v>
      </c>
      <c r="C4048" s="1">
        <f>HYPERLINK("https://cao.dolgi.msk.ru/account/1011192794/", 1011192794)</f>
        <v>1011192794</v>
      </c>
      <c r="D4048">
        <v>-20048.009999999998</v>
      </c>
    </row>
    <row r="4049" spans="1:4" hidden="1" x14ac:dyDescent="0.3">
      <c r="A4049" t="s">
        <v>545</v>
      </c>
      <c r="B4049" t="s">
        <v>16</v>
      </c>
      <c r="C4049" s="1">
        <f>HYPERLINK("https://cao.dolgi.msk.ru/account/1011192487/", 1011192487)</f>
        <v>1011192487</v>
      </c>
      <c r="D4049">
        <v>-16.64</v>
      </c>
    </row>
    <row r="4050" spans="1:4" hidden="1" x14ac:dyDescent="0.3">
      <c r="A4050" t="s">
        <v>545</v>
      </c>
      <c r="B4050" t="s">
        <v>16</v>
      </c>
      <c r="C4050" s="1">
        <f>HYPERLINK("https://cao.dolgi.msk.ru/account/1011192778/", 1011192778)</f>
        <v>1011192778</v>
      </c>
      <c r="D4050">
        <v>0</v>
      </c>
    </row>
    <row r="4051" spans="1:4" hidden="1" x14ac:dyDescent="0.3">
      <c r="A4051" t="s">
        <v>545</v>
      </c>
      <c r="B4051" t="s">
        <v>17</v>
      </c>
      <c r="C4051" s="1">
        <f>HYPERLINK("https://cao.dolgi.msk.ru/account/1011192786/", 1011192786)</f>
        <v>1011192786</v>
      </c>
      <c r="D4051">
        <v>-4799.13</v>
      </c>
    </row>
    <row r="4052" spans="1:4" x14ac:dyDescent="0.3">
      <c r="A4052" t="s">
        <v>545</v>
      </c>
      <c r="B4052" t="s">
        <v>17</v>
      </c>
      <c r="C4052" s="1">
        <f>HYPERLINK("https://cao.dolgi.msk.ru/account/1011192807/", 1011192807)</f>
        <v>1011192807</v>
      </c>
      <c r="D4052">
        <v>2851.57</v>
      </c>
    </row>
    <row r="4053" spans="1:4" x14ac:dyDescent="0.3">
      <c r="A4053" t="s">
        <v>545</v>
      </c>
      <c r="B4053" t="s">
        <v>18</v>
      </c>
      <c r="C4053" s="1">
        <f>HYPERLINK("https://cao.dolgi.msk.ru/account/1011192372/", 1011192372)</f>
        <v>1011192372</v>
      </c>
      <c r="D4053">
        <v>74531.02</v>
      </c>
    </row>
    <row r="4054" spans="1:4" hidden="1" x14ac:dyDescent="0.3">
      <c r="A4054" t="s">
        <v>545</v>
      </c>
      <c r="B4054" t="s">
        <v>19</v>
      </c>
      <c r="C4054" s="1">
        <f>HYPERLINK("https://cao.dolgi.msk.ru/account/1011192284/", 1011192284)</f>
        <v>1011192284</v>
      </c>
      <c r="D4054">
        <v>0</v>
      </c>
    </row>
    <row r="4055" spans="1:4" hidden="1" x14ac:dyDescent="0.3">
      <c r="A4055" t="s">
        <v>545</v>
      </c>
      <c r="B4055" t="s">
        <v>20</v>
      </c>
      <c r="C4055" s="1">
        <f>HYPERLINK("https://cao.dolgi.msk.ru/account/1011192399/", 1011192399)</f>
        <v>1011192399</v>
      </c>
      <c r="D4055">
        <v>0</v>
      </c>
    </row>
    <row r="4056" spans="1:4" hidden="1" x14ac:dyDescent="0.3">
      <c r="A4056" t="s">
        <v>545</v>
      </c>
      <c r="B4056" t="s">
        <v>21</v>
      </c>
      <c r="C4056" s="1">
        <f>HYPERLINK("https://cao.dolgi.msk.ru/account/1011192954/", 1011192954)</f>
        <v>1011192954</v>
      </c>
      <c r="D4056">
        <v>-6514.46</v>
      </c>
    </row>
    <row r="4057" spans="1:4" hidden="1" x14ac:dyDescent="0.3">
      <c r="A4057" t="s">
        <v>545</v>
      </c>
      <c r="B4057" t="s">
        <v>22</v>
      </c>
      <c r="C4057" s="1">
        <f>HYPERLINK("https://cao.dolgi.msk.ru/account/1011192866/", 1011192866)</f>
        <v>1011192866</v>
      </c>
      <c r="D4057">
        <v>-6648.74</v>
      </c>
    </row>
    <row r="4058" spans="1:4" hidden="1" x14ac:dyDescent="0.3">
      <c r="A4058" t="s">
        <v>545</v>
      </c>
      <c r="B4058" t="s">
        <v>24</v>
      </c>
      <c r="C4058" s="1">
        <f>HYPERLINK("https://cao.dolgi.msk.ru/account/1011193084/", 1011193084)</f>
        <v>1011193084</v>
      </c>
      <c r="D4058">
        <v>-34.78</v>
      </c>
    </row>
    <row r="4059" spans="1:4" hidden="1" x14ac:dyDescent="0.3">
      <c r="A4059" t="s">
        <v>545</v>
      </c>
      <c r="B4059" t="s">
        <v>25</v>
      </c>
      <c r="C4059" s="1">
        <f>HYPERLINK("https://cao.dolgi.msk.ru/account/1011192815/", 1011192815)</f>
        <v>1011192815</v>
      </c>
      <c r="D4059">
        <v>0</v>
      </c>
    </row>
    <row r="4060" spans="1:4" hidden="1" x14ac:dyDescent="0.3">
      <c r="A4060" t="s">
        <v>545</v>
      </c>
      <c r="B4060" t="s">
        <v>26</v>
      </c>
      <c r="C4060" s="1">
        <f>HYPERLINK("https://cao.dolgi.msk.ru/account/1011192495/", 1011192495)</f>
        <v>1011192495</v>
      </c>
      <c r="D4060">
        <v>0</v>
      </c>
    </row>
    <row r="4061" spans="1:4" hidden="1" x14ac:dyDescent="0.3">
      <c r="A4061" t="s">
        <v>545</v>
      </c>
      <c r="B4061" t="s">
        <v>27</v>
      </c>
      <c r="C4061" s="1">
        <f>HYPERLINK("https://cao.dolgi.msk.ru/account/1011192292/", 1011192292)</f>
        <v>1011192292</v>
      </c>
      <c r="D4061">
        <v>-6775.59</v>
      </c>
    </row>
    <row r="4062" spans="1:4" hidden="1" x14ac:dyDescent="0.3">
      <c r="A4062" t="s">
        <v>545</v>
      </c>
      <c r="B4062" t="s">
        <v>29</v>
      </c>
      <c r="C4062" s="1">
        <f>HYPERLINK("https://cao.dolgi.msk.ru/account/1011192831/", 1011192831)</f>
        <v>1011192831</v>
      </c>
      <c r="D4062">
        <v>-2474.37</v>
      </c>
    </row>
    <row r="4063" spans="1:4" x14ac:dyDescent="0.3">
      <c r="A4063" t="s">
        <v>545</v>
      </c>
      <c r="B4063" t="s">
        <v>38</v>
      </c>
      <c r="C4063" s="1">
        <f>HYPERLINK("https://cao.dolgi.msk.ru/account/1011192823/", 1011192823)</f>
        <v>1011192823</v>
      </c>
      <c r="D4063">
        <v>5159.3599999999997</v>
      </c>
    </row>
    <row r="4064" spans="1:4" hidden="1" x14ac:dyDescent="0.3">
      <c r="A4064" t="s">
        <v>545</v>
      </c>
      <c r="B4064" t="s">
        <v>39</v>
      </c>
      <c r="C4064" s="1">
        <f>HYPERLINK("https://cao.dolgi.msk.ru/account/1011192591/", 1011192591)</f>
        <v>1011192591</v>
      </c>
      <c r="D4064">
        <v>0</v>
      </c>
    </row>
    <row r="4065" spans="1:4" hidden="1" x14ac:dyDescent="0.3">
      <c r="A4065" t="s">
        <v>545</v>
      </c>
      <c r="B4065" t="s">
        <v>40</v>
      </c>
      <c r="C4065" s="1">
        <f>HYPERLINK("https://cao.dolgi.msk.ru/account/1011192962/", 1011192962)</f>
        <v>1011192962</v>
      </c>
      <c r="D4065">
        <v>0</v>
      </c>
    </row>
    <row r="4066" spans="1:4" hidden="1" x14ac:dyDescent="0.3">
      <c r="A4066" t="s">
        <v>545</v>
      </c>
      <c r="B4066" t="s">
        <v>41</v>
      </c>
      <c r="C4066" s="1">
        <f>HYPERLINK("https://cao.dolgi.msk.ru/account/1011192604/", 1011192604)</f>
        <v>1011192604</v>
      </c>
      <c r="D4066">
        <v>0</v>
      </c>
    </row>
    <row r="4067" spans="1:4" hidden="1" x14ac:dyDescent="0.3">
      <c r="A4067" t="s">
        <v>545</v>
      </c>
      <c r="B4067" t="s">
        <v>51</v>
      </c>
      <c r="C4067" s="1">
        <f>HYPERLINK("https://cao.dolgi.msk.ru/account/1011192858/", 1011192858)</f>
        <v>1011192858</v>
      </c>
      <c r="D4067">
        <v>-5866.38</v>
      </c>
    </row>
    <row r="4068" spans="1:4" hidden="1" x14ac:dyDescent="0.3">
      <c r="A4068" t="s">
        <v>545</v>
      </c>
      <c r="B4068" t="s">
        <v>52</v>
      </c>
      <c r="C4068" s="1">
        <f>HYPERLINK("https://cao.dolgi.msk.ru/account/1011192508/", 1011192508)</f>
        <v>1011192508</v>
      </c>
      <c r="D4068">
        <v>0</v>
      </c>
    </row>
    <row r="4069" spans="1:4" hidden="1" x14ac:dyDescent="0.3">
      <c r="A4069" t="s">
        <v>545</v>
      </c>
      <c r="B4069" t="s">
        <v>53</v>
      </c>
      <c r="C4069" s="1">
        <f>HYPERLINK("https://cao.dolgi.msk.ru/account/1011193092/", 1011193092)</f>
        <v>1011193092</v>
      </c>
      <c r="D4069">
        <v>0</v>
      </c>
    </row>
    <row r="4070" spans="1:4" hidden="1" x14ac:dyDescent="0.3">
      <c r="A4070" t="s">
        <v>545</v>
      </c>
      <c r="B4070" t="s">
        <v>54</v>
      </c>
      <c r="C4070" s="1">
        <f>HYPERLINK("https://cao.dolgi.msk.ru/account/1011192874/", 1011192874)</f>
        <v>1011192874</v>
      </c>
      <c r="D4070">
        <v>0</v>
      </c>
    </row>
    <row r="4071" spans="1:4" hidden="1" x14ac:dyDescent="0.3">
      <c r="A4071" t="s">
        <v>545</v>
      </c>
      <c r="B4071" t="s">
        <v>55</v>
      </c>
      <c r="C4071" s="1">
        <f>HYPERLINK("https://cao.dolgi.msk.ru/account/1011192401/", 1011192401)</f>
        <v>1011192401</v>
      </c>
      <c r="D4071">
        <v>-6541.06</v>
      </c>
    </row>
    <row r="4072" spans="1:4" hidden="1" x14ac:dyDescent="0.3">
      <c r="A4072" t="s">
        <v>545</v>
      </c>
      <c r="B4072" t="s">
        <v>56</v>
      </c>
      <c r="C4072" s="1">
        <f>HYPERLINK("https://cao.dolgi.msk.ru/account/1011192612/", 1011192612)</f>
        <v>1011192612</v>
      </c>
      <c r="D4072">
        <v>-10658.01</v>
      </c>
    </row>
    <row r="4073" spans="1:4" x14ac:dyDescent="0.3">
      <c r="A4073" t="s">
        <v>545</v>
      </c>
      <c r="B4073" t="s">
        <v>87</v>
      </c>
      <c r="C4073" s="1">
        <f>HYPERLINK("https://cao.dolgi.msk.ru/account/1011192639/", 1011192639)</f>
        <v>1011192639</v>
      </c>
      <c r="D4073">
        <v>146713.73000000001</v>
      </c>
    </row>
    <row r="4074" spans="1:4" hidden="1" x14ac:dyDescent="0.3">
      <c r="A4074" t="s">
        <v>545</v>
      </c>
      <c r="B4074" t="s">
        <v>88</v>
      </c>
      <c r="C4074" s="1">
        <f>HYPERLINK("https://cao.dolgi.msk.ru/account/1011192516/", 1011192516)</f>
        <v>1011192516</v>
      </c>
      <c r="D4074">
        <v>-1558.51</v>
      </c>
    </row>
    <row r="4075" spans="1:4" hidden="1" x14ac:dyDescent="0.3">
      <c r="A4075" t="s">
        <v>545</v>
      </c>
      <c r="B4075" t="s">
        <v>89</v>
      </c>
      <c r="C4075" s="1">
        <f>HYPERLINK("https://cao.dolgi.msk.ru/account/1011192989/", 1011192989)</f>
        <v>1011192989</v>
      </c>
      <c r="D4075">
        <v>0</v>
      </c>
    </row>
    <row r="4076" spans="1:4" hidden="1" x14ac:dyDescent="0.3">
      <c r="A4076" t="s">
        <v>545</v>
      </c>
      <c r="B4076" t="s">
        <v>90</v>
      </c>
      <c r="C4076" s="1">
        <f>HYPERLINK("https://cao.dolgi.msk.ru/account/1011515098/", 1011515098)</f>
        <v>1011515098</v>
      </c>
      <c r="D4076">
        <v>-441.25</v>
      </c>
    </row>
    <row r="4077" spans="1:4" hidden="1" x14ac:dyDescent="0.3">
      <c r="A4077" t="s">
        <v>545</v>
      </c>
      <c r="B4077" t="s">
        <v>96</v>
      </c>
      <c r="C4077" s="1">
        <f>HYPERLINK("https://cao.dolgi.msk.ru/account/1011192727/", 1011192727)</f>
        <v>1011192727</v>
      </c>
      <c r="D4077">
        <v>0</v>
      </c>
    </row>
    <row r="4078" spans="1:4" hidden="1" x14ac:dyDescent="0.3">
      <c r="A4078" t="s">
        <v>545</v>
      </c>
      <c r="B4078" t="s">
        <v>97</v>
      </c>
      <c r="C4078" s="1">
        <f>HYPERLINK("https://cao.dolgi.msk.ru/account/1011192882/", 1011192882)</f>
        <v>1011192882</v>
      </c>
      <c r="D4078">
        <v>-4.7699999999999996</v>
      </c>
    </row>
    <row r="4079" spans="1:4" hidden="1" x14ac:dyDescent="0.3">
      <c r="A4079" t="s">
        <v>545</v>
      </c>
      <c r="B4079" t="s">
        <v>98</v>
      </c>
      <c r="C4079" s="1">
        <f>HYPERLINK("https://cao.dolgi.msk.ru/account/1011192524/", 1011192524)</f>
        <v>1011192524</v>
      </c>
      <c r="D4079">
        <v>0</v>
      </c>
    </row>
    <row r="4080" spans="1:4" hidden="1" x14ac:dyDescent="0.3">
      <c r="A4080" t="s">
        <v>545</v>
      </c>
      <c r="B4080" t="s">
        <v>58</v>
      </c>
      <c r="C4080" s="1">
        <f>HYPERLINK("https://cao.dolgi.msk.ru/account/1011192532/", 1011192532)</f>
        <v>1011192532</v>
      </c>
      <c r="D4080">
        <v>0</v>
      </c>
    </row>
    <row r="4081" spans="1:4" hidden="1" x14ac:dyDescent="0.3">
      <c r="A4081" t="s">
        <v>545</v>
      </c>
      <c r="B4081" t="s">
        <v>59</v>
      </c>
      <c r="C4081" s="1">
        <f>HYPERLINK("https://cao.dolgi.msk.ru/account/1011192903/", 1011192903)</f>
        <v>1011192903</v>
      </c>
      <c r="D4081">
        <v>0</v>
      </c>
    </row>
    <row r="4082" spans="1:4" hidden="1" x14ac:dyDescent="0.3">
      <c r="A4082" t="s">
        <v>545</v>
      </c>
      <c r="B4082" t="s">
        <v>60</v>
      </c>
      <c r="C4082" s="1">
        <f>HYPERLINK("https://cao.dolgi.msk.ru/account/1011192559/", 1011192559)</f>
        <v>1011192559</v>
      </c>
      <c r="D4082">
        <v>-4400.95</v>
      </c>
    </row>
    <row r="4083" spans="1:4" hidden="1" x14ac:dyDescent="0.3">
      <c r="A4083" t="s">
        <v>545</v>
      </c>
      <c r="B4083" t="s">
        <v>61</v>
      </c>
      <c r="C4083" s="1">
        <f>HYPERLINK("https://cao.dolgi.msk.ru/account/1011192655/", 1011192655)</f>
        <v>1011192655</v>
      </c>
      <c r="D4083">
        <v>-4081.47</v>
      </c>
    </row>
    <row r="4084" spans="1:4" hidden="1" x14ac:dyDescent="0.3">
      <c r="A4084" t="s">
        <v>545</v>
      </c>
      <c r="B4084" t="s">
        <v>62</v>
      </c>
      <c r="C4084" s="1">
        <f>HYPERLINK("https://cao.dolgi.msk.ru/account/1011192997/", 1011192997)</f>
        <v>1011192997</v>
      </c>
      <c r="D4084">
        <v>-5434.73</v>
      </c>
    </row>
    <row r="4085" spans="1:4" hidden="1" x14ac:dyDescent="0.3">
      <c r="A4085" t="s">
        <v>545</v>
      </c>
      <c r="B4085" t="s">
        <v>63</v>
      </c>
      <c r="C4085" s="1">
        <f>HYPERLINK("https://cao.dolgi.msk.ru/account/1011192663/", 1011192663)</f>
        <v>1011192663</v>
      </c>
      <c r="D4085">
        <v>0</v>
      </c>
    </row>
    <row r="4086" spans="1:4" hidden="1" x14ac:dyDescent="0.3">
      <c r="A4086" t="s">
        <v>545</v>
      </c>
      <c r="B4086" t="s">
        <v>64</v>
      </c>
      <c r="C4086" s="1">
        <f>HYPERLINK("https://cao.dolgi.msk.ru/account/1011192428/", 1011192428)</f>
        <v>1011192428</v>
      </c>
      <c r="D4086">
        <v>0</v>
      </c>
    </row>
    <row r="4087" spans="1:4" hidden="1" x14ac:dyDescent="0.3">
      <c r="A4087" t="s">
        <v>545</v>
      </c>
      <c r="B4087" t="s">
        <v>65</v>
      </c>
      <c r="C4087" s="1">
        <f>HYPERLINK("https://cao.dolgi.msk.ru/account/1011192671/", 1011192671)</f>
        <v>1011192671</v>
      </c>
      <c r="D4087">
        <v>0</v>
      </c>
    </row>
    <row r="4088" spans="1:4" hidden="1" x14ac:dyDescent="0.3">
      <c r="A4088" t="s">
        <v>545</v>
      </c>
      <c r="B4088" t="s">
        <v>66</v>
      </c>
      <c r="C4088" s="1">
        <f>HYPERLINK("https://cao.dolgi.msk.ru/account/1011193105/", 1011193105)</f>
        <v>1011193105</v>
      </c>
      <c r="D4088">
        <v>0</v>
      </c>
    </row>
    <row r="4089" spans="1:4" x14ac:dyDescent="0.3">
      <c r="A4089" t="s">
        <v>545</v>
      </c>
      <c r="B4089" t="s">
        <v>67</v>
      </c>
      <c r="C4089" s="1">
        <f>HYPERLINK("https://cao.dolgi.msk.ru/account/1011193009/", 1011193009)</f>
        <v>1011193009</v>
      </c>
      <c r="D4089">
        <v>20869.82</v>
      </c>
    </row>
    <row r="4090" spans="1:4" x14ac:dyDescent="0.3">
      <c r="A4090" t="s">
        <v>545</v>
      </c>
      <c r="B4090" t="s">
        <v>68</v>
      </c>
      <c r="C4090" s="1">
        <f>HYPERLINK("https://cao.dolgi.msk.ru/account/1011192735/", 1011192735)</f>
        <v>1011192735</v>
      </c>
      <c r="D4090">
        <v>13998.74</v>
      </c>
    </row>
    <row r="4091" spans="1:4" hidden="1" x14ac:dyDescent="0.3">
      <c r="A4091" t="s">
        <v>545</v>
      </c>
      <c r="B4091" t="s">
        <v>69</v>
      </c>
      <c r="C4091" s="1">
        <f>HYPERLINK("https://cao.dolgi.msk.ru/account/1011192305/", 1011192305)</f>
        <v>1011192305</v>
      </c>
      <c r="D4091">
        <v>0</v>
      </c>
    </row>
    <row r="4092" spans="1:4" hidden="1" x14ac:dyDescent="0.3">
      <c r="A4092" t="s">
        <v>545</v>
      </c>
      <c r="B4092" t="s">
        <v>70</v>
      </c>
      <c r="C4092" s="1">
        <f>HYPERLINK("https://cao.dolgi.msk.ru/account/1011192313/", 1011192313)</f>
        <v>1011192313</v>
      </c>
      <c r="D4092">
        <v>0</v>
      </c>
    </row>
    <row r="4093" spans="1:4" hidden="1" x14ac:dyDescent="0.3">
      <c r="A4093" t="s">
        <v>545</v>
      </c>
      <c r="B4093" t="s">
        <v>259</v>
      </c>
      <c r="C4093" s="1">
        <f>HYPERLINK("https://cao.dolgi.msk.ru/account/1011192743/", 1011192743)</f>
        <v>1011192743</v>
      </c>
      <c r="D4093">
        <v>-36752.22</v>
      </c>
    </row>
    <row r="4094" spans="1:4" hidden="1" x14ac:dyDescent="0.3">
      <c r="A4094" t="s">
        <v>545</v>
      </c>
      <c r="B4094" t="s">
        <v>100</v>
      </c>
      <c r="C4094" s="1">
        <f>HYPERLINK("https://cao.dolgi.msk.ru/account/1011192321/", 1011192321)</f>
        <v>1011192321</v>
      </c>
      <c r="D4094">
        <v>0</v>
      </c>
    </row>
    <row r="4095" spans="1:4" hidden="1" x14ac:dyDescent="0.3">
      <c r="A4095" t="s">
        <v>545</v>
      </c>
      <c r="B4095" t="s">
        <v>72</v>
      </c>
      <c r="C4095" s="1">
        <f>HYPERLINK("https://cao.dolgi.msk.ru/account/1011192436/", 1011192436)</f>
        <v>1011192436</v>
      </c>
      <c r="D4095">
        <v>0</v>
      </c>
    </row>
    <row r="4096" spans="1:4" hidden="1" x14ac:dyDescent="0.3">
      <c r="A4096" t="s">
        <v>545</v>
      </c>
      <c r="B4096" t="s">
        <v>73</v>
      </c>
      <c r="C4096" s="1">
        <f>HYPERLINK("https://cao.dolgi.msk.ru/account/1011193017/", 1011193017)</f>
        <v>1011193017</v>
      </c>
      <c r="D4096">
        <v>0</v>
      </c>
    </row>
    <row r="4097" spans="1:4" hidden="1" x14ac:dyDescent="0.3">
      <c r="A4097" t="s">
        <v>545</v>
      </c>
      <c r="B4097" t="s">
        <v>74</v>
      </c>
      <c r="C4097" s="1">
        <f>HYPERLINK("https://cao.dolgi.msk.ru/account/1011192698/", 1011192698)</f>
        <v>1011192698</v>
      </c>
      <c r="D4097">
        <v>0</v>
      </c>
    </row>
    <row r="4098" spans="1:4" hidden="1" x14ac:dyDescent="0.3">
      <c r="A4098" t="s">
        <v>545</v>
      </c>
      <c r="B4098" t="s">
        <v>75</v>
      </c>
      <c r="C4098" s="1">
        <f>HYPERLINK("https://cao.dolgi.msk.ru/account/1011192751/", 1011192751)</f>
        <v>1011192751</v>
      </c>
      <c r="D4098">
        <v>-1464.58</v>
      </c>
    </row>
    <row r="4099" spans="1:4" hidden="1" x14ac:dyDescent="0.3">
      <c r="A4099" t="s">
        <v>545</v>
      </c>
      <c r="B4099" t="s">
        <v>76</v>
      </c>
      <c r="C4099" s="1">
        <f>HYPERLINK("https://cao.dolgi.msk.ru/account/1011192348/", 1011192348)</f>
        <v>1011192348</v>
      </c>
      <c r="D4099">
        <v>0</v>
      </c>
    </row>
    <row r="4100" spans="1:4" hidden="1" x14ac:dyDescent="0.3">
      <c r="A4100" t="s">
        <v>545</v>
      </c>
      <c r="B4100" t="s">
        <v>77</v>
      </c>
      <c r="C4100" s="1">
        <f>HYPERLINK("https://cao.dolgi.msk.ru/account/1011192911/", 1011192911)</f>
        <v>1011192911</v>
      </c>
      <c r="D4100">
        <v>0</v>
      </c>
    </row>
    <row r="4101" spans="1:4" hidden="1" x14ac:dyDescent="0.3">
      <c r="A4101" t="s">
        <v>545</v>
      </c>
      <c r="B4101" t="s">
        <v>78</v>
      </c>
      <c r="C4101" s="1">
        <f>HYPERLINK("https://cao.dolgi.msk.ru/account/1011192938/", 1011192938)</f>
        <v>1011192938</v>
      </c>
      <c r="D4101">
        <v>0</v>
      </c>
    </row>
    <row r="4102" spans="1:4" hidden="1" x14ac:dyDescent="0.3">
      <c r="A4102" t="s">
        <v>545</v>
      </c>
      <c r="B4102" t="s">
        <v>79</v>
      </c>
      <c r="C4102" s="1">
        <f>HYPERLINK("https://cao.dolgi.msk.ru/account/1011193025/", 1011193025)</f>
        <v>1011193025</v>
      </c>
      <c r="D4102">
        <v>0</v>
      </c>
    </row>
    <row r="4103" spans="1:4" hidden="1" x14ac:dyDescent="0.3">
      <c r="A4103" t="s">
        <v>545</v>
      </c>
      <c r="B4103" t="s">
        <v>80</v>
      </c>
      <c r="C4103" s="1">
        <f>HYPERLINK("https://cao.dolgi.msk.ru/account/1011193113/", 1011193113)</f>
        <v>1011193113</v>
      </c>
      <c r="D4103">
        <v>0</v>
      </c>
    </row>
    <row r="4104" spans="1:4" hidden="1" x14ac:dyDescent="0.3">
      <c r="A4104" t="s">
        <v>545</v>
      </c>
      <c r="B4104" t="s">
        <v>81</v>
      </c>
      <c r="C4104" s="1">
        <f>HYPERLINK("https://cao.dolgi.msk.ru/account/1011193033/", 1011193033)</f>
        <v>1011193033</v>
      </c>
      <c r="D4104">
        <v>0</v>
      </c>
    </row>
    <row r="4105" spans="1:4" hidden="1" x14ac:dyDescent="0.3">
      <c r="A4105" t="s">
        <v>545</v>
      </c>
      <c r="B4105" t="s">
        <v>101</v>
      </c>
      <c r="C4105" s="1">
        <f>HYPERLINK("https://cao.dolgi.msk.ru/account/1011193121/", 1011193121)</f>
        <v>1011193121</v>
      </c>
      <c r="D4105">
        <v>-8270.27</v>
      </c>
    </row>
    <row r="4106" spans="1:4" x14ac:dyDescent="0.3">
      <c r="A4106" t="s">
        <v>545</v>
      </c>
      <c r="B4106" t="s">
        <v>82</v>
      </c>
      <c r="C4106" s="1">
        <f>HYPERLINK("https://cao.dolgi.msk.ru/account/1011192567/", 1011192567)</f>
        <v>1011192567</v>
      </c>
      <c r="D4106">
        <v>4805.1899999999996</v>
      </c>
    </row>
    <row r="4107" spans="1:4" hidden="1" x14ac:dyDescent="0.3">
      <c r="A4107" t="s">
        <v>545</v>
      </c>
      <c r="B4107" t="s">
        <v>83</v>
      </c>
      <c r="C4107" s="1">
        <f>HYPERLINK("https://cao.dolgi.msk.ru/account/1011192946/", 1011192946)</f>
        <v>1011192946</v>
      </c>
      <c r="D4107">
        <v>-454.16</v>
      </c>
    </row>
    <row r="4108" spans="1:4" hidden="1" x14ac:dyDescent="0.3">
      <c r="A4108" t="s">
        <v>545</v>
      </c>
      <c r="B4108" t="s">
        <v>84</v>
      </c>
      <c r="C4108" s="1">
        <f>HYPERLINK("https://cao.dolgi.msk.ru/account/1011192356/", 1011192356)</f>
        <v>1011192356</v>
      </c>
      <c r="D4108">
        <v>0</v>
      </c>
    </row>
    <row r="4109" spans="1:4" hidden="1" x14ac:dyDescent="0.3">
      <c r="A4109" t="s">
        <v>546</v>
      </c>
      <c r="B4109" t="s">
        <v>5</v>
      </c>
      <c r="C4109" s="1">
        <f>HYPERLINK("https://cao.dolgi.msk.ru/account/1011502692/", 1011502692)</f>
        <v>1011502692</v>
      </c>
      <c r="D4109">
        <v>0</v>
      </c>
    </row>
    <row r="4110" spans="1:4" hidden="1" x14ac:dyDescent="0.3">
      <c r="A4110" t="s">
        <v>546</v>
      </c>
      <c r="B4110" t="s">
        <v>7</v>
      </c>
      <c r="C4110" s="1">
        <f>HYPERLINK("https://cao.dolgi.msk.ru/account/1011502705/", 1011502705)</f>
        <v>1011502705</v>
      </c>
      <c r="D4110">
        <v>-20493.52</v>
      </c>
    </row>
    <row r="4111" spans="1:4" x14ac:dyDescent="0.3">
      <c r="A4111" t="s">
        <v>546</v>
      </c>
      <c r="B4111" t="s">
        <v>8</v>
      </c>
      <c r="C4111" s="1">
        <f>HYPERLINK("https://cao.dolgi.msk.ru/account/1011502756/", 1011502756)</f>
        <v>1011502756</v>
      </c>
      <c r="D4111">
        <v>131840</v>
      </c>
    </row>
    <row r="4112" spans="1:4" hidden="1" x14ac:dyDescent="0.3">
      <c r="A4112" t="s">
        <v>546</v>
      </c>
      <c r="B4112" t="s">
        <v>31</v>
      </c>
      <c r="C4112" s="1">
        <f>HYPERLINK("https://cao.dolgi.msk.ru/account/1011502748/", 1011502748)</f>
        <v>1011502748</v>
      </c>
      <c r="D4112">
        <v>-7191.63</v>
      </c>
    </row>
    <row r="4113" spans="1:4" hidden="1" x14ac:dyDescent="0.3">
      <c r="A4113" t="s">
        <v>546</v>
      </c>
      <c r="B4113" t="s">
        <v>9</v>
      </c>
      <c r="C4113" s="1">
        <f>HYPERLINK("https://cao.dolgi.msk.ru/account/1011502799/", 1011502799)</f>
        <v>1011502799</v>
      </c>
      <c r="D4113">
        <v>0</v>
      </c>
    </row>
    <row r="4114" spans="1:4" hidden="1" x14ac:dyDescent="0.3">
      <c r="A4114" t="s">
        <v>546</v>
      </c>
      <c r="B4114" t="s">
        <v>10</v>
      </c>
      <c r="C4114" s="1">
        <f>HYPERLINK("https://cao.dolgi.msk.ru/account/1011502721/", 1011502721)</f>
        <v>1011502721</v>
      </c>
      <c r="D4114">
        <v>0</v>
      </c>
    </row>
    <row r="4115" spans="1:4" hidden="1" x14ac:dyDescent="0.3">
      <c r="A4115" t="s">
        <v>546</v>
      </c>
      <c r="B4115" t="s">
        <v>547</v>
      </c>
      <c r="C4115" s="1">
        <f>HYPERLINK("https://cao.dolgi.msk.ru/account/1011502844/", 1011502844)</f>
        <v>1011502844</v>
      </c>
      <c r="D4115">
        <v>0</v>
      </c>
    </row>
    <row r="4116" spans="1:4" x14ac:dyDescent="0.3">
      <c r="A4116" t="s">
        <v>546</v>
      </c>
      <c r="B4116" t="s">
        <v>11</v>
      </c>
      <c r="C4116" s="1">
        <f>HYPERLINK("https://cao.dolgi.msk.ru/account/1011502713/", 1011502713)</f>
        <v>1011502713</v>
      </c>
      <c r="D4116">
        <v>27213.040000000001</v>
      </c>
    </row>
    <row r="4117" spans="1:4" hidden="1" x14ac:dyDescent="0.3">
      <c r="A4117" t="s">
        <v>546</v>
      </c>
      <c r="B4117" t="s">
        <v>23</v>
      </c>
      <c r="C4117" s="1">
        <f>HYPERLINK("https://cao.dolgi.msk.ru/account/1011502764/", 1011502764)</f>
        <v>1011502764</v>
      </c>
      <c r="D4117">
        <v>-1514.99</v>
      </c>
    </row>
    <row r="4118" spans="1:4" hidden="1" x14ac:dyDescent="0.3">
      <c r="A4118" t="s">
        <v>546</v>
      </c>
      <c r="B4118" t="s">
        <v>13</v>
      </c>
      <c r="C4118" s="1">
        <f>HYPERLINK("https://cao.dolgi.msk.ru/account/1011502801/", 1011502801)</f>
        <v>1011502801</v>
      </c>
      <c r="D4118">
        <v>-40.26</v>
      </c>
    </row>
    <row r="4119" spans="1:4" x14ac:dyDescent="0.3">
      <c r="A4119" t="s">
        <v>546</v>
      </c>
      <c r="B4119" t="s">
        <v>14</v>
      </c>
      <c r="C4119" s="1">
        <f>HYPERLINK("https://cao.dolgi.msk.ru/account/1011539743/", 1011539743)</f>
        <v>1011539743</v>
      </c>
      <c r="D4119">
        <v>117041.49</v>
      </c>
    </row>
    <row r="4120" spans="1:4" hidden="1" x14ac:dyDescent="0.3">
      <c r="A4120" t="s">
        <v>546</v>
      </c>
      <c r="B4120" t="s">
        <v>16</v>
      </c>
      <c r="C4120" s="1">
        <f>HYPERLINK("https://cao.dolgi.msk.ru/account/1011502836/", 1011502836)</f>
        <v>1011502836</v>
      </c>
      <c r="D4120">
        <v>-24945.52</v>
      </c>
    </row>
    <row r="4121" spans="1:4" hidden="1" x14ac:dyDescent="0.3">
      <c r="A4121" t="s">
        <v>546</v>
      </c>
      <c r="B4121" t="s">
        <v>548</v>
      </c>
      <c r="C4121" s="1">
        <f>HYPERLINK("https://cao.dolgi.msk.ru/account/1011502828/", 1011502828)</f>
        <v>1011502828</v>
      </c>
      <c r="D4121">
        <v>-20770.490000000002</v>
      </c>
    </row>
    <row r="4122" spans="1:4" hidden="1" x14ac:dyDescent="0.3">
      <c r="A4122" t="s">
        <v>549</v>
      </c>
      <c r="B4122" t="s">
        <v>6</v>
      </c>
      <c r="C4122" s="1">
        <f>HYPERLINK("https://cao.dolgi.msk.ru/account/1011393182/", 1011393182)</f>
        <v>1011393182</v>
      </c>
      <c r="D4122">
        <v>-245.5</v>
      </c>
    </row>
    <row r="4123" spans="1:4" hidden="1" x14ac:dyDescent="0.3">
      <c r="A4123" t="s">
        <v>549</v>
      </c>
      <c r="B4123" t="s">
        <v>28</v>
      </c>
      <c r="C4123" s="1">
        <f>HYPERLINK("https://cao.dolgi.msk.ru/account/1011393203/", 1011393203)</f>
        <v>1011393203</v>
      </c>
      <c r="D4123">
        <v>0</v>
      </c>
    </row>
    <row r="4124" spans="1:4" x14ac:dyDescent="0.3">
      <c r="A4124" t="s">
        <v>549</v>
      </c>
      <c r="B4124" t="s">
        <v>35</v>
      </c>
      <c r="C4124" s="1">
        <f>HYPERLINK("https://cao.dolgi.msk.ru/account/1011393174/", 1011393174)</f>
        <v>1011393174</v>
      </c>
      <c r="D4124">
        <v>35616.75</v>
      </c>
    </row>
    <row r="4125" spans="1:4" hidden="1" x14ac:dyDescent="0.3">
      <c r="A4125" t="s">
        <v>549</v>
      </c>
      <c r="B4125" t="s">
        <v>5</v>
      </c>
      <c r="C4125" s="1">
        <f>HYPERLINK("https://cao.dolgi.msk.ru/account/1011393166/", 1011393166)</f>
        <v>1011393166</v>
      </c>
      <c r="D4125">
        <v>-74598.210000000006</v>
      </c>
    </row>
    <row r="4126" spans="1:4" hidden="1" x14ac:dyDescent="0.3">
      <c r="A4126" t="s">
        <v>549</v>
      </c>
      <c r="B4126" t="s">
        <v>9</v>
      </c>
      <c r="C4126" s="1">
        <f>HYPERLINK("https://cao.dolgi.msk.ru/account/1011393158/", 1011393158)</f>
        <v>1011393158</v>
      </c>
      <c r="D4126">
        <v>0</v>
      </c>
    </row>
    <row r="4127" spans="1:4" hidden="1" x14ac:dyDescent="0.3">
      <c r="A4127" t="s">
        <v>550</v>
      </c>
      <c r="B4127" t="s">
        <v>6</v>
      </c>
      <c r="C4127" s="1">
        <f>HYPERLINK("https://cao.dolgi.msk.ru/account/1011393502/", 1011393502)</f>
        <v>1011393502</v>
      </c>
      <c r="D4127">
        <v>0</v>
      </c>
    </row>
    <row r="4128" spans="1:4" hidden="1" x14ac:dyDescent="0.3">
      <c r="A4128" t="s">
        <v>550</v>
      </c>
      <c r="B4128" t="s">
        <v>28</v>
      </c>
      <c r="C4128" s="1">
        <f>HYPERLINK("https://cao.dolgi.msk.ru/account/1011393465/", 1011393465)</f>
        <v>1011393465</v>
      </c>
      <c r="D4128">
        <v>0</v>
      </c>
    </row>
    <row r="4129" spans="1:4" hidden="1" x14ac:dyDescent="0.3">
      <c r="A4129" t="s">
        <v>550</v>
      </c>
      <c r="B4129" t="s">
        <v>35</v>
      </c>
      <c r="C4129" s="1">
        <f>HYPERLINK("https://cao.dolgi.msk.ru/account/1011393318/", 1011393318)</f>
        <v>1011393318</v>
      </c>
      <c r="D4129">
        <v>0</v>
      </c>
    </row>
    <row r="4130" spans="1:4" x14ac:dyDescent="0.3">
      <c r="A4130" t="s">
        <v>550</v>
      </c>
      <c r="B4130" t="s">
        <v>35</v>
      </c>
      <c r="C4130" s="1">
        <f>HYPERLINK("https://cao.dolgi.msk.ru/account/1011393668/", 1011393668)</f>
        <v>1011393668</v>
      </c>
      <c r="D4130">
        <v>258348.34</v>
      </c>
    </row>
    <row r="4131" spans="1:4" hidden="1" x14ac:dyDescent="0.3">
      <c r="A4131" t="s">
        <v>550</v>
      </c>
      <c r="B4131" t="s">
        <v>5</v>
      </c>
      <c r="C4131" s="1">
        <f>HYPERLINK("https://cao.dolgi.msk.ru/account/1011393385/", 1011393385)</f>
        <v>1011393385</v>
      </c>
      <c r="D4131">
        <v>0</v>
      </c>
    </row>
    <row r="4132" spans="1:4" hidden="1" x14ac:dyDescent="0.3">
      <c r="A4132" t="s">
        <v>550</v>
      </c>
      <c r="B4132" t="s">
        <v>7</v>
      </c>
      <c r="C4132" s="1">
        <f>HYPERLINK("https://cao.dolgi.msk.ru/account/1011393545/", 1011393545)</f>
        <v>1011393545</v>
      </c>
      <c r="D4132">
        <v>-65120.09</v>
      </c>
    </row>
    <row r="4133" spans="1:4" hidden="1" x14ac:dyDescent="0.3">
      <c r="A4133" t="s">
        <v>550</v>
      </c>
      <c r="B4133" t="s">
        <v>8</v>
      </c>
      <c r="C4133" s="1">
        <f>HYPERLINK("https://cao.dolgi.msk.ru/account/1011393238/", 1011393238)</f>
        <v>1011393238</v>
      </c>
      <c r="D4133">
        <v>-29485.43</v>
      </c>
    </row>
    <row r="4134" spans="1:4" hidden="1" x14ac:dyDescent="0.3">
      <c r="A4134" t="s">
        <v>550</v>
      </c>
      <c r="B4134" t="s">
        <v>31</v>
      </c>
      <c r="C4134" s="1">
        <f>HYPERLINK("https://cao.dolgi.msk.ru/account/1011393473/", 1011393473)</f>
        <v>1011393473</v>
      </c>
      <c r="D4134">
        <v>0</v>
      </c>
    </row>
    <row r="4135" spans="1:4" x14ac:dyDescent="0.3">
      <c r="A4135" t="s">
        <v>550</v>
      </c>
      <c r="B4135" t="s">
        <v>9</v>
      </c>
      <c r="C4135" s="1">
        <f>HYPERLINK("https://cao.dolgi.msk.ru/account/1011393617/", 1011393617)</f>
        <v>1011393617</v>
      </c>
      <c r="D4135">
        <v>411907.82</v>
      </c>
    </row>
    <row r="4136" spans="1:4" hidden="1" x14ac:dyDescent="0.3">
      <c r="A4136" t="s">
        <v>550</v>
      </c>
      <c r="B4136" t="s">
        <v>10</v>
      </c>
      <c r="C4136" s="1">
        <f>HYPERLINK("https://cao.dolgi.msk.ru/account/1011393529/", 1011393529)</f>
        <v>1011393529</v>
      </c>
      <c r="D4136">
        <v>0</v>
      </c>
    </row>
    <row r="4137" spans="1:4" hidden="1" x14ac:dyDescent="0.3">
      <c r="A4137" t="s">
        <v>550</v>
      </c>
      <c r="B4137" t="s">
        <v>11</v>
      </c>
      <c r="C4137" s="1">
        <f>HYPERLINK("https://cao.dolgi.msk.ru/account/1011393262/", 1011393262)</f>
        <v>1011393262</v>
      </c>
      <c r="D4137">
        <v>0</v>
      </c>
    </row>
    <row r="4138" spans="1:4" hidden="1" x14ac:dyDescent="0.3">
      <c r="A4138" t="s">
        <v>550</v>
      </c>
      <c r="B4138" t="s">
        <v>12</v>
      </c>
      <c r="C4138" s="1">
        <f>HYPERLINK("https://cao.dolgi.msk.ru/account/1011393449/", 1011393449)</f>
        <v>1011393449</v>
      </c>
      <c r="D4138">
        <v>0</v>
      </c>
    </row>
    <row r="4139" spans="1:4" hidden="1" x14ac:dyDescent="0.3">
      <c r="A4139" t="s">
        <v>550</v>
      </c>
      <c r="B4139" t="s">
        <v>23</v>
      </c>
      <c r="C4139" s="1">
        <f>HYPERLINK("https://cao.dolgi.msk.ru/account/1011393254/", 1011393254)</f>
        <v>1011393254</v>
      </c>
      <c r="D4139">
        <v>0</v>
      </c>
    </row>
    <row r="4140" spans="1:4" hidden="1" x14ac:dyDescent="0.3">
      <c r="A4140" t="s">
        <v>550</v>
      </c>
      <c r="B4140" t="s">
        <v>13</v>
      </c>
      <c r="C4140" s="1">
        <f>HYPERLINK("https://cao.dolgi.msk.ru/account/1011393588/", 1011393588)</f>
        <v>1011393588</v>
      </c>
      <c r="D4140">
        <v>0</v>
      </c>
    </row>
    <row r="4141" spans="1:4" hidden="1" x14ac:dyDescent="0.3">
      <c r="A4141" t="s">
        <v>550</v>
      </c>
      <c r="B4141" t="s">
        <v>14</v>
      </c>
      <c r="C4141" s="1">
        <f>HYPERLINK("https://cao.dolgi.msk.ru/account/1011393676/", 1011393676)</f>
        <v>1011393676</v>
      </c>
      <c r="D4141">
        <v>0</v>
      </c>
    </row>
    <row r="4142" spans="1:4" x14ac:dyDescent="0.3">
      <c r="A4142" t="s">
        <v>550</v>
      </c>
      <c r="B4142" t="s">
        <v>16</v>
      </c>
      <c r="C4142" s="1">
        <f>HYPERLINK("https://cao.dolgi.msk.ru/account/1011393481/", 1011393481)</f>
        <v>1011393481</v>
      </c>
      <c r="D4142">
        <v>15043.8</v>
      </c>
    </row>
    <row r="4143" spans="1:4" hidden="1" x14ac:dyDescent="0.3">
      <c r="A4143" t="s">
        <v>550</v>
      </c>
      <c r="B4143" t="s">
        <v>17</v>
      </c>
      <c r="C4143" s="1">
        <f>HYPERLINK("https://cao.dolgi.msk.ru/account/1011393684/", 1011393684)</f>
        <v>1011393684</v>
      </c>
      <c r="D4143">
        <v>-2420.15</v>
      </c>
    </row>
    <row r="4144" spans="1:4" hidden="1" x14ac:dyDescent="0.3">
      <c r="A4144" t="s">
        <v>550</v>
      </c>
      <c r="B4144" t="s">
        <v>18</v>
      </c>
      <c r="C4144" s="1">
        <f>HYPERLINK("https://cao.dolgi.msk.ru/account/1011393406/", 1011393406)</f>
        <v>1011393406</v>
      </c>
      <c r="D4144">
        <v>0</v>
      </c>
    </row>
    <row r="4145" spans="1:4" hidden="1" x14ac:dyDescent="0.3">
      <c r="A4145" t="s">
        <v>550</v>
      </c>
      <c r="B4145" t="s">
        <v>19</v>
      </c>
      <c r="C4145" s="1">
        <f>HYPERLINK("https://cao.dolgi.msk.ru/account/1011393633/", 1011393633)</f>
        <v>1011393633</v>
      </c>
      <c r="D4145">
        <v>0</v>
      </c>
    </row>
    <row r="4146" spans="1:4" x14ac:dyDescent="0.3">
      <c r="A4146" t="s">
        <v>550</v>
      </c>
      <c r="B4146" t="s">
        <v>20</v>
      </c>
      <c r="C4146" s="1">
        <f>HYPERLINK("https://cao.dolgi.msk.ru/account/1011510334/", 1011510334)</f>
        <v>1011510334</v>
      </c>
      <c r="D4146">
        <v>18791.78</v>
      </c>
    </row>
    <row r="4147" spans="1:4" hidden="1" x14ac:dyDescent="0.3">
      <c r="A4147" t="s">
        <v>550</v>
      </c>
      <c r="B4147" t="s">
        <v>21</v>
      </c>
      <c r="C4147" s="1">
        <f>HYPERLINK("https://cao.dolgi.msk.ru/account/1011393377/", 1011393377)</f>
        <v>1011393377</v>
      </c>
      <c r="D4147">
        <v>-7561.87</v>
      </c>
    </row>
    <row r="4148" spans="1:4" hidden="1" x14ac:dyDescent="0.3">
      <c r="A4148" t="s">
        <v>550</v>
      </c>
      <c r="B4148" t="s">
        <v>22</v>
      </c>
      <c r="C4148" s="1">
        <f>HYPERLINK("https://cao.dolgi.msk.ru/account/1011393289/", 1011393289)</f>
        <v>1011393289</v>
      </c>
      <c r="D4148">
        <v>0</v>
      </c>
    </row>
    <row r="4149" spans="1:4" hidden="1" x14ac:dyDescent="0.3">
      <c r="A4149" t="s">
        <v>550</v>
      </c>
      <c r="B4149" t="s">
        <v>24</v>
      </c>
      <c r="C4149" s="1">
        <f>HYPERLINK("https://cao.dolgi.msk.ru/account/1011393211/", 1011393211)</f>
        <v>1011393211</v>
      </c>
      <c r="D4149">
        <v>-5741.52</v>
      </c>
    </row>
    <row r="4150" spans="1:4" hidden="1" x14ac:dyDescent="0.3">
      <c r="A4150" t="s">
        <v>550</v>
      </c>
      <c r="B4150" t="s">
        <v>25</v>
      </c>
      <c r="C4150" s="1">
        <f>HYPERLINK("https://cao.dolgi.msk.ru/account/1011393422/", 1011393422)</f>
        <v>1011393422</v>
      </c>
      <c r="D4150">
        <v>0</v>
      </c>
    </row>
    <row r="4151" spans="1:4" hidden="1" x14ac:dyDescent="0.3">
      <c r="A4151" t="s">
        <v>550</v>
      </c>
      <c r="B4151" t="s">
        <v>26</v>
      </c>
      <c r="C4151" s="1">
        <f>HYPERLINK("https://cao.dolgi.msk.ru/account/1011393596/", 1011393596)</f>
        <v>1011393596</v>
      </c>
      <c r="D4151">
        <v>-1976.21</v>
      </c>
    </row>
    <row r="4152" spans="1:4" hidden="1" x14ac:dyDescent="0.3">
      <c r="A4152" t="s">
        <v>550</v>
      </c>
      <c r="B4152" t="s">
        <v>27</v>
      </c>
      <c r="C4152" s="1">
        <f>HYPERLINK("https://cao.dolgi.msk.ru/account/1011393561/", 1011393561)</f>
        <v>1011393561</v>
      </c>
      <c r="D4152">
        <v>0</v>
      </c>
    </row>
    <row r="4153" spans="1:4" x14ac:dyDescent="0.3">
      <c r="A4153" t="s">
        <v>550</v>
      </c>
      <c r="B4153" t="s">
        <v>29</v>
      </c>
      <c r="C4153" s="1">
        <f>HYPERLINK("https://cao.dolgi.msk.ru/account/1011393246/", 1011393246)</f>
        <v>1011393246</v>
      </c>
      <c r="D4153">
        <v>12585.26</v>
      </c>
    </row>
    <row r="4154" spans="1:4" x14ac:dyDescent="0.3">
      <c r="A4154" t="s">
        <v>550</v>
      </c>
      <c r="B4154" t="s">
        <v>38</v>
      </c>
      <c r="C4154" s="1">
        <f>HYPERLINK("https://cao.dolgi.msk.ru/account/1011393326/", 1011393326)</f>
        <v>1011393326</v>
      </c>
      <c r="D4154">
        <v>14386.22</v>
      </c>
    </row>
    <row r="4155" spans="1:4" hidden="1" x14ac:dyDescent="0.3">
      <c r="A4155" t="s">
        <v>550</v>
      </c>
      <c r="B4155" t="s">
        <v>39</v>
      </c>
      <c r="C4155" s="1">
        <f>HYPERLINK("https://cao.dolgi.msk.ru/account/1011393537/", 1011393537)</f>
        <v>1011393537</v>
      </c>
      <c r="D4155">
        <v>-7969.26</v>
      </c>
    </row>
    <row r="4156" spans="1:4" hidden="1" x14ac:dyDescent="0.3">
      <c r="A4156" t="s">
        <v>550</v>
      </c>
      <c r="B4156" t="s">
        <v>40</v>
      </c>
      <c r="C4156" s="1">
        <f>HYPERLINK("https://cao.dolgi.msk.ru/account/1011393334/", 1011393334)</f>
        <v>1011393334</v>
      </c>
      <c r="D4156">
        <v>0</v>
      </c>
    </row>
    <row r="4157" spans="1:4" hidden="1" x14ac:dyDescent="0.3">
      <c r="A4157" t="s">
        <v>550</v>
      </c>
      <c r="B4157" t="s">
        <v>41</v>
      </c>
      <c r="C4157" s="1">
        <f>HYPERLINK("https://cao.dolgi.msk.ru/account/1011393457/", 1011393457)</f>
        <v>1011393457</v>
      </c>
      <c r="D4157">
        <v>0</v>
      </c>
    </row>
    <row r="4158" spans="1:4" hidden="1" x14ac:dyDescent="0.3">
      <c r="A4158" t="s">
        <v>550</v>
      </c>
      <c r="B4158" t="s">
        <v>51</v>
      </c>
      <c r="C4158" s="1">
        <f>HYPERLINK("https://cao.dolgi.msk.ru/account/1011393297/", 1011393297)</f>
        <v>1011393297</v>
      </c>
      <c r="D4158">
        <v>-1.83</v>
      </c>
    </row>
    <row r="4159" spans="1:4" hidden="1" x14ac:dyDescent="0.3">
      <c r="A4159" t="s">
        <v>550</v>
      </c>
      <c r="B4159" t="s">
        <v>52</v>
      </c>
      <c r="C4159" s="1">
        <f>HYPERLINK("https://cao.dolgi.msk.ru/account/1011393553/", 1011393553)</f>
        <v>1011393553</v>
      </c>
      <c r="D4159">
        <v>-122.3</v>
      </c>
    </row>
    <row r="4160" spans="1:4" hidden="1" x14ac:dyDescent="0.3">
      <c r="A4160" t="s">
        <v>550</v>
      </c>
      <c r="B4160" t="s">
        <v>52</v>
      </c>
      <c r="C4160" s="1">
        <f>HYPERLINK("https://cao.dolgi.msk.ru/account/1011393625/", 1011393625)</f>
        <v>1011393625</v>
      </c>
      <c r="D4160">
        <v>-1720.71</v>
      </c>
    </row>
    <row r="4161" spans="1:4" hidden="1" x14ac:dyDescent="0.3">
      <c r="A4161" t="s">
        <v>550</v>
      </c>
      <c r="B4161" t="s">
        <v>53</v>
      </c>
      <c r="C4161" s="1">
        <f>HYPERLINK("https://cao.dolgi.msk.ru/account/1011393393/", 1011393393)</f>
        <v>1011393393</v>
      </c>
      <c r="D4161">
        <v>-6678.83</v>
      </c>
    </row>
    <row r="4162" spans="1:4" hidden="1" x14ac:dyDescent="0.3">
      <c r="A4162" t="s">
        <v>550</v>
      </c>
      <c r="B4162" t="s">
        <v>54</v>
      </c>
      <c r="C4162" s="1">
        <f>HYPERLINK("https://cao.dolgi.msk.ru/account/1011393369/", 1011393369)</f>
        <v>1011393369</v>
      </c>
      <c r="D4162">
        <v>0</v>
      </c>
    </row>
    <row r="4163" spans="1:4" hidden="1" x14ac:dyDescent="0.3">
      <c r="A4163" t="s">
        <v>550</v>
      </c>
      <c r="B4163" t="s">
        <v>54</v>
      </c>
      <c r="C4163" s="1">
        <f>HYPERLINK("https://cao.dolgi.msk.ru/account/1011393414/", 1011393414)</f>
        <v>1011393414</v>
      </c>
      <c r="D4163">
        <v>0</v>
      </c>
    </row>
    <row r="4164" spans="1:4" hidden="1" x14ac:dyDescent="0.3">
      <c r="A4164" t="s">
        <v>550</v>
      </c>
      <c r="B4164" t="s">
        <v>55</v>
      </c>
      <c r="C4164" s="1">
        <f>HYPERLINK("https://cao.dolgi.msk.ru/account/1011393641/", 1011393641)</f>
        <v>1011393641</v>
      </c>
      <c r="D4164">
        <v>0</v>
      </c>
    </row>
    <row r="4165" spans="1:4" hidden="1" x14ac:dyDescent="0.3">
      <c r="A4165" t="s">
        <v>550</v>
      </c>
      <c r="B4165" t="s">
        <v>56</v>
      </c>
      <c r="C4165" s="1">
        <f>HYPERLINK("https://cao.dolgi.msk.ru/account/1011393609/", 1011393609)</f>
        <v>1011393609</v>
      </c>
      <c r="D4165">
        <v>-4392.6899999999996</v>
      </c>
    </row>
    <row r="4166" spans="1:4" hidden="1" x14ac:dyDescent="0.3">
      <c r="A4166" t="s">
        <v>551</v>
      </c>
      <c r="B4166" t="s">
        <v>35</v>
      </c>
      <c r="C4166" s="1">
        <f>HYPERLINK("https://cao.dolgi.msk.ru/account/1010311528/", 1010311528)</f>
        <v>1010311528</v>
      </c>
      <c r="D4166">
        <v>-4264.68</v>
      </c>
    </row>
    <row r="4167" spans="1:4" hidden="1" x14ac:dyDescent="0.3">
      <c r="A4167" t="s">
        <v>551</v>
      </c>
      <c r="B4167" t="s">
        <v>35</v>
      </c>
      <c r="C4167" s="1">
        <f>HYPERLINK("https://cao.dolgi.msk.ru/account/1010311544/", 1010311544)</f>
        <v>1010311544</v>
      </c>
      <c r="D4167">
        <v>-4150.84</v>
      </c>
    </row>
    <row r="4168" spans="1:4" hidden="1" x14ac:dyDescent="0.3">
      <c r="A4168" t="s">
        <v>551</v>
      </c>
      <c r="B4168" t="s">
        <v>5</v>
      </c>
      <c r="C4168" s="1">
        <f>HYPERLINK("https://cao.dolgi.msk.ru/account/1010311579/", 1010311579)</f>
        <v>1010311579</v>
      </c>
      <c r="D4168">
        <v>-3471.52</v>
      </c>
    </row>
    <row r="4169" spans="1:4" x14ac:dyDescent="0.3">
      <c r="A4169" t="s">
        <v>551</v>
      </c>
      <c r="B4169" t="s">
        <v>5</v>
      </c>
      <c r="C4169" s="1">
        <f>HYPERLINK("https://cao.dolgi.msk.ru/account/1011069411/", 1011069411)</f>
        <v>1011069411</v>
      </c>
      <c r="D4169">
        <v>4218.83</v>
      </c>
    </row>
    <row r="4170" spans="1:4" hidden="1" x14ac:dyDescent="0.3">
      <c r="A4170" t="s">
        <v>551</v>
      </c>
      <c r="B4170" t="s">
        <v>7</v>
      </c>
      <c r="C4170" s="1">
        <f>HYPERLINK("https://cao.dolgi.msk.ru/account/1010311587/", 1010311587)</f>
        <v>1010311587</v>
      </c>
      <c r="D4170">
        <v>-9689.75</v>
      </c>
    </row>
    <row r="4171" spans="1:4" hidden="1" x14ac:dyDescent="0.3">
      <c r="A4171" t="s">
        <v>551</v>
      </c>
      <c r="B4171" t="s">
        <v>8</v>
      </c>
      <c r="C4171" s="1">
        <f>HYPERLINK("https://cao.dolgi.msk.ru/account/1011017873/", 1011017873)</f>
        <v>1011017873</v>
      </c>
      <c r="D4171">
        <v>-11831.29</v>
      </c>
    </row>
    <row r="4172" spans="1:4" x14ac:dyDescent="0.3">
      <c r="A4172" t="s">
        <v>551</v>
      </c>
      <c r="B4172" t="s">
        <v>8</v>
      </c>
      <c r="C4172" s="1">
        <f>HYPERLINK("https://cao.dolgi.msk.ru/account/1011034753/", 1011034753)</f>
        <v>1011034753</v>
      </c>
      <c r="D4172">
        <v>2042.91</v>
      </c>
    </row>
    <row r="4173" spans="1:4" x14ac:dyDescent="0.3">
      <c r="A4173" t="s">
        <v>551</v>
      </c>
      <c r="B4173" t="s">
        <v>8</v>
      </c>
      <c r="C4173" s="1">
        <f>HYPERLINK("https://cao.dolgi.msk.ru/account/1011049429/", 1011049429)</f>
        <v>1011049429</v>
      </c>
      <c r="D4173">
        <v>809.35</v>
      </c>
    </row>
    <row r="4174" spans="1:4" hidden="1" x14ac:dyDescent="0.3">
      <c r="A4174" t="s">
        <v>552</v>
      </c>
      <c r="B4174" t="s">
        <v>6</v>
      </c>
      <c r="C4174" s="1">
        <f>HYPERLINK("https://cao.dolgi.msk.ru/account/1011326748/", 1011326748)</f>
        <v>1011326748</v>
      </c>
      <c r="D4174">
        <v>-56.97</v>
      </c>
    </row>
    <row r="4175" spans="1:4" hidden="1" x14ac:dyDescent="0.3">
      <c r="A4175" t="s">
        <v>552</v>
      </c>
      <c r="B4175" t="s">
        <v>6</v>
      </c>
      <c r="C4175" s="1">
        <f>HYPERLINK("https://cao.dolgi.msk.ru/account/1011327513/", 1011327513)</f>
        <v>1011327513</v>
      </c>
      <c r="D4175">
        <v>0</v>
      </c>
    </row>
    <row r="4176" spans="1:4" hidden="1" x14ac:dyDescent="0.3">
      <c r="A4176" t="s">
        <v>552</v>
      </c>
      <c r="B4176" t="s">
        <v>28</v>
      </c>
      <c r="C4176" s="1">
        <f>HYPERLINK("https://cao.dolgi.msk.ru/account/1011327206/", 1011327206)</f>
        <v>1011327206</v>
      </c>
      <c r="D4176">
        <v>0</v>
      </c>
    </row>
    <row r="4177" spans="1:4" x14ac:dyDescent="0.3">
      <c r="A4177" t="s">
        <v>552</v>
      </c>
      <c r="B4177" t="s">
        <v>35</v>
      </c>
      <c r="C4177" s="1">
        <f>HYPERLINK("https://cao.dolgi.msk.ru/account/1011326828/", 1011326828)</f>
        <v>1011326828</v>
      </c>
      <c r="D4177">
        <v>8890.7999999999993</v>
      </c>
    </row>
    <row r="4178" spans="1:4" x14ac:dyDescent="0.3">
      <c r="A4178" t="s">
        <v>552</v>
      </c>
      <c r="B4178" t="s">
        <v>5</v>
      </c>
      <c r="C4178" s="1">
        <f>HYPERLINK("https://cao.dolgi.msk.ru/account/1011327185/", 1011327185)</f>
        <v>1011327185</v>
      </c>
      <c r="D4178">
        <v>53796.75</v>
      </c>
    </row>
    <row r="4179" spans="1:4" x14ac:dyDescent="0.3">
      <c r="A4179" t="s">
        <v>552</v>
      </c>
      <c r="B4179" t="s">
        <v>5</v>
      </c>
      <c r="C4179" s="1">
        <f>HYPERLINK("https://cao.dolgi.msk.ru/account/1011327548/", 1011327548)</f>
        <v>1011327548</v>
      </c>
      <c r="D4179">
        <v>228454.28</v>
      </c>
    </row>
    <row r="4180" spans="1:4" hidden="1" x14ac:dyDescent="0.3">
      <c r="A4180" t="s">
        <v>552</v>
      </c>
      <c r="B4180" t="s">
        <v>7</v>
      </c>
      <c r="C4180" s="1">
        <f>HYPERLINK("https://cao.dolgi.msk.ru/account/1011327337/", 1011327337)</f>
        <v>1011327337</v>
      </c>
      <c r="D4180">
        <v>0</v>
      </c>
    </row>
    <row r="4181" spans="1:4" hidden="1" x14ac:dyDescent="0.3">
      <c r="A4181" t="s">
        <v>552</v>
      </c>
      <c r="B4181" t="s">
        <v>8</v>
      </c>
      <c r="C4181" s="1">
        <f>HYPERLINK("https://cao.dolgi.msk.ru/account/1011327759/", 1011327759)</f>
        <v>1011327759</v>
      </c>
      <c r="D4181">
        <v>0</v>
      </c>
    </row>
    <row r="4182" spans="1:4" x14ac:dyDescent="0.3">
      <c r="A4182" t="s">
        <v>552</v>
      </c>
      <c r="B4182" t="s">
        <v>31</v>
      </c>
      <c r="C4182" s="1">
        <f>HYPERLINK("https://cao.dolgi.msk.ru/account/1011327433/", 1011327433)</f>
        <v>1011327433</v>
      </c>
      <c r="D4182">
        <v>148.29</v>
      </c>
    </row>
    <row r="4183" spans="1:4" hidden="1" x14ac:dyDescent="0.3">
      <c r="A4183" t="s">
        <v>552</v>
      </c>
      <c r="B4183" t="s">
        <v>9</v>
      </c>
      <c r="C4183" s="1">
        <f>HYPERLINK("https://cao.dolgi.msk.ru/account/1011326692/", 1011326692)</f>
        <v>1011326692</v>
      </c>
      <c r="D4183">
        <v>-1121.81</v>
      </c>
    </row>
    <row r="4184" spans="1:4" hidden="1" x14ac:dyDescent="0.3">
      <c r="A4184" t="s">
        <v>552</v>
      </c>
      <c r="B4184" t="s">
        <v>10</v>
      </c>
      <c r="C4184" s="1">
        <f>HYPERLINK("https://cao.dolgi.msk.ru/account/1011327273/", 1011327273)</f>
        <v>1011327273</v>
      </c>
      <c r="D4184">
        <v>0</v>
      </c>
    </row>
    <row r="4185" spans="1:4" hidden="1" x14ac:dyDescent="0.3">
      <c r="A4185" t="s">
        <v>552</v>
      </c>
      <c r="B4185" t="s">
        <v>11</v>
      </c>
      <c r="C4185" s="1">
        <f>HYPERLINK("https://cao.dolgi.msk.ru/account/1011327097/", 1011327097)</f>
        <v>1011327097</v>
      </c>
      <c r="D4185">
        <v>-441.1</v>
      </c>
    </row>
    <row r="4186" spans="1:4" hidden="1" x14ac:dyDescent="0.3">
      <c r="A4186" t="s">
        <v>552</v>
      </c>
      <c r="B4186" t="s">
        <v>23</v>
      </c>
      <c r="C4186" s="1">
        <f>HYPERLINK("https://cao.dolgi.msk.ru/account/1011327214/", 1011327214)</f>
        <v>1011327214</v>
      </c>
      <c r="D4186">
        <v>0</v>
      </c>
    </row>
    <row r="4187" spans="1:4" x14ac:dyDescent="0.3">
      <c r="A4187" t="s">
        <v>552</v>
      </c>
      <c r="B4187" t="s">
        <v>16</v>
      </c>
      <c r="C4187" s="1">
        <f>HYPERLINK("https://cao.dolgi.msk.ru/account/1011327142/", 1011327142)</f>
        <v>1011327142</v>
      </c>
      <c r="D4187">
        <v>969.22</v>
      </c>
    </row>
    <row r="4188" spans="1:4" hidden="1" x14ac:dyDescent="0.3">
      <c r="A4188" t="s">
        <v>552</v>
      </c>
      <c r="B4188" t="s">
        <v>17</v>
      </c>
      <c r="C4188" s="1">
        <f>HYPERLINK("https://cao.dolgi.msk.ru/account/1011327089/", 1011327089)</f>
        <v>1011327089</v>
      </c>
      <c r="D4188">
        <v>-143.71</v>
      </c>
    </row>
    <row r="4189" spans="1:4" hidden="1" x14ac:dyDescent="0.3">
      <c r="A4189" t="s">
        <v>552</v>
      </c>
      <c r="B4189" t="s">
        <v>17</v>
      </c>
      <c r="C4189" s="1">
        <f>HYPERLINK("https://cao.dolgi.msk.ru/account/1011327644/", 1011327644)</f>
        <v>1011327644</v>
      </c>
      <c r="D4189">
        <v>-143.71</v>
      </c>
    </row>
    <row r="4190" spans="1:4" hidden="1" x14ac:dyDescent="0.3">
      <c r="A4190" t="s">
        <v>552</v>
      </c>
      <c r="B4190" t="s">
        <v>18</v>
      </c>
      <c r="C4190" s="1">
        <f>HYPERLINK("https://cao.dolgi.msk.ru/account/1011327847/", 1011327847)</f>
        <v>1011327847</v>
      </c>
      <c r="D4190">
        <v>-429.5</v>
      </c>
    </row>
    <row r="4191" spans="1:4" hidden="1" x14ac:dyDescent="0.3">
      <c r="A4191" t="s">
        <v>552</v>
      </c>
      <c r="B4191" t="s">
        <v>19</v>
      </c>
      <c r="C4191" s="1">
        <f>HYPERLINK("https://cao.dolgi.msk.ru/account/1011327281/", 1011327281)</f>
        <v>1011327281</v>
      </c>
      <c r="D4191">
        <v>0</v>
      </c>
    </row>
    <row r="4192" spans="1:4" x14ac:dyDescent="0.3">
      <c r="A4192" t="s">
        <v>552</v>
      </c>
      <c r="B4192" t="s">
        <v>20</v>
      </c>
      <c r="C4192" s="1">
        <f>HYPERLINK("https://cao.dolgi.msk.ru/account/1011327353/", 1011327353)</f>
        <v>1011327353</v>
      </c>
      <c r="D4192">
        <v>12445.04</v>
      </c>
    </row>
    <row r="4193" spans="1:4" hidden="1" x14ac:dyDescent="0.3">
      <c r="A4193" t="s">
        <v>552</v>
      </c>
      <c r="B4193" t="s">
        <v>21</v>
      </c>
      <c r="C4193" s="1">
        <f>HYPERLINK("https://cao.dolgi.msk.ru/account/1011327716/", 1011327716)</f>
        <v>1011327716</v>
      </c>
      <c r="D4193">
        <v>0</v>
      </c>
    </row>
    <row r="4194" spans="1:4" hidden="1" x14ac:dyDescent="0.3">
      <c r="A4194" t="s">
        <v>552</v>
      </c>
      <c r="B4194" t="s">
        <v>22</v>
      </c>
      <c r="C4194" s="1">
        <f>HYPERLINK("https://cao.dolgi.msk.ru/account/1011327783/", 1011327783)</f>
        <v>1011327783</v>
      </c>
      <c r="D4194">
        <v>0</v>
      </c>
    </row>
    <row r="4195" spans="1:4" hidden="1" x14ac:dyDescent="0.3">
      <c r="A4195" t="s">
        <v>552</v>
      </c>
      <c r="B4195" t="s">
        <v>24</v>
      </c>
      <c r="C4195" s="1">
        <f>HYPERLINK("https://cao.dolgi.msk.ru/account/1011326705/", 1011326705)</f>
        <v>1011326705</v>
      </c>
      <c r="D4195">
        <v>0</v>
      </c>
    </row>
    <row r="4196" spans="1:4" x14ac:dyDescent="0.3">
      <c r="A4196" t="s">
        <v>552</v>
      </c>
      <c r="B4196" t="s">
        <v>25</v>
      </c>
      <c r="C4196" s="1">
        <f>HYPERLINK("https://cao.dolgi.msk.ru/account/1011327679/", 1011327679)</f>
        <v>1011327679</v>
      </c>
      <c r="D4196">
        <v>23396.98</v>
      </c>
    </row>
    <row r="4197" spans="1:4" hidden="1" x14ac:dyDescent="0.3">
      <c r="A4197" t="s">
        <v>552</v>
      </c>
      <c r="B4197" t="s">
        <v>26</v>
      </c>
      <c r="C4197" s="1">
        <f>HYPERLINK("https://cao.dolgi.msk.ru/account/1011327791/", 1011327791)</f>
        <v>1011327791</v>
      </c>
      <c r="D4197">
        <v>-111.18</v>
      </c>
    </row>
    <row r="4198" spans="1:4" hidden="1" x14ac:dyDescent="0.3">
      <c r="A4198" t="s">
        <v>552</v>
      </c>
      <c r="B4198" t="s">
        <v>27</v>
      </c>
      <c r="C4198" s="1">
        <f>HYPERLINK("https://cao.dolgi.msk.ru/account/1011327564/", 1011327564)</f>
        <v>1011327564</v>
      </c>
      <c r="D4198">
        <v>0</v>
      </c>
    </row>
    <row r="4199" spans="1:4" hidden="1" x14ac:dyDescent="0.3">
      <c r="A4199" t="s">
        <v>552</v>
      </c>
      <c r="B4199" t="s">
        <v>29</v>
      </c>
      <c r="C4199" s="1">
        <f>HYPERLINK("https://cao.dolgi.msk.ru/account/1011326959/", 1011326959)</f>
        <v>1011326959</v>
      </c>
      <c r="D4199">
        <v>0</v>
      </c>
    </row>
    <row r="4200" spans="1:4" hidden="1" x14ac:dyDescent="0.3">
      <c r="A4200" t="s">
        <v>552</v>
      </c>
      <c r="B4200" t="s">
        <v>38</v>
      </c>
      <c r="C4200" s="1">
        <f>HYPERLINK("https://cao.dolgi.msk.ru/account/1011327863/", 1011327863)</f>
        <v>1011327863</v>
      </c>
      <c r="D4200">
        <v>0</v>
      </c>
    </row>
    <row r="4201" spans="1:4" x14ac:dyDescent="0.3">
      <c r="A4201" t="s">
        <v>552</v>
      </c>
      <c r="B4201" t="s">
        <v>39</v>
      </c>
      <c r="C4201" s="1">
        <f>HYPERLINK("https://cao.dolgi.msk.ru/account/1011327361/", 1011327361)</f>
        <v>1011327361</v>
      </c>
      <c r="D4201">
        <v>177391.2</v>
      </c>
    </row>
    <row r="4202" spans="1:4" hidden="1" x14ac:dyDescent="0.3">
      <c r="A4202" t="s">
        <v>552</v>
      </c>
      <c r="B4202" t="s">
        <v>40</v>
      </c>
      <c r="C4202" s="1">
        <f>HYPERLINK("https://cao.dolgi.msk.ru/account/1011327767/", 1011327767)</f>
        <v>1011327767</v>
      </c>
      <c r="D4202">
        <v>-53.06</v>
      </c>
    </row>
    <row r="4203" spans="1:4" hidden="1" x14ac:dyDescent="0.3">
      <c r="A4203" t="s">
        <v>552</v>
      </c>
      <c r="B4203" t="s">
        <v>41</v>
      </c>
      <c r="C4203" s="1">
        <f>HYPERLINK("https://cao.dolgi.msk.ru/account/1011327572/", 1011327572)</f>
        <v>1011327572</v>
      </c>
      <c r="D4203">
        <v>0</v>
      </c>
    </row>
    <row r="4204" spans="1:4" x14ac:dyDescent="0.3">
      <c r="A4204" t="s">
        <v>552</v>
      </c>
      <c r="B4204" t="s">
        <v>51</v>
      </c>
      <c r="C4204" s="1">
        <f>HYPERLINK("https://cao.dolgi.msk.ru/account/1011327724/", 1011327724)</f>
        <v>1011327724</v>
      </c>
      <c r="D4204">
        <v>10715.29</v>
      </c>
    </row>
    <row r="4205" spans="1:4" x14ac:dyDescent="0.3">
      <c r="A4205" t="s">
        <v>552</v>
      </c>
      <c r="B4205" t="s">
        <v>53</v>
      </c>
      <c r="C4205" s="1">
        <f>HYPERLINK("https://cao.dolgi.msk.ru/account/1011327521/", 1011327521)</f>
        <v>1011327521</v>
      </c>
      <c r="D4205">
        <v>9223.65</v>
      </c>
    </row>
    <row r="4206" spans="1:4" hidden="1" x14ac:dyDescent="0.3">
      <c r="A4206" t="s">
        <v>552</v>
      </c>
      <c r="B4206" t="s">
        <v>54</v>
      </c>
      <c r="C4206" s="1">
        <f>HYPERLINK("https://cao.dolgi.msk.ru/account/1011327871/", 1011327871)</f>
        <v>1011327871</v>
      </c>
      <c r="D4206">
        <v>0</v>
      </c>
    </row>
    <row r="4207" spans="1:4" hidden="1" x14ac:dyDescent="0.3">
      <c r="A4207" t="s">
        <v>552</v>
      </c>
      <c r="B4207" t="s">
        <v>55</v>
      </c>
      <c r="C4207" s="1">
        <f>HYPERLINK("https://cao.dolgi.msk.ru/account/1011326764/", 1011326764)</f>
        <v>1011326764</v>
      </c>
      <c r="D4207">
        <v>0</v>
      </c>
    </row>
    <row r="4208" spans="1:4" hidden="1" x14ac:dyDescent="0.3">
      <c r="A4208" t="s">
        <v>552</v>
      </c>
      <c r="B4208" t="s">
        <v>56</v>
      </c>
      <c r="C4208" s="1">
        <f>HYPERLINK("https://cao.dolgi.msk.ru/account/1011326772/", 1011326772)</f>
        <v>1011326772</v>
      </c>
      <c r="D4208">
        <v>-1254.22</v>
      </c>
    </row>
    <row r="4209" spans="1:4" hidden="1" x14ac:dyDescent="0.3">
      <c r="A4209" t="s">
        <v>552</v>
      </c>
      <c r="B4209" t="s">
        <v>56</v>
      </c>
      <c r="C4209" s="1">
        <f>HYPERLINK("https://cao.dolgi.msk.ru/account/1011326852/", 1011326852)</f>
        <v>1011326852</v>
      </c>
      <c r="D4209">
        <v>0</v>
      </c>
    </row>
    <row r="4210" spans="1:4" hidden="1" x14ac:dyDescent="0.3">
      <c r="A4210" t="s">
        <v>552</v>
      </c>
      <c r="B4210" t="s">
        <v>87</v>
      </c>
      <c r="C4210" s="1">
        <f>HYPERLINK("https://cao.dolgi.msk.ru/account/1011326676/", 1011326676)</f>
        <v>1011326676</v>
      </c>
      <c r="D4210">
        <v>0</v>
      </c>
    </row>
    <row r="4211" spans="1:4" hidden="1" x14ac:dyDescent="0.3">
      <c r="A4211" t="s">
        <v>552</v>
      </c>
      <c r="B4211" t="s">
        <v>88</v>
      </c>
      <c r="C4211" s="1">
        <f>HYPERLINK("https://cao.dolgi.msk.ru/account/1011327126/", 1011327126)</f>
        <v>1011327126</v>
      </c>
      <c r="D4211">
        <v>-15860.7</v>
      </c>
    </row>
    <row r="4212" spans="1:4" hidden="1" x14ac:dyDescent="0.3">
      <c r="A4212" t="s">
        <v>552</v>
      </c>
      <c r="B4212" t="s">
        <v>89</v>
      </c>
      <c r="C4212" s="1">
        <f>HYPERLINK("https://cao.dolgi.msk.ru/account/1011326799/", 1011326799)</f>
        <v>1011326799</v>
      </c>
      <c r="D4212">
        <v>0</v>
      </c>
    </row>
    <row r="4213" spans="1:4" hidden="1" x14ac:dyDescent="0.3">
      <c r="A4213" t="s">
        <v>552</v>
      </c>
      <c r="B4213" t="s">
        <v>90</v>
      </c>
      <c r="C4213" s="1">
        <f>HYPERLINK("https://cao.dolgi.msk.ru/account/1011327441/", 1011327441)</f>
        <v>1011327441</v>
      </c>
      <c r="D4213">
        <v>-1415.37</v>
      </c>
    </row>
    <row r="4214" spans="1:4" hidden="1" x14ac:dyDescent="0.3">
      <c r="A4214" t="s">
        <v>552</v>
      </c>
      <c r="B4214" t="s">
        <v>96</v>
      </c>
      <c r="C4214" s="1">
        <f>HYPERLINK("https://cao.dolgi.msk.ru/account/1011327628/", 1011327628)</f>
        <v>1011327628</v>
      </c>
      <c r="D4214">
        <v>-8909.35</v>
      </c>
    </row>
    <row r="4215" spans="1:4" hidden="1" x14ac:dyDescent="0.3">
      <c r="A4215" t="s">
        <v>552</v>
      </c>
      <c r="B4215" t="s">
        <v>97</v>
      </c>
      <c r="C4215" s="1">
        <f>HYPERLINK("https://cao.dolgi.msk.ru/account/1011326895/", 1011326895)</f>
        <v>1011326895</v>
      </c>
      <c r="D4215">
        <v>0</v>
      </c>
    </row>
    <row r="4216" spans="1:4" x14ac:dyDescent="0.3">
      <c r="A4216" t="s">
        <v>552</v>
      </c>
      <c r="B4216" t="s">
        <v>58</v>
      </c>
      <c r="C4216" s="1">
        <f>HYPERLINK("https://cao.dolgi.msk.ru/account/1011327169/", 1011327169)</f>
        <v>1011327169</v>
      </c>
      <c r="D4216">
        <v>13882.12</v>
      </c>
    </row>
    <row r="4217" spans="1:4" x14ac:dyDescent="0.3">
      <c r="A4217" t="s">
        <v>552</v>
      </c>
      <c r="B4217" t="s">
        <v>59</v>
      </c>
      <c r="C4217" s="1">
        <f>HYPERLINK("https://cao.dolgi.msk.ru/account/1011327468/", 1011327468)</f>
        <v>1011327468</v>
      </c>
      <c r="D4217">
        <v>13309.19</v>
      </c>
    </row>
    <row r="4218" spans="1:4" x14ac:dyDescent="0.3">
      <c r="A4218" t="s">
        <v>552</v>
      </c>
      <c r="B4218" t="s">
        <v>60</v>
      </c>
      <c r="C4218" s="1">
        <f>HYPERLINK("https://cao.dolgi.msk.ru/account/1011327839/", 1011327839)</f>
        <v>1011327839</v>
      </c>
      <c r="D4218">
        <v>10393.93</v>
      </c>
    </row>
    <row r="4219" spans="1:4" hidden="1" x14ac:dyDescent="0.3">
      <c r="A4219" t="s">
        <v>552</v>
      </c>
      <c r="B4219" t="s">
        <v>61</v>
      </c>
      <c r="C4219" s="1">
        <f>HYPERLINK("https://cao.dolgi.msk.ru/account/1011326713/", 1011326713)</f>
        <v>1011326713</v>
      </c>
      <c r="D4219">
        <v>-6141.18</v>
      </c>
    </row>
    <row r="4220" spans="1:4" hidden="1" x14ac:dyDescent="0.3">
      <c r="A4220" t="s">
        <v>552</v>
      </c>
      <c r="B4220" t="s">
        <v>62</v>
      </c>
      <c r="C4220" s="1">
        <f>HYPERLINK("https://cao.dolgi.msk.ru/account/1011327812/", 1011327812)</f>
        <v>1011327812</v>
      </c>
      <c r="D4220">
        <v>0</v>
      </c>
    </row>
    <row r="4221" spans="1:4" hidden="1" x14ac:dyDescent="0.3">
      <c r="A4221" t="s">
        <v>552</v>
      </c>
      <c r="B4221" t="s">
        <v>63</v>
      </c>
      <c r="C4221" s="1">
        <f>HYPERLINK("https://cao.dolgi.msk.ru/account/1011327011/", 1011327011)</f>
        <v>1011327011</v>
      </c>
      <c r="D4221">
        <v>0</v>
      </c>
    </row>
    <row r="4222" spans="1:4" x14ac:dyDescent="0.3">
      <c r="A4222" t="s">
        <v>552</v>
      </c>
      <c r="B4222" t="s">
        <v>64</v>
      </c>
      <c r="C4222" s="1">
        <f>HYPERLINK("https://cao.dolgi.msk.ru/account/1011327804/", 1011327804)</f>
        <v>1011327804</v>
      </c>
      <c r="D4222">
        <v>8861.58</v>
      </c>
    </row>
    <row r="4223" spans="1:4" hidden="1" x14ac:dyDescent="0.3">
      <c r="A4223" t="s">
        <v>552</v>
      </c>
      <c r="B4223" t="s">
        <v>65</v>
      </c>
      <c r="C4223" s="1">
        <f>HYPERLINK("https://cao.dolgi.msk.ru/account/1011327062/", 1011327062)</f>
        <v>1011327062</v>
      </c>
      <c r="D4223">
        <v>-8885.23</v>
      </c>
    </row>
    <row r="4224" spans="1:4" hidden="1" x14ac:dyDescent="0.3">
      <c r="A4224" t="s">
        <v>552</v>
      </c>
      <c r="B4224" t="s">
        <v>66</v>
      </c>
      <c r="C4224" s="1">
        <f>HYPERLINK("https://cao.dolgi.msk.ru/account/1011327038/", 1011327038)</f>
        <v>1011327038</v>
      </c>
      <c r="D4224">
        <v>0</v>
      </c>
    </row>
    <row r="4225" spans="1:4" hidden="1" x14ac:dyDescent="0.3">
      <c r="A4225" t="s">
        <v>552</v>
      </c>
      <c r="B4225" t="s">
        <v>67</v>
      </c>
      <c r="C4225" s="1">
        <f>HYPERLINK("https://cao.dolgi.msk.ru/account/1011327505/", 1011327505)</f>
        <v>1011327505</v>
      </c>
      <c r="D4225">
        <v>0</v>
      </c>
    </row>
    <row r="4226" spans="1:4" hidden="1" x14ac:dyDescent="0.3">
      <c r="A4226" t="s">
        <v>552</v>
      </c>
      <c r="B4226" t="s">
        <v>68</v>
      </c>
      <c r="C4226" s="1">
        <f>HYPERLINK("https://cao.dolgi.msk.ru/account/1011327775/", 1011327775)</f>
        <v>1011327775</v>
      </c>
      <c r="D4226">
        <v>0</v>
      </c>
    </row>
    <row r="4227" spans="1:4" hidden="1" x14ac:dyDescent="0.3">
      <c r="A4227" t="s">
        <v>552</v>
      </c>
      <c r="B4227" t="s">
        <v>69</v>
      </c>
      <c r="C4227" s="1">
        <f>HYPERLINK("https://cao.dolgi.msk.ru/account/1011327003/", 1011327003)</f>
        <v>1011327003</v>
      </c>
      <c r="D4227">
        <v>-7420.07</v>
      </c>
    </row>
    <row r="4228" spans="1:4" hidden="1" x14ac:dyDescent="0.3">
      <c r="A4228" t="s">
        <v>552</v>
      </c>
      <c r="B4228" t="s">
        <v>70</v>
      </c>
      <c r="C4228" s="1">
        <f>HYPERLINK("https://cao.dolgi.msk.ru/account/1011327388/", 1011327388)</f>
        <v>1011327388</v>
      </c>
      <c r="D4228">
        <v>0</v>
      </c>
    </row>
    <row r="4229" spans="1:4" hidden="1" x14ac:dyDescent="0.3">
      <c r="A4229" t="s">
        <v>552</v>
      </c>
      <c r="B4229" t="s">
        <v>259</v>
      </c>
      <c r="C4229" s="1">
        <f>HYPERLINK("https://cao.dolgi.msk.ru/account/1011327222/", 1011327222)</f>
        <v>1011327222</v>
      </c>
      <c r="D4229">
        <v>0</v>
      </c>
    </row>
    <row r="4230" spans="1:4" hidden="1" x14ac:dyDescent="0.3">
      <c r="A4230" t="s">
        <v>552</v>
      </c>
      <c r="B4230" t="s">
        <v>100</v>
      </c>
      <c r="C4230" s="1">
        <f>HYPERLINK("https://cao.dolgi.msk.ru/account/1011327476/", 1011327476)</f>
        <v>1011327476</v>
      </c>
      <c r="D4230">
        <v>-327.31</v>
      </c>
    </row>
    <row r="4231" spans="1:4" hidden="1" x14ac:dyDescent="0.3">
      <c r="A4231" t="s">
        <v>552</v>
      </c>
      <c r="B4231" t="s">
        <v>72</v>
      </c>
      <c r="C4231" s="1">
        <f>HYPERLINK("https://cao.dolgi.msk.ru/account/1011327652/", 1011327652)</f>
        <v>1011327652</v>
      </c>
      <c r="D4231">
        <v>-4709.84</v>
      </c>
    </row>
    <row r="4232" spans="1:4" hidden="1" x14ac:dyDescent="0.3">
      <c r="A4232" t="s">
        <v>552</v>
      </c>
      <c r="B4232" t="s">
        <v>73</v>
      </c>
      <c r="C4232" s="1">
        <f>HYPERLINK("https://cao.dolgi.msk.ru/account/1011327257/", 1011327257)</f>
        <v>1011327257</v>
      </c>
      <c r="D4232">
        <v>0</v>
      </c>
    </row>
    <row r="4233" spans="1:4" hidden="1" x14ac:dyDescent="0.3">
      <c r="A4233" t="s">
        <v>552</v>
      </c>
      <c r="B4233" t="s">
        <v>102</v>
      </c>
      <c r="C4233" s="1">
        <f>HYPERLINK("https://cao.dolgi.msk.ru/account/1011327329/", 1011327329)</f>
        <v>1011327329</v>
      </c>
      <c r="D4233">
        <v>0</v>
      </c>
    </row>
    <row r="4234" spans="1:4" x14ac:dyDescent="0.3">
      <c r="A4234" t="s">
        <v>552</v>
      </c>
      <c r="B4234" t="s">
        <v>103</v>
      </c>
      <c r="C4234" s="1">
        <f>HYPERLINK("https://cao.dolgi.msk.ru/account/1011327484/", 1011327484)</f>
        <v>1011327484</v>
      </c>
      <c r="D4234">
        <v>7893.81</v>
      </c>
    </row>
    <row r="4235" spans="1:4" hidden="1" x14ac:dyDescent="0.3">
      <c r="A4235" t="s">
        <v>552</v>
      </c>
      <c r="B4235" t="s">
        <v>104</v>
      </c>
      <c r="C4235" s="1">
        <f>HYPERLINK("https://cao.dolgi.msk.ru/account/1011326967/", 1011326967)</f>
        <v>1011326967</v>
      </c>
      <c r="D4235">
        <v>-95.78</v>
      </c>
    </row>
    <row r="4236" spans="1:4" hidden="1" x14ac:dyDescent="0.3">
      <c r="A4236" t="s">
        <v>552</v>
      </c>
      <c r="B4236" t="s">
        <v>105</v>
      </c>
      <c r="C4236" s="1">
        <f>HYPERLINK("https://cao.dolgi.msk.ru/account/1011326844/", 1011326844)</f>
        <v>1011326844</v>
      </c>
      <c r="D4236">
        <v>0</v>
      </c>
    </row>
    <row r="4237" spans="1:4" hidden="1" x14ac:dyDescent="0.3">
      <c r="A4237" t="s">
        <v>552</v>
      </c>
      <c r="B4237" t="s">
        <v>105</v>
      </c>
      <c r="C4237" s="1">
        <f>HYPERLINK("https://cao.dolgi.msk.ru/account/1011327601/", 1011327601)</f>
        <v>1011327601</v>
      </c>
      <c r="D4237">
        <v>0</v>
      </c>
    </row>
    <row r="4238" spans="1:4" x14ac:dyDescent="0.3">
      <c r="A4238" t="s">
        <v>552</v>
      </c>
      <c r="B4238" t="s">
        <v>106</v>
      </c>
      <c r="C4238" s="1">
        <f>HYPERLINK("https://cao.dolgi.msk.ru/account/1011326908/", 1011326908)</f>
        <v>1011326908</v>
      </c>
      <c r="D4238">
        <v>14579.45</v>
      </c>
    </row>
    <row r="4239" spans="1:4" hidden="1" x14ac:dyDescent="0.3">
      <c r="A4239" t="s">
        <v>552</v>
      </c>
      <c r="B4239" t="s">
        <v>107</v>
      </c>
      <c r="C4239" s="1">
        <f>HYPERLINK("https://cao.dolgi.msk.ru/account/1011326721/", 1011326721)</f>
        <v>1011326721</v>
      </c>
      <c r="D4239">
        <v>0</v>
      </c>
    </row>
    <row r="4240" spans="1:4" hidden="1" x14ac:dyDescent="0.3">
      <c r="A4240" t="s">
        <v>552</v>
      </c>
      <c r="B4240" t="s">
        <v>108</v>
      </c>
      <c r="C4240" s="1">
        <f>HYPERLINK("https://cao.dolgi.msk.ru/account/1011327302/", 1011327302)</f>
        <v>1011327302</v>
      </c>
      <c r="D4240">
        <v>0</v>
      </c>
    </row>
    <row r="4241" spans="1:4" hidden="1" x14ac:dyDescent="0.3">
      <c r="A4241" t="s">
        <v>552</v>
      </c>
      <c r="B4241" t="s">
        <v>109</v>
      </c>
      <c r="C4241" s="1">
        <f>HYPERLINK("https://cao.dolgi.msk.ru/account/1011327556/", 1011327556)</f>
        <v>1011327556</v>
      </c>
      <c r="D4241">
        <v>0</v>
      </c>
    </row>
    <row r="4242" spans="1:4" x14ac:dyDescent="0.3">
      <c r="A4242" t="s">
        <v>552</v>
      </c>
      <c r="B4242" t="s">
        <v>109</v>
      </c>
      <c r="C4242" s="1">
        <f>HYPERLINK("https://cao.dolgi.msk.ru/account/1011534459/", 1011534459)</f>
        <v>1011534459</v>
      </c>
      <c r="D4242">
        <v>59142.19</v>
      </c>
    </row>
    <row r="4243" spans="1:4" hidden="1" x14ac:dyDescent="0.3">
      <c r="A4243" t="s">
        <v>552</v>
      </c>
      <c r="B4243" t="s">
        <v>110</v>
      </c>
      <c r="C4243" s="1">
        <f>HYPERLINK("https://cao.dolgi.msk.ru/account/1011326879/", 1011326879)</f>
        <v>1011326879</v>
      </c>
      <c r="D4243">
        <v>0</v>
      </c>
    </row>
    <row r="4244" spans="1:4" hidden="1" x14ac:dyDescent="0.3">
      <c r="A4244" t="s">
        <v>552</v>
      </c>
      <c r="B4244" t="s">
        <v>110</v>
      </c>
      <c r="C4244" s="1">
        <f>HYPERLINK("https://cao.dolgi.msk.ru/account/1011327396/", 1011327396)</f>
        <v>1011327396</v>
      </c>
      <c r="D4244">
        <v>0</v>
      </c>
    </row>
    <row r="4245" spans="1:4" hidden="1" x14ac:dyDescent="0.3">
      <c r="A4245" t="s">
        <v>552</v>
      </c>
      <c r="B4245" t="s">
        <v>111</v>
      </c>
      <c r="C4245" s="1">
        <f>HYPERLINK("https://cao.dolgi.msk.ru/account/1011326924/", 1011326924)</f>
        <v>1011326924</v>
      </c>
      <c r="D4245">
        <v>0</v>
      </c>
    </row>
    <row r="4246" spans="1:4" hidden="1" x14ac:dyDescent="0.3">
      <c r="A4246" t="s">
        <v>552</v>
      </c>
      <c r="B4246" t="s">
        <v>112</v>
      </c>
      <c r="C4246" s="1">
        <f>HYPERLINK("https://cao.dolgi.msk.ru/account/1011326836/", 1011326836)</f>
        <v>1011326836</v>
      </c>
      <c r="D4246">
        <v>-9026.5499999999993</v>
      </c>
    </row>
    <row r="4247" spans="1:4" x14ac:dyDescent="0.3">
      <c r="A4247" t="s">
        <v>552</v>
      </c>
      <c r="B4247" t="s">
        <v>113</v>
      </c>
      <c r="C4247" s="1">
        <f>HYPERLINK("https://cao.dolgi.msk.ru/account/1011326916/", 1011326916)</f>
        <v>1011326916</v>
      </c>
      <c r="D4247">
        <v>22639.72</v>
      </c>
    </row>
    <row r="4248" spans="1:4" hidden="1" x14ac:dyDescent="0.3">
      <c r="A4248" t="s">
        <v>552</v>
      </c>
      <c r="B4248" t="s">
        <v>114</v>
      </c>
      <c r="C4248" s="1">
        <f>HYPERLINK("https://cao.dolgi.msk.ru/account/1011327492/", 1011327492)</f>
        <v>1011327492</v>
      </c>
      <c r="D4248">
        <v>-99.6</v>
      </c>
    </row>
    <row r="4249" spans="1:4" hidden="1" x14ac:dyDescent="0.3">
      <c r="A4249" t="s">
        <v>552</v>
      </c>
      <c r="B4249" t="s">
        <v>115</v>
      </c>
      <c r="C4249" s="1">
        <f>HYPERLINK("https://cao.dolgi.msk.ru/account/1011326887/", 1011326887)</f>
        <v>1011326887</v>
      </c>
      <c r="D4249">
        <v>0</v>
      </c>
    </row>
    <row r="4250" spans="1:4" x14ac:dyDescent="0.3">
      <c r="A4250" t="s">
        <v>552</v>
      </c>
      <c r="B4250" t="s">
        <v>116</v>
      </c>
      <c r="C4250" s="1">
        <f>HYPERLINK("https://cao.dolgi.msk.ru/account/1011327118/", 1011327118)</f>
        <v>1011327118</v>
      </c>
      <c r="D4250">
        <v>83752.44</v>
      </c>
    </row>
    <row r="4251" spans="1:4" x14ac:dyDescent="0.3">
      <c r="A4251" t="s">
        <v>552</v>
      </c>
      <c r="B4251" t="s">
        <v>116</v>
      </c>
      <c r="C4251" s="1">
        <f>HYPERLINK("https://cao.dolgi.msk.ru/account/1011327695/", 1011327695)</f>
        <v>1011327695</v>
      </c>
      <c r="D4251">
        <v>12346.98</v>
      </c>
    </row>
    <row r="4252" spans="1:4" x14ac:dyDescent="0.3">
      <c r="A4252" t="s">
        <v>552</v>
      </c>
      <c r="B4252" t="s">
        <v>116</v>
      </c>
      <c r="C4252" s="1">
        <f>HYPERLINK("https://cao.dolgi.msk.ru/account/1011327898/", 1011327898)</f>
        <v>1011327898</v>
      </c>
      <c r="D4252">
        <v>7466.88</v>
      </c>
    </row>
    <row r="4253" spans="1:4" hidden="1" x14ac:dyDescent="0.3">
      <c r="A4253" t="s">
        <v>552</v>
      </c>
      <c r="B4253" t="s">
        <v>266</v>
      </c>
      <c r="C4253" s="1">
        <f>HYPERLINK("https://cao.dolgi.msk.ru/account/1011327732/", 1011327732)</f>
        <v>1011327732</v>
      </c>
      <c r="D4253">
        <v>-3705.71</v>
      </c>
    </row>
    <row r="4254" spans="1:4" x14ac:dyDescent="0.3">
      <c r="A4254" t="s">
        <v>552</v>
      </c>
      <c r="B4254" t="s">
        <v>117</v>
      </c>
      <c r="C4254" s="1">
        <f>HYPERLINK("https://cao.dolgi.msk.ru/account/1011326684/", 1011326684)</f>
        <v>1011326684</v>
      </c>
      <c r="D4254">
        <v>6653.31</v>
      </c>
    </row>
    <row r="4255" spans="1:4" hidden="1" x14ac:dyDescent="0.3">
      <c r="A4255" t="s">
        <v>552</v>
      </c>
      <c r="B4255" t="s">
        <v>118</v>
      </c>
      <c r="C4255" s="1">
        <f>HYPERLINK("https://cao.dolgi.msk.ru/account/1011326801/", 1011326801)</f>
        <v>1011326801</v>
      </c>
      <c r="D4255">
        <v>0</v>
      </c>
    </row>
    <row r="4256" spans="1:4" hidden="1" x14ac:dyDescent="0.3">
      <c r="A4256" t="s">
        <v>552</v>
      </c>
      <c r="B4256" t="s">
        <v>119</v>
      </c>
      <c r="C4256" s="1">
        <f>HYPERLINK("https://cao.dolgi.msk.ru/account/1011326983/", 1011326983)</f>
        <v>1011326983</v>
      </c>
      <c r="D4256">
        <v>0</v>
      </c>
    </row>
    <row r="4257" spans="1:4" hidden="1" x14ac:dyDescent="0.3">
      <c r="A4257" t="s">
        <v>552</v>
      </c>
      <c r="B4257" t="s">
        <v>120</v>
      </c>
      <c r="C4257" s="1">
        <f>HYPERLINK("https://cao.dolgi.msk.ru/account/1011327687/", 1011327687)</f>
        <v>1011327687</v>
      </c>
      <c r="D4257">
        <v>0</v>
      </c>
    </row>
    <row r="4258" spans="1:4" hidden="1" x14ac:dyDescent="0.3">
      <c r="A4258" t="s">
        <v>552</v>
      </c>
      <c r="B4258" t="s">
        <v>121</v>
      </c>
      <c r="C4258" s="1">
        <f>HYPERLINK("https://cao.dolgi.msk.ru/account/1011327249/", 1011327249)</f>
        <v>1011327249</v>
      </c>
      <c r="D4258">
        <v>0</v>
      </c>
    </row>
    <row r="4259" spans="1:4" hidden="1" x14ac:dyDescent="0.3">
      <c r="A4259" t="s">
        <v>552</v>
      </c>
      <c r="B4259" t="s">
        <v>122</v>
      </c>
      <c r="C4259" s="1">
        <f>HYPERLINK("https://cao.dolgi.msk.ru/account/1011327708/", 1011327708)</f>
        <v>1011327708</v>
      </c>
      <c r="D4259">
        <v>0</v>
      </c>
    </row>
    <row r="4260" spans="1:4" hidden="1" x14ac:dyDescent="0.3">
      <c r="A4260" t="s">
        <v>552</v>
      </c>
      <c r="B4260" t="s">
        <v>123</v>
      </c>
      <c r="C4260" s="1">
        <f>HYPERLINK("https://cao.dolgi.msk.ru/account/1011327345/", 1011327345)</f>
        <v>1011327345</v>
      </c>
      <c r="D4260">
        <v>-8860.77</v>
      </c>
    </row>
    <row r="4261" spans="1:4" x14ac:dyDescent="0.3">
      <c r="A4261" t="s">
        <v>552</v>
      </c>
      <c r="B4261" t="s">
        <v>124</v>
      </c>
      <c r="C4261" s="1">
        <f>HYPERLINK("https://cao.dolgi.msk.ru/account/1011326975/", 1011326975)</f>
        <v>1011326975</v>
      </c>
      <c r="D4261">
        <v>11789.07</v>
      </c>
    </row>
    <row r="4262" spans="1:4" hidden="1" x14ac:dyDescent="0.3">
      <c r="A4262" t="s">
        <v>552</v>
      </c>
      <c r="B4262" t="s">
        <v>125</v>
      </c>
      <c r="C4262" s="1">
        <f>HYPERLINK("https://cao.dolgi.msk.ru/account/1011327177/", 1011327177)</f>
        <v>1011327177</v>
      </c>
      <c r="D4262">
        <v>0</v>
      </c>
    </row>
    <row r="4263" spans="1:4" hidden="1" x14ac:dyDescent="0.3">
      <c r="A4263" t="s">
        <v>552</v>
      </c>
      <c r="B4263" t="s">
        <v>126</v>
      </c>
      <c r="C4263" s="1">
        <f>HYPERLINK("https://cao.dolgi.msk.ru/account/1011327425/", 1011327425)</f>
        <v>1011327425</v>
      </c>
      <c r="D4263">
        <v>0</v>
      </c>
    </row>
    <row r="4264" spans="1:4" hidden="1" x14ac:dyDescent="0.3">
      <c r="A4264" t="s">
        <v>552</v>
      </c>
      <c r="B4264" t="s">
        <v>127</v>
      </c>
      <c r="C4264" s="1">
        <f>HYPERLINK("https://cao.dolgi.msk.ru/account/1011327417/", 1011327417)</f>
        <v>1011327417</v>
      </c>
      <c r="D4264">
        <v>0</v>
      </c>
    </row>
    <row r="4265" spans="1:4" hidden="1" x14ac:dyDescent="0.3">
      <c r="A4265" t="s">
        <v>552</v>
      </c>
      <c r="B4265" t="s">
        <v>262</v>
      </c>
      <c r="C4265" s="1">
        <f>HYPERLINK("https://cao.dolgi.msk.ru/account/1011327134/", 1011327134)</f>
        <v>1011327134</v>
      </c>
      <c r="D4265">
        <v>-10016.81</v>
      </c>
    </row>
    <row r="4266" spans="1:4" x14ac:dyDescent="0.3">
      <c r="A4266" t="s">
        <v>552</v>
      </c>
      <c r="B4266" t="s">
        <v>128</v>
      </c>
      <c r="C4266" s="1">
        <f>HYPERLINK("https://cao.dolgi.msk.ru/account/1011327046/", 1011327046)</f>
        <v>1011327046</v>
      </c>
      <c r="D4266">
        <v>7625</v>
      </c>
    </row>
    <row r="4267" spans="1:4" hidden="1" x14ac:dyDescent="0.3">
      <c r="A4267" t="s">
        <v>552</v>
      </c>
      <c r="B4267" t="s">
        <v>129</v>
      </c>
      <c r="C4267" s="1">
        <f>HYPERLINK("https://cao.dolgi.msk.ru/account/1011326756/", 1011326756)</f>
        <v>1011326756</v>
      </c>
      <c r="D4267">
        <v>0</v>
      </c>
    </row>
    <row r="4268" spans="1:4" hidden="1" x14ac:dyDescent="0.3">
      <c r="A4268" t="s">
        <v>552</v>
      </c>
      <c r="B4268" t="s">
        <v>130</v>
      </c>
      <c r="C4268" s="1">
        <f>HYPERLINK("https://cao.dolgi.msk.ru/account/1011326991/", 1011326991)</f>
        <v>1011326991</v>
      </c>
      <c r="D4268">
        <v>0</v>
      </c>
    </row>
    <row r="4269" spans="1:4" hidden="1" x14ac:dyDescent="0.3">
      <c r="A4269" t="s">
        <v>552</v>
      </c>
      <c r="B4269" t="s">
        <v>131</v>
      </c>
      <c r="C4269" s="1">
        <f>HYPERLINK("https://cao.dolgi.msk.ru/account/1011327193/", 1011327193)</f>
        <v>1011327193</v>
      </c>
      <c r="D4269">
        <v>0</v>
      </c>
    </row>
    <row r="4270" spans="1:4" x14ac:dyDescent="0.3">
      <c r="A4270" t="s">
        <v>552</v>
      </c>
      <c r="B4270" t="s">
        <v>132</v>
      </c>
      <c r="C4270" s="1">
        <f>HYPERLINK("https://cao.dolgi.msk.ru/account/1011327265/", 1011327265)</f>
        <v>1011327265</v>
      </c>
      <c r="D4270">
        <v>5946.13</v>
      </c>
    </row>
    <row r="4271" spans="1:4" hidden="1" x14ac:dyDescent="0.3">
      <c r="A4271" t="s">
        <v>552</v>
      </c>
      <c r="B4271" t="s">
        <v>133</v>
      </c>
      <c r="C4271" s="1">
        <f>HYPERLINK("https://cao.dolgi.msk.ru/account/1011327636/", 1011327636)</f>
        <v>1011327636</v>
      </c>
      <c r="D4271">
        <v>0</v>
      </c>
    </row>
    <row r="4272" spans="1:4" hidden="1" x14ac:dyDescent="0.3">
      <c r="A4272" t="s">
        <v>552</v>
      </c>
      <c r="B4272" t="s">
        <v>134</v>
      </c>
      <c r="C4272" s="1">
        <f>HYPERLINK("https://cao.dolgi.msk.ru/account/1011327855/", 1011327855)</f>
        <v>1011327855</v>
      </c>
      <c r="D4272">
        <v>-4713.21</v>
      </c>
    </row>
    <row r="4273" spans="1:4" hidden="1" x14ac:dyDescent="0.3">
      <c r="A4273" t="s">
        <v>552</v>
      </c>
      <c r="B4273" t="s">
        <v>135</v>
      </c>
      <c r="C4273" s="1">
        <f>HYPERLINK("https://cao.dolgi.msk.ru/account/1011327599/", 1011327599)</f>
        <v>1011327599</v>
      </c>
      <c r="D4273">
        <v>-8577.5499999999993</v>
      </c>
    </row>
    <row r="4274" spans="1:4" hidden="1" x14ac:dyDescent="0.3">
      <c r="A4274" t="s">
        <v>553</v>
      </c>
      <c r="B4274" t="s">
        <v>6</v>
      </c>
      <c r="C4274" s="1">
        <f>HYPERLINK("https://cao.dolgi.msk.ru/account/1011068988/", 1011068988)</f>
        <v>1011068988</v>
      </c>
      <c r="D4274">
        <v>-485.26</v>
      </c>
    </row>
    <row r="4275" spans="1:4" hidden="1" x14ac:dyDescent="0.3">
      <c r="A4275" t="s">
        <v>553</v>
      </c>
      <c r="B4275" t="s">
        <v>28</v>
      </c>
      <c r="C4275" s="1">
        <f>HYPERLINK("https://cao.dolgi.msk.ru/account/1011068857/", 1011068857)</f>
        <v>1011068857</v>
      </c>
      <c r="D4275">
        <v>0</v>
      </c>
    </row>
    <row r="4276" spans="1:4" hidden="1" x14ac:dyDescent="0.3">
      <c r="A4276" t="s">
        <v>553</v>
      </c>
      <c r="B4276" t="s">
        <v>35</v>
      </c>
      <c r="C4276" s="1">
        <f>HYPERLINK("https://cao.dolgi.msk.ru/account/1011069155/", 1011069155)</f>
        <v>1011069155</v>
      </c>
      <c r="D4276">
        <v>-5822.86</v>
      </c>
    </row>
    <row r="4277" spans="1:4" hidden="1" x14ac:dyDescent="0.3">
      <c r="A4277" t="s">
        <v>553</v>
      </c>
      <c r="B4277" t="s">
        <v>5</v>
      </c>
      <c r="C4277" s="1">
        <f>HYPERLINK("https://cao.dolgi.msk.ru/account/1011068873/", 1011068873)</f>
        <v>1011068873</v>
      </c>
      <c r="D4277">
        <v>-2397.9899999999998</v>
      </c>
    </row>
    <row r="4278" spans="1:4" hidden="1" x14ac:dyDescent="0.3">
      <c r="A4278" t="s">
        <v>553</v>
      </c>
      <c r="B4278" t="s">
        <v>7</v>
      </c>
      <c r="C4278" s="1">
        <f>HYPERLINK("https://cao.dolgi.msk.ru/account/1011069008/", 1011069008)</f>
        <v>1011069008</v>
      </c>
      <c r="D4278">
        <v>0</v>
      </c>
    </row>
    <row r="4279" spans="1:4" hidden="1" x14ac:dyDescent="0.3">
      <c r="A4279" t="s">
        <v>553</v>
      </c>
      <c r="B4279" t="s">
        <v>8</v>
      </c>
      <c r="C4279" s="1">
        <f>HYPERLINK("https://cao.dolgi.msk.ru/account/1011069307/", 1011069307)</f>
        <v>1011069307</v>
      </c>
      <c r="D4279">
        <v>0</v>
      </c>
    </row>
    <row r="4280" spans="1:4" hidden="1" x14ac:dyDescent="0.3">
      <c r="A4280" t="s">
        <v>553</v>
      </c>
      <c r="B4280" t="s">
        <v>31</v>
      </c>
      <c r="C4280" s="1">
        <f>HYPERLINK("https://cao.dolgi.msk.ru/account/1011068937/", 1011068937)</f>
        <v>1011068937</v>
      </c>
      <c r="D4280">
        <v>-3140.02</v>
      </c>
    </row>
    <row r="4281" spans="1:4" x14ac:dyDescent="0.3">
      <c r="A4281" t="s">
        <v>553</v>
      </c>
      <c r="B4281" t="s">
        <v>9</v>
      </c>
      <c r="C4281" s="1">
        <f>HYPERLINK("https://cao.dolgi.msk.ru/account/1011068945/", 1011068945)</f>
        <v>1011068945</v>
      </c>
      <c r="D4281">
        <v>10801.64</v>
      </c>
    </row>
    <row r="4282" spans="1:4" x14ac:dyDescent="0.3">
      <c r="A4282" t="s">
        <v>553</v>
      </c>
      <c r="B4282" t="s">
        <v>10</v>
      </c>
      <c r="C4282" s="1">
        <f>HYPERLINK("https://cao.dolgi.msk.ru/account/1011068953/", 1011068953)</f>
        <v>1011068953</v>
      </c>
      <c r="D4282">
        <v>8259.7000000000007</v>
      </c>
    </row>
    <row r="4283" spans="1:4" hidden="1" x14ac:dyDescent="0.3">
      <c r="A4283" t="s">
        <v>553</v>
      </c>
      <c r="B4283" t="s">
        <v>11</v>
      </c>
      <c r="C4283" s="1">
        <f>HYPERLINK("https://cao.dolgi.msk.ru/account/1011069104/", 1011069104)</f>
        <v>1011069104</v>
      </c>
      <c r="D4283">
        <v>0</v>
      </c>
    </row>
    <row r="4284" spans="1:4" hidden="1" x14ac:dyDescent="0.3">
      <c r="A4284" t="s">
        <v>553</v>
      </c>
      <c r="B4284" t="s">
        <v>12</v>
      </c>
      <c r="C4284" s="1">
        <f>HYPERLINK("https://cao.dolgi.msk.ru/account/1011069219/", 1011069219)</f>
        <v>1011069219</v>
      </c>
      <c r="D4284">
        <v>0</v>
      </c>
    </row>
    <row r="4285" spans="1:4" hidden="1" x14ac:dyDescent="0.3">
      <c r="A4285" t="s">
        <v>553</v>
      </c>
      <c r="B4285" t="s">
        <v>23</v>
      </c>
      <c r="C4285" s="1">
        <f>HYPERLINK("https://cao.dolgi.msk.ru/account/1011069067/", 1011069067)</f>
        <v>1011069067</v>
      </c>
      <c r="D4285">
        <v>-642.53</v>
      </c>
    </row>
    <row r="4286" spans="1:4" hidden="1" x14ac:dyDescent="0.3">
      <c r="A4286" t="s">
        <v>553</v>
      </c>
      <c r="B4286" t="s">
        <v>13</v>
      </c>
      <c r="C4286" s="1">
        <f>HYPERLINK("https://cao.dolgi.msk.ru/account/1011069163/", 1011069163)</f>
        <v>1011069163</v>
      </c>
      <c r="D4286">
        <v>-10126.27</v>
      </c>
    </row>
    <row r="4287" spans="1:4" hidden="1" x14ac:dyDescent="0.3">
      <c r="A4287" t="s">
        <v>553</v>
      </c>
      <c r="B4287" t="s">
        <v>14</v>
      </c>
      <c r="C4287" s="1">
        <f>HYPERLINK("https://cao.dolgi.msk.ru/account/1011069112/", 1011069112)</f>
        <v>1011069112</v>
      </c>
      <c r="D4287">
        <v>-5571.13</v>
      </c>
    </row>
    <row r="4288" spans="1:4" hidden="1" x14ac:dyDescent="0.3">
      <c r="A4288" t="s">
        <v>553</v>
      </c>
      <c r="B4288" t="s">
        <v>16</v>
      </c>
      <c r="C4288" s="1">
        <f>HYPERLINK("https://cao.dolgi.msk.ru/account/1011069171/", 1011069171)</f>
        <v>1011069171</v>
      </c>
      <c r="D4288">
        <v>0</v>
      </c>
    </row>
    <row r="4289" spans="1:4" hidden="1" x14ac:dyDescent="0.3">
      <c r="A4289" t="s">
        <v>553</v>
      </c>
      <c r="B4289" t="s">
        <v>17</v>
      </c>
      <c r="C4289" s="1">
        <f>HYPERLINK("https://cao.dolgi.msk.ru/account/1011068929/", 1011068929)</f>
        <v>1011068929</v>
      </c>
      <c r="D4289">
        <v>0</v>
      </c>
    </row>
    <row r="4290" spans="1:4" x14ac:dyDescent="0.3">
      <c r="A4290" t="s">
        <v>553</v>
      </c>
      <c r="B4290" t="s">
        <v>18</v>
      </c>
      <c r="C4290" s="1">
        <f>HYPERLINK("https://cao.dolgi.msk.ru/account/1011069139/", 1011069139)</f>
        <v>1011069139</v>
      </c>
      <c r="D4290">
        <v>0.3</v>
      </c>
    </row>
    <row r="4291" spans="1:4" x14ac:dyDescent="0.3">
      <c r="A4291" t="s">
        <v>553</v>
      </c>
      <c r="B4291" t="s">
        <v>19</v>
      </c>
      <c r="C4291" s="1">
        <f>HYPERLINK("https://cao.dolgi.msk.ru/account/1011069083/", 1011069083)</f>
        <v>1011069083</v>
      </c>
      <c r="D4291">
        <v>4936.6899999999996</v>
      </c>
    </row>
    <row r="4292" spans="1:4" hidden="1" x14ac:dyDescent="0.3">
      <c r="A4292" t="s">
        <v>553</v>
      </c>
      <c r="B4292" t="s">
        <v>20</v>
      </c>
      <c r="C4292" s="1">
        <f>HYPERLINK("https://cao.dolgi.msk.ru/account/1011069278/", 1011069278)</f>
        <v>1011069278</v>
      </c>
      <c r="D4292">
        <v>-44450.04</v>
      </c>
    </row>
    <row r="4293" spans="1:4" hidden="1" x14ac:dyDescent="0.3">
      <c r="A4293" t="s">
        <v>553</v>
      </c>
      <c r="B4293" t="s">
        <v>21</v>
      </c>
      <c r="C4293" s="1">
        <f>HYPERLINK("https://cao.dolgi.msk.ru/account/1011069198/", 1011069198)</f>
        <v>1011069198</v>
      </c>
      <c r="D4293">
        <v>-40.409999999999997</v>
      </c>
    </row>
    <row r="4294" spans="1:4" hidden="1" x14ac:dyDescent="0.3">
      <c r="A4294" t="s">
        <v>553</v>
      </c>
      <c r="B4294" t="s">
        <v>22</v>
      </c>
      <c r="C4294" s="1">
        <f>HYPERLINK("https://cao.dolgi.msk.ru/account/1011069075/", 1011069075)</f>
        <v>1011069075</v>
      </c>
      <c r="D4294">
        <v>-6218.59</v>
      </c>
    </row>
    <row r="4295" spans="1:4" hidden="1" x14ac:dyDescent="0.3">
      <c r="A4295" t="s">
        <v>553</v>
      </c>
      <c r="B4295" t="s">
        <v>24</v>
      </c>
      <c r="C4295" s="1">
        <f>HYPERLINK("https://cao.dolgi.msk.ru/account/1011069227/", 1011069227)</f>
        <v>1011069227</v>
      </c>
      <c r="D4295">
        <v>0</v>
      </c>
    </row>
    <row r="4296" spans="1:4" hidden="1" x14ac:dyDescent="0.3">
      <c r="A4296" t="s">
        <v>553</v>
      </c>
      <c r="B4296" t="s">
        <v>25</v>
      </c>
      <c r="C4296" s="1">
        <f>HYPERLINK("https://cao.dolgi.msk.ru/account/1011069091/", 1011069091)</f>
        <v>1011069091</v>
      </c>
      <c r="D4296">
        <v>-5265.66</v>
      </c>
    </row>
    <row r="4297" spans="1:4" x14ac:dyDescent="0.3">
      <c r="A4297" t="s">
        <v>553</v>
      </c>
      <c r="B4297" t="s">
        <v>26</v>
      </c>
      <c r="C4297" s="1">
        <f>HYPERLINK("https://cao.dolgi.msk.ru/account/1011069251/", 1011069251)</f>
        <v>1011069251</v>
      </c>
      <c r="D4297">
        <v>5668.57</v>
      </c>
    </row>
    <row r="4298" spans="1:4" hidden="1" x14ac:dyDescent="0.3">
      <c r="A4298" t="s">
        <v>553</v>
      </c>
      <c r="B4298" t="s">
        <v>27</v>
      </c>
      <c r="C4298" s="1">
        <f>HYPERLINK("https://cao.dolgi.msk.ru/account/1011069235/", 1011069235)</f>
        <v>1011069235</v>
      </c>
      <c r="D4298">
        <v>-10860.01</v>
      </c>
    </row>
    <row r="4299" spans="1:4" x14ac:dyDescent="0.3">
      <c r="A4299" t="s">
        <v>553</v>
      </c>
      <c r="B4299" t="s">
        <v>29</v>
      </c>
      <c r="C4299" s="1">
        <f>HYPERLINK("https://cao.dolgi.msk.ru/account/1011069147/", 1011069147)</f>
        <v>1011069147</v>
      </c>
      <c r="D4299">
        <v>1313.05</v>
      </c>
    </row>
    <row r="4300" spans="1:4" hidden="1" x14ac:dyDescent="0.3">
      <c r="A4300" t="s">
        <v>553</v>
      </c>
      <c r="B4300" t="s">
        <v>38</v>
      </c>
      <c r="C4300" s="1">
        <f>HYPERLINK("https://cao.dolgi.msk.ru/account/1011069016/", 1011069016)</f>
        <v>1011069016</v>
      </c>
      <c r="D4300">
        <v>0</v>
      </c>
    </row>
    <row r="4301" spans="1:4" x14ac:dyDescent="0.3">
      <c r="A4301" t="s">
        <v>553</v>
      </c>
      <c r="B4301" t="s">
        <v>39</v>
      </c>
      <c r="C4301" s="1">
        <f>HYPERLINK("https://cao.dolgi.msk.ru/account/1011068881/", 1011068881)</f>
        <v>1011068881</v>
      </c>
      <c r="D4301">
        <v>3784.84</v>
      </c>
    </row>
    <row r="4302" spans="1:4" hidden="1" x14ac:dyDescent="0.3">
      <c r="A4302" t="s">
        <v>553</v>
      </c>
      <c r="B4302" t="s">
        <v>40</v>
      </c>
      <c r="C4302" s="1">
        <f>HYPERLINK("https://cao.dolgi.msk.ru/account/1011069024/", 1011069024)</f>
        <v>1011069024</v>
      </c>
      <c r="D4302">
        <v>0</v>
      </c>
    </row>
    <row r="4303" spans="1:4" x14ac:dyDescent="0.3">
      <c r="A4303" t="s">
        <v>553</v>
      </c>
      <c r="B4303" t="s">
        <v>41</v>
      </c>
      <c r="C4303" s="1">
        <f>HYPERLINK("https://cao.dolgi.msk.ru/account/1011068865/", 1011068865)</f>
        <v>1011068865</v>
      </c>
      <c r="D4303">
        <v>10017.08</v>
      </c>
    </row>
    <row r="4304" spans="1:4" hidden="1" x14ac:dyDescent="0.3">
      <c r="A4304" t="s">
        <v>553</v>
      </c>
      <c r="B4304" t="s">
        <v>51</v>
      </c>
      <c r="C4304" s="1">
        <f>HYPERLINK("https://cao.dolgi.msk.ru/account/1011068961/", 1011068961)</f>
        <v>1011068961</v>
      </c>
      <c r="D4304">
        <v>0</v>
      </c>
    </row>
    <row r="4305" spans="1:4" hidden="1" x14ac:dyDescent="0.3">
      <c r="A4305" t="s">
        <v>553</v>
      </c>
      <c r="B4305" t="s">
        <v>52</v>
      </c>
      <c r="C4305" s="1">
        <f>HYPERLINK("https://cao.dolgi.msk.ru/account/1011068996/", 1011068996)</f>
        <v>1011068996</v>
      </c>
      <c r="D4305">
        <v>0</v>
      </c>
    </row>
    <row r="4306" spans="1:4" hidden="1" x14ac:dyDescent="0.3">
      <c r="A4306" t="s">
        <v>553</v>
      </c>
      <c r="B4306" t="s">
        <v>53</v>
      </c>
      <c r="C4306" s="1">
        <f>HYPERLINK("https://cao.dolgi.msk.ru/account/1011069286/", 1011069286)</f>
        <v>1011069286</v>
      </c>
      <c r="D4306">
        <v>-7912.84</v>
      </c>
    </row>
    <row r="4307" spans="1:4" hidden="1" x14ac:dyDescent="0.3">
      <c r="A4307" t="s">
        <v>553</v>
      </c>
      <c r="B4307" t="s">
        <v>54</v>
      </c>
      <c r="C4307" s="1">
        <f>HYPERLINK("https://cao.dolgi.msk.ru/account/1011069059/", 1011069059)</f>
        <v>1011069059</v>
      </c>
      <c r="D4307">
        <v>0</v>
      </c>
    </row>
    <row r="4308" spans="1:4" hidden="1" x14ac:dyDescent="0.3">
      <c r="A4308" t="s">
        <v>553</v>
      </c>
      <c r="B4308" t="s">
        <v>55</v>
      </c>
      <c r="C4308" s="1">
        <f>HYPERLINK("https://cao.dolgi.msk.ru/account/1011069243/", 1011069243)</f>
        <v>1011069243</v>
      </c>
      <c r="D4308">
        <v>0</v>
      </c>
    </row>
    <row r="4309" spans="1:4" hidden="1" x14ac:dyDescent="0.3">
      <c r="A4309" t="s">
        <v>553</v>
      </c>
      <c r="B4309" t="s">
        <v>56</v>
      </c>
      <c r="C4309" s="1">
        <f>HYPERLINK("https://cao.dolgi.msk.ru/account/1011068902/", 1011068902)</f>
        <v>1011068902</v>
      </c>
      <c r="D4309">
        <v>-4993.88</v>
      </c>
    </row>
    <row r="4310" spans="1:4" hidden="1" x14ac:dyDescent="0.3">
      <c r="A4310" t="s">
        <v>553</v>
      </c>
      <c r="B4310" t="s">
        <v>87</v>
      </c>
      <c r="C4310" s="1">
        <f>HYPERLINK("https://cao.dolgi.msk.ru/account/1011069032/", 1011069032)</f>
        <v>1011069032</v>
      </c>
      <c r="D4310">
        <v>0</v>
      </c>
    </row>
    <row r="4311" spans="1:4" hidden="1" x14ac:dyDescent="0.3">
      <c r="A4311" t="s">
        <v>553</v>
      </c>
      <c r="B4311" t="s">
        <v>88</v>
      </c>
      <c r="C4311" s="1">
        <f>HYPERLINK("https://cao.dolgi.msk.ru/account/1011069294/", 1011069294)</f>
        <v>1011069294</v>
      </c>
      <c r="D4311">
        <v>-17086.04</v>
      </c>
    </row>
    <row r="4312" spans="1:4" hidden="1" x14ac:dyDescent="0.3">
      <c r="A4312" t="s">
        <v>554</v>
      </c>
      <c r="B4312" t="s">
        <v>6</v>
      </c>
      <c r="C4312" s="1">
        <f>HYPERLINK("https://cao.dolgi.msk.ru/account/1011092873/", 1011092873)</f>
        <v>1011092873</v>
      </c>
      <c r="D4312">
        <v>0</v>
      </c>
    </row>
    <row r="4313" spans="1:4" hidden="1" x14ac:dyDescent="0.3">
      <c r="A4313" t="s">
        <v>554</v>
      </c>
      <c r="B4313" t="s">
        <v>28</v>
      </c>
      <c r="C4313" s="1">
        <f>HYPERLINK("https://cao.dolgi.msk.ru/account/1011092566/", 1011092566)</f>
        <v>1011092566</v>
      </c>
      <c r="D4313">
        <v>0</v>
      </c>
    </row>
    <row r="4314" spans="1:4" hidden="1" x14ac:dyDescent="0.3">
      <c r="A4314" t="s">
        <v>554</v>
      </c>
      <c r="B4314" t="s">
        <v>35</v>
      </c>
      <c r="C4314" s="1">
        <f>HYPERLINK("https://cao.dolgi.msk.ru/account/1011093358/", 1011093358)</f>
        <v>1011093358</v>
      </c>
      <c r="D4314">
        <v>0</v>
      </c>
    </row>
    <row r="4315" spans="1:4" hidden="1" x14ac:dyDescent="0.3">
      <c r="A4315" t="s">
        <v>554</v>
      </c>
      <c r="B4315" t="s">
        <v>5</v>
      </c>
      <c r="C4315" s="1">
        <f>HYPERLINK("https://cao.dolgi.msk.ru/account/1011093841/", 1011093841)</f>
        <v>1011093841</v>
      </c>
      <c r="D4315">
        <v>0</v>
      </c>
    </row>
    <row r="4316" spans="1:4" x14ac:dyDescent="0.3">
      <c r="A4316" t="s">
        <v>554</v>
      </c>
      <c r="B4316" t="s">
        <v>7</v>
      </c>
      <c r="C4316" s="1">
        <f>HYPERLINK("https://cao.dolgi.msk.ru/account/1011091977/", 1011091977)</f>
        <v>1011091977</v>
      </c>
      <c r="D4316">
        <v>14635.57</v>
      </c>
    </row>
    <row r="4317" spans="1:4" hidden="1" x14ac:dyDescent="0.3">
      <c r="A4317" t="s">
        <v>554</v>
      </c>
      <c r="B4317" t="s">
        <v>8</v>
      </c>
      <c r="C4317" s="1">
        <f>HYPERLINK("https://cao.dolgi.msk.ru/account/1011092881/", 1011092881)</f>
        <v>1011092881</v>
      </c>
      <c r="D4317">
        <v>0</v>
      </c>
    </row>
    <row r="4318" spans="1:4" hidden="1" x14ac:dyDescent="0.3">
      <c r="A4318" t="s">
        <v>554</v>
      </c>
      <c r="B4318" t="s">
        <v>31</v>
      </c>
      <c r="C4318" s="1">
        <f>HYPERLINK("https://cao.dolgi.msk.ru/account/1011092574/", 1011092574)</f>
        <v>1011092574</v>
      </c>
      <c r="D4318">
        <v>0</v>
      </c>
    </row>
    <row r="4319" spans="1:4" hidden="1" x14ac:dyDescent="0.3">
      <c r="A4319" t="s">
        <v>554</v>
      </c>
      <c r="B4319" t="s">
        <v>9</v>
      </c>
      <c r="C4319" s="1">
        <f>HYPERLINK("https://cao.dolgi.msk.ru/account/1011093104/", 1011093104)</f>
        <v>1011093104</v>
      </c>
      <c r="D4319">
        <v>0</v>
      </c>
    </row>
    <row r="4320" spans="1:4" hidden="1" x14ac:dyDescent="0.3">
      <c r="A4320" t="s">
        <v>554</v>
      </c>
      <c r="B4320" t="s">
        <v>10</v>
      </c>
      <c r="C4320" s="1">
        <f>HYPERLINK("https://cao.dolgi.msk.ru/account/1011092582/", 1011092582)</f>
        <v>1011092582</v>
      </c>
      <c r="D4320">
        <v>0</v>
      </c>
    </row>
    <row r="4321" spans="1:4" x14ac:dyDescent="0.3">
      <c r="A4321" t="s">
        <v>554</v>
      </c>
      <c r="B4321" t="s">
        <v>11</v>
      </c>
      <c r="C4321" s="1">
        <f>HYPERLINK("https://cao.dolgi.msk.ru/account/1011091969/", 1011091969)</f>
        <v>1011091969</v>
      </c>
      <c r="D4321">
        <v>7637.86</v>
      </c>
    </row>
    <row r="4322" spans="1:4" hidden="1" x14ac:dyDescent="0.3">
      <c r="A4322" t="s">
        <v>554</v>
      </c>
      <c r="B4322" t="s">
        <v>12</v>
      </c>
      <c r="C4322" s="1">
        <f>HYPERLINK("https://cao.dolgi.msk.ru/account/1011091985/", 1011091985)</f>
        <v>1011091985</v>
      </c>
      <c r="D4322">
        <v>-9816.6299999999992</v>
      </c>
    </row>
    <row r="4323" spans="1:4" x14ac:dyDescent="0.3">
      <c r="A4323" t="s">
        <v>554</v>
      </c>
      <c r="B4323" t="s">
        <v>23</v>
      </c>
      <c r="C4323" s="1">
        <f>HYPERLINK("https://cao.dolgi.msk.ru/account/1011093382/", 1011093382)</f>
        <v>1011093382</v>
      </c>
      <c r="D4323">
        <v>3155.39</v>
      </c>
    </row>
    <row r="4324" spans="1:4" hidden="1" x14ac:dyDescent="0.3">
      <c r="A4324" t="s">
        <v>554</v>
      </c>
      <c r="B4324" t="s">
        <v>13</v>
      </c>
      <c r="C4324" s="1">
        <f>HYPERLINK("https://cao.dolgi.msk.ru/account/1011091993/", 1011091993)</f>
        <v>1011091993</v>
      </c>
      <c r="D4324">
        <v>0</v>
      </c>
    </row>
    <row r="4325" spans="1:4" x14ac:dyDescent="0.3">
      <c r="A4325" t="s">
        <v>554</v>
      </c>
      <c r="B4325" t="s">
        <v>14</v>
      </c>
      <c r="C4325" s="1">
        <f>HYPERLINK("https://cao.dolgi.msk.ru/account/1011092603/", 1011092603)</f>
        <v>1011092603</v>
      </c>
      <c r="D4325">
        <v>169551.61</v>
      </c>
    </row>
    <row r="4326" spans="1:4" hidden="1" x14ac:dyDescent="0.3">
      <c r="A4326" t="s">
        <v>554</v>
      </c>
      <c r="B4326" t="s">
        <v>16</v>
      </c>
      <c r="C4326" s="1">
        <f>HYPERLINK("https://cao.dolgi.msk.ru/account/1011092005/", 1011092005)</f>
        <v>1011092005</v>
      </c>
      <c r="D4326">
        <v>0</v>
      </c>
    </row>
    <row r="4327" spans="1:4" hidden="1" x14ac:dyDescent="0.3">
      <c r="A4327" t="s">
        <v>554</v>
      </c>
      <c r="B4327" t="s">
        <v>17</v>
      </c>
      <c r="C4327" s="1">
        <f>HYPERLINK("https://cao.dolgi.msk.ru/account/1011093403/", 1011093403)</f>
        <v>1011093403</v>
      </c>
      <c r="D4327">
        <v>-3333.48</v>
      </c>
    </row>
    <row r="4328" spans="1:4" hidden="1" x14ac:dyDescent="0.3">
      <c r="A4328" t="s">
        <v>554</v>
      </c>
      <c r="B4328" t="s">
        <v>18</v>
      </c>
      <c r="C4328" s="1">
        <f>HYPERLINK("https://cao.dolgi.msk.ru/account/1011093868/", 1011093868)</f>
        <v>1011093868</v>
      </c>
      <c r="D4328">
        <v>0</v>
      </c>
    </row>
    <row r="4329" spans="1:4" hidden="1" x14ac:dyDescent="0.3">
      <c r="A4329" t="s">
        <v>554</v>
      </c>
      <c r="B4329" t="s">
        <v>19</v>
      </c>
      <c r="C4329" s="1">
        <f>HYPERLINK("https://cao.dolgi.msk.ru/account/1011092611/", 1011092611)</f>
        <v>1011092611</v>
      </c>
      <c r="D4329">
        <v>-6214.5</v>
      </c>
    </row>
    <row r="4330" spans="1:4" hidden="1" x14ac:dyDescent="0.3">
      <c r="A4330" t="s">
        <v>554</v>
      </c>
      <c r="B4330" t="s">
        <v>20</v>
      </c>
      <c r="C4330" s="1">
        <f>HYPERLINK("https://cao.dolgi.msk.ru/account/1011093112/", 1011093112)</f>
        <v>1011093112</v>
      </c>
      <c r="D4330">
        <v>-6143.87</v>
      </c>
    </row>
    <row r="4331" spans="1:4" hidden="1" x14ac:dyDescent="0.3">
      <c r="A4331" t="s">
        <v>554</v>
      </c>
      <c r="B4331" t="s">
        <v>21</v>
      </c>
      <c r="C4331" s="1">
        <f>HYPERLINK("https://cao.dolgi.msk.ru/account/1011092232/", 1011092232)</f>
        <v>1011092232</v>
      </c>
      <c r="D4331">
        <v>-4092.61</v>
      </c>
    </row>
    <row r="4332" spans="1:4" hidden="1" x14ac:dyDescent="0.3">
      <c r="A4332" t="s">
        <v>554</v>
      </c>
      <c r="B4332" t="s">
        <v>22</v>
      </c>
      <c r="C4332" s="1">
        <f>HYPERLINK("https://cao.dolgi.msk.ru/account/1011093139/", 1011093139)</f>
        <v>1011093139</v>
      </c>
      <c r="D4332">
        <v>-6510.95</v>
      </c>
    </row>
    <row r="4333" spans="1:4" hidden="1" x14ac:dyDescent="0.3">
      <c r="A4333" t="s">
        <v>554</v>
      </c>
      <c r="B4333" t="s">
        <v>24</v>
      </c>
      <c r="C4333" s="1">
        <f>HYPERLINK("https://cao.dolgi.msk.ru/account/1011092259/", 1011092259)</f>
        <v>1011092259</v>
      </c>
      <c r="D4333">
        <v>-397.49</v>
      </c>
    </row>
    <row r="4334" spans="1:4" x14ac:dyDescent="0.3">
      <c r="A4334" t="s">
        <v>554</v>
      </c>
      <c r="B4334" t="s">
        <v>25</v>
      </c>
      <c r="C4334" s="1">
        <f>HYPERLINK("https://cao.dolgi.msk.ru/account/1011092267/", 1011092267)</f>
        <v>1011092267</v>
      </c>
      <c r="D4334">
        <v>164157.19</v>
      </c>
    </row>
    <row r="4335" spans="1:4" hidden="1" x14ac:dyDescent="0.3">
      <c r="A4335" t="s">
        <v>554</v>
      </c>
      <c r="B4335" t="s">
        <v>25</v>
      </c>
      <c r="C4335" s="1">
        <f>HYPERLINK("https://cao.dolgi.msk.ru/account/1011093366/", 1011093366)</f>
        <v>1011093366</v>
      </c>
      <c r="D4335">
        <v>-4354.24</v>
      </c>
    </row>
    <row r="4336" spans="1:4" hidden="1" x14ac:dyDescent="0.3">
      <c r="A4336" t="s">
        <v>554</v>
      </c>
      <c r="B4336" t="s">
        <v>25</v>
      </c>
      <c r="C4336" s="1">
        <f>HYPERLINK("https://cao.dolgi.msk.ru/account/1011094166/", 1011094166)</f>
        <v>1011094166</v>
      </c>
      <c r="D4336">
        <v>-198.57</v>
      </c>
    </row>
    <row r="4337" spans="1:4" hidden="1" x14ac:dyDescent="0.3">
      <c r="A4337" t="s">
        <v>554</v>
      </c>
      <c r="B4337" t="s">
        <v>26</v>
      </c>
      <c r="C4337" s="1">
        <f>HYPERLINK("https://cao.dolgi.msk.ru/account/1011093876/", 1011093876)</f>
        <v>1011093876</v>
      </c>
      <c r="D4337">
        <v>-2559.4699999999998</v>
      </c>
    </row>
    <row r="4338" spans="1:4" hidden="1" x14ac:dyDescent="0.3">
      <c r="A4338" t="s">
        <v>554</v>
      </c>
      <c r="B4338" t="s">
        <v>27</v>
      </c>
      <c r="C4338" s="1">
        <f>HYPERLINK("https://cao.dolgi.msk.ru/account/1011093147/", 1011093147)</f>
        <v>1011093147</v>
      </c>
      <c r="D4338">
        <v>0</v>
      </c>
    </row>
    <row r="4339" spans="1:4" hidden="1" x14ac:dyDescent="0.3">
      <c r="A4339" t="s">
        <v>554</v>
      </c>
      <c r="B4339" t="s">
        <v>29</v>
      </c>
      <c r="C4339" s="1">
        <f>HYPERLINK("https://cao.dolgi.msk.ru/account/1011092902/", 1011092902)</f>
        <v>1011092902</v>
      </c>
      <c r="D4339">
        <v>0</v>
      </c>
    </row>
    <row r="4340" spans="1:4" hidden="1" x14ac:dyDescent="0.3">
      <c r="A4340" t="s">
        <v>554</v>
      </c>
      <c r="B4340" t="s">
        <v>38</v>
      </c>
      <c r="C4340" s="1">
        <f>HYPERLINK("https://cao.dolgi.msk.ru/account/1011093884/", 1011093884)</f>
        <v>1011093884</v>
      </c>
      <c r="D4340">
        <v>0</v>
      </c>
    </row>
    <row r="4341" spans="1:4" hidden="1" x14ac:dyDescent="0.3">
      <c r="A4341" t="s">
        <v>554</v>
      </c>
      <c r="B4341" t="s">
        <v>39</v>
      </c>
      <c r="C4341" s="1">
        <f>HYPERLINK("https://cao.dolgi.msk.ru/account/1011092275/", 1011092275)</f>
        <v>1011092275</v>
      </c>
      <c r="D4341">
        <v>0</v>
      </c>
    </row>
    <row r="4342" spans="1:4" hidden="1" x14ac:dyDescent="0.3">
      <c r="A4342" t="s">
        <v>554</v>
      </c>
      <c r="B4342" t="s">
        <v>40</v>
      </c>
      <c r="C4342" s="1">
        <f>HYPERLINK("https://cao.dolgi.msk.ru/account/1011092013/", 1011092013)</f>
        <v>1011092013</v>
      </c>
      <c r="D4342">
        <v>0</v>
      </c>
    </row>
    <row r="4343" spans="1:4" hidden="1" x14ac:dyDescent="0.3">
      <c r="A4343" t="s">
        <v>554</v>
      </c>
      <c r="B4343" t="s">
        <v>41</v>
      </c>
      <c r="C4343" s="1">
        <f>HYPERLINK("https://cao.dolgi.msk.ru/account/1011092283/", 1011092283)</f>
        <v>1011092283</v>
      </c>
      <c r="D4343">
        <v>0</v>
      </c>
    </row>
    <row r="4344" spans="1:4" hidden="1" x14ac:dyDescent="0.3">
      <c r="A4344" t="s">
        <v>554</v>
      </c>
      <c r="B4344" t="s">
        <v>51</v>
      </c>
      <c r="C4344" s="1">
        <f>HYPERLINK("https://cao.dolgi.msk.ru/account/1011092638/", 1011092638)</f>
        <v>1011092638</v>
      </c>
      <c r="D4344">
        <v>0</v>
      </c>
    </row>
    <row r="4345" spans="1:4" hidden="1" x14ac:dyDescent="0.3">
      <c r="A4345" t="s">
        <v>554</v>
      </c>
      <c r="B4345" t="s">
        <v>52</v>
      </c>
      <c r="C4345" s="1">
        <f>HYPERLINK("https://cao.dolgi.msk.ru/account/1011093155/", 1011093155)</f>
        <v>1011093155</v>
      </c>
      <c r="D4345">
        <v>0</v>
      </c>
    </row>
    <row r="4346" spans="1:4" hidden="1" x14ac:dyDescent="0.3">
      <c r="A4346" t="s">
        <v>554</v>
      </c>
      <c r="B4346" t="s">
        <v>53</v>
      </c>
      <c r="C4346" s="1">
        <f>HYPERLINK("https://cao.dolgi.msk.ru/account/1011092646/", 1011092646)</f>
        <v>1011092646</v>
      </c>
      <c r="D4346">
        <v>0</v>
      </c>
    </row>
    <row r="4347" spans="1:4" hidden="1" x14ac:dyDescent="0.3">
      <c r="A4347" t="s">
        <v>554</v>
      </c>
      <c r="B4347" t="s">
        <v>54</v>
      </c>
      <c r="C4347" s="1">
        <f>HYPERLINK("https://cao.dolgi.msk.ru/account/1011092929/", 1011092929)</f>
        <v>1011092929</v>
      </c>
      <c r="D4347">
        <v>-1989.79</v>
      </c>
    </row>
    <row r="4348" spans="1:4" hidden="1" x14ac:dyDescent="0.3">
      <c r="A4348" t="s">
        <v>554</v>
      </c>
      <c r="B4348" t="s">
        <v>55</v>
      </c>
      <c r="C4348" s="1">
        <f>HYPERLINK("https://cao.dolgi.msk.ru/account/1011093163/", 1011093163)</f>
        <v>1011093163</v>
      </c>
      <c r="D4348">
        <v>0</v>
      </c>
    </row>
    <row r="4349" spans="1:4" hidden="1" x14ac:dyDescent="0.3">
      <c r="A4349" t="s">
        <v>554</v>
      </c>
      <c r="B4349" t="s">
        <v>56</v>
      </c>
      <c r="C4349" s="1">
        <f>HYPERLINK("https://cao.dolgi.msk.ru/account/1011093622/", 1011093622)</f>
        <v>1011093622</v>
      </c>
      <c r="D4349">
        <v>0</v>
      </c>
    </row>
    <row r="4350" spans="1:4" hidden="1" x14ac:dyDescent="0.3">
      <c r="A4350" t="s">
        <v>554</v>
      </c>
      <c r="B4350" t="s">
        <v>87</v>
      </c>
      <c r="C4350" s="1">
        <f>HYPERLINK("https://cao.dolgi.msk.ru/account/1011093171/", 1011093171)</f>
        <v>1011093171</v>
      </c>
      <c r="D4350">
        <v>0</v>
      </c>
    </row>
    <row r="4351" spans="1:4" hidden="1" x14ac:dyDescent="0.3">
      <c r="A4351" t="s">
        <v>554</v>
      </c>
      <c r="B4351" t="s">
        <v>88</v>
      </c>
      <c r="C4351" s="1">
        <f>HYPERLINK("https://cao.dolgi.msk.ru/account/1011093198/", 1011093198)</f>
        <v>1011093198</v>
      </c>
      <c r="D4351">
        <v>0</v>
      </c>
    </row>
    <row r="4352" spans="1:4" hidden="1" x14ac:dyDescent="0.3">
      <c r="A4352" t="s">
        <v>554</v>
      </c>
      <c r="B4352" t="s">
        <v>89</v>
      </c>
      <c r="C4352" s="1">
        <f>HYPERLINK("https://cao.dolgi.msk.ru/account/1011093411/", 1011093411)</f>
        <v>1011093411</v>
      </c>
      <c r="D4352">
        <v>-5035.26</v>
      </c>
    </row>
    <row r="4353" spans="1:4" hidden="1" x14ac:dyDescent="0.3">
      <c r="A4353" t="s">
        <v>554</v>
      </c>
      <c r="B4353" t="s">
        <v>90</v>
      </c>
      <c r="C4353" s="1">
        <f>HYPERLINK("https://cao.dolgi.msk.ru/account/1011092291/", 1011092291)</f>
        <v>1011092291</v>
      </c>
      <c r="D4353">
        <v>0</v>
      </c>
    </row>
    <row r="4354" spans="1:4" hidden="1" x14ac:dyDescent="0.3">
      <c r="A4354" t="s">
        <v>554</v>
      </c>
      <c r="B4354" t="s">
        <v>96</v>
      </c>
      <c r="C4354" s="1">
        <f>HYPERLINK("https://cao.dolgi.msk.ru/account/1011092021/", 1011092021)</f>
        <v>1011092021</v>
      </c>
      <c r="D4354">
        <v>0</v>
      </c>
    </row>
    <row r="4355" spans="1:4" hidden="1" x14ac:dyDescent="0.3">
      <c r="A4355" t="s">
        <v>554</v>
      </c>
      <c r="B4355" t="s">
        <v>97</v>
      </c>
      <c r="C4355" s="1">
        <f>HYPERLINK("https://cao.dolgi.msk.ru/account/1011092937/", 1011092937)</f>
        <v>1011092937</v>
      </c>
      <c r="D4355">
        <v>-2170.9</v>
      </c>
    </row>
    <row r="4356" spans="1:4" hidden="1" x14ac:dyDescent="0.3">
      <c r="A4356" t="s">
        <v>554</v>
      </c>
      <c r="B4356" t="s">
        <v>98</v>
      </c>
      <c r="C4356" s="1">
        <f>HYPERLINK("https://cao.dolgi.msk.ru/account/1011092304/", 1011092304)</f>
        <v>1011092304</v>
      </c>
      <c r="D4356">
        <v>0</v>
      </c>
    </row>
    <row r="4357" spans="1:4" x14ac:dyDescent="0.3">
      <c r="A4357" t="s">
        <v>554</v>
      </c>
      <c r="B4357" t="s">
        <v>58</v>
      </c>
      <c r="C4357" s="1">
        <f>HYPERLINK("https://cao.dolgi.msk.ru/account/1011092312/", 1011092312)</f>
        <v>1011092312</v>
      </c>
      <c r="D4357">
        <v>654.61</v>
      </c>
    </row>
    <row r="4358" spans="1:4" hidden="1" x14ac:dyDescent="0.3">
      <c r="A4358" t="s">
        <v>554</v>
      </c>
      <c r="B4358" t="s">
        <v>59</v>
      </c>
      <c r="C4358" s="1">
        <f>HYPERLINK("https://cao.dolgi.msk.ru/account/1011093438/", 1011093438)</f>
        <v>1011093438</v>
      </c>
      <c r="D4358">
        <v>-3243.87</v>
      </c>
    </row>
    <row r="4359" spans="1:4" x14ac:dyDescent="0.3">
      <c r="A4359" t="s">
        <v>554</v>
      </c>
      <c r="B4359" t="s">
        <v>60</v>
      </c>
      <c r="C4359" s="1">
        <f>HYPERLINK("https://cao.dolgi.msk.ru/account/1011093446/", 1011093446)</f>
        <v>1011093446</v>
      </c>
      <c r="D4359">
        <v>32992.160000000003</v>
      </c>
    </row>
    <row r="4360" spans="1:4" x14ac:dyDescent="0.3">
      <c r="A4360" t="s">
        <v>554</v>
      </c>
      <c r="B4360" t="s">
        <v>61</v>
      </c>
      <c r="C4360" s="1">
        <f>HYPERLINK("https://cao.dolgi.msk.ru/account/1011093219/", 1011093219)</f>
        <v>1011093219</v>
      </c>
      <c r="D4360">
        <v>4665.3100000000004</v>
      </c>
    </row>
    <row r="4361" spans="1:4" hidden="1" x14ac:dyDescent="0.3">
      <c r="A4361" t="s">
        <v>554</v>
      </c>
      <c r="B4361" t="s">
        <v>62</v>
      </c>
      <c r="C4361" s="1">
        <f>HYPERLINK("https://cao.dolgi.msk.ru/account/1011093454/", 1011093454)</f>
        <v>1011093454</v>
      </c>
      <c r="D4361">
        <v>0</v>
      </c>
    </row>
    <row r="4362" spans="1:4" hidden="1" x14ac:dyDescent="0.3">
      <c r="A4362" t="s">
        <v>554</v>
      </c>
      <c r="B4362" t="s">
        <v>63</v>
      </c>
      <c r="C4362" s="1">
        <f>HYPERLINK("https://cao.dolgi.msk.ru/account/1011092945/", 1011092945)</f>
        <v>1011092945</v>
      </c>
      <c r="D4362">
        <v>0</v>
      </c>
    </row>
    <row r="4363" spans="1:4" hidden="1" x14ac:dyDescent="0.3">
      <c r="A4363" t="s">
        <v>554</v>
      </c>
      <c r="B4363" t="s">
        <v>64</v>
      </c>
      <c r="C4363" s="1">
        <f>HYPERLINK("https://cao.dolgi.msk.ru/account/1011093649/", 1011093649)</f>
        <v>1011093649</v>
      </c>
      <c r="D4363">
        <v>-200.78</v>
      </c>
    </row>
    <row r="4364" spans="1:4" hidden="1" x14ac:dyDescent="0.3">
      <c r="A4364" t="s">
        <v>554</v>
      </c>
      <c r="B4364" t="s">
        <v>65</v>
      </c>
      <c r="C4364" s="1">
        <f>HYPERLINK("https://cao.dolgi.msk.ru/account/1011093657/", 1011093657)</f>
        <v>1011093657</v>
      </c>
      <c r="D4364">
        <v>0</v>
      </c>
    </row>
    <row r="4365" spans="1:4" hidden="1" x14ac:dyDescent="0.3">
      <c r="A4365" t="s">
        <v>554</v>
      </c>
      <c r="B4365" t="s">
        <v>66</v>
      </c>
      <c r="C4365" s="1">
        <f>HYPERLINK("https://cao.dolgi.msk.ru/account/1011092339/", 1011092339)</f>
        <v>1011092339</v>
      </c>
      <c r="D4365">
        <v>-391.16</v>
      </c>
    </row>
    <row r="4366" spans="1:4" x14ac:dyDescent="0.3">
      <c r="A4366" t="s">
        <v>554</v>
      </c>
      <c r="B4366" t="s">
        <v>67</v>
      </c>
      <c r="C4366" s="1">
        <f>HYPERLINK("https://cao.dolgi.msk.ru/account/1011093892/", 1011093892)</f>
        <v>1011093892</v>
      </c>
      <c r="D4366">
        <v>3643.38</v>
      </c>
    </row>
    <row r="4367" spans="1:4" hidden="1" x14ac:dyDescent="0.3">
      <c r="A4367" t="s">
        <v>554</v>
      </c>
      <c r="B4367" t="s">
        <v>68</v>
      </c>
      <c r="C4367" s="1">
        <f>HYPERLINK("https://cao.dolgi.msk.ru/account/1011093227/", 1011093227)</f>
        <v>1011093227</v>
      </c>
      <c r="D4367">
        <v>-1815.92</v>
      </c>
    </row>
    <row r="4368" spans="1:4" hidden="1" x14ac:dyDescent="0.3">
      <c r="A4368" t="s">
        <v>554</v>
      </c>
      <c r="B4368" t="s">
        <v>68</v>
      </c>
      <c r="C4368" s="1">
        <f>HYPERLINK("https://cao.dolgi.msk.ru/account/1011109751/", 1011109751)</f>
        <v>1011109751</v>
      </c>
      <c r="D4368">
        <v>-1712.38</v>
      </c>
    </row>
    <row r="4369" spans="1:4" hidden="1" x14ac:dyDescent="0.3">
      <c r="A4369" t="s">
        <v>554</v>
      </c>
      <c r="B4369" t="s">
        <v>68</v>
      </c>
      <c r="C4369" s="1">
        <f>HYPERLINK("https://cao.dolgi.msk.ru/account/1011515071/", 1011515071)</f>
        <v>1011515071</v>
      </c>
      <c r="D4369">
        <v>-2198.02</v>
      </c>
    </row>
    <row r="4370" spans="1:4" hidden="1" x14ac:dyDescent="0.3">
      <c r="A4370" t="s">
        <v>554</v>
      </c>
      <c r="B4370" t="s">
        <v>69</v>
      </c>
      <c r="C4370" s="1">
        <f>HYPERLINK("https://cao.dolgi.msk.ru/account/1011092347/", 1011092347)</f>
        <v>1011092347</v>
      </c>
      <c r="D4370">
        <v>0</v>
      </c>
    </row>
    <row r="4371" spans="1:4" hidden="1" x14ac:dyDescent="0.3">
      <c r="A4371" t="s">
        <v>554</v>
      </c>
      <c r="B4371" t="s">
        <v>70</v>
      </c>
      <c r="C4371" s="1">
        <f>HYPERLINK("https://cao.dolgi.msk.ru/account/1011093665/", 1011093665)</f>
        <v>1011093665</v>
      </c>
      <c r="D4371">
        <v>0</v>
      </c>
    </row>
    <row r="4372" spans="1:4" hidden="1" x14ac:dyDescent="0.3">
      <c r="A4372" t="s">
        <v>554</v>
      </c>
      <c r="B4372" t="s">
        <v>259</v>
      </c>
      <c r="C4372" s="1">
        <f>HYPERLINK("https://cao.dolgi.msk.ru/account/1011093673/", 1011093673)</f>
        <v>1011093673</v>
      </c>
      <c r="D4372">
        <v>0</v>
      </c>
    </row>
    <row r="4373" spans="1:4" hidden="1" x14ac:dyDescent="0.3">
      <c r="A4373" t="s">
        <v>554</v>
      </c>
      <c r="B4373" t="s">
        <v>100</v>
      </c>
      <c r="C4373" s="1">
        <f>HYPERLINK("https://cao.dolgi.msk.ru/account/1011093235/", 1011093235)</f>
        <v>1011093235</v>
      </c>
      <c r="D4373">
        <v>-5260.46</v>
      </c>
    </row>
    <row r="4374" spans="1:4" hidden="1" x14ac:dyDescent="0.3">
      <c r="A4374" t="s">
        <v>554</v>
      </c>
      <c r="B4374" t="s">
        <v>72</v>
      </c>
      <c r="C4374" s="1">
        <f>HYPERLINK("https://cao.dolgi.msk.ru/account/1011092953/", 1011092953)</f>
        <v>1011092953</v>
      </c>
      <c r="D4374">
        <v>0</v>
      </c>
    </row>
    <row r="4375" spans="1:4" hidden="1" x14ac:dyDescent="0.3">
      <c r="A4375" t="s">
        <v>554</v>
      </c>
      <c r="B4375" t="s">
        <v>73</v>
      </c>
      <c r="C4375" s="1">
        <f>HYPERLINK("https://cao.dolgi.msk.ru/account/1011092048/", 1011092048)</f>
        <v>1011092048</v>
      </c>
      <c r="D4375">
        <v>0</v>
      </c>
    </row>
    <row r="4376" spans="1:4" hidden="1" x14ac:dyDescent="0.3">
      <c r="A4376" t="s">
        <v>554</v>
      </c>
      <c r="B4376" t="s">
        <v>74</v>
      </c>
      <c r="C4376" s="1">
        <f>HYPERLINK("https://cao.dolgi.msk.ru/account/1011093905/", 1011093905)</f>
        <v>1011093905</v>
      </c>
      <c r="D4376">
        <v>0</v>
      </c>
    </row>
    <row r="4377" spans="1:4" hidden="1" x14ac:dyDescent="0.3">
      <c r="A4377" t="s">
        <v>554</v>
      </c>
      <c r="B4377" t="s">
        <v>75</v>
      </c>
      <c r="C4377" s="1">
        <f>HYPERLINK("https://cao.dolgi.msk.ru/account/1011092056/", 1011092056)</f>
        <v>1011092056</v>
      </c>
      <c r="D4377">
        <v>0</v>
      </c>
    </row>
    <row r="4378" spans="1:4" hidden="1" x14ac:dyDescent="0.3">
      <c r="A4378" t="s">
        <v>554</v>
      </c>
      <c r="B4378" t="s">
        <v>76</v>
      </c>
      <c r="C4378" s="1">
        <f>HYPERLINK("https://cao.dolgi.msk.ru/account/1011092064/", 1011092064)</f>
        <v>1011092064</v>
      </c>
      <c r="D4378">
        <v>0</v>
      </c>
    </row>
    <row r="4379" spans="1:4" x14ac:dyDescent="0.3">
      <c r="A4379" t="s">
        <v>554</v>
      </c>
      <c r="B4379" t="s">
        <v>77</v>
      </c>
      <c r="C4379" s="1">
        <f>HYPERLINK("https://cao.dolgi.msk.ru/account/1011093462/", 1011093462)</f>
        <v>1011093462</v>
      </c>
      <c r="D4379">
        <v>3627.81</v>
      </c>
    </row>
    <row r="4380" spans="1:4" hidden="1" x14ac:dyDescent="0.3">
      <c r="A4380" t="s">
        <v>554</v>
      </c>
      <c r="B4380" t="s">
        <v>78</v>
      </c>
      <c r="C4380" s="1">
        <f>HYPERLINK("https://cao.dolgi.msk.ru/account/1011093913/", 1011093913)</f>
        <v>1011093913</v>
      </c>
      <c r="D4380">
        <v>0</v>
      </c>
    </row>
    <row r="4381" spans="1:4" hidden="1" x14ac:dyDescent="0.3">
      <c r="A4381" t="s">
        <v>554</v>
      </c>
      <c r="B4381" t="s">
        <v>79</v>
      </c>
      <c r="C4381" s="1">
        <f>HYPERLINK("https://cao.dolgi.msk.ru/account/1011093243/", 1011093243)</f>
        <v>1011093243</v>
      </c>
      <c r="D4381">
        <v>0</v>
      </c>
    </row>
    <row r="4382" spans="1:4" hidden="1" x14ac:dyDescent="0.3">
      <c r="A4382" t="s">
        <v>554</v>
      </c>
      <c r="B4382" t="s">
        <v>80</v>
      </c>
      <c r="C4382" s="1">
        <f>HYPERLINK("https://cao.dolgi.msk.ru/account/1011092355/", 1011092355)</f>
        <v>1011092355</v>
      </c>
      <c r="D4382">
        <v>0</v>
      </c>
    </row>
    <row r="4383" spans="1:4" hidden="1" x14ac:dyDescent="0.3">
      <c r="A4383" t="s">
        <v>554</v>
      </c>
      <c r="B4383" t="s">
        <v>81</v>
      </c>
      <c r="C4383" s="1">
        <f>HYPERLINK("https://cao.dolgi.msk.ru/account/1011092363/", 1011092363)</f>
        <v>1011092363</v>
      </c>
      <c r="D4383">
        <v>-459.88</v>
      </c>
    </row>
    <row r="4384" spans="1:4" x14ac:dyDescent="0.3">
      <c r="A4384" t="s">
        <v>554</v>
      </c>
      <c r="B4384" t="s">
        <v>101</v>
      </c>
      <c r="C4384" s="1">
        <f>HYPERLINK("https://cao.dolgi.msk.ru/account/1011093251/", 1011093251)</f>
        <v>1011093251</v>
      </c>
      <c r="D4384">
        <v>8813.0300000000007</v>
      </c>
    </row>
    <row r="4385" spans="1:4" hidden="1" x14ac:dyDescent="0.3">
      <c r="A4385" t="s">
        <v>554</v>
      </c>
      <c r="B4385" t="s">
        <v>82</v>
      </c>
      <c r="C4385" s="1">
        <f>HYPERLINK("https://cao.dolgi.msk.ru/account/1011092371/", 1011092371)</f>
        <v>1011092371</v>
      </c>
      <c r="D4385">
        <v>-141.27000000000001</v>
      </c>
    </row>
    <row r="4386" spans="1:4" hidden="1" x14ac:dyDescent="0.3">
      <c r="A4386" t="s">
        <v>554</v>
      </c>
      <c r="B4386" t="s">
        <v>83</v>
      </c>
      <c r="C4386" s="1">
        <f>HYPERLINK("https://cao.dolgi.msk.ru/account/1011093606/", 1011093606)</f>
        <v>1011093606</v>
      </c>
      <c r="D4386">
        <v>0</v>
      </c>
    </row>
    <row r="4387" spans="1:4" hidden="1" x14ac:dyDescent="0.3">
      <c r="A4387" t="s">
        <v>554</v>
      </c>
      <c r="B4387" t="s">
        <v>84</v>
      </c>
      <c r="C4387" s="1">
        <f>HYPERLINK("https://cao.dolgi.msk.ru/account/1011092398/", 1011092398)</f>
        <v>1011092398</v>
      </c>
      <c r="D4387">
        <v>0</v>
      </c>
    </row>
    <row r="4388" spans="1:4" x14ac:dyDescent="0.3">
      <c r="A4388" t="s">
        <v>554</v>
      </c>
      <c r="B4388" t="s">
        <v>85</v>
      </c>
      <c r="C4388" s="1">
        <f>HYPERLINK("https://cao.dolgi.msk.ru/account/1011092072/", 1011092072)</f>
        <v>1011092072</v>
      </c>
      <c r="D4388">
        <v>7796.18</v>
      </c>
    </row>
    <row r="4389" spans="1:4" hidden="1" x14ac:dyDescent="0.3">
      <c r="A4389" t="s">
        <v>554</v>
      </c>
      <c r="B4389" t="s">
        <v>102</v>
      </c>
      <c r="C4389" s="1">
        <f>HYPERLINK("https://cao.dolgi.msk.ru/account/1011092099/", 1011092099)</f>
        <v>1011092099</v>
      </c>
      <c r="D4389">
        <v>-331.49</v>
      </c>
    </row>
    <row r="4390" spans="1:4" hidden="1" x14ac:dyDescent="0.3">
      <c r="A4390" t="s">
        <v>554</v>
      </c>
      <c r="B4390" t="s">
        <v>103</v>
      </c>
      <c r="C4390" s="1">
        <f>HYPERLINK("https://cao.dolgi.msk.ru/account/1011092961/", 1011092961)</f>
        <v>1011092961</v>
      </c>
      <c r="D4390">
        <v>-3085.62</v>
      </c>
    </row>
    <row r="4391" spans="1:4" hidden="1" x14ac:dyDescent="0.3">
      <c r="A4391" t="s">
        <v>554</v>
      </c>
      <c r="B4391" t="s">
        <v>104</v>
      </c>
      <c r="C4391" s="1">
        <f>HYPERLINK("https://cao.dolgi.msk.ru/account/1011093921/", 1011093921)</f>
        <v>1011093921</v>
      </c>
      <c r="D4391">
        <v>0</v>
      </c>
    </row>
    <row r="4392" spans="1:4" hidden="1" x14ac:dyDescent="0.3">
      <c r="A4392" t="s">
        <v>554</v>
      </c>
      <c r="B4392" t="s">
        <v>105</v>
      </c>
      <c r="C4392" s="1">
        <f>HYPERLINK("https://cao.dolgi.msk.ru/account/1011092654/", 1011092654)</f>
        <v>1011092654</v>
      </c>
      <c r="D4392">
        <v>-12453.59</v>
      </c>
    </row>
    <row r="4393" spans="1:4" hidden="1" x14ac:dyDescent="0.3">
      <c r="A4393" t="s">
        <v>554</v>
      </c>
      <c r="B4393" t="s">
        <v>106</v>
      </c>
      <c r="C4393" s="1">
        <f>HYPERLINK("https://cao.dolgi.msk.ru/account/1011092662/", 1011092662)</f>
        <v>1011092662</v>
      </c>
      <c r="D4393">
        <v>0</v>
      </c>
    </row>
    <row r="4394" spans="1:4" hidden="1" x14ac:dyDescent="0.3">
      <c r="A4394" t="s">
        <v>554</v>
      </c>
      <c r="B4394" t="s">
        <v>107</v>
      </c>
      <c r="C4394" s="1">
        <f>HYPERLINK("https://cao.dolgi.msk.ru/account/1011092689/", 1011092689)</f>
        <v>1011092689</v>
      </c>
      <c r="D4394">
        <v>0</v>
      </c>
    </row>
    <row r="4395" spans="1:4" hidden="1" x14ac:dyDescent="0.3">
      <c r="A4395" t="s">
        <v>554</v>
      </c>
      <c r="B4395" t="s">
        <v>108</v>
      </c>
      <c r="C4395" s="1">
        <f>HYPERLINK("https://cao.dolgi.msk.ru/account/1011093278/", 1011093278)</f>
        <v>1011093278</v>
      </c>
      <c r="D4395">
        <v>0</v>
      </c>
    </row>
    <row r="4396" spans="1:4" hidden="1" x14ac:dyDescent="0.3">
      <c r="A4396" t="s">
        <v>554</v>
      </c>
      <c r="B4396" t="s">
        <v>109</v>
      </c>
      <c r="C4396" s="1">
        <f>HYPERLINK("https://cao.dolgi.msk.ru/account/1011092419/", 1011092419)</f>
        <v>1011092419</v>
      </c>
      <c r="D4396">
        <v>0</v>
      </c>
    </row>
    <row r="4397" spans="1:4" hidden="1" x14ac:dyDescent="0.3">
      <c r="A4397" t="s">
        <v>554</v>
      </c>
      <c r="B4397" t="s">
        <v>110</v>
      </c>
      <c r="C4397" s="1">
        <f>HYPERLINK("https://cao.dolgi.msk.ru/account/1011093948/", 1011093948)</f>
        <v>1011093948</v>
      </c>
      <c r="D4397">
        <v>0</v>
      </c>
    </row>
    <row r="4398" spans="1:4" x14ac:dyDescent="0.3">
      <c r="A4398" t="s">
        <v>554</v>
      </c>
      <c r="B4398" t="s">
        <v>111</v>
      </c>
      <c r="C4398" s="1">
        <f>HYPERLINK("https://cao.dolgi.msk.ru/account/1011093956/", 1011093956)</f>
        <v>1011093956</v>
      </c>
      <c r="D4398">
        <v>14870.52</v>
      </c>
    </row>
    <row r="4399" spans="1:4" hidden="1" x14ac:dyDescent="0.3">
      <c r="A4399" t="s">
        <v>554</v>
      </c>
      <c r="B4399" t="s">
        <v>112</v>
      </c>
      <c r="C4399" s="1">
        <f>HYPERLINK("https://cao.dolgi.msk.ru/account/1011092101/", 1011092101)</f>
        <v>1011092101</v>
      </c>
      <c r="D4399">
        <v>0</v>
      </c>
    </row>
    <row r="4400" spans="1:4" hidden="1" x14ac:dyDescent="0.3">
      <c r="A4400" t="s">
        <v>554</v>
      </c>
      <c r="B4400" t="s">
        <v>113</v>
      </c>
      <c r="C4400" s="1">
        <f>HYPERLINK("https://cao.dolgi.msk.ru/account/1011093286/", 1011093286)</f>
        <v>1011093286</v>
      </c>
      <c r="D4400">
        <v>-0.56000000000000005</v>
      </c>
    </row>
    <row r="4401" spans="1:4" x14ac:dyDescent="0.3">
      <c r="A4401" t="s">
        <v>554</v>
      </c>
      <c r="B4401" t="s">
        <v>114</v>
      </c>
      <c r="C4401" s="1">
        <f>HYPERLINK("https://cao.dolgi.msk.ru/account/1011093964/", 1011093964)</f>
        <v>1011093964</v>
      </c>
      <c r="D4401">
        <v>10880.65</v>
      </c>
    </row>
    <row r="4402" spans="1:4" hidden="1" x14ac:dyDescent="0.3">
      <c r="A4402" t="s">
        <v>554</v>
      </c>
      <c r="B4402" t="s">
        <v>115</v>
      </c>
      <c r="C4402" s="1">
        <f>HYPERLINK("https://cao.dolgi.msk.ru/account/1011092988/", 1011092988)</f>
        <v>1011092988</v>
      </c>
      <c r="D4402">
        <v>-5406.69</v>
      </c>
    </row>
    <row r="4403" spans="1:4" hidden="1" x14ac:dyDescent="0.3">
      <c r="A4403" t="s">
        <v>554</v>
      </c>
      <c r="B4403" t="s">
        <v>116</v>
      </c>
      <c r="C4403" s="1">
        <f>HYPERLINK("https://cao.dolgi.msk.ru/account/1011093681/", 1011093681)</f>
        <v>1011093681</v>
      </c>
      <c r="D4403">
        <v>0</v>
      </c>
    </row>
    <row r="4404" spans="1:4" hidden="1" x14ac:dyDescent="0.3">
      <c r="A4404" t="s">
        <v>554</v>
      </c>
      <c r="B4404" t="s">
        <v>266</v>
      </c>
      <c r="C4404" s="1">
        <f>HYPERLINK("https://cao.dolgi.msk.ru/account/1011093972/", 1011093972)</f>
        <v>1011093972</v>
      </c>
      <c r="D4404">
        <v>0</v>
      </c>
    </row>
    <row r="4405" spans="1:4" hidden="1" x14ac:dyDescent="0.3">
      <c r="A4405" t="s">
        <v>554</v>
      </c>
      <c r="B4405" t="s">
        <v>117</v>
      </c>
      <c r="C4405" s="1">
        <f>HYPERLINK("https://cao.dolgi.msk.ru/account/1011092996/", 1011092996)</f>
        <v>1011092996</v>
      </c>
      <c r="D4405">
        <v>0</v>
      </c>
    </row>
    <row r="4406" spans="1:4" hidden="1" x14ac:dyDescent="0.3">
      <c r="A4406" t="s">
        <v>554</v>
      </c>
      <c r="B4406" t="s">
        <v>118</v>
      </c>
      <c r="C4406" s="1">
        <f>HYPERLINK("https://cao.dolgi.msk.ru/account/1011093489/", 1011093489)</f>
        <v>1011093489</v>
      </c>
      <c r="D4406">
        <v>-11948.44</v>
      </c>
    </row>
    <row r="4407" spans="1:4" x14ac:dyDescent="0.3">
      <c r="A4407" t="s">
        <v>554</v>
      </c>
      <c r="B4407" t="s">
        <v>119</v>
      </c>
      <c r="C4407" s="1">
        <f>HYPERLINK("https://cao.dolgi.msk.ru/account/1011093999/", 1011093999)</f>
        <v>1011093999</v>
      </c>
      <c r="D4407">
        <v>1220.57</v>
      </c>
    </row>
    <row r="4408" spans="1:4" hidden="1" x14ac:dyDescent="0.3">
      <c r="A4408" t="s">
        <v>554</v>
      </c>
      <c r="B4408" t="s">
        <v>120</v>
      </c>
      <c r="C4408" s="1">
        <f>HYPERLINK("https://cao.dolgi.msk.ru/account/1011094019/", 1011094019)</f>
        <v>1011094019</v>
      </c>
      <c r="D4408">
        <v>0</v>
      </c>
    </row>
    <row r="4409" spans="1:4" hidden="1" x14ac:dyDescent="0.3">
      <c r="A4409" t="s">
        <v>554</v>
      </c>
      <c r="B4409" t="s">
        <v>121</v>
      </c>
      <c r="C4409" s="1">
        <f>HYPERLINK("https://cao.dolgi.msk.ru/account/1011092697/", 1011092697)</f>
        <v>1011092697</v>
      </c>
      <c r="D4409">
        <v>0</v>
      </c>
    </row>
    <row r="4410" spans="1:4" hidden="1" x14ac:dyDescent="0.3">
      <c r="A4410" t="s">
        <v>554</v>
      </c>
      <c r="B4410" t="s">
        <v>122</v>
      </c>
      <c r="C4410" s="1">
        <f>HYPERLINK("https://cao.dolgi.msk.ru/account/1011093294/", 1011093294)</f>
        <v>1011093294</v>
      </c>
      <c r="D4410">
        <v>0</v>
      </c>
    </row>
    <row r="4411" spans="1:4" x14ac:dyDescent="0.3">
      <c r="A4411" t="s">
        <v>554</v>
      </c>
      <c r="B4411" t="s">
        <v>123</v>
      </c>
      <c r="C4411" s="1">
        <f>HYPERLINK("https://cao.dolgi.msk.ru/account/1011093008/", 1011093008)</f>
        <v>1011093008</v>
      </c>
      <c r="D4411">
        <v>5544.63</v>
      </c>
    </row>
    <row r="4412" spans="1:4" x14ac:dyDescent="0.3">
      <c r="A4412" t="s">
        <v>554</v>
      </c>
      <c r="B4412" t="s">
        <v>124</v>
      </c>
      <c r="C4412" s="1">
        <f>HYPERLINK("https://cao.dolgi.msk.ru/account/1011093307/", 1011093307)</f>
        <v>1011093307</v>
      </c>
      <c r="D4412">
        <v>10070.17</v>
      </c>
    </row>
    <row r="4413" spans="1:4" hidden="1" x14ac:dyDescent="0.3">
      <c r="A4413" t="s">
        <v>554</v>
      </c>
      <c r="B4413" t="s">
        <v>125</v>
      </c>
      <c r="C4413" s="1">
        <f>HYPERLINK("https://cao.dolgi.msk.ru/account/1011092718/", 1011092718)</f>
        <v>1011092718</v>
      </c>
      <c r="D4413">
        <v>0</v>
      </c>
    </row>
    <row r="4414" spans="1:4" hidden="1" x14ac:dyDescent="0.3">
      <c r="A4414" t="s">
        <v>554</v>
      </c>
      <c r="B4414" t="s">
        <v>126</v>
      </c>
      <c r="C4414" s="1">
        <f>HYPERLINK("https://cao.dolgi.msk.ru/account/1011093315/", 1011093315)</f>
        <v>1011093315</v>
      </c>
      <c r="D4414">
        <v>0</v>
      </c>
    </row>
    <row r="4415" spans="1:4" hidden="1" x14ac:dyDescent="0.3">
      <c r="A4415" t="s">
        <v>554</v>
      </c>
      <c r="B4415" t="s">
        <v>127</v>
      </c>
      <c r="C4415" s="1">
        <f>HYPERLINK("https://cao.dolgi.msk.ru/account/1011092726/", 1011092726)</f>
        <v>1011092726</v>
      </c>
      <c r="D4415">
        <v>-245</v>
      </c>
    </row>
    <row r="4416" spans="1:4" hidden="1" x14ac:dyDescent="0.3">
      <c r="A4416" t="s">
        <v>554</v>
      </c>
      <c r="B4416" t="s">
        <v>262</v>
      </c>
      <c r="C4416" s="1">
        <f>HYPERLINK("https://cao.dolgi.msk.ru/account/1011093016/", 1011093016)</f>
        <v>1011093016</v>
      </c>
      <c r="D4416">
        <v>-7327.76</v>
      </c>
    </row>
    <row r="4417" spans="1:4" hidden="1" x14ac:dyDescent="0.3">
      <c r="A4417" t="s">
        <v>554</v>
      </c>
      <c r="B4417" t="s">
        <v>128</v>
      </c>
      <c r="C4417" s="1">
        <f>HYPERLINK("https://cao.dolgi.msk.ru/account/1011093702/", 1011093702)</f>
        <v>1011093702</v>
      </c>
      <c r="D4417">
        <v>0</v>
      </c>
    </row>
    <row r="4418" spans="1:4" hidden="1" x14ac:dyDescent="0.3">
      <c r="A4418" t="s">
        <v>554</v>
      </c>
      <c r="B4418" t="s">
        <v>129</v>
      </c>
      <c r="C4418" s="1">
        <f>HYPERLINK("https://cao.dolgi.msk.ru/account/1011092734/", 1011092734)</f>
        <v>1011092734</v>
      </c>
      <c r="D4418">
        <v>-7207.04</v>
      </c>
    </row>
    <row r="4419" spans="1:4" x14ac:dyDescent="0.3">
      <c r="A4419" t="s">
        <v>554</v>
      </c>
      <c r="B4419" t="s">
        <v>130</v>
      </c>
      <c r="C4419" s="1">
        <f>HYPERLINK("https://cao.dolgi.msk.ru/account/1011093497/", 1011093497)</f>
        <v>1011093497</v>
      </c>
      <c r="D4419">
        <v>488577.72</v>
      </c>
    </row>
    <row r="4420" spans="1:4" hidden="1" x14ac:dyDescent="0.3">
      <c r="A4420" t="s">
        <v>554</v>
      </c>
      <c r="B4420" t="s">
        <v>131</v>
      </c>
      <c r="C4420" s="1">
        <f>HYPERLINK("https://cao.dolgi.msk.ru/account/1011093729/", 1011093729)</f>
        <v>1011093729</v>
      </c>
      <c r="D4420">
        <v>0</v>
      </c>
    </row>
    <row r="4421" spans="1:4" x14ac:dyDescent="0.3">
      <c r="A4421" t="s">
        <v>554</v>
      </c>
      <c r="B4421" t="s">
        <v>132</v>
      </c>
      <c r="C4421" s="1">
        <f>HYPERLINK("https://cao.dolgi.msk.ru/account/1011092128/", 1011092128)</f>
        <v>1011092128</v>
      </c>
      <c r="D4421">
        <v>90.9</v>
      </c>
    </row>
    <row r="4422" spans="1:4" hidden="1" x14ac:dyDescent="0.3">
      <c r="A4422" t="s">
        <v>554</v>
      </c>
      <c r="B4422" t="s">
        <v>133</v>
      </c>
      <c r="C4422" s="1">
        <f>HYPERLINK("https://cao.dolgi.msk.ru/account/1011093518/", 1011093518)</f>
        <v>1011093518</v>
      </c>
      <c r="D4422">
        <v>0</v>
      </c>
    </row>
    <row r="4423" spans="1:4" hidden="1" x14ac:dyDescent="0.3">
      <c r="A4423" t="s">
        <v>554</v>
      </c>
      <c r="B4423" t="s">
        <v>133</v>
      </c>
      <c r="C4423" s="1">
        <f>HYPERLINK("https://cao.dolgi.msk.ru/account/1011385641/", 1011385641)</f>
        <v>1011385641</v>
      </c>
      <c r="D4423">
        <v>0</v>
      </c>
    </row>
    <row r="4424" spans="1:4" hidden="1" x14ac:dyDescent="0.3">
      <c r="A4424" t="s">
        <v>554</v>
      </c>
      <c r="B4424" t="s">
        <v>134</v>
      </c>
      <c r="C4424" s="1">
        <f>HYPERLINK("https://cao.dolgi.msk.ru/account/1011093737/", 1011093737)</f>
        <v>1011093737</v>
      </c>
      <c r="D4424">
        <v>0</v>
      </c>
    </row>
    <row r="4425" spans="1:4" hidden="1" x14ac:dyDescent="0.3">
      <c r="A4425" t="s">
        <v>554</v>
      </c>
      <c r="B4425" t="s">
        <v>135</v>
      </c>
      <c r="C4425" s="1">
        <f>HYPERLINK("https://cao.dolgi.msk.ru/account/1011093024/", 1011093024)</f>
        <v>1011093024</v>
      </c>
      <c r="D4425">
        <v>0</v>
      </c>
    </row>
    <row r="4426" spans="1:4" x14ac:dyDescent="0.3">
      <c r="A4426" t="s">
        <v>554</v>
      </c>
      <c r="B4426" t="s">
        <v>264</v>
      </c>
      <c r="C4426" s="1">
        <f>HYPERLINK("https://cao.dolgi.msk.ru/account/1011092742/", 1011092742)</f>
        <v>1011092742</v>
      </c>
      <c r="D4426">
        <v>2578.81</v>
      </c>
    </row>
    <row r="4427" spans="1:4" hidden="1" x14ac:dyDescent="0.3">
      <c r="A4427" t="s">
        <v>554</v>
      </c>
      <c r="B4427" t="s">
        <v>136</v>
      </c>
      <c r="C4427" s="1">
        <f>HYPERLINK("https://cao.dolgi.msk.ru/account/1011092136/", 1011092136)</f>
        <v>1011092136</v>
      </c>
      <c r="D4427">
        <v>-62.9</v>
      </c>
    </row>
    <row r="4428" spans="1:4" hidden="1" x14ac:dyDescent="0.3">
      <c r="A4428" t="s">
        <v>554</v>
      </c>
      <c r="B4428" t="s">
        <v>137</v>
      </c>
      <c r="C4428" s="1">
        <f>HYPERLINK("https://cao.dolgi.msk.ru/account/1011093032/", 1011093032)</f>
        <v>1011093032</v>
      </c>
      <c r="D4428">
        <v>0</v>
      </c>
    </row>
    <row r="4429" spans="1:4" hidden="1" x14ac:dyDescent="0.3">
      <c r="A4429" t="s">
        <v>554</v>
      </c>
      <c r="B4429" t="s">
        <v>138</v>
      </c>
      <c r="C4429" s="1">
        <f>HYPERLINK("https://cao.dolgi.msk.ru/account/1011092427/", 1011092427)</f>
        <v>1011092427</v>
      </c>
      <c r="D4429">
        <v>0</v>
      </c>
    </row>
    <row r="4430" spans="1:4" hidden="1" x14ac:dyDescent="0.3">
      <c r="A4430" t="s">
        <v>554</v>
      </c>
      <c r="B4430" t="s">
        <v>139</v>
      </c>
      <c r="C4430" s="1">
        <f>HYPERLINK("https://cao.dolgi.msk.ru/account/1011092769/", 1011092769)</f>
        <v>1011092769</v>
      </c>
      <c r="D4430">
        <v>0</v>
      </c>
    </row>
    <row r="4431" spans="1:4" hidden="1" x14ac:dyDescent="0.3">
      <c r="A4431" t="s">
        <v>554</v>
      </c>
      <c r="B4431" t="s">
        <v>140</v>
      </c>
      <c r="C4431" s="1">
        <f>HYPERLINK("https://cao.dolgi.msk.ru/account/1011094027/", 1011094027)</f>
        <v>1011094027</v>
      </c>
      <c r="D4431">
        <v>0</v>
      </c>
    </row>
    <row r="4432" spans="1:4" x14ac:dyDescent="0.3">
      <c r="A4432" t="s">
        <v>554</v>
      </c>
      <c r="B4432" t="s">
        <v>141</v>
      </c>
      <c r="C4432" s="1">
        <f>HYPERLINK("https://cao.dolgi.msk.ru/account/1011092435/", 1011092435)</f>
        <v>1011092435</v>
      </c>
      <c r="D4432">
        <v>7505.87</v>
      </c>
    </row>
    <row r="4433" spans="1:4" hidden="1" x14ac:dyDescent="0.3">
      <c r="A4433" t="s">
        <v>554</v>
      </c>
      <c r="B4433" t="s">
        <v>142</v>
      </c>
      <c r="C4433" s="1">
        <f>HYPERLINK("https://cao.dolgi.msk.ru/account/1011093526/", 1011093526)</f>
        <v>1011093526</v>
      </c>
      <c r="D4433">
        <v>0</v>
      </c>
    </row>
    <row r="4434" spans="1:4" hidden="1" x14ac:dyDescent="0.3">
      <c r="A4434" t="s">
        <v>554</v>
      </c>
      <c r="B4434" t="s">
        <v>143</v>
      </c>
      <c r="C4434" s="1">
        <f>HYPERLINK("https://cao.dolgi.msk.ru/account/1011092777/", 1011092777)</f>
        <v>1011092777</v>
      </c>
      <c r="D4434">
        <v>-67.150000000000006</v>
      </c>
    </row>
    <row r="4435" spans="1:4" hidden="1" x14ac:dyDescent="0.3">
      <c r="A4435" t="s">
        <v>554</v>
      </c>
      <c r="B4435" t="s">
        <v>144</v>
      </c>
      <c r="C4435" s="1">
        <f>HYPERLINK("https://cao.dolgi.msk.ru/account/1011093534/", 1011093534)</f>
        <v>1011093534</v>
      </c>
      <c r="D4435">
        <v>0</v>
      </c>
    </row>
    <row r="4436" spans="1:4" hidden="1" x14ac:dyDescent="0.3">
      <c r="A4436" t="s">
        <v>554</v>
      </c>
      <c r="B4436" t="s">
        <v>145</v>
      </c>
      <c r="C4436" s="1">
        <f>HYPERLINK("https://cao.dolgi.msk.ru/account/1011094035/", 1011094035)</f>
        <v>1011094035</v>
      </c>
      <c r="D4436">
        <v>0</v>
      </c>
    </row>
    <row r="4437" spans="1:4" hidden="1" x14ac:dyDescent="0.3">
      <c r="A4437" t="s">
        <v>554</v>
      </c>
      <c r="B4437" t="s">
        <v>146</v>
      </c>
      <c r="C4437" s="1">
        <f>HYPERLINK("https://cao.dolgi.msk.ru/account/1011093745/", 1011093745)</f>
        <v>1011093745</v>
      </c>
      <c r="D4437">
        <v>-5606.08</v>
      </c>
    </row>
    <row r="4438" spans="1:4" hidden="1" x14ac:dyDescent="0.3">
      <c r="A4438" t="s">
        <v>554</v>
      </c>
      <c r="B4438" t="s">
        <v>147</v>
      </c>
      <c r="C4438" s="1">
        <f>HYPERLINK("https://cao.dolgi.msk.ru/account/1011093059/", 1011093059)</f>
        <v>1011093059</v>
      </c>
      <c r="D4438">
        <v>-5583.2</v>
      </c>
    </row>
    <row r="4439" spans="1:4" hidden="1" x14ac:dyDescent="0.3">
      <c r="A4439" t="s">
        <v>554</v>
      </c>
      <c r="B4439" t="s">
        <v>148</v>
      </c>
      <c r="C4439" s="1">
        <f>HYPERLINK("https://cao.dolgi.msk.ru/account/1011094043/", 1011094043)</f>
        <v>1011094043</v>
      </c>
      <c r="D4439">
        <v>-4815.08</v>
      </c>
    </row>
    <row r="4440" spans="1:4" hidden="1" x14ac:dyDescent="0.3">
      <c r="A4440" t="s">
        <v>554</v>
      </c>
      <c r="B4440" t="s">
        <v>149</v>
      </c>
      <c r="C4440" s="1">
        <f>HYPERLINK("https://cao.dolgi.msk.ru/account/1011092144/", 1011092144)</f>
        <v>1011092144</v>
      </c>
      <c r="D4440">
        <v>0</v>
      </c>
    </row>
    <row r="4441" spans="1:4" hidden="1" x14ac:dyDescent="0.3">
      <c r="A4441" t="s">
        <v>554</v>
      </c>
      <c r="B4441" t="s">
        <v>150</v>
      </c>
      <c r="C4441" s="1">
        <f>HYPERLINK("https://cao.dolgi.msk.ru/account/1011092152/", 1011092152)</f>
        <v>1011092152</v>
      </c>
      <c r="D4441">
        <v>0</v>
      </c>
    </row>
    <row r="4442" spans="1:4" hidden="1" x14ac:dyDescent="0.3">
      <c r="A4442" t="s">
        <v>554</v>
      </c>
      <c r="B4442" t="s">
        <v>151</v>
      </c>
      <c r="C4442" s="1">
        <f>HYPERLINK("https://cao.dolgi.msk.ru/account/1011094051/", 1011094051)</f>
        <v>1011094051</v>
      </c>
      <c r="D4442">
        <v>0</v>
      </c>
    </row>
    <row r="4443" spans="1:4" hidden="1" x14ac:dyDescent="0.3">
      <c r="A4443" t="s">
        <v>554</v>
      </c>
      <c r="B4443" t="s">
        <v>152</v>
      </c>
      <c r="C4443" s="1">
        <f>HYPERLINK("https://cao.dolgi.msk.ru/account/1011094078/", 1011094078)</f>
        <v>1011094078</v>
      </c>
      <c r="D4443">
        <v>-73.8</v>
      </c>
    </row>
    <row r="4444" spans="1:4" hidden="1" x14ac:dyDescent="0.3">
      <c r="A4444" t="s">
        <v>554</v>
      </c>
      <c r="B4444" t="s">
        <v>153</v>
      </c>
      <c r="C4444" s="1">
        <f>HYPERLINK("https://cao.dolgi.msk.ru/account/1011092785/", 1011092785)</f>
        <v>1011092785</v>
      </c>
      <c r="D4444">
        <v>-7664.67</v>
      </c>
    </row>
    <row r="4445" spans="1:4" hidden="1" x14ac:dyDescent="0.3">
      <c r="A4445" t="s">
        <v>554</v>
      </c>
      <c r="B4445" t="s">
        <v>154</v>
      </c>
      <c r="C4445" s="1">
        <f>HYPERLINK("https://cao.dolgi.msk.ru/account/1011093753/", 1011093753)</f>
        <v>1011093753</v>
      </c>
      <c r="D4445">
        <v>-4370.21</v>
      </c>
    </row>
    <row r="4446" spans="1:4" hidden="1" x14ac:dyDescent="0.3">
      <c r="A4446" t="s">
        <v>554</v>
      </c>
      <c r="B4446" t="s">
        <v>155</v>
      </c>
      <c r="C4446" s="1">
        <f>HYPERLINK("https://cao.dolgi.msk.ru/account/1011092443/", 1011092443)</f>
        <v>1011092443</v>
      </c>
      <c r="D4446">
        <v>0</v>
      </c>
    </row>
    <row r="4447" spans="1:4" hidden="1" x14ac:dyDescent="0.3">
      <c r="A4447" t="s">
        <v>554</v>
      </c>
      <c r="B4447" t="s">
        <v>156</v>
      </c>
      <c r="C4447" s="1">
        <f>HYPERLINK("https://cao.dolgi.msk.ru/account/1011092451/", 1011092451)</f>
        <v>1011092451</v>
      </c>
      <c r="D4447">
        <v>0</v>
      </c>
    </row>
    <row r="4448" spans="1:4" hidden="1" x14ac:dyDescent="0.3">
      <c r="A4448" t="s">
        <v>554</v>
      </c>
      <c r="B4448" t="s">
        <v>157</v>
      </c>
      <c r="C4448" s="1">
        <f>HYPERLINK("https://cao.dolgi.msk.ru/account/1011092793/", 1011092793)</f>
        <v>1011092793</v>
      </c>
      <c r="D4448">
        <v>0</v>
      </c>
    </row>
    <row r="4449" spans="1:4" hidden="1" x14ac:dyDescent="0.3">
      <c r="A4449" t="s">
        <v>554</v>
      </c>
      <c r="B4449" t="s">
        <v>158</v>
      </c>
      <c r="C4449" s="1">
        <f>HYPERLINK("https://cao.dolgi.msk.ru/account/1011093542/", 1011093542)</f>
        <v>1011093542</v>
      </c>
      <c r="D4449">
        <v>0</v>
      </c>
    </row>
    <row r="4450" spans="1:4" hidden="1" x14ac:dyDescent="0.3">
      <c r="A4450" t="s">
        <v>554</v>
      </c>
      <c r="B4450" t="s">
        <v>159</v>
      </c>
      <c r="C4450" s="1">
        <f>HYPERLINK("https://cao.dolgi.msk.ru/account/1011093761/", 1011093761)</f>
        <v>1011093761</v>
      </c>
      <c r="D4450">
        <v>-1031.06</v>
      </c>
    </row>
    <row r="4451" spans="1:4" x14ac:dyDescent="0.3">
      <c r="A4451" t="s">
        <v>554</v>
      </c>
      <c r="B4451" t="s">
        <v>160</v>
      </c>
      <c r="C4451" s="1">
        <f>HYPERLINK("https://cao.dolgi.msk.ru/account/1011094182/", 1011094182)</f>
        <v>1011094182</v>
      </c>
      <c r="D4451">
        <v>6018.31</v>
      </c>
    </row>
    <row r="4452" spans="1:4" x14ac:dyDescent="0.3">
      <c r="A4452" t="s">
        <v>554</v>
      </c>
      <c r="B4452" t="s">
        <v>161</v>
      </c>
      <c r="C4452" s="1">
        <f>HYPERLINK("https://cao.dolgi.msk.ru/account/1011093067/", 1011093067)</f>
        <v>1011093067</v>
      </c>
      <c r="D4452">
        <v>7942.15</v>
      </c>
    </row>
    <row r="4453" spans="1:4" hidden="1" x14ac:dyDescent="0.3">
      <c r="A4453" t="s">
        <v>554</v>
      </c>
      <c r="B4453" t="s">
        <v>162</v>
      </c>
      <c r="C4453" s="1">
        <f>HYPERLINK("https://cao.dolgi.msk.ru/account/1011094086/", 1011094086)</f>
        <v>1011094086</v>
      </c>
      <c r="D4453">
        <v>-5919.88</v>
      </c>
    </row>
    <row r="4454" spans="1:4" hidden="1" x14ac:dyDescent="0.3">
      <c r="A4454" t="s">
        <v>554</v>
      </c>
      <c r="B4454" t="s">
        <v>163</v>
      </c>
      <c r="C4454" s="1">
        <f>HYPERLINK("https://cao.dolgi.msk.ru/account/1011092806/", 1011092806)</f>
        <v>1011092806</v>
      </c>
      <c r="D4454">
        <v>-83.42</v>
      </c>
    </row>
    <row r="4455" spans="1:4" hidden="1" x14ac:dyDescent="0.3">
      <c r="A4455" t="s">
        <v>554</v>
      </c>
      <c r="B4455" t="s">
        <v>164</v>
      </c>
      <c r="C4455" s="1">
        <f>HYPERLINK("https://cao.dolgi.msk.ru/account/1011092179/", 1011092179)</f>
        <v>1011092179</v>
      </c>
      <c r="D4455">
        <v>0</v>
      </c>
    </row>
    <row r="4456" spans="1:4" hidden="1" x14ac:dyDescent="0.3">
      <c r="A4456" t="s">
        <v>554</v>
      </c>
      <c r="B4456" t="s">
        <v>165</v>
      </c>
      <c r="C4456" s="1">
        <f>HYPERLINK("https://cao.dolgi.msk.ru/account/1011092187/", 1011092187)</f>
        <v>1011092187</v>
      </c>
      <c r="D4456">
        <v>0</v>
      </c>
    </row>
    <row r="4457" spans="1:4" x14ac:dyDescent="0.3">
      <c r="A4457" t="s">
        <v>554</v>
      </c>
      <c r="B4457" t="s">
        <v>166</v>
      </c>
      <c r="C4457" s="1">
        <f>HYPERLINK("https://cao.dolgi.msk.ru/account/1011093788/", 1011093788)</f>
        <v>1011093788</v>
      </c>
      <c r="D4457">
        <v>6405.11</v>
      </c>
    </row>
    <row r="4458" spans="1:4" x14ac:dyDescent="0.3">
      <c r="A4458" t="s">
        <v>554</v>
      </c>
      <c r="B4458" t="s">
        <v>167</v>
      </c>
      <c r="C4458" s="1">
        <f>HYPERLINK("https://cao.dolgi.msk.ru/account/1011094094/", 1011094094)</f>
        <v>1011094094</v>
      </c>
      <c r="D4458">
        <v>5678.3</v>
      </c>
    </row>
    <row r="4459" spans="1:4" hidden="1" x14ac:dyDescent="0.3">
      <c r="A4459" t="s">
        <v>554</v>
      </c>
      <c r="B4459" t="s">
        <v>168</v>
      </c>
      <c r="C4459" s="1">
        <f>HYPERLINK("https://cao.dolgi.msk.ru/account/1011092478/", 1011092478)</f>
        <v>1011092478</v>
      </c>
      <c r="D4459">
        <v>0</v>
      </c>
    </row>
    <row r="4460" spans="1:4" hidden="1" x14ac:dyDescent="0.3">
      <c r="A4460" t="s">
        <v>554</v>
      </c>
      <c r="B4460" t="s">
        <v>169</v>
      </c>
      <c r="C4460" s="1">
        <f>HYPERLINK("https://cao.dolgi.msk.ru/account/1011092814/", 1011092814)</f>
        <v>1011092814</v>
      </c>
      <c r="D4460">
        <v>0</v>
      </c>
    </row>
    <row r="4461" spans="1:4" hidden="1" x14ac:dyDescent="0.3">
      <c r="A4461" t="s">
        <v>554</v>
      </c>
      <c r="B4461" t="s">
        <v>170</v>
      </c>
      <c r="C4461" s="1">
        <f>HYPERLINK("https://cao.dolgi.msk.ru/account/1011094107/", 1011094107)</f>
        <v>1011094107</v>
      </c>
      <c r="D4461">
        <v>0</v>
      </c>
    </row>
    <row r="4462" spans="1:4" hidden="1" x14ac:dyDescent="0.3">
      <c r="A4462" t="s">
        <v>554</v>
      </c>
      <c r="B4462" t="s">
        <v>171</v>
      </c>
      <c r="C4462" s="1">
        <f>HYPERLINK("https://cao.dolgi.msk.ru/account/1011092486/", 1011092486)</f>
        <v>1011092486</v>
      </c>
      <c r="D4462">
        <v>-6435.06</v>
      </c>
    </row>
    <row r="4463" spans="1:4" hidden="1" x14ac:dyDescent="0.3">
      <c r="A4463" t="s">
        <v>554</v>
      </c>
      <c r="B4463" t="s">
        <v>172</v>
      </c>
      <c r="C4463" s="1">
        <f>HYPERLINK("https://cao.dolgi.msk.ru/account/1011093323/", 1011093323)</f>
        <v>1011093323</v>
      </c>
      <c r="D4463">
        <v>0</v>
      </c>
    </row>
    <row r="4464" spans="1:4" hidden="1" x14ac:dyDescent="0.3">
      <c r="A4464" t="s">
        <v>554</v>
      </c>
      <c r="B4464" t="s">
        <v>173</v>
      </c>
      <c r="C4464" s="1">
        <f>HYPERLINK("https://cao.dolgi.msk.ru/account/1011093091/", 1011093091)</f>
        <v>1011093091</v>
      </c>
      <c r="D4464">
        <v>-212.48</v>
      </c>
    </row>
    <row r="4465" spans="1:4" hidden="1" x14ac:dyDescent="0.3">
      <c r="A4465" t="s">
        <v>554</v>
      </c>
      <c r="B4465" t="s">
        <v>174</v>
      </c>
      <c r="C4465" s="1">
        <f>HYPERLINK("https://cao.dolgi.msk.ru/account/1011093796/", 1011093796)</f>
        <v>1011093796</v>
      </c>
      <c r="D4465">
        <v>0</v>
      </c>
    </row>
    <row r="4466" spans="1:4" hidden="1" x14ac:dyDescent="0.3">
      <c r="A4466" t="s">
        <v>554</v>
      </c>
      <c r="B4466" t="s">
        <v>175</v>
      </c>
      <c r="C4466" s="1">
        <f>HYPERLINK("https://cao.dolgi.msk.ru/account/1011094115/", 1011094115)</f>
        <v>1011094115</v>
      </c>
      <c r="D4466">
        <v>-5204.5</v>
      </c>
    </row>
    <row r="4467" spans="1:4" hidden="1" x14ac:dyDescent="0.3">
      <c r="A4467" t="s">
        <v>554</v>
      </c>
      <c r="B4467" t="s">
        <v>176</v>
      </c>
      <c r="C4467" s="1">
        <f>HYPERLINK("https://cao.dolgi.msk.ru/account/1011092822/", 1011092822)</f>
        <v>1011092822</v>
      </c>
      <c r="D4467">
        <v>-5780.92</v>
      </c>
    </row>
    <row r="4468" spans="1:4" hidden="1" x14ac:dyDescent="0.3">
      <c r="A4468" t="s">
        <v>554</v>
      </c>
      <c r="B4468" t="s">
        <v>177</v>
      </c>
      <c r="C4468" s="1">
        <f>HYPERLINK("https://cao.dolgi.msk.ru/account/1011093075/", 1011093075)</f>
        <v>1011093075</v>
      </c>
      <c r="D4468">
        <v>0</v>
      </c>
    </row>
    <row r="4469" spans="1:4" hidden="1" x14ac:dyDescent="0.3">
      <c r="A4469" t="s">
        <v>554</v>
      </c>
      <c r="B4469" t="s">
        <v>178</v>
      </c>
      <c r="C4469" s="1">
        <f>HYPERLINK("https://cao.dolgi.msk.ru/account/1011092494/", 1011092494)</f>
        <v>1011092494</v>
      </c>
      <c r="D4469">
        <v>0</v>
      </c>
    </row>
    <row r="4470" spans="1:4" hidden="1" x14ac:dyDescent="0.3">
      <c r="A4470" t="s">
        <v>554</v>
      </c>
      <c r="B4470" t="s">
        <v>179</v>
      </c>
      <c r="C4470" s="1">
        <f>HYPERLINK("https://cao.dolgi.msk.ru/account/1011094123/", 1011094123)</f>
        <v>1011094123</v>
      </c>
      <c r="D4470">
        <v>-5920.32</v>
      </c>
    </row>
    <row r="4471" spans="1:4" hidden="1" x14ac:dyDescent="0.3">
      <c r="A4471" t="s">
        <v>554</v>
      </c>
      <c r="B4471" t="s">
        <v>273</v>
      </c>
      <c r="C4471" s="1">
        <f>HYPERLINK("https://cao.dolgi.msk.ru/account/1011092507/", 1011092507)</f>
        <v>1011092507</v>
      </c>
      <c r="D4471">
        <v>0</v>
      </c>
    </row>
    <row r="4472" spans="1:4" x14ac:dyDescent="0.3">
      <c r="A4472" t="s">
        <v>554</v>
      </c>
      <c r="B4472" t="s">
        <v>180</v>
      </c>
      <c r="C4472" s="1">
        <f>HYPERLINK("https://cao.dolgi.msk.ru/account/1011093083/", 1011093083)</f>
        <v>1011093083</v>
      </c>
      <c r="D4472">
        <v>4425.4799999999996</v>
      </c>
    </row>
    <row r="4473" spans="1:4" hidden="1" x14ac:dyDescent="0.3">
      <c r="A4473" t="s">
        <v>554</v>
      </c>
      <c r="B4473" t="s">
        <v>181</v>
      </c>
      <c r="C4473" s="1">
        <f>HYPERLINK("https://cao.dolgi.msk.ru/account/1011092849/", 1011092849)</f>
        <v>1011092849</v>
      </c>
      <c r="D4473">
        <v>-5399.4</v>
      </c>
    </row>
    <row r="4474" spans="1:4" hidden="1" x14ac:dyDescent="0.3">
      <c r="A4474" t="s">
        <v>554</v>
      </c>
      <c r="B4474" t="s">
        <v>182</v>
      </c>
      <c r="C4474" s="1">
        <f>HYPERLINK("https://cao.dolgi.msk.ru/account/1011093809/", 1011093809)</f>
        <v>1011093809</v>
      </c>
      <c r="D4474">
        <v>0</v>
      </c>
    </row>
    <row r="4475" spans="1:4" hidden="1" x14ac:dyDescent="0.3">
      <c r="A4475" t="s">
        <v>554</v>
      </c>
      <c r="B4475" t="s">
        <v>183</v>
      </c>
      <c r="C4475" s="1">
        <f>HYPERLINK("https://cao.dolgi.msk.ru/account/1011093817/", 1011093817)</f>
        <v>1011093817</v>
      </c>
      <c r="D4475">
        <v>0</v>
      </c>
    </row>
    <row r="4476" spans="1:4" hidden="1" x14ac:dyDescent="0.3">
      <c r="A4476" t="s">
        <v>554</v>
      </c>
      <c r="B4476" t="s">
        <v>184</v>
      </c>
      <c r="C4476" s="1">
        <f>HYPERLINK("https://cao.dolgi.msk.ru/account/1011092857/", 1011092857)</f>
        <v>1011092857</v>
      </c>
      <c r="D4476">
        <v>0</v>
      </c>
    </row>
    <row r="4477" spans="1:4" hidden="1" x14ac:dyDescent="0.3">
      <c r="A4477" t="s">
        <v>554</v>
      </c>
      <c r="B4477" t="s">
        <v>185</v>
      </c>
      <c r="C4477" s="1">
        <f>HYPERLINK("https://cao.dolgi.msk.ru/account/1011092195/", 1011092195)</f>
        <v>1011092195</v>
      </c>
      <c r="D4477">
        <v>0</v>
      </c>
    </row>
    <row r="4478" spans="1:4" hidden="1" x14ac:dyDescent="0.3">
      <c r="A4478" t="s">
        <v>554</v>
      </c>
      <c r="B4478" t="s">
        <v>274</v>
      </c>
      <c r="C4478" s="1">
        <f>HYPERLINK("https://cao.dolgi.msk.ru/account/1011092208/", 1011092208)</f>
        <v>1011092208</v>
      </c>
      <c r="D4478">
        <v>0</v>
      </c>
    </row>
    <row r="4479" spans="1:4" hidden="1" x14ac:dyDescent="0.3">
      <c r="A4479" t="s">
        <v>554</v>
      </c>
      <c r="B4479" t="s">
        <v>186</v>
      </c>
      <c r="C4479" s="1">
        <f>HYPERLINK("https://cao.dolgi.msk.ru/account/1011093569/", 1011093569)</f>
        <v>1011093569</v>
      </c>
      <c r="D4479">
        <v>-5715.45</v>
      </c>
    </row>
    <row r="4480" spans="1:4" hidden="1" x14ac:dyDescent="0.3">
      <c r="A4480" t="s">
        <v>554</v>
      </c>
      <c r="B4480" t="s">
        <v>187</v>
      </c>
      <c r="C4480" s="1">
        <f>HYPERLINK("https://cao.dolgi.msk.ru/account/1011092515/", 1011092515)</f>
        <v>1011092515</v>
      </c>
      <c r="D4480">
        <v>0</v>
      </c>
    </row>
    <row r="4481" spans="1:4" hidden="1" x14ac:dyDescent="0.3">
      <c r="A4481" t="s">
        <v>554</v>
      </c>
      <c r="B4481" t="s">
        <v>188</v>
      </c>
      <c r="C4481" s="1">
        <f>HYPERLINK("https://cao.dolgi.msk.ru/account/1011093577/", 1011093577)</f>
        <v>1011093577</v>
      </c>
      <c r="D4481">
        <v>0</v>
      </c>
    </row>
    <row r="4482" spans="1:4" hidden="1" x14ac:dyDescent="0.3">
      <c r="A4482" t="s">
        <v>554</v>
      </c>
      <c r="B4482" t="s">
        <v>189</v>
      </c>
      <c r="C4482" s="1">
        <f>HYPERLINK("https://cao.dolgi.msk.ru/account/1011092216/", 1011092216)</f>
        <v>1011092216</v>
      </c>
      <c r="D4482">
        <v>-172.92</v>
      </c>
    </row>
    <row r="4483" spans="1:4" hidden="1" x14ac:dyDescent="0.3">
      <c r="A4483" t="s">
        <v>554</v>
      </c>
      <c r="B4483" t="s">
        <v>190</v>
      </c>
      <c r="C4483" s="1">
        <f>HYPERLINK("https://cao.dolgi.msk.ru/account/1011094131/", 1011094131)</f>
        <v>1011094131</v>
      </c>
      <c r="D4483">
        <v>0</v>
      </c>
    </row>
    <row r="4484" spans="1:4" hidden="1" x14ac:dyDescent="0.3">
      <c r="A4484" t="s">
        <v>554</v>
      </c>
      <c r="B4484" t="s">
        <v>191</v>
      </c>
      <c r="C4484" s="1">
        <f>HYPERLINK("https://cao.dolgi.msk.ru/account/1011093825/", 1011093825)</f>
        <v>1011093825</v>
      </c>
      <c r="D4484">
        <v>-7227.16</v>
      </c>
    </row>
    <row r="4485" spans="1:4" hidden="1" x14ac:dyDescent="0.3">
      <c r="A4485" t="s">
        <v>554</v>
      </c>
      <c r="B4485" t="s">
        <v>192</v>
      </c>
      <c r="C4485" s="1">
        <f>HYPERLINK("https://cao.dolgi.msk.ru/account/1011094158/", 1011094158)</f>
        <v>1011094158</v>
      </c>
      <c r="D4485">
        <v>-4750.03</v>
      </c>
    </row>
    <row r="4486" spans="1:4" hidden="1" x14ac:dyDescent="0.3">
      <c r="A4486" t="s">
        <v>554</v>
      </c>
      <c r="B4486" t="s">
        <v>325</v>
      </c>
      <c r="C4486" s="1">
        <f>HYPERLINK("https://cao.dolgi.msk.ru/account/1011093331/", 1011093331)</f>
        <v>1011093331</v>
      </c>
      <c r="D4486">
        <v>-3351.55</v>
      </c>
    </row>
    <row r="4487" spans="1:4" hidden="1" x14ac:dyDescent="0.3">
      <c r="A4487" t="s">
        <v>554</v>
      </c>
      <c r="B4487" t="s">
        <v>325</v>
      </c>
      <c r="C4487" s="1">
        <f>HYPERLINK("https://cao.dolgi.msk.ru/account/1011094174/", 1011094174)</f>
        <v>1011094174</v>
      </c>
      <c r="D4487">
        <v>-2952.59</v>
      </c>
    </row>
    <row r="4488" spans="1:4" hidden="1" x14ac:dyDescent="0.3">
      <c r="A4488" t="s">
        <v>554</v>
      </c>
      <c r="B4488" t="s">
        <v>193</v>
      </c>
      <c r="C4488" s="1">
        <f>HYPERLINK("https://cao.dolgi.msk.ru/account/1011092523/", 1011092523)</f>
        <v>1011092523</v>
      </c>
      <c r="D4488">
        <v>0</v>
      </c>
    </row>
    <row r="4489" spans="1:4" hidden="1" x14ac:dyDescent="0.3">
      <c r="A4489" t="s">
        <v>554</v>
      </c>
      <c r="B4489" t="s">
        <v>194</v>
      </c>
      <c r="C4489" s="1">
        <f>HYPERLINK("https://cao.dolgi.msk.ru/account/1011093833/", 1011093833)</f>
        <v>1011093833</v>
      </c>
      <c r="D4489">
        <v>-4779.1899999999996</v>
      </c>
    </row>
    <row r="4490" spans="1:4" hidden="1" x14ac:dyDescent="0.3">
      <c r="A4490" t="s">
        <v>554</v>
      </c>
      <c r="B4490" t="s">
        <v>195</v>
      </c>
      <c r="C4490" s="1">
        <f>HYPERLINK("https://cao.dolgi.msk.ru/account/1011093585/", 1011093585)</f>
        <v>1011093585</v>
      </c>
      <c r="D4490">
        <v>-707.14</v>
      </c>
    </row>
    <row r="4491" spans="1:4" hidden="1" x14ac:dyDescent="0.3">
      <c r="A4491" t="s">
        <v>554</v>
      </c>
      <c r="B4491" t="s">
        <v>195</v>
      </c>
      <c r="C4491" s="1">
        <f>HYPERLINK("https://cao.dolgi.msk.ru/account/1011093614/", 1011093614)</f>
        <v>1011093614</v>
      </c>
      <c r="D4491">
        <v>0</v>
      </c>
    </row>
    <row r="4492" spans="1:4" hidden="1" x14ac:dyDescent="0.3">
      <c r="A4492" t="s">
        <v>554</v>
      </c>
      <c r="B4492" t="s">
        <v>196</v>
      </c>
      <c r="C4492" s="1">
        <f>HYPERLINK("https://cao.dolgi.msk.ru/account/1011092224/", 1011092224)</f>
        <v>1011092224</v>
      </c>
      <c r="D4492">
        <v>-4658.54</v>
      </c>
    </row>
    <row r="4493" spans="1:4" hidden="1" x14ac:dyDescent="0.3">
      <c r="A4493" t="s">
        <v>554</v>
      </c>
      <c r="B4493" t="s">
        <v>197</v>
      </c>
      <c r="C4493" s="1">
        <f>HYPERLINK("https://cao.dolgi.msk.ru/account/1011093593/", 1011093593)</f>
        <v>1011093593</v>
      </c>
      <c r="D4493">
        <v>-2072.04</v>
      </c>
    </row>
    <row r="4494" spans="1:4" hidden="1" x14ac:dyDescent="0.3">
      <c r="A4494" t="s">
        <v>554</v>
      </c>
      <c r="B4494" t="s">
        <v>198</v>
      </c>
      <c r="C4494" s="1">
        <f>HYPERLINK("https://cao.dolgi.msk.ru/account/1011092865/", 1011092865)</f>
        <v>1011092865</v>
      </c>
      <c r="D4494">
        <v>-4386.8599999999997</v>
      </c>
    </row>
    <row r="4495" spans="1:4" hidden="1" x14ac:dyDescent="0.3">
      <c r="A4495" t="s">
        <v>554</v>
      </c>
      <c r="B4495" t="s">
        <v>199</v>
      </c>
      <c r="C4495" s="1">
        <f>HYPERLINK("https://cao.dolgi.msk.ru/account/1011092531/", 1011092531)</f>
        <v>1011092531</v>
      </c>
      <c r="D4495">
        <v>0</v>
      </c>
    </row>
    <row r="4496" spans="1:4" hidden="1" x14ac:dyDescent="0.3">
      <c r="A4496" t="s">
        <v>554</v>
      </c>
      <c r="B4496" t="s">
        <v>200</v>
      </c>
      <c r="C4496" s="1">
        <f>HYPERLINK("https://cao.dolgi.msk.ru/account/1011092558/", 1011092558)</f>
        <v>1011092558</v>
      </c>
      <c r="D4496">
        <v>0</v>
      </c>
    </row>
    <row r="4497" spans="1:4" x14ac:dyDescent="0.3">
      <c r="A4497" t="s">
        <v>555</v>
      </c>
      <c r="B4497" t="s">
        <v>18</v>
      </c>
      <c r="C4497" s="1">
        <f>HYPERLINK("https://cao.dolgi.msk.ru/account/1010307078/", 1010307078)</f>
        <v>1010307078</v>
      </c>
      <c r="D4497">
        <v>4450.8100000000004</v>
      </c>
    </row>
    <row r="4498" spans="1:4" hidden="1" x14ac:dyDescent="0.3">
      <c r="A4498" t="s">
        <v>555</v>
      </c>
      <c r="B4498" t="s">
        <v>18</v>
      </c>
      <c r="C4498" s="1">
        <f>HYPERLINK("https://cao.dolgi.msk.ru/account/1011021469/", 1011021469)</f>
        <v>1011021469</v>
      </c>
      <c r="D4498">
        <v>-64</v>
      </c>
    </row>
    <row r="4499" spans="1:4" x14ac:dyDescent="0.3">
      <c r="A4499" t="s">
        <v>555</v>
      </c>
      <c r="B4499" t="s">
        <v>19</v>
      </c>
      <c r="C4499" s="1">
        <f>HYPERLINK("https://cao.dolgi.msk.ru/account/1010307086/", 1010307086)</f>
        <v>1010307086</v>
      </c>
      <c r="D4499">
        <v>4041.57</v>
      </c>
    </row>
    <row r="4500" spans="1:4" x14ac:dyDescent="0.3">
      <c r="A4500" t="s">
        <v>555</v>
      </c>
      <c r="B4500" t="s">
        <v>19</v>
      </c>
      <c r="C4500" s="1">
        <f>HYPERLINK("https://cao.dolgi.msk.ru/account/1011017902/", 1011017902)</f>
        <v>1011017902</v>
      </c>
      <c r="D4500">
        <v>10799.83</v>
      </c>
    </row>
    <row r="4501" spans="1:4" x14ac:dyDescent="0.3">
      <c r="A4501" t="s">
        <v>555</v>
      </c>
      <c r="B4501" t="s">
        <v>20</v>
      </c>
      <c r="C4501" s="1">
        <f>HYPERLINK("https://cao.dolgi.msk.ru/account/1010307094/", 1010307094)</f>
        <v>1010307094</v>
      </c>
      <c r="D4501">
        <v>8794.1299999999992</v>
      </c>
    </row>
    <row r="4502" spans="1:4" x14ac:dyDescent="0.3">
      <c r="A4502" t="s">
        <v>555</v>
      </c>
      <c r="B4502" t="s">
        <v>20</v>
      </c>
      <c r="C4502" s="1">
        <f>HYPERLINK("https://cao.dolgi.msk.ru/account/1011017929/", 1011017929)</f>
        <v>1011017929</v>
      </c>
      <c r="D4502">
        <v>4620.49</v>
      </c>
    </row>
    <row r="4503" spans="1:4" x14ac:dyDescent="0.3">
      <c r="A4503" t="s">
        <v>555</v>
      </c>
      <c r="B4503" t="s">
        <v>21</v>
      </c>
      <c r="C4503" s="1">
        <f>HYPERLINK("https://cao.dolgi.msk.ru/account/1011541464/", 1011541464)</f>
        <v>1011541464</v>
      </c>
      <c r="D4503">
        <v>3906.59</v>
      </c>
    </row>
    <row r="4504" spans="1:4" hidden="1" x14ac:dyDescent="0.3">
      <c r="A4504" t="s">
        <v>555</v>
      </c>
      <c r="B4504" t="s">
        <v>22</v>
      </c>
      <c r="C4504" s="1">
        <f>HYPERLINK("https://cao.dolgi.msk.ru/account/1010307115/", 1010307115)</f>
        <v>1010307115</v>
      </c>
      <c r="D4504">
        <v>-251.01</v>
      </c>
    </row>
    <row r="4505" spans="1:4" hidden="1" x14ac:dyDescent="0.3">
      <c r="A4505" t="s">
        <v>555</v>
      </c>
      <c r="B4505" t="s">
        <v>22</v>
      </c>
      <c r="C4505" s="1">
        <f>HYPERLINK("https://cao.dolgi.msk.ru/account/1010307123/", 1010307123)</f>
        <v>1010307123</v>
      </c>
      <c r="D4505">
        <v>0</v>
      </c>
    </row>
    <row r="4506" spans="1:4" hidden="1" x14ac:dyDescent="0.3">
      <c r="A4506" t="s">
        <v>555</v>
      </c>
      <c r="B4506" t="s">
        <v>22</v>
      </c>
      <c r="C4506" s="1">
        <f>HYPERLINK("https://cao.dolgi.msk.ru/account/1010307131/", 1010307131)</f>
        <v>1010307131</v>
      </c>
      <c r="D4506">
        <v>0</v>
      </c>
    </row>
    <row r="4507" spans="1:4" hidden="1" x14ac:dyDescent="0.3">
      <c r="A4507" t="s">
        <v>555</v>
      </c>
      <c r="B4507" t="s">
        <v>22</v>
      </c>
      <c r="C4507" s="1">
        <f>HYPERLINK("https://cao.dolgi.msk.ru/account/1010307158/", 1010307158)</f>
        <v>1010307158</v>
      </c>
      <c r="D4507">
        <v>-292.31</v>
      </c>
    </row>
    <row r="4508" spans="1:4" hidden="1" x14ac:dyDescent="0.3">
      <c r="A4508" t="s">
        <v>555</v>
      </c>
      <c r="B4508" t="s">
        <v>24</v>
      </c>
      <c r="C4508" s="1">
        <f>HYPERLINK("https://cao.dolgi.msk.ru/account/1010307166/", 1010307166)</f>
        <v>1010307166</v>
      </c>
      <c r="D4508">
        <v>-4560.83</v>
      </c>
    </row>
    <row r="4509" spans="1:4" x14ac:dyDescent="0.3">
      <c r="A4509" t="s">
        <v>555</v>
      </c>
      <c r="B4509" t="s">
        <v>25</v>
      </c>
      <c r="C4509" s="1">
        <f>HYPERLINK("https://cao.dolgi.msk.ru/account/1011017937/", 1011017937)</f>
        <v>1011017937</v>
      </c>
      <c r="D4509">
        <v>12883.34</v>
      </c>
    </row>
    <row r="4510" spans="1:4" hidden="1" x14ac:dyDescent="0.3">
      <c r="A4510" t="s">
        <v>555</v>
      </c>
      <c r="B4510" t="s">
        <v>26</v>
      </c>
      <c r="C4510" s="1">
        <f>HYPERLINK("https://cao.dolgi.msk.ru/account/1010307182/", 1010307182)</f>
        <v>1010307182</v>
      </c>
      <c r="D4510">
        <v>-49.56</v>
      </c>
    </row>
    <row r="4511" spans="1:4" x14ac:dyDescent="0.3">
      <c r="A4511" t="s">
        <v>555</v>
      </c>
      <c r="B4511" t="s">
        <v>27</v>
      </c>
      <c r="C4511" s="1">
        <f>HYPERLINK("https://cao.dolgi.msk.ru/account/1010307203/", 1010307203)</f>
        <v>1010307203</v>
      </c>
      <c r="D4511">
        <v>11272.29</v>
      </c>
    </row>
    <row r="4512" spans="1:4" x14ac:dyDescent="0.3">
      <c r="A4512" t="s">
        <v>556</v>
      </c>
      <c r="B4512" t="s">
        <v>6</v>
      </c>
      <c r="C4512" s="1">
        <f>HYPERLINK("https://cao.dolgi.msk.ru/account/1010307211/", 1010307211)</f>
        <v>1010307211</v>
      </c>
      <c r="D4512">
        <v>6854</v>
      </c>
    </row>
    <row r="4513" spans="1:4" hidden="1" x14ac:dyDescent="0.3">
      <c r="A4513" t="s">
        <v>556</v>
      </c>
      <c r="B4513" t="s">
        <v>6</v>
      </c>
      <c r="C4513" s="1">
        <f>HYPERLINK("https://cao.dolgi.msk.ru/account/1010307238/", 1010307238)</f>
        <v>1010307238</v>
      </c>
      <c r="D4513">
        <v>-2003.35</v>
      </c>
    </row>
    <row r="4514" spans="1:4" x14ac:dyDescent="0.3">
      <c r="A4514" t="s">
        <v>556</v>
      </c>
      <c r="B4514" t="s">
        <v>6</v>
      </c>
      <c r="C4514" s="1">
        <f>HYPERLINK("https://cao.dolgi.msk.ru/account/1010307246/", 1010307246)</f>
        <v>1010307246</v>
      </c>
      <c r="D4514">
        <v>8191.72</v>
      </c>
    </row>
    <row r="4515" spans="1:4" x14ac:dyDescent="0.3">
      <c r="A4515" t="s">
        <v>556</v>
      </c>
      <c r="B4515" t="s">
        <v>6</v>
      </c>
      <c r="C4515" s="1">
        <f>HYPERLINK("https://cao.dolgi.msk.ru/account/1010307254/", 1010307254)</f>
        <v>1010307254</v>
      </c>
      <c r="D4515">
        <v>1563.2</v>
      </c>
    </row>
    <row r="4516" spans="1:4" hidden="1" x14ac:dyDescent="0.3">
      <c r="A4516" t="s">
        <v>556</v>
      </c>
      <c r="B4516" t="s">
        <v>6</v>
      </c>
      <c r="C4516" s="1">
        <f>HYPERLINK("https://cao.dolgi.msk.ru/account/1010307262/", 1010307262)</f>
        <v>1010307262</v>
      </c>
      <c r="D4516">
        <v>-11122.21</v>
      </c>
    </row>
    <row r="4517" spans="1:4" hidden="1" x14ac:dyDescent="0.3">
      <c r="A4517" t="s">
        <v>556</v>
      </c>
      <c r="B4517" t="s">
        <v>6</v>
      </c>
      <c r="C4517" s="1">
        <f>HYPERLINK("https://cao.dolgi.msk.ru/account/1010307289/", 1010307289)</f>
        <v>1010307289</v>
      </c>
      <c r="D4517">
        <v>-17.43</v>
      </c>
    </row>
    <row r="4518" spans="1:4" hidden="1" x14ac:dyDescent="0.3">
      <c r="A4518" t="s">
        <v>556</v>
      </c>
      <c r="B4518" t="s">
        <v>6</v>
      </c>
      <c r="C4518" s="1">
        <f>HYPERLINK("https://cao.dolgi.msk.ru/account/1011012183/", 1011012183)</f>
        <v>1011012183</v>
      </c>
      <c r="D4518">
        <v>0</v>
      </c>
    </row>
    <row r="4519" spans="1:4" hidden="1" x14ac:dyDescent="0.3">
      <c r="A4519" t="s">
        <v>556</v>
      </c>
      <c r="B4519" t="s">
        <v>6</v>
      </c>
      <c r="C4519" s="1">
        <f>HYPERLINK("https://cao.dolgi.msk.ru/account/1011012191/", 1011012191)</f>
        <v>1011012191</v>
      </c>
      <c r="D4519">
        <v>0</v>
      </c>
    </row>
    <row r="4520" spans="1:4" hidden="1" x14ac:dyDescent="0.3">
      <c r="A4520" t="s">
        <v>556</v>
      </c>
      <c r="B4520" t="s">
        <v>6</v>
      </c>
      <c r="C4520" s="1">
        <f>HYPERLINK("https://cao.dolgi.msk.ru/account/1011130745/", 1011130745)</f>
        <v>1011130745</v>
      </c>
      <c r="D4520">
        <v>0</v>
      </c>
    </row>
    <row r="4521" spans="1:4" hidden="1" x14ac:dyDescent="0.3">
      <c r="A4521" t="s">
        <v>556</v>
      </c>
      <c r="B4521" t="s">
        <v>28</v>
      </c>
      <c r="C4521" s="1">
        <f>HYPERLINK("https://cao.dolgi.msk.ru/account/1010307318/", 1010307318)</f>
        <v>1010307318</v>
      </c>
      <c r="D4521">
        <v>-4572.84</v>
      </c>
    </row>
    <row r="4522" spans="1:4" hidden="1" x14ac:dyDescent="0.3">
      <c r="A4522" t="s">
        <v>556</v>
      </c>
      <c r="B4522" t="s">
        <v>28</v>
      </c>
      <c r="C4522" s="1">
        <f>HYPERLINK("https://cao.dolgi.msk.ru/account/1010307326/", 1010307326)</f>
        <v>1010307326</v>
      </c>
      <c r="D4522">
        <v>-657.25</v>
      </c>
    </row>
    <row r="4523" spans="1:4" hidden="1" x14ac:dyDescent="0.3">
      <c r="A4523" t="s">
        <v>556</v>
      </c>
      <c r="B4523" t="s">
        <v>28</v>
      </c>
      <c r="C4523" s="1">
        <f>HYPERLINK("https://cao.dolgi.msk.ru/account/1010307334/", 1010307334)</f>
        <v>1010307334</v>
      </c>
      <c r="D4523">
        <v>-59.14</v>
      </c>
    </row>
    <row r="4524" spans="1:4" hidden="1" x14ac:dyDescent="0.3">
      <c r="A4524" t="s">
        <v>556</v>
      </c>
      <c r="B4524" t="s">
        <v>28</v>
      </c>
      <c r="C4524" s="1">
        <f>HYPERLINK("https://cao.dolgi.msk.ru/account/1010307342/", 1010307342)</f>
        <v>1010307342</v>
      </c>
      <c r="D4524">
        <v>-2490.8000000000002</v>
      </c>
    </row>
    <row r="4525" spans="1:4" hidden="1" x14ac:dyDescent="0.3">
      <c r="A4525" t="s">
        <v>556</v>
      </c>
      <c r="B4525" t="s">
        <v>28</v>
      </c>
      <c r="C4525" s="1">
        <f>HYPERLINK("https://cao.dolgi.msk.ru/account/1010307377/", 1010307377)</f>
        <v>1010307377</v>
      </c>
      <c r="D4525">
        <v>-644.35</v>
      </c>
    </row>
    <row r="4526" spans="1:4" hidden="1" x14ac:dyDescent="0.3">
      <c r="A4526" t="s">
        <v>556</v>
      </c>
      <c r="B4526" t="s">
        <v>28</v>
      </c>
      <c r="C4526" s="1">
        <f>HYPERLINK("https://cao.dolgi.msk.ru/account/1010307385/", 1010307385)</f>
        <v>1010307385</v>
      </c>
      <c r="D4526">
        <v>0</v>
      </c>
    </row>
    <row r="4527" spans="1:4" x14ac:dyDescent="0.3">
      <c r="A4527" t="s">
        <v>556</v>
      </c>
      <c r="B4527" t="s">
        <v>28</v>
      </c>
      <c r="C4527" s="1">
        <f>HYPERLINK("https://cao.dolgi.msk.ru/account/1010366916/", 1010366916)</f>
        <v>1010366916</v>
      </c>
      <c r="D4527">
        <v>31928.18</v>
      </c>
    </row>
    <row r="4528" spans="1:4" hidden="1" x14ac:dyDescent="0.3">
      <c r="A4528" t="s">
        <v>556</v>
      </c>
      <c r="B4528" t="s">
        <v>28</v>
      </c>
      <c r="C4528" s="1">
        <f>HYPERLINK("https://cao.dolgi.msk.ru/account/1010366967/", 1010366967)</f>
        <v>1010366967</v>
      </c>
      <c r="D4528">
        <v>-22.07</v>
      </c>
    </row>
    <row r="4529" spans="1:4" x14ac:dyDescent="0.3">
      <c r="A4529" t="s">
        <v>556</v>
      </c>
      <c r="B4529" t="s">
        <v>28</v>
      </c>
      <c r="C4529" s="1">
        <f>HYPERLINK("https://cao.dolgi.msk.ru/account/1011012677/", 1011012677)</f>
        <v>1011012677</v>
      </c>
      <c r="D4529">
        <v>4951.66</v>
      </c>
    </row>
    <row r="4530" spans="1:4" hidden="1" x14ac:dyDescent="0.3">
      <c r="A4530" t="s">
        <v>556</v>
      </c>
      <c r="B4530" t="s">
        <v>35</v>
      </c>
      <c r="C4530" s="1">
        <f>HYPERLINK("https://cao.dolgi.msk.ru/account/1010307393/", 1010307393)</f>
        <v>1010307393</v>
      </c>
      <c r="D4530">
        <v>-3219.04</v>
      </c>
    </row>
    <row r="4531" spans="1:4" hidden="1" x14ac:dyDescent="0.3">
      <c r="A4531" t="s">
        <v>556</v>
      </c>
      <c r="B4531" t="s">
        <v>35</v>
      </c>
      <c r="C4531" s="1">
        <f>HYPERLINK("https://cao.dolgi.msk.ru/account/1010307449/", 1010307449)</f>
        <v>1010307449</v>
      </c>
      <c r="D4531">
        <v>-7131.7</v>
      </c>
    </row>
    <row r="4532" spans="1:4" x14ac:dyDescent="0.3">
      <c r="A4532" t="s">
        <v>556</v>
      </c>
      <c r="B4532" t="s">
        <v>35</v>
      </c>
      <c r="C4532" s="1">
        <f>HYPERLINK("https://cao.dolgi.msk.ru/account/1010307457/", 1010307457)</f>
        <v>1010307457</v>
      </c>
      <c r="D4532">
        <v>4010.86</v>
      </c>
    </row>
    <row r="4533" spans="1:4" hidden="1" x14ac:dyDescent="0.3">
      <c r="A4533" t="s">
        <v>556</v>
      </c>
      <c r="B4533" t="s">
        <v>35</v>
      </c>
      <c r="C4533" s="1">
        <f>HYPERLINK("https://cao.dolgi.msk.ru/account/1010307465/", 1010307465)</f>
        <v>1010307465</v>
      </c>
      <c r="D4533">
        <v>-7480.06</v>
      </c>
    </row>
    <row r="4534" spans="1:4" hidden="1" x14ac:dyDescent="0.3">
      <c r="A4534" t="s">
        <v>556</v>
      </c>
      <c r="B4534" t="s">
        <v>35</v>
      </c>
      <c r="C4534" s="1">
        <f>HYPERLINK("https://cao.dolgi.msk.ru/account/1010307473/", 1010307473)</f>
        <v>1010307473</v>
      </c>
      <c r="D4534">
        <v>-5108.95</v>
      </c>
    </row>
    <row r="4535" spans="1:4" x14ac:dyDescent="0.3">
      <c r="A4535" t="s">
        <v>556</v>
      </c>
      <c r="B4535" t="s">
        <v>5</v>
      </c>
      <c r="C4535" s="1">
        <f>HYPERLINK("https://cao.dolgi.msk.ru/account/1010307481/", 1010307481)</f>
        <v>1010307481</v>
      </c>
      <c r="D4535">
        <v>11736.66</v>
      </c>
    </row>
    <row r="4536" spans="1:4" hidden="1" x14ac:dyDescent="0.3">
      <c r="A4536" t="s">
        <v>556</v>
      </c>
      <c r="B4536" t="s">
        <v>5</v>
      </c>
      <c r="C4536" s="1">
        <f>HYPERLINK("https://cao.dolgi.msk.ru/account/1010307529/", 1010307529)</f>
        <v>1010307529</v>
      </c>
      <c r="D4536">
        <v>-3039.35</v>
      </c>
    </row>
    <row r="4537" spans="1:4" hidden="1" x14ac:dyDescent="0.3">
      <c r="A4537" t="s">
        <v>556</v>
      </c>
      <c r="B4537" t="s">
        <v>5</v>
      </c>
      <c r="C4537" s="1">
        <f>HYPERLINK("https://cao.dolgi.msk.ru/account/1010307537/", 1010307537)</f>
        <v>1010307537</v>
      </c>
      <c r="D4537">
        <v>0</v>
      </c>
    </row>
    <row r="4538" spans="1:4" hidden="1" x14ac:dyDescent="0.3">
      <c r="A4538" t="s">
        <v>556</v>
      </c>
      <c r="B4538" t="s">
        <v>5</v>
      </c>
      <c r="C4538" s="1">
        <f>HYPERLINK("https://cao.dolgi.msk.ru/account/1010307553/", 1010307553)</f>
        <v>1010307553</v>
      </c>
      <c r="D4538">
        <v>-91.45</v>
      </c>
    </row>
    <row r="4539" spans="1:4" hidden="1" x14ac:dyDescent="0.3">
      <c r="A4539" t="s">
        <v>556</v>
      </c>
      <c r="B4539" t="s">
        <v>5</v>
      </c>
      <c r="C4539" s="1">
        <f>HYPERLINK("https://cao.dolgi.msk.ru/account/1010307561/", 1010307561)</f>
        <v>1010307561</v>
      </c>
      <c r="D4539">
        <v>-6761.21</v>
      </c>
    </row>
    <row r="4540" spans="1:4" hidden="1" x14ac:dyDescent="0.3">
      <c r="A4540" t="s">
        <v>556</v>
      </c>
      <c r="B4540" t="s">
        <v>5</v>
      </c>
      <c r="C4540" s="1">
        <f>HYPERLINK("https://cao.dolgi.msk.ru/account/1010307588/", 1010307588)</f>
        <v>1010307588</v>
      </c>
      <c r="D4540">
        <v>-6874.72</v>
      </c>
    </row>
    <row r="4541" spans="1:4" hidden="1" x14ac:dyDescent="0.3">
      <c r="A4541" t="s">
        <v>556</v>
      </c>
      <c r="B4541" t="s">
        <v>5</v>
      </c>
      <c r="C4541" s="1">
        <f>HYPERLINK("https://cao.dolgi.msk.ru/account/1010307609/", 1010307609)</f>
        <v>1010307609</v>
      </c>
      <c r="D4541">
        <v>0</v>
      </c>
    </row>
    <row r="4542" spans="1:4" x14ac:dyDescent="0.3">
      <c r="A4542" t="s">
        <v>556</v>
      </c>
      <c r="B4542" t="s">
        <v>5</v>
      </c>
      <c r="C4542" s="1">
        <f>HYPERLINK("https://cao.dolgi.msk.ru/account/1010307617/", 1010307617)</f>
        <v>1010307617</v>
      </c>
      <c r="D4542">
        <v>2188.0300000000002</v>
      </c>
    </row>
    <row r="4543" spans="1:4" hidden="1" x14ac:dyDescent="0.3">
      <c r="A4543" t="s">
        <v>556</v>
      </c>
      <c r="B4543" t="s">
        <v>5</v>
      </c>
      <c r="C4543" s="1">
        <f>HYPERLINK("https://cao.dolgi.msk.ru/account/1011020327/", 1011020327)</f>
        <v>1011020327</v>
      </c>
      <c r="D4543">
        <v>-966.74</v>
      </c>
    </row>
    <row r="4544" spans="1:4" x14ac:dyDescent="0.3">
      <c r="A4544" t="s">
        <v>556</v>
      </c>
      <c r="B4544" t="s">
        <v>5</v>
      </c>
      <c r="C4544" s="1">
        <f>HYPERLINK("https://cao.dolgi.msk.ru/account/1011516381/", 1011516381)</f>
        <v>1011516381</v>
      </c>
      <c r="D4544">
        <v>120514.68</v>
      </c>
    </row>
    <row r="4545" spans="1:4" hidden="1" x14ac:dyDescent="0.3">
      <c r="A4545" t="s">
        <v>556</v>
      </c>
      <c r="B4545" t="s">
        <v>7</v>
      </c>
      <c r="C4545" s="1">
        <f>HYPERLINK("https://cao.dolgi.msk.ru/account/1010307625/", 1010307625)</f>
        <v>1010307625</v>
      </c>
      <c r="D4545">
        <v>0</v>
      </c>
    </row>
    <row r="4546" spans="1:4" hidden="1" x14ac:dyDescent="0.3">
      <c r="A4546" t="s">
        <v>556</v>
      </c>
      <c r="B4546" t="s">
        <v>7</v>
      </c>
      <c r="C4546" s="1">
        <f>HYPERLINK("https://cao.dolgi.msk.ru/account/1010307633/", 1010307633)</f>
        <v>1010307633</v>
      </c>
      <c r="D4546">
        <v>-3672.89</v>
      </c>
    </row>
    <row r="4547" spans="1:4" hidden="1" x14ac:dyDescent="0.3">
      <c r="A4547" t="s">
        <v>556</v>
      </c>
      <c r="B4547" t="s">
        <v>7</v>
      </c>
      <c r="C4547" s="1">
        <f>HYPERLINK("https://cao.dolgi.msk.ru/account/1010307668/", 1010307668)</f>
        <v>1010307668</v>
      </c>
      <c r="D4547">
        <v>0</v>
      </c>
    </row>
    <row r="4548" spans="1:4" x14ac:dyDescent="0.3">
      <c r="A4548" t="s">
        <v>556</v>
      </c>
      <c r="B4548" t="s">
        <v>7</v>
      </c>
      <c r="C4548" s="1">
        <f>HYPERLINK("https://cao.dolgi.msk.ru/account/1010307676/", 1010307676)</f>
        <v>1010307676</v>
      </c>
      <c r="D4548">
        <v>6264.67</v>
      </c>
    </row>
    <row r="4549" spans="1:4" hidden="1" x14ac:dyDescent="0.3">
      <c r="A4549" t="s">
        <v>556</v>
      </c>
      <c r="B4549" t="s">
        <v>7</v>
      </c>
      <c r="C4549" s="1">
        <f>HYPERLINK("https://cao.dolgi.msk.ru/account/1010307692/", 1010307692)</f>
        <v>1010307692</v>
      </c>
      <c r="D4549">
        <v>-206.49</v>
      </c>
    </row>
    <row r="4550" spans="1:4" hidden="1" x14ac:dyDescent="0.3">
      <c r="A4550" t="s">
        <v>556</v>
      </c>
      <c r="B4550" t="s">
        <v>7</v>
      </c>
      <c r="C4550" s="1">
        <f>HYPERLINK("https://cao.dolgi.msk.ru/account/1010307705/", 1010307705)</f>
        <v>1010307705</v>
      </c>
      <c r="D4550">
        <v>0</v>
      </c>
    </row>
    <row r="4551" spans="1:4" hidden="1" x14ac:dyDescent="0.3">
      <c r="A4551" t="s">
        <v>556</v>
      </c>
      <c r="B4551" t="s">
        <v>7</v>
      </c>
      <c r="C4551" s="1">
        <f>HYPERLINK("https://cao.dolgi.msk.ru/account/1010307713/", 1010307713)</f>
        <v>1010307713</v>
      </c>
      <c r="D4551">
        <v>-2.44</v>
      </c>
    </row>
    <row r="4552" spans="1:4" x14ac:dyDescent="0.3">
      <c r="A4552" t="s">
        <v>556</v>
      </c>
      <c r="B4552" t="s">
        <v>7</v>
      </c>
      <c r="C4552" s="1">
        <f>HYPERLINK("https://cao.dolgi.msk.ru/account/1010307721/", 1010307721)</f>
        <v>1010307721</v>
      </c>
      <c r="D4552">
        <v>64.25</v>
      </c>
    </row>
    <row r="4553" spans="1:4" hidden="1" x14ac:dyDescent="0.3">
      <c r="A4553" t="s">
        <v>556</v>
      </c>
      <c r="B4553" t="s">
        <v>7</v>
      </c>
      <c r="C4553" s="1">
        <f>HYPERLINK("https://cao.dolgi.msk.ru/account/1010365016/", 1010365016)</f>
        <v>1010365016</v>
      </c>
      <c r="D4553">
        <v>-63.51</v>
      </c>
    </row>
    <row r="4554" spans="1:4" x14ac:dyDescent="0.3">
      <c r="A4554" t="s">
        <v>556</v>
      </c>
      <c r="B4554" t="s">
        <v>7</v>
      </c>
      <c r="C4554" s="1">
        <f>HYPERLINK("https://cao.dolgi.msk.ru/account/1011130091/", 1011130091)</f>
        <v>1011130091</v>
      </c>
      <c r="D4554">
        <v>7987.54</v>
      </c>
    </row>
    <row r="4555" spans="1:4" hidden="1" x14ac:dyDescent="0.3">
      <c r="A4555" t="s">
        <v>556</v>
      </c>
      <c r="B4555" t="s">
        <v>7</v>
      </c>
      <c r="C4555" s="1">
        <f>HYPERLINK("https://cao.dolgi.msk.ru/account/1019006255/", 1019006255)</f>
        <v>1019006255</v>
      </c>
      <c r="D4555">
        <v>-272.42</v>
      </c>
    </row>
    <row r="4556" spans="1:4" hidden="1" x14ac:dyDescent="0.3">
      <c r="A4556" t="s">
        <v>556</v>
      </c>
      <c r="B4556" t="s">
        <v>7</v>
      </c>
      <c r="C4556" s="1">
        <f>HYPERLINK("https://cao.dolgi.msk.ru/account/1019024103/", 1019024103)</f>
        <v>1019024103</v>
      </c>
      <c r="D4556">
        <v>-3259.54</v>
      </c>
    </row>
    <row r="4557" spans="1:4" hidden="1" x14ac:dyDescent="0.3">
      <c r="A4557" t="s">
        <v>556</v>
      </c>
      <c r="B4557" t="s">
        <v>8</v>
      </c>
      <c r="C4557" s="1">
        <f>HYPERLINK("https://cao.dolgi.msk.ru/account/1010307828/", 1010307828)</f>
        <v>1010307828</v>
      </c>
      <c r="D4557">
        <v>-10664.89</v>
      </c>
    </row>
    <row r="4558" spans="1:4" hidden="1" x14ac:dyDescent="0.3">
      <c r="A4558" t="s">
        <v>556</v>
      </c>
      <c r="B4558" t="s">
        <v>8</v>
      </c>
      <c r="C4558" s="1">
        <f>HYPERLINK("https://cao.dolgi.msk.ru/account/1010307836/", 1010307836)</f>
        <v>1010307836</v>
      </c>
      <c r="D4558">
        <v>-1297.19</v>
      </c>
    </row>
    <row r="4559" spans="1:4" hidden="1" x14ac:dyDescent="0.3">
      <c r="A4559" t="s">
        <v>556</v>
      </c>
      <c r="B4559" t="s">
        <v>8</v>
      </c>
      <c r="C4559" s="1">
        <f>HYPERLINK("https://cao.dolgi.msk.ru/account/1010307844/", 1010307844)</f>
        <v>1010307844</v>
      </c>
      <c r="D4559">
        <v>-2126.84</v>
      </c>
    </row>
    <row r="4560" spans="1:4" hidden="1" x14ac:dyDescent="0.3">
      <c r="A4560" t="s">
        <v>556</v>
      </c>
      <c r="B4560" t="s">
        <v>8</v>
      </c>
      <c r="C4560" s="1">
        <f>HYPERLINK("https://cao.dolgi.msk.ru/account/1010307852/", 1010307852)</f>
        <v>1010307852</v>
      </c>
      <c r="D4560">
        <v>-25.11</v>
      </c>
    </row>
    <row r="4561" spans="1:4" hidden="1" x14ac:dyDescent="0.3">
      <c r="A4561" t="s">
        <v>556</v>
      </c>
      <c r="B4561" t="s">
        <v>8</v>
      </c>
      <c r="C4561" s="1">
        <f>HYPERLINK("https://cao.dolgi.msk.ru/account/1010307879/", 1010307879)</f>
        <v>1010307879</v>
      </c>
      <c r="D4561">
        <v>-45.99</v>
      </c>
    </row>
    <row r="4562" spans="1:4" hidden="1" x14ac:dyDescent="0.3">
      <c r="A4562" t="s">
        <v>556</v>
      </c>
      <c r="B4562" t="s">
        <v>8</v>
      </c>
      <c r="C4562" s="1">
        <f>HYPERLINK("https://cao.dolgi.msk.ru/account/1010307908/", 1010307908)</f>
        <v>1010307908</v>
      </c>
      <c r="D4562">
        <v>-3290.7</v>
      </c>
    </row>
    <row r="4563" spans="1:4" hidden="1" x14ac:dyDescent="0.3">
      <c r="A4563" t="s">
        <v>556</v>
      </c>
      <c r="B4563" t="s">
        <v>8</v>
      </c>
      <c r="C4563" s="1">
        <f>HYPERLINK("https://cao.dolgi.msk.ru/account/1010308011/", 1010308011)</f>
        <v>1010308011</v>
      </c>
      <c r="D4563">
        <v>-1812.23</v>
      </c>
    </row>
    <row r="4564" spans="1:4" hidden="1" x14ac:dyDescent="0.3">
      <c r="A4564" t="s">
        <v>556</v>
      </c>
      <c r="B4564" t="s">
        <v>8</v>
      </c>
      <c r="C4564" s="1">
        <f>HYPERLINK("https://cao.dolgi.msk.ru/account/1010367046/", 1010367046)</f>
        <v>1010367046</v>
      </c>
      <c r="D4564">
        <v>-1239.3499999999999</v>
      </c>
    </row>
    <row r="4565" spans="1:4" x14ac:dyDescent="0.3">
      <c r="A4565" t="s">
        <v>556</v>
      </c>
      <c r="B4565" t="s">
        <v>8</v>
      </c>
      <c r="C4565" s="1">
        <f>HYPERLINK("https://cao.dolgi.msk.ru/account/1011012474/", 1011012474)</f>
        <v>1011012474</v>
      </c>
      <c r="D4565">
        <v>115.6</v>
      </c>
    </row>
    <row r="4566" spans="1:4" hidden="1" x14ac:dyDescent="0.3">
      <c r="A4566" t="s">
        <v>556</v>
      </c>
      <c r="B4566" t="s">
        <v>8</v>
      </c>
      <c r="C4566" s="1">
        <f>HYPERLINK("https://cao.dolgi.msk.ru/account/1011510828/", 1011510828)</f>
        <v>1011510828</v>
      </c>
      <c r="D4566">
        <v>-1924.6</v>
      </c>
    </row>
    <row r="4567" spans="1:4" hidden="1" x14ac:dyDescent="0.3">
      <c r="A4567" t="s">
        <v>556</v>
      </c>
      <c r="B4567" t="s">
        <v>8</v>
      </c>
      <c r="C4567" s="1">
        <f>HYPERLINK("https://cao.dolgi.msk.ru/account/1011510836/", 1011510836)</f>
        <v>1011510836</v>
      </c>
      <c r="D4567">
        <v>-1364.03</v>
      </c>
    </row>
    <row r="4568" spans="1:4" x14ac:dyDescent="0.3">
      <c r="A4568" t="s">
        <v>556</v>
      </c>
      <c r="B4568" t="s">
        <v>31</v>
      </c>
      <c r="C4568" s="1">
        <f>HYPERLINK("https://cao.dolgi.msk.ru/account/1010307916/", 1010307916)</f>
        <v>1010307916</v>
      </c>
      <c r="D4568">
        <v>6297.93</v>
      </c>
    </row>
    <row r="4569" spans="1:4" hidden="1" x14ac:dyDescent="0.3">
      <c r="A4569" t="s">
        <v>556</v>
      </c>
      <c r="B4569" t="s">
        <v>31</v>
      </c>
      <c r="C4569" s="1">
        <f>HYPERLINK("https://cao.dolgi.msk.ru/account/1010307959/", 1010307959)</f>
        <v>1010307959</v>
      </c>
      <c r="D4569">
        <v>-19646.91</v>
      </c>
    </row>
    <row r="4570" spans="1:4" hidden="1" x14ac:dyDescent="0.3">
      <c r="A4570" t="s">
        <v>556</v>
      </c>
      <c r="B4570" t="s">
        <v>31</v>
      </c>
      <c r="C4570" s="1">
        <f>HYPERLINK("https://cao.dolgi.msk.ru/account/1010307975/", 1010307975)</f>
        <v>1010307975</v>
      </c>
      <c r="D4570">
        <v>-3073.75</v>
      </c>
    </row>
    <row r="4571" spans="1:4" hidden="1" x14ac:dyDescent="0.3">
      <c r="A4571" t="s">
        <v>556</v>
      </c>
      <c r="B4571" t="s">
        <v>31</v>
      </c>
      <c r="C4571" s="1">
        <f>HYPERLINK("https://cao.dolgi.msk.ru/account/1010307991/", 1010307991)</f>
        <v>1010307991</v>
      </c>
      <c r="D4571">
        <v>-18294.59</v>
      </c>
    </row>
    <row r="4572" spans="1:4" hidden="1" x14ac:dyDescent="0.3">
      <c r="A4572" t="s">
        <v>556</v>
      </c>
      <c r="B4572" t="s">
        <v>31</v>
      </c>
      <c r="C4572" s="1">
        <f>HYPERLINK("https://cao.dolgi.msk.ru/account/1010308003/", 1010308003)</f>
        <v>1010308003</v>
      </c>
      <c r="D4572">
        <v>-3896.42</v>
      </c>
    </row>
    <row r="4573" spans="1:4" hidden="1" x14ac:dyDescent="0.3">
      <c r="A4573" t="s">
        <v>556</v>
      </c>
      <c r="B4573" t="s">
        <v>31</v>
      </c>
      <c r="C4573" s="1">
        <f>HYPERLINK("https://cao.dolgi.msk.ru/account/1010365235/", 1010365235)</f>
        <v>1010365235</v>
      </c>
      <c r="D4573">
        <v>-1380.4</v>
      </c>
    </row>
    <row r="4574" spans="1:4" hidden="1" x14ac:dyDescent="0.3">
      <c r="A4574" t="s">
        <v>556</v>
      </c>
      <c r="B4574" t="s">
        <v>31</v>
      </c>
      <c r="C4574" s="1">
        <f>HYPERLINK("https://cao.dolgi.msk.ru/account/1011019721/", 1011019721)</f>
        <v>1011019721</v>
      </c>
      <c r="D4574">
        <v>0</v>
      </c>
    </row>
    <row r="4575" spans="1:4" x14ac:dyDescent="0.3">
      <c r="A4575" t="s">
        <v>556</v>
      </c>
      <c r="B4575" t="s">
        <v>9</v>
      </c>
      <c r="C4575" s="1">
        <f>HYPERLINK("https://cao.dolgi.msk.ru/account/1010308054/", 1010308054)</f>
        <v>1010308054</v>
      </c>
      <c r="D4575">
        <v>2087.84</v>
      </c>
    </row>
    <row r="4576" spans="1:4" hidden="1" x14ac:dyDescent="0.3">
      <c r="A4576" t="s">
        <v>556</v>
      </c>
      <c r="B4576" t="s">
        <v>9</v>
      </c>
      <c r="C4576" s="1">
        <f>HYPERLINK("https://cao.dolgi.msk.ru/account/1010308062/", 1010308062)</f>
        <v>1010308062</v>
      </c>
      <c r="D4576">
        <v>-1670.2</v>
      </c>
    </row>
    <row r="4577" spans="1:4" hidden="1" x14ac:dyDescent="0.3">
      <c r="A4577" t="s">
        <v>556</v>
      </c>
      <c r="B4577" t="s">
        <v>9</v>
      </c>
      <c r="C4577" s="1">
        <f>HYPERLINK("https://cao.dolgi.msk.ru/account/1010308118/", 1010308118)</f>
        <v>1010308118</v>
      </c>
      <c r="D4577">
        <v>-2981.85</v>
      </c>
    </row>
    <row r="4578" spans="1:4" hidden="1" x14ac:dyDescent="0.3">
      <c r="A4578" t="s">
        <v>556</v>
      </c>
      <c r="B4578" t="s">
        <v>9</v>
      </c>
      <c r="C4578" s="1">
        <f>HYPERLINK("https://cao.dolgi.msk.ru/account/1010308126/", 1010308126)</f>
        <v>1010308126</v>
      </c>
      <c r="D4578">
        <v>0</v>
      </c>
    </row>
    <row r="4579" spans="1:4" hidden="1" x14ac:dyDescent="0.3">
      <c r="A4579" t="s">
        <v>556</v>
      </c>
      <c r="B4579" t="s">
        <v>9</v>
      </c>
      <c r="C4579" s="1">
        <f>HYPERLINK("https://cao.dolgi.msk.ru/account/1010308142/", 1010308142)</f>
        <v>1010308142</v>
      </c>
      <c r="D4579">
        <v>-5457.8</v>
      </c>
    </row>
    <row r="4580" spans="1:4" hidden="1" x14ac:dyDescent="0.3">
      <c r="A4580" t="s">
        <v>556</v>
      </c>
      <c r="B4580" t="s">
        <v>9</v>
      </c>
      <c r="C4580" s="1">
        <f>HYPERLINK("https://cao.dolgi.msk.ru/account/1010308169/", 1010308169)</f>
        <v>1010308169</v>
      </c>
      <c r="D4580">
        <v>-11199.67</v>
      </c>
    </row>
    <row r="4581" spans="1:4" hidden="1" x14ac:dyDescent="0.3">
      <c r="A4581" t="s">
        <v>556</v>
      </c>
      <c r="B4581" t="s">
        <v>9</v>
      </c>
      <c r="C4581" s="1">
        <f>HYPERLINK("https://cao.dolgi.msk.ru/account/1011504911/", 1011504911)</f>
        <v>1011504911</v>
      </c>
      <c r="D4581">
        <v>-3401.58</v>
      </c>
    </row>
    <row r="4582" spans="1:4" hidden="1" x14ac:dyDescent="0.3">
      <c r="A4582" t="s">
        <v>556</v>
      </c>
      <c r="B4582" t="s">
        <v>9</v>
      </c>
      <c r="C4582" s="1">
        <f>HYPERLINK("https://cao.dolgi.msk.ru/account/1011505332/", 1011505332)</f>
        <v>1011505332</v>
      </c>
      <c r="D4582">
        <v>0</v>
      </c>
    </row>
    <row r="4583" spans="1:4" hidden="1" x14ac:dyDescent="0.3">
      <c r="A4583" t="s">
        <v>557</v>
      </c>
      <c r="B4583" t="s">
        <v>6</v>
      </c>
      <c r="C4583" s="1">
        <f>HYPERLINK("https://cao.dolgi.msk.ru/account/1019004559/", 1019004559)</f>
        <v>1019004559</v>
      </c>
      <c r="D4583">
        <v>-138.55000000000001</v>
      </c>
    </row>
    <row r="4584" spans="1:4" hidden="1" x14ac:dyDescent="0.3">
      <c r="A4584" t="s">
        <v>557</v>
      </c>
      <c r="B4584" t="s">
        <v>28</v>
      </c>
      <c r="C4584" s="1">
        <f>HYPERLINK("https://cao.dolgi.msk.ru/account/1019003417/", 1019003417)</f>
        <v>1019003417</v>
      </c>
      <c r="D4584">
        <v>-3505.61</v>
      </c>
    </row>
    <row r="4585" spans="1:4" hidden="1" x14ac:dyDescent="0.3">
      <c r="A4585" t="s">
        <v>557</v>
      </c>
      <c r="B4585" t="s">
        <v>28</v>
      </c>
      <c r="C4585" s="1">
        <f>HYPERLINK("https://cao.dolgi.msk.ru/account/1019003425/", 1019003425)</f>
        <v>1019003425</v>
      </c>
      <c r="D4585">
        <v>-2253.77</v>
      </c>
    </row>
    <row r="4586" spans="1:4" hidden="1" x14ac:dyDescent="0.3">
      <c r="A4586" t="s">
        <v>557</v>
      </c>
      <c r="B4586" t="s">
        <v>35</v>
      </c>
      <c r="C4586" s="1">
        <f>HYPERLINK("https://cao.dolgi.msk.ru/account/1019003433/", 1019003433)</f>
        <v>1019003433</v>
      </c>
      <c r="D4586">
        <v>-222.37</v>
      </c>
    </row>
    <row r="4587" spans="1:4" hidden="1" x14ac:dyDescent="0.3">
      <c r="A4587" t="s">
        <v>557</v>
      </c>
      <c r="B4587" t="s">
        <v>35</v>
      </c>
      <c r="C4587" s="1">
        <f>HYPERLINK("https://cao.dolgi.msk.ru/account/1019003441/", 1019003441)</f>
        <v>1019003441</v>
      </c>
      <c r="D4587">
        <v>-71.08</v>
      </c>
    </row>
    <row r="4588" spans="1:4" hidden="1" x14ac:dyDescent="0.3">
      <c r="A4588" t="s">
        <v>557</v>
      </c>
      <c r="B4588" t="s">
        <v>35</v>
      </c>
      <c r="C4588" s="1">
        <f>HYPERLINK("https://cao.dolgi.msk.ru/account/1019004997/", 1019004997)</f>
        <v>1019004997</v>
      </c>
      <c r="D4588">
        <v>-70.92</v>
      </c>
    </row>
    <row r="4589" spans="1:4" hidden="1" x14ac:dyDescent="0.3">
      <c r="A4589" t="s">
        <v>557</v>
      </c>
      <c r="B4589" t="s">
        <v>5</v>
      </c>
      <c r="C4589" s="1">
        <f>HYPERLINK("https://cao.dolgi.msk.ru/account/1019003468/", 1019003468)</f>
        <v>1019003468</v>
      </c>
      <c r="D4589">
        <v>0</v>
      </c>
    </row>
    <row r="4590" spans="1:4" hidden="1" x14ac:dyDescent="0.3">
      <c r="A4590" t="s">
        <v>557</v>
      </c>
      <c r="B4590" t="s">
        <v>5</v>
      </c>
      <c r="C4590" s="1">
        <f>HYPERLINK("https://cao.dolgi.msk.ru/account/1019003476/", 1019003476)</f>
        <v>1019003476</v>
      </c>
      <c r="D4590">
        <v>-49.28</v>
      </c>
    </row>
    <row r="4591" spans="1:4" hidden="1" x14ac:dyDescent="0.3">
      <c r="A4591" t="s">
        <v>557</v>
      </c>
      <c r="B4591" t="s">
        <v>7</v>
      </c>
      <c r="C4591" s="1">
        <f>HYPERLINK("https://cao.dolgi.msk.ru/account/1019003484/", 1019003484)</f>
        <v>1019003484</v>
      </c>
      <c r="D4591">
        <v>-173.12</v>
      </c>
    </row>
    <row r="4592" spans="1:4" hidden="1" x14ac:dyDescent="0.3">
      <c r="A4592" t="s">
        <v>557</v>
      </c>
      <c r="B4592" t="s">
        <v>7</v>
      </c>
      <c r="C4592" s="1">
        <f>HYPERLINK("https://cao.dolgi.msk.ru/account/1019003492/", 1019003492)</f>
        <v>1019003492</v>
      </c>
      <c r="D4592">
        <v>-218.46</v>
      </c>
    </row>
    <row r="4593" spans="1:4" hidden="1" x14ac:dyDescent="0.3">
      <c r="A4593" t="s">
        <v>557</v>
      </c>
      <c r="B4593" t="s">
        <v>8</v>
      </c>
      <c r="C4593" s="1">
        <f>HYPERLINK("https://cao.dolgi.msk.ru/account/1019003505/", 1019003505)</f>
        <v>1019003505</v>
      </c>
      <c r="D4593">
        <v>-167.36</v>
      </c>
    </row>
    <row r="4594" spans="1:4" x14ac:dyDescent="0.3">
      <c r="A4594" t="s">
        <v>557</v>
      </c>
      <c r="B4594" t="s">
        <v>8</v>
      </c>
      <c r="C4594" s="1">
        <f>HYPERLINK("https://cao.dolgi.msk.ru/account/1019003513/", 1019003513)</f>
        <v>1019003513</v>
      </c>
      <c r="D4594">
        <v>3069.22</v>
      </c>
    </row>
    <row r="4595" spans="1:4" x14ac:dyDescent="0.3">
      <c r="A4595" t="s">
        <v>557</v>
      </c>
      <c r="B4595" t="s">
        <v>8</v>
      </c>
      <c r="C4595" s="1">
        <f>HYPERLINK("https://cao.dolgi.msk.ru/account/1019003521/", 1019003521)</f>
        <v>1019003521</v>
      </c>
      <c r="D4595">
        <v>306.16000000000003</v>
      </c>
    </row>
    <row r="4596" spans="1:4" hidden="1" x14ac:dyDescent="0.3">
      <c r="A4596" t="s">
        <v>557</v>
      </c>
      <c r="B4596" t="s">
        <v>31</v>
      </c>
      <c r="C4596" s="1">
        <f>HYPERLINK("https://cao.dolgi.msk.ru/account/1019003556/", 1019003556)</f>
        <v>1019003556</v>
      </c>
      <c r="D4596">
        <v>-58.46</v>
      </c>
    </row>
    <row r="4597" spans="1:4" hidden="1" x14ac:dyDescent="0.3">
      <c r="A4597" t="s">
        <v>557</v>
      </c>
      <c r="B4597" t="s">
        <v>31</v>
      </c>
      <c r="C4597" s="1">
        <f>HYPERLINK("https://cao.dolgi.msk.ru/account/1019004663/", 1019004663)</f>
        <v>1019004663</v>
      </c>
      <c r="D4597">
        <v>0</v>
      </c>
    </row>
    <row r="4598" spans="1:4" hidden="1" x14ac:dyDescent="0.3">
      <c r="A4598" t="s">
        <v>557</v>
      </c>
      <c r="B4598" t="s">
        <v>9</v>
      </c>
      <c r="C4598" s="1">
        <f>HYPERLINK("https://cao.dolgi.msk.ru/account/1019003564/", 1019003564)</f>
        <v>1019003564</v>
      </c>
      <c r="D4598">
        <v>-171.68</v>
      </c>
    </row>
    <row r="4599" spans="1:4" hidden="1" x14ac:dyDescent="0.3">
      <c r="A4599" t="s">
        <v>557</v>
      </c>
      <c r="B4599" t="s">
        <v>9</v>
      </c>
      <c r="C4599" s="1">
        <f>HYPERLINK("https://cao.dolgi.msk.ru/account/1019003572/", 1019003572)</f>
        <v>1019003572</v>
      </c>
      <c r="D4599">
        <v>-187.52</v>
      </c>
    </row>
    <row r="4600" spans="1:4" hidden="1" x14ac:dyDescent="0.3">
      <c r="A4600" t="s">
        <v>557</v>
      </c>
      <c r="B4600" t="s">
        <v>10</v>
      </c>
      <c r="C4600" s="1">
        <f>HYPERLINK("https://cao.dolgi.msk.ru/account/1019003329/", 1019003329)</f>
        <v>1019003329</v>
      </c>
      <c r="D4600">
        <v>-229.32</v>
      </c>
    </row>
    <row r="4601" spans="1:4" hidden="1" x14ac:dyDescent="0.3">
      <c r="A4601" t="s">
        <v>557</v>
      </c>
      <c r="B4601" t="s">
        <v>10</v>
      </c>
      <c r="C4601" s="1">
        <f>HYPERLINK("https://cao.dolgi.msk.ru/account/1019003599/", 1019003599)</f>
        <v>1019003599</v>
      </c>
      <c r="D4601">
        <v>-73.55</v>
      </c>
    </row>
    <row r="4602" spans="1:4" hidden="1" x14ac:dyDescent="0.3">
      <c r="A4602" t="s">
        <v>557</v>
      </c>
      <c r="B4602" t="s">
        <v>10</v>
      </c>
      <c r="C4602" s="1">
        <f>HYPERLINK("https://cao.dolgi.msk.ru/account/1019003601/", 1019003601)</f>
        <v>1019003601</v>
      </c>
      <c r="D4602">
        <v>-189.2</v>
      </c>
    </row>
    <row r="4603" spans="1:4" hidden="1" x14ac:dyDescent="0.3">
      <c r="A4603" t="s">
        <v>557</v>
      </c>
      <c r="B4603" t="s">
        <v>11</v>
      </c>
      <c r="C4603" s="1">
        <f>HYPERLINK("https://cao.dolgi.msk.ru/account/1011135909/", 1011135909)</f>
        <v>1011135909</v>
      </c>
      <c r="D4603">
        <v>-4433.5</v>
      </c>
    </row>
    <row r="4604" spans="1:4" hidden="1" x14ac:dyDescent="0.3">
      <c r="A4604" t="s">
        <v>557</v>
      </c>
      <c r="B4604" t="s">
        <v>11</v>
      </c>
      <c r="C4604" s="1">
        <f>HYPERLINK("https://cao.dolgi.msk.ru/account/1019003628/", 1019003628)</f>
        <v>1019003628</v>
      </c>
      <c r="D4604">
        <v>-194.62</v>
      </c>
    </row>
    <row r="4605" spans="1:4" hidden="1" x14ac:dyDescent="0.3">
      <c r="A4605" t="s">
        <v>557</v>
      </c>
      <c r="B4605" t="s">
        <v>11</v>
      </c>
      <c r="C4605" s="1">
        <f>HYPERLINK("https://cao.dolgi.msk.ru/account/1019004567/", 1019004567)</f>
        <v>1019004567</v>
      </c>
      <c r="D4605">
        <v>-3891.67</v>
      </c>
    </row>
    <row r="4606" spans="1:4" hidden="1" x14ac:dyDescent="0.3">
      <c r="A4606" t="s">
        <v>557</v>
      </c>
      <c r="B4606" t="s">
        <v>11</v>
      </c>
      <c r="C4606" s="1">
        <f>HYPERLINK("https://cao.dolgi.msk.ru/account/1019004671/", 1019004671)</f>
        <v>1019004671</v>
      </c>
      <c r="D4606">
        <v>-172.04</v>
      </c>
    </row>
    <row r="4607" spans="1:4" x14ac:dyDescent="0.3">
      <c r="A4607" t="s">
        <v>557</v>
      </c>
      <c r="B4607" t="s">
        <v>12</v>
      </c>
      <c r="C4607" s="1">
        <f>HYPERLINK("https://cao.dolgi.msk.ru/account/1019004698/", 1019004698)</f>
        <v>1019004698</v>
      </c>
      <c r="D4607">
        <v>6999.07</v>
      </c>
    </row>
    <row r="4608" spans="1:4" hidden="1" x14ac:dyDescent="0.3">
      <c r="A4608" t="s">
        <v>557</v>
      </c>
      <c r="B4608" t="s">
        <v>23</v>
      </c>
      <c r="C4608" s="1">
        <f>HYPERLINK("https://cao.dolgi.msk.ru/account/1019003708/", 1019003708)</f>
        <v>1019003708</v>
      </c>
      <c r="D4608">
        <v>-36.82</v>
      </c>
    </row>
    <row r="4609" spans="1:4" hidden="1" x14ac:dyDescent="0.3">
      <c r="A4609" t="s">
        <v>557</v>
      </c>
      <c r="B4609" t="s">
        <v>23</v>
      </c>
      <c r="C4609" s="1">
        <f>HYPERLINK("https://cao.dolgi.msk.ru/account/1019003839/", 1019003839)</f>
        <v>1019003839</v>
      </c>
      <c r="D4609">
        <v>-6400.99</v>
      </c>
    </row>
    <row r="4610" spans="1:4" hidden="1" x14ac:dyDescent="0.3">
      <c r="A4610" t="s">
        <v>557</v>
      </c>
      <c r="B4610" t="s">
        <v>23</v>
      </c>
      <c r="C4610" s="1">
        <f>HYPERLINK("https://cao.dolgi.msk.ru/account/1019004831/", 1019004831)</f>
        <v>1019004831</v>
      </c>
      <c r="D4610">
        <v>-69.239999999999995</v>
      </c>
    </row>
    <row r="4611" spans="1:4" hidden="1" x14ac:dyDescent="0.3">
      <c r="A4611" t="s">
        <v>557</v>
      </c>
      <c r="B4611" t="s">
        <v>13</v>
      </c>
      <c r="C4611" s="1">
        <f>HYPERLINK("https://cao.dolgi.msk.ru/account/1019004348/", 1019004348)</f>
        <v>1019004348</v>
      </c>
      <c r="D4611">
        <v>-3623</v>
      </c>
    </row>
    <row r="4612" spans="1:4" hidden="1" x14ac:dyDescent="0.3">
      <c r="A4612" t="s">
        <v>557</v>
      </c>
      <c r="B4612" t="s">
        <v>13</v>
      </c>
      <c r="C4612" s="1">
        <f>HYPERLINK("https://cao.dolgi.msk.ru/account/1019004575/", 1019004575)</f>
        <v>1019004575</v>
      </c>
      <c r="D4612">
        <v>-4640.12</v>
      </c>
    </row>
    <row r="4613" spans="1:4" hidden="1" x14ac:dyDescent="0.3">
      <c r="A4613" t="s">
        <v>557</v>
      </c>
      <c r="B4613" t="s">
        <v>13</v>
      </c>
      <c r="C4613" s="1">
        <f>HYPERLINK("https://cao.dolgi.msk.ru/account/1019004719/", 1019004719)</f>
        <v>1019004719</v>
      </c>
      <c r="D4613">
        <v>-2781.05</v>
      </c>
    </row>
    <row r="4614" spans="1:4" hidden="1" x14ac:dyDescent="0.3">
      <c r="A4614" t="s">
        <v>557</v>
      </c>
      <c r="B4614" t="s">
        <v>14</v>
      </c>
      <c r="C4614" s="1">
        <f>HYPERLINK("https://cao.dolgi.msk.ru/account/1019003855/", 1019003855)</f>
        <v>1019003855</v>
      </c>
      <c r="D4614">
        <v>-16464.7</v>
      </c>
    </row>
    <row r="4615" spans="1:4" hidden="1" x14ac:dyDescent="0.3">
      <c r="A4615" t="s">
        <v>557</v>
      </c>
      <c r="B4615" t="s">
        <v>14</v>
      </c>
      <c r="C4615" s="1">
        <f>HYPERLINK("https://cao.dolgi.msk.ru/account/1019004727/", 1019004727)</f>
        <v>1019004727</v>
      </c>
      <c r="D4615">
        <v>-5958.44</v>
      </c>
    </row>
    <row r="4616" spans="1:4" hidden="1" x14ac:dyDescent="0.3">
      <c r="A4616" t="s">
        <v>557</v>
      </c>
      <c r="B4616" t="s">
        <v>14</v>
      </c>
      <c r="C4616" s="1">
        <f>HYPERLINK("https://cao.dolgi.msk.ru/account/1019004735/", 1019004735)</f>
        <v>1019004735</v>
      </c>
      <c r="D4616">
        <v>-2823.91</v>
      </c>
    </row>
    <row r="4617" spans="1:4" hidden="1" x14ac:dyDescent="0.3">
      <c r="A4617" t="s">
        <v>557</v>
      </c>
      <c r="B4617" t="s">
        <v>14</v>
      </c>
      <c r="C4617" s="1">
        <f>HYPERLINK("https://cao.dolgi.msk.ru/account/1019004743/", 1019004743)</f>
        <v>1019004743</v>
      </c>
      <c r="D4617">
        <v>-3363.13</v>
      </c>
    </row>
    <row r="4618" spans="1:4" hidden="1" x14ac:dyDescent="0.3">
      <c r="A4618" t="s">
        <v>557</v>
      </c>
      <c r="B4618" t="s">
        <v>16</v>
      </c>
      <c r="C4618" s="1">
        <f>HYPERLINK("https://cao.dolgi.msk.ru/account/1019003863/", 1019003863)</f>
        <v>1019003863</v>
      </c>
      <c r="D4618">
        <v>0</v>
      </c>
    </row>
    <row r="4619" spans="1:4" hidden="1" x14ac:dyDescent="0.3">
      <c r="A4619" t="s">
        <v>557</v>
      </c>
      <c r="B4619" t="s">
        <v>16</v>
      </c>
      <c r="C4619" s="1">
        <f>HYPERLINK("https://cao.dolgi.msk.ru/account/1019003871/", 1019003871)</f>
        <v>1019003871</v>
      </c>
      <c r="D4619">
        <v>-3145.96</v>
      </c>
    </row>
    <row r="4620" spans="1:4" hidden="1" x14ac:dyDescent="0.3">
      <c r="A4620" t="s">
        <v>557</v>
      </c>
      <c r="B4620" t="s">
        <v>16</v>
      </c>
      <c r="C4620" s="1">
        <f>HYPERLINK("https://cao.dolgi.msk.ru/account/1019003898/", 1019003898)</f>
        <v>1019003898</v>
      </c>
      <c r="D4620">
        <v>-3582.1</v>
      </c>
    </row>
    <row r="4621" spans="1:4" hidden="1" x14ac:dyDescent="0.3">
      <c r="A4621" t="s">
        <v>557</v>
      </c>
      <c r="B4621" t="s">
        <v>17</v>
      </c>
      <c r="C4621" s="1">
        <f>HYPERLINK("https://cao.dolgi.msk.ru/account/1019004583/", 1019004583)</f>
        <v>1019004583</v>
      </c>
      <c r="D4621">
        <v>-190.88</v>
      </c>
    </row>
    <row r="4622" spans="1:4" hidden="1" x14ac:dyDescent="0.3">
      <c r="A4622" t="s">
        <v>557</v>
      </c>
      <c r="B4622" t="s">
        <v>17</v>
      </c>
      <c r="C4622" s="1">
        <f>HYPERLINK("https://cao.dolgi.msk.ru/account/1019004591/", 1019004591)</f>
        <v>1019004591</v>
      </c>
      <c r="D4622">
        <v>-161.69</v>
      </c>
    </row>
    <row r="4623" spans="1:4" hidden="1" x14ac:dyDescent="0.3">
      <c r="A4623" t="s">
        <v>557</v>
      </c>
      <c r="B4623" t="s">
        <v>18</v>
      </c>
      <c r="C4623" s="1">
        <f>HYPERLINK("https://cao.dolgi.msk.ru/account/1019003919/", 1019003919)</f>
        <v>1019003919</v>
      </c>
      <c r="D4623">
        <v>-65.16</v>
      </c>
    </row>
    <row r="4624" spans="1:4" hidden="1" x14ac:dyDescent="0.3">
      <c r="A4624" t="s">
        <v>557</v>
      </c>
      <c r="B4624" t="s">
        <v>18</v>
      </c>
      <c r="C4624" s="1">
        <f>HYPERLINK("https://cao.dolgi.msk.ru/account/1019003927/", 1019003927)</f>
        <v>1019003927</v>
      </c>
      <c r="D4624">
        <v>-51.72</v>
      </c>
    </row>
    <row r="4625" spans="1:4" hidden="1" x14ac:dyDescent="0.3">
      <c r="A4625" t="s">
        <v>557</v>
      </c>
      <c r="B4625" t="s">
        <v>19</v>
      </c>
      <c r="C4625" s="1">
        <f>HYPERLINK("https://cao.dolgi.msk.ru/account/1019003935/", 1019003935)</f>
        <v>1019003935</v>
      </c>
      <c r="D4625">
        <v>-2303.4</v>
      </c>
    </row>
    <row r="4626" spans="1:4" hidden="1" x14ac:dyDescent="0.3">
      <c r="A4626" t="s">
        <v>557</v>
      </c>
      <c r="B4626" t="s">
        <v>20</v>
      </c>
      <c r="C4626" s="1">
        <f>HYPERLINK("https://cao.dolgi.msk.ru/account/1011011981/", 1011011981)</f>
        <v>1011011981</v>
      </c>
      <c r="D4626">
        <v>0</v>
      </c>
    </row>
    <row r="4627" spans="1:4" hidden="1" x14ac:dyDescent="0.3">
      <c r="A4627" t="s">
        <v>557</v>
      </c>
      <c r="B4627" t="s">
        <v>20</v>
      </c>
      <c r="C4627" s="1">
        <f>HYPERLINK("https://cao.dolgi.msk.ru/account/1019003943/", 1019003943)</f>
        <v>1019003943</v>
      </c>
      <c r="D4627">
        <v>-247.37</v>
      </c>
    </row>
    <row r="4628" spans="1:4" hidden="1" x14ac:dyDescent="0.3">
      <c r="A4628" t="s">
        <v>557</v>
      </c>
      <c r="B4628" t="s">
        <v>20</v>
      </c>
      <c r="C4628" s="1">
        <f>HYPERLINK("https://cao.dolgi.msk.ru/account/1019004938/", 1019004938)</f>
        <v>1019004938</v>
      </c>
      <c r="D4628">
        <v>-1312.73</v>
      </c>
    </row>
    <row r="4629" spans="1:4" x14ac:dyDescent="0.3">
      <c r="A4629" t="s">
        <v>557</v>
      </c>
      <c r="B4629" t="s">
        <v>21</v>
      </c>
      <c r="C4629" s="1">
        <f>HYPERLINK("https://cao.dolgi.msk.ru/account/1019003951/", 1019003951)</f>
        <v>1019003951</v>
      </c>
      <c r="D4629">
        <v>4374.4799999999996</v>
      </c>
    </row>
    <row r="4630" spans="1:4" hidden="1" x14ac:dyDescent="0.3">
      <c r="A4630" t="s">
        <v>557</v>
      </c>
      <c r="B4630" t="s">
        <v>21</v>
      </c>
      <c r="C4630" s="1">
        <f>HYPERLINK("https://cao.dolgi.msk.ru/account/1019004807/", 1019004807)</f>
        <v>1019004807</v>
      </c>
      <c r="D4630">
        <v>-50.04</v>
      </c>
    </row>
    <row r="4631" spans="1:4" hidden="1" x14ac:dyDescent="0.3">
      <c r="A4631" t="s">
        <v>557</v>
      </c>
      <c r="B4631" t="s">
        <v>22</v>
      </c>
      <c r="C4631" s="1">
        <f>HYPERLINK("https://cao.dolgi.msk.ru/account/1019003994/", 1019003994)</f>
        <v>1019003994</v>
      </c>
      <c r="D4631">
        <v>-120.19</v>
      </c>
    </row>
    <row r="4632" spans="1:4" hidden="1" x14ac:dyDescent="0.3">
      <c r="A4632" t="s">
        <v>557</v>
      </c>
      <c r="B4632" t="s">
        <v>24</v>
      </c>
      <c r="C4632" s="1">
        <f>HYPERLINK("https://cao.dolgi.msk.ru/account/1019004006/", 1019004006)</f>
        <v>1019004006</v>
      </c>
      <c r="D4632">
        <v>-3154.7</v>
      </c>
    </row>
    <row r="4633" spans="1:4" hidden="1" x14ac:dyDescent="0.3">
      <c r="A4633" t="s">
        <v>557</v>
      </c>
      <c r="B4633" t="s">
        <v>24</v>
      </c>
      <c r="C4633" s="1">
        <f>HYPERLINK("https://cao.dolgi.msk.ru/account/1019004778/", 1019004778)</f>
        <v>1019004778</v>
      </c>
      <c r="D4633">
        <v>-3430.8</v>
      </c>
    </row>
    <row r="4634" spans="1:4" hidden="1" x14ac:dyDescent="0.3">
      <c r="A4634" t="s">
        <v>557</v>
      </c>
      <c r="B4634" t="s">
        <v>24</v>
      </c>
      <c r="C4634" s="1">
        <f>HYPERLINK("https://cao.dolgi.msk.ru/account/1019004786/", 1019004786)</f>
        <v>1019004786</v>
      </c>
      <c r="D4634">
        <v>-3117.58</v>
      </c>
    </row>
    <row r="4635" spans="1:4" hidden="1" x14ac:dyDescent="0.3">
      <c r="A4635" t="s">
        <v>557</v>
      </c>
      <c r="B4635" t="s">
        <v>25</v>
      </c>
      <c r="C4635" s="1">
        <f>HYPERLINK("https://cao.dolgi.msk.ru/account/1019004014/", 1019004014)</f>
        <v>1019004014</v>
      </c>
      <c r="D4635">
        <v>-51.72</v>
      </c>
    </row>
    <row r="4636" spans="1:4" hidden="1" x14ac:dyDescent="0.3">
      <c r="A4636" t="s">
        <v>557</v>
      </c>
      <c r="B4636" t="s">
        <v>26</v>
      </c>
      <c r="C4636" s="1">
        <f>HYPERLINK("https://cao.dolgi.msk.ru/account/1019004794/", 1019004794)</f>
        <v>1019004794</v>
      </c>
      <c r="D4636">
        <v>-3177.65</v>
      </c>
    </row>
    <row r="4637" spans="1:4" hidden="1" x14ac:dyDescent="0.3">
      <c r="A4637" t="s">
        <v>558</v>
      </c>
      <c r="B4637" t="s">
        <v>12</v>
      </c>
      <c r="C4637" s="1">
        <f>HYPERLINK("https://cao.dolgi.msk.ru/account/1011431062/", 1011431062)</f>
        <v>1011431062</v>
      </c>
      <c r="D4637">
        <v>0</v>
      </c>
    </row>
    <row r="4638" spans="1:4" hidden="1" x14ac:dyDescent="0.3">
      <c r="A4638" t="s">
        <v>558</v>
      </c>
      <c r="B4638" t="s">
        <v>23</v>
      </c>
      <c r="C4638" s="1">
        <f>HYPERLINK("https://cao.dolgi.msk.ru/account/1011431126/", 1011431126)</f>
        <v>1011431126</v>
      </c>
      <c r="D4638">
        <v>0</v>
      </c>
    </row>
    <row r="4639" spans="1:4" x14ac:dyDescent="0.3">
      <c r="A4639" t="s">
        <v>558</v>
      </c>
      <c r="B4639" t="s">
        <v>13</v>
      </c>
      <c r="C4639" s="1">
        <f>HYPERLINK("https://cao.dolgi.msk.ru/account/1011431097/", 1011431097)</f>
        <v>1011431097</v>
      </c>
      <c r="D4639">
        <v>10085.17</v>
      </c>
    </row>
    <row r="4640" spans="1:4" hidden="1" x14ac:dyDescent="0.3">
      <c r="A4640" t="s">
        <v>558</v>
      </c>
      <c r="B4640" t="s">
        <v>14</v>
      </c>
      <c r="C4640" s="1">
        <f>HYPERLINK("https://cao.dolgi.msk.ru/account/1011431118/", 1011431118)</f>
        <v>1011431118</v>
      </c>
      <c r="D4640">
        <v>0</v>
      </c>
    </row>
    <row r="4641" spans="1:4" hidden="1" x14ac:dyDescent="0.3">
      <c r="A4641" t="s">
        <v>558</v>
      </c>
      <c r="B4641" t="s">
        <v>16</v>
      </c>
      <c r="C4641" s="1">
        <f>HYPERLINK("https://cao.dolgi.msk.ru/account/1011431054/", 1011431054)</f>
        <v>1011431054</v>
      </c>
      <c r="D4641">
        <v>0</v>
      </c>
    </row>
    <row r="4642" spans="1:4" hidden="1" x14ac:dyDescent="0.3">
      <c r="A4642" t="s">
        <v>558</v>
      </c>
      <c r="B4642" t="s">
        <v>17</v>
      </c>
      <c r="C4642" s="1">
        <f>HYPERLINK("https://cao.dolgi.msk.ru/account/1011431046/", 1011431046)</f>
        <v>1011431046</v>
      </c>
      <c r="D4642">
        <v>-151.16</v>
      </c>
    </row>
    <row r="4643" spans="1:4" hidden="1" x14ac:dyDescent="0.3">
      <c r="A4643" t="s">
        <v>558</v>
      </c>
      <c r="B4643" t="s">
        <v>18</v>
      </c>
      <c r="C4643" s="1">
        <f>HYPERLINK("https://cao.dolgi.msk.ru/account/1011431089/", 1011431089)</f>
        <v>1011431089</v>
      </c>
      <c r="D4643">
        <v>-11452.41</v>
      </c>
    </row>
    <row r="4644" spans="1:4" hidden="1" x14ac:dyDescent="0.3">
      <c r="A4644" t="s">
        <v>558</v>
      </c>
      <c r="B4644" t="s">
        <v>19</v>
      </c>
      <c r="C4644" s="1">
        <f>HYPERLINK("https://cao.dolgi.msk.ru/account/1011431038/", 1011431038)</f>
        <v>1011431038</v>
      </c>
      <c r="D4644">
        <v>0</v>
      </c>
    </row>
    <row r="4645" spans="1:4" hidden="1" x14ac:dyDescent="0.3">
      <c r="A4645" t="s">
        <v>559</v>
      </c>
      <c r="B4645" t="s">
        <v>6</v>
      </c>
      <c r="C4645" s="1">
        <f>HYPERLINK("https://cao.dolgi.msk.ru/account/1011472788/", 1011472788)</f>
        <v>1011472788</v>
      </c>
      <c r="D4645">
        <v>-6584.51</v>
      </c>
    </row>
    <row r="4646" spans="1:4" hidden="1" x14ac:dyDescent="0.3">
      <c r="A4646" t="s">
        <v>559</v>
      </c>
      <c r="B4646" t="s">
        <v>28</v>
      </c>
      <c r="C4646" s="1">
        <f>HYPERLINK("https://cao.dolgi.msk.ru/account/1011472243/", 1011472243)</f>
        <v>1011472243</v>
      </c>
      <c r="D4646">
        <v>0</v>
      </c>
    </row>
    <row r="4647" spans="1:4" hidden="1" x14ac:dyDescent="0.3">
      <c r="A4647" t="s">
        <v>559</v>
      </c>
      <c r="B4647" t="s">
        <v>35</v>
      </c>
      <c r="C4647" s="1">
        <f>HYPERLINK("https://cao.dolgi.msk.ru/account/1011472892/", 1011472892)</f>
        <v>1011472892</v>
      </c>
      <c r="D4647">
        <v>0</v>
      </c>
    </row>
    <row r="4648" spans="1:4" x14ac:dyDescent="0.3">
      <c r="A4648" t="s">
        <v>559</v>
      </c>
      <c r="B4648" t="s">
        <v>5</v>
      </c>
      <c r="C4648" s="1">
        <f>HYPERLINK("https://cao.dolgi.msk.ru/account/1011472374/", 1011472374)</f>
        <v>1011472374</v>
      </c>
      <c r="D4648">
        <v>336207.8</v>
      </c>
    </row>
    <row r="4649" spans="1:4" hidden="1" x14ac:dyDescent="0.3">
      <c r="A4649" t="s">
        <v>559</v>
      </c>
      <c r="B4649" t="s">
        <v>7</v>
      </c>
      <c r="C4649" s="1">
        <f>HYPERLINK("https://cao.dolgi.msk.ru/account/1011472251/", 1011472251)</f>
        <v>1011472251</v>
      </c>
      <c r="D4649">
        <v>0</v>
      </c>
    </row>
    <row r="4650" spans="1:4" hidden="1" x14ac:dyDescent="0.3">
      <c r="A4650" t="s">
        <v>559</v>
      </c>
      <c r="B4650" t="s">
        <v>8</v>
      </c>
      <c r="C4650" s="1">
        <f>HYPERLINK("https://cao.dolgi.msk.ru/account/1011472905/", 1011472905)</f>
        <v>1011472905</v>
      </c>
      <c r="D4650">
        <v>0</v>
      </c>
    </row>
    <row r="4651" spans="1:4" x14ac:dyDescent="0.3">
      <c r="A4651" t="s">
        <v>559</v>
      </c>
      <c r="B4651" t="s">
        <v>31</v>
      </c>
      <c r="C4651" s="1">
        <f>HYPERLINK("https://cao.dolgi.msk.ru/account/1011472657/", 1011472657)</f>
        <v>1011472657</v>
      </c>
      <c r="D4651">
        <v>3672.16</v>
      </c>
    </row>
    <row r="4652" spans="1:4" hidden="1" x14ac:dyDescent="0.3">
      <c r="A4652" t="s">
        <v>559</v>
      </c>
      <c r="B4652" t="s">
        <v>9</v>
      </c>
      <c r="C4652" s="1">
        <f>HYPERLINK("https://cao.dolgi.msk.ru/account/1011472489/", 1011472489)</f>
        <v>1011472489</v>
      </c>
      <c r="D4652">
        <v>-3290.69</v>
      </c>
    </row>
    <row r="4653" spans="1:4" hidden="1" x14ac:dyDescent="0.3">
      <c r="A4653" t="s">
        <v>559</v>
      </c>
      <c r="B4653" t="s">
        <v>10</v>
      </c>
      <c r="C4653" s="1">
        <f>HYPERLINK("https://cao.dolgi.msk.ru/account/1011472665/", 1011472665)</f>
        <v>1011472665</v>
      </c>
      <c r="D4653">
        <v>0</v>
      </c>
    </row>
    <row r="4654" spans="1:4" hidden="1" x14ac:dyDescent="0.3">
      <c r="A4654" t="s">
        <v>559</v>
      </c>
      <c r="B4654" t="s">
        <v>11</v>
      </c>
      <c r="C4654" s="1">
        <f>HYPERLINK("https://cao.dolgi.msk.ru/account/1011472382/", 1011472382)</f>
        <v>1011472382</v>
      </c>
      <c r="D4654">
        <v>0</v>
      </c>
    </row>
    <row r="4655" spans="1:4" hidden="1" x14ac:dyDescent="0.3">
      <c r="A4655" t="s">
        <v>559</v>
      </c>
      <c r="B4655" t="s">
        <v>12</v>
      </c>
      <c r="C4655" s="1">
        <f>HYPERLINK("https://cao.dolgi.msk.ru/account/1011472278/", 1011472278)</f>
        <v>1011472278</v>
      </c>
      <c r="D4655">
        <v>-14938.7</v>
      </c>
    </row>
    <row r="4656" spans="1:4" hidden="1" x14ac:dyDescent="0.3">
      <c r="A4656" t="s">
        <v>559</v>
      </c>
      <c r="B4656" t="s">
        <v>23</v>
      </c>
      <c r="C4656" s="1">
        <f>HYPERLINK("https://cao.dolgi.msk.ru/account/1011472286/", 1011472286)</f>
        <v>1011472286</v>
      </c>
      <c r="D4656">
        <v>-36.89</v>
      </c>
    </row>
    <row r="4657" spans="1:4" hidden="1" x14ac:dyDescent="0.3">
      <c r="A4657" t="s">
        <v>559</v>
      </c>
      <c r="B4657" t="s">
        <v>13</v>
      </c>
      <c r="C4657" s="1">
        <f>HYPERLINK("https://cao.dolgi.msk.ru/account/1011472497/", 1011472497)</f>
        <v>1011472497</v>
      </c>
      <c r="D4657">
        <v>0</v>
      </c>
    </row>
    <row r="4658" spans="1:4" x14ac:dyDescent="0.3">
      <c r="A4658" t="s">
        <v>559</v>
      </c>
      <c r="B4658" t="s">
        <v>14</v>
      </c>
      <c r="C4658" s="1">
        <f>HYPERLINK("https://cao.dolgi.msk.ru/account/1011472403/", 1011472403)</f>
        <v>1011472403</v>
      </c>
      <c r="D4658">
        <v>4950.6099999999997</v>
      </c>
    </row>
    <row r="4659" spans="1:4" hidden="1" x14ac:dyDescent="0.3">
      <c r="A4659" t="s">
        <v>559</v>
      </c>
      <c r="B4659" t="s">
        <v>16</v>
      </c>
      <c r="C4659" s="1">
        <f>HYPERLINK("https://cao.dolgi.msk.ru/account/1011472796/", 1011472796)</f>
        <v>1011472796</v>
      </c>
      <c r="D4659">
        <v>-7662.68</v>
      </c>
    </row>
    <row r="4660" spans="1:4" hidden="1" x14ac:dyDescent="0.3">
      <c r="A4660" t="s">
        <v>559</v>
      </c>
      <c r="B4660" t="s">
        <v>17</v>
      </c>
      <c r="C4660" s="1">
        <f>HYPERLINK("https://cao.dolgi.msk.ru/account/1011472411/", 1011472411)</f>
        <v>1011472411</v>
      </c>
      <c r="D4660">
        <v>-12060.59</v>
      </c>
    </row>
    <row r="4661" spans="1:4" hidden="1" x14ac:dyDescent="0.3">
      <c r="A4661" t="s">
        <v>559</v>
      </c>
      <c r="B4661" t="s">
        <v>18</v>
      </c>
      <c r="C4661" s="1">
        <f>HYPERLINK("https://cao.dolgi.msk.ru/account/1011472999/", 1011472999)</f>
        <v>1011472999</v>
      </c>
      <c r="D4661">
        <v>0</v>
      </c>
    </row>
    <row r="4662" spans="1:4" hidden="1" x14ac:dyDescent="0.3">
      <c r="A4662" t="s">
        <v>559</v>
      </c>
      <c r="B4662" t="s">
        <v>19</v>
      </c>
      <c r="C4662" s="1">
        <f>HYPERLINK("https://cao.dolgi.msk.ru/account/1011472294/", 1011472294)</f>
        <v>1011472294</v>
      </c>
      <c r="D4662">
        <v>0</v>
      </c>
    </row>
    <row r="4663" spans="1:4" hidden="1" x14ac:dyDescent="0.3">
      <c r="A4663" t="s">
        <v>559</v>
      </c>
      <c r="B4663" t="s">
        <v>20</v>
      </c>
      <c r="C4663" s="1">
        <f>HYPERLINK("https://cao.dolgi.msk.ru/account/1011472809/", 1011472809)</f>
        <v>1011472809</v>
      </c>
      <c r="D4663">
        <v>0</v>
      </c>
    </row>
    <row r="4664" spans="1:4" x14ac:dyDescent="0.3">
      <c r="A4664" t="s">
        <v>559</v>
      </c>
      <c r="B4664" t="s">
        <v>21</v>
      </c>
      <c r="C4664" s="1">
        <f>HYPERLINK("https://cao.dolgi.msk.ru/account/1011473019/", 1011473019)</f>
        <v>1011473019</v>
      </c>
      <c r="D4664">
        <v>7149.94</v>
      </c>
    </row>
    <row r="4665" spans="1:4" hidden="1" x14ac:dyDescent="0.3">
      <c r="A4665" t="s">
        <v>559</v>
      </c>
      <c r="B4665" t="s">
        <v>22</v>
      </c>
      <c r="C4665" s="1">
        <f>HYPERLINK("https://cao.dolgi.msk.ru/account/1011472913/", 1011472913)</f>
        <v>1011472913</v>
      </c>
      <c r="D4665">
        <v>0</v>
      </c>
    </row>
    <row r="4666" spans="1:4" hidden="1" x14ac:dyDescent="0.3">
      <c r="A4666" t="s">
        <v>559</v>
      </c>
      <c r="B4666" t="s">
        <v>24</v>
      </c>
      <c r="C4666" s="1">
        <f>HYPERLINK("https://cao.dolgi.msk.ru/account/1011472534/", 1011472534)</f>
        <v>1011472534</v>
      </c>
      <c r="D4666">
        <v>-11184.5</v>
      </c>
    </row>
    <row r="4667" spans="1:4" hidden="1" x14ac:dyDescent="0.3">
      <c r="A4667" t="s">
        <v>559</v>
      </c>
      <c r="B4667" t="s">
        <v>25</v>
      </c>
      <c r="C4667" s="1">
        <f>HYPERLINK("https://cao.dolgi.msk.ru/account/1011473051/", 1011473051)</f>
        <v>1011473051</v>
      </c>
      <c r="D4667">
        <v>0</v>
      </c>
    </row>
    <row r="4668" spans="1:4" hidden="1" x14ac:dyDescent="0.3">
      <c r="A4668" t="s">
        <v>559</v>
      </c>
      <c r="B4668" t="s">
        <v>26</v>
      </c>
      <c r="C4668" s="1">
        <f>HYPERLINK("https://cao.dolgi.msk.ru/account/1011472307/", 1011472307)</f>
        <v>1011472307</v>
      </c>
      <c r="D4668">
        <v>0</v>
      </c>
    </row>
    <row r="4669" spans="1:4" hidden="1" x14ac:dyDescent="0.3">
      <c r="A4669" t="s">
        <v>559</v>
      </c>
      <c r="B4669" t="s">
        <v>27</v>
      </c>
      <c r="C4669" s="1">
        <f>HYPERLINK("https://cao.dolgi.msk.ru/account/1011472542/", 1011472542)</f>
        <v>1011472542</v>
      </c>
      <c r="D4669">
        <v>-808.83</v>
      </c>
    </row>
    <row r="4670" spans="1:4" hidden="1" x14ac:dyDescent="0.3">
      <c r="A4670" t="s">
        <v>559</v>
      </c>
      <c r="B4670" t="s">
        <v>27</v>
      </c>
      <c r="C4670" s="1">
        <f>HYPERLINK("https://cao.dolgi.msk.ru/account/1011472622/", 1011472622)</f>
        <v>1011472622</v>
      </c>
      <c r="D4670">
        <v>-2405.5300000000002</v>
      </c>
    </row>
    <row r="4671" spans="1:4" hidden="1" x14ac:dyDescent="0.3">
      <c r="A4671" t="s">
        <v>559</v>
      </c>
      <c r="B4671" t="s">
        <v>27</v>
      </c>
      <c r="C4671" s="1">
        <f>HYPERLINK("https://cao.dolgi.msk.ru/account/1011472649/", 1011472649)</f>
        <v>1011472649</v>
      </c>
      <c r="D4671">
        <v>-2405.5300000000002</v>
      </c>
    </row>
    <row r="4672" spans="1:4" hidden="1" x14ac:dyDescent="0.3">
      <c r="A4672" t="s">
        <v>559</v>
      </c>
      <c r="B4672" t="s">
        <v>29</v>
      </c>
      <c r="C4672" s="1">
        <f>HYPERLINK("https://cao.dolgi.msk.ru/account/1011472817/", 1011472817)</f>
        <v>1011472817</v>
      </c>
      <c r="D4672">
        <v>-10193.39</v>
      </c>
    </row>
    <row r="4673" spans="1:4" hidden="1" x14ac:dyDescent="0.3">
      <c r="A4673" t="s">
        <v>559</v>
      </c>
      <c r="B4673" t="s">
        <v>38</v>
      </c>
      <c r="C4673" s="1">
        <f>HYPERLINK("https://cao.dolgi.msk.ru/account/1011472358/", 1011472358)</f>
        <v>1011472358</v>
      </c>
      <c r="D4673">
        <v>0</v>
      </c>
    </row>
    <row r="4674" spans="1:4" hidden="1" x14ac:dyDescent="0.3">
      <c r="A4674" t="s">
        <v>559</v>
      </c>
      <c r="B4674" t="s">
        <v>38</v>
      </c>
      <c r="C4674" s="1">
        <f>HYPERLINK("https://cao.dolgi.msk.ru/account/1011472438/", 1011472438)</f>
        <v>1011472438</v>
      </c>
      <c r="D4674">
        <v>0</v>
      </c>
    </row>
    <row r="4675" spans="1:4" hidden="1" x14ac:dyDescent="0.3">
      <c r="A4675" t="s">
        <v>559</v>
      </c>
      <c r="B4675" t="s">
        <v>39</v>
      </c>
      <c r="C4675" s="1">
        <f>HYPERLINK("https://cao.dolgi.msk.ru/account/1011472673/", 1011472673)</f>
        <v>1011472673</v>
      </c>
      <c r="D4675">
        <v>0</v>
      </c>
    </row>
    <row r="4676" spans="1:4" hidden="1" x14ac:dyDescent="0.3">
      <c r="A4676" t="s">
        <v>559</v>
      </c>
      <c r="B4676" t="s">
        <v>40</v>
      </c>
      <c r="C4676" s="1">
        <f>HYPERLINK("https://cao.dolgi.msk.ru/account/1011472681/", 1011472681)</f>
        <v>1011472681</v>
      </c>
      <c r="D4676">
        <v>-7966.75</v>
      </c>
    </row>
    <row r="4677" spans="1:4" hidden="1" x14ac:dyDescent="0.3">
      <c r="A4677" t="s">
        <v>559</v>
      </c>
      <c r="B4677" t="s">
        <v>41</v>
      </c>
      <c r="C4677" s="1">
        <f>HYPERLINK("https://cao.dolgi.msk.ru/account/1011472825/", 1011472825)</f>
        <v>1011472825</v>
      </c>
      <c r="D4677">
        <v>-5742.73</v>
      </c>
    </row>
    <row r="4678" spans="1:4" hidden="1" x14ac:dyDescent="0.3">
      <c r="A4678" t="s">
        <v>559</v>
      </c>
      <c r="B4678" t="s">
        <v>51</v>
      </c>
      <c r="C4678" s="1">
        <f>HYPERLINK("https://cao.dolgi.msk.ru/account/1011472315/", 1011472315)</f>
        <v>1011472315</v>
      </c>
      <c r="D4678">
        <v>0</v>
      </c>
    </row>
    <row r="4679" spans="1:4" hidden="1" x14ac:dyDescent="0.3">
      <c r="A4679" t="s">
        <v>559</v>
      </c>
      <c r="B4679" t="s">
        <v>52</v>
      </c>
      <c r="C4679" s="1">
        <f>HYPERLINK("https://cao.dolgi.msk.ru/account/1011472921/", 1011472921)</f>
        <v>1011472921</v>
      </c>
      <c r="D4679">
        <v>0</v>
      </c>
    </row>
    <row r="4680" spans="1:4" hidden="1" x14ac:dyDescent="0.3">
      <c r="A4680" t="s">
        <v>559</v>
      </c>
      <c r="B4680" t="s">
        <v>53</v>
      </c>
      <c r="C4680" s="1">
        <f>HYPERLINK("https://cao.dolgi.msk.ru/account/1011472518/", 1011472518)</f>
        <v>1011472518</v>
      </c>
      <c r="D4680">
        <v>-225.26</v>
      </c>
    </row>
    <row r="4681" spans="1:4" hidden="1" x14ac:dyDescent="0.3">
      <c r="A4681" t="s">
        <v>559</v>
      </c>
      <c r="B4681" t="s">
        <v>54</v>
      </c>
      <c r="C4681" s="1">
        <f>HYPERLINK("https://cao.dolgi.msk.ru/account/1011472833/", 1011472833)</f>
        <v>1011472833</v>
      </c>
      <c r="D4681">
        <v>-63.82</v>
      </c>
    </row>
    <row r="4682" spans="1:4" hidden="1" x14ac:dyDescent="0.3">
      <c r="A4682" t="s">
        <v>559</v>
      </c>
      <c r="B4682" t="s">
        <v>55</v>
      </c>
      <c r="C4682" s="1">
        <f>HYPERLINK("https://cao.dolgi.msk.ru/account/1011472569/", 1011472569)</f>
        <v>1011472569</v>
      </c>
      <c r="D4682">
        <v>0</v>
      </c>
    </row>
    <row r="4683" spans="1:4" hidden="1" x14ac:dyDescent="0.3">
      <c r="A4683" t="s">
        <v>559</v>
      </c>
      <c r="B4683" t="s">
        <v>56</v>
      </c>
      <c r="C4683" s="1">
        <f>HYPERLINK("https://cao.dolgi.msk.ru/account/1011472446/", 1011472446)</f>
        <v>1011472446</v>
      </c>
      <c r="D4683">
        <v>-19216.98</v>
      </c>
    </row>
    <row r="4684" spans="1:4" hidden="1" x14ac:dyDescent="0.3">
      <c r="A4684" t="s">
        <v>559</v>
      </c>
      <c r="B4684" t="s">
        <v>87</v>
      </c>
      <c r="C4684" s="1">
        <f>HYPERLINK("https://cao.dolgi.msk.ru/account/1011473027/", 1011473027)</f>
        <v>1011473027</v>
      </c>
      <c r="D4684">
        <v>0</v>
      </c>
    </row>
    <row r="4685" spans="1:4" hidden="1" x14ac:dyDescent="0.3">
      <c r="A4685" t="s">
        <v>559</v>
      </c>
      <c r="B4685" t="s">
        <v>88</v>
      </c>
      <c r="C4685" s="1">
        <f>HYPERLINK("https://cao.dolgi.msk.ru/account/1011472526/", 1011472526)</f>
        <v>1011472526</v>
      </c>
      <c r="D4685">
        <v>0</v>
      </c>
    </row>
    <row r="4686" spans="1:4" x14ac:dyDescent="0.3">
      <c r="A4686" t="s">
        <v>559</v>
      </c>
      <c r="B4686" t="s">
        <v>89</v>
      </c>
      <c r="C4686" s="1">
        <f>HYPERLINK("https://cao.dolgi.msk.ru/account/1011472841/", 1011472841)</f>
        <v>1011472841</v>
      </c>
      <c r="D4686">
        <v>8768.4500000000007</v>
      </c>
    </row>
    <row r="4687" spans="1:4" hidden="1" x14ac:dyDescent="0.3">
      <c r="A4687" t="s">
        <v>559</v>
      </c>
      <c r="B4687" t="s">
        <v>90</v>
      </c>
      <c r="C4687" s="1">
        <f>HYPERLINK("https://cao.dolgi.msk.ru/account/1011472366/", 1011472366)</f>
        <v>1011472366</v>
      </c>
      <c r="D4687">
        <v>0</v>
      </c>
    </row>
    <row r="4688" spans="1:4" hidden="1" x14ac:dyDescent="0.3">
      <c r="A4688" t="s">
        <v>559</v>
      </c>
      <c r="B4688" t="s">
        <v>90</v>
      </c>
      <c r="C4688" s="1">
        <f>HYPERLINK("https://cao.dolgi.msk.ru/account/1011472868/", 1011472868)</f>
        <v>1011472868</v>
      </c>
      <c r="D4688">
        <v>0</v>
      </c>
    </row>
    <row r="4689" spans="1:4" hidden="1" x14ac:dyDescent="0.3">
      <c r="A4689" t="s">
        <v>559</v>
      </c>
      <c r="B4689" t="s">
        <v>96</v>
      </c>
      <c r="C4689" s="1">
        <f>HYPERLINK("https://cao.dolgi.msk.ru/account/1011472948/", 1011472948)</f>
        <v>1011472948</v>
      </c>
      <c r="D4689">
        <v>0</v>
      </c>
    </row>
    <row r="4690" spans="1:4" hidden="1" x14ac:dyDescent="0.3">
      <c r="A4690" t="s">
        <v>559</v>
      </c>
      <c r="B4690" t="s">
        <v>97</v>
      </c>
      <c r="C4690" s="1">
        <f>HYPERLINK("https://cao.dolgi.msk.ru/account/1011472956/", 1011472956)</f>
        <v>1011472956</v>
      </c>
      <c r="D4690">
        <v>-5617.07</v>
      </c>
    </row>
    <row r="4691" spans="1:4" hidden="1" x14ac:dyDescent="0.3">
      <c r="A4691" t="s">
        <v>559</v>
      </c>
      <c r="B4691" t="s">
        <v>98</v>
      </c>
      <c r="C4691" s="1">
        <f>HYPERLINK("https://cao.dolgi.msk.ru/account/1011472323/", 1011472323)</f>
        <v>1011472323</v>
      </c>
      <c r="D4691">
        <v>0</v>
      </c>
    </row>
    <row r="4692" spans="1:4" hidden="1" x14ac:dyDescent="0.3">
      <c r="A4692" t="s">
        <v>559</v>
      </c>
      <c r="B4692" t="s">
        <v>58</v>
      </c>
      <c r="C4692" s="1">
        <f>HYPERLINK("https://cao.dolgi.msk.ru/account/1011472702/", 1011472702)</f>
        <v>1011472702</v>
      </c>
      <c r="D4692">
        <v>0</v>
      </c>
    </row>
    <row r="4693" spans="1:4" hidden="1" x14ac:dyDescent="0.3">
      <c r="A4693" t="s">
        <v>559</v>
      </c>
      <c r="B4693" t="s">
        <v>59</v>
      </c>
      <c r="C4693" s="1">
        <f>HYPERLINK("https://cao.dolgi.msk.ru/account/1011473035/", 1011473035)</f>
        <v>1011473035</v>
      </c>
      <c r="D4693">
        <v>0</v>
      </c>
    </row>
    <row r="4694" spans="1:4" hidden="1" x14ac:dyDescent="0.3">
      <c r="A4694" t="s">
        <v>559</v>
      </c>
      <c r="B4694" t="s">
        <v>60</v>
      </c>
      <c r="C4694" s="1">
        <f>HYPERLINK("https://cao.dolgi.msk.ru/account/1011472729/", 1011472729)</f>
        <v>1011472729</v>
      </c>
      <c r="D4694">
        <v>0</v>
      </c>
    </row>
    <row r="4695" spans="1:4" hidden="1" x14ac:dyDescent="0.3">
      <c r="A4695" t="s">
        <v>559</v>
      </c>
      <c r="B4695" t="s">
        <v>61</v>
      </c>
      <c r="C4695" s="1">
        <f>HYPERLINK("https://cao.dolgi.msk.ru/account/1011472577/", 1011472577)</f>
        <v>1011472577</v>
      </c>
      <c r="D4695">
        <v>0</v>
      </c>
    </row>
    <row r="4696" spans="1:4" hidden="1" x14ac:dyDescent="0.3">
      <c r="A4696" t="s">
        <v>559</v>
      </c>
      <c r="B4696" t="s">
        <v>62</v>
      </c>
      <c r="C4696" s="1">
        <f>HYPERLINK("https://cao.dolgi.msk.ru/account/1011472876/", 1011472876)</f>
        <v>1011472876</v>
      </c>
      <c r="D4696">
        <v>0</v>
      </c>
    </row>
    <row r="4697" spans="1:4" hidden="1" x14ac:dyDescent="0.3">
      <c r="A4697" t="s">
        <v>559</v>
      </c>
      <c r="B4697" t="s">
        <v>63</v>
      </c>
      <c r="C4697" s="1">
        <f>HYPERLINK("https://cao.dolgi.msk.ru/account/1011472585/", 1011472585)</f>
        <v>1011472585</v>
      </c>
      <c r="D4697">
        <v>0</v>
      </c>
    </row>
    <row r="4698" spans="1:4" x14ac:dyDescent="0.3">
      <c r="A4698" t="s">
        <v>559</v>
      </c>
      <c r="B4698" t="s">
        <v>64</v>
      </c>
      <c r="C4698" s="1">
        <f>HYPERLINK("https://cao.dolgi.msk.ru/account/1011472737/", 1011472737)</f>
        <v>1011472737</v>
      </c>
      <c r="D4698">
        <v>45569.59</v>
      </c>
    </row>
    <row r="4699" spans="1:4" hidden="1" x14ac:dyDescent="0.3">
      <c r="A4699" t="s">
        <v>559</v>
      </c>
      <c r="B4699" t="s">
        <v>65</v>
      </c>
      <c r="C4699" s="1">
        <f>HYPERLINK("https://cao.dolgi.msk.ru/account/1011472745/", 1011472745)</f>
        <v>1011472745</v>
      </c>
      <c r="D4699">
        <v>0</v>
      </c>
    </row>
    <row r="4700" spans="1:4" hidden="1" x14ac:dyDescent="0.3">
      <c r="A4700" t="s">
        <v>559</v>
      </c>
      <c r="B4700" t="s">
        <v>66</v>
      </c>
      <c r="C4700" s="1">
        <f>HYPERLINK("https://cao.dolgi.msk.ru/account/1011472331/", 1011472331)</f>
        <v>1011472331</v>
      </c>
      <c r="D4700">
        <v>0</v>
      </c>
    </row>
    <row r="4701" spans="1:4" hidden="1" x14ac:dyDescent="0.3">
      <c r="A4701" t="s">
        <v>559</v>
      </c>
      <c r="B4701" t="s">
        <v>67</v>
      </c>
      <c r="C4701" s="1">
        <f>HYPERLINK("https://cao.dolgi.msk.ru/account/1011472593/", 1011472593)</f>
        <v>1011472593</v>
      </c>
      <c r="D4701">
        <v>0</v>
      </c>
    </row>
    <row r="4702" spans="1:4" hidden="1" x14ac:dyDescent="0.3">
      <c r="A4702" t="s">
        <v>559</v>
      </c>
      <c r="B4702" t="s">
        <v>68</v>
      </c>
      <c r="C4702" s="1">
        <f>HYPERLINK("https://cao.dolgi.msk.ru/account/1011472964/", 1011472964)</f>
        <v>1011472964</v>
      </c>
      <c r="D4702">
        <v>0</v>
      </c>
    </row>
    <row r="4703" spans="1:4" hidden="1" x14ac:dyDescent="0.3">
      <c r="A4703" t="s">
        <v>559</v>
      </c>
      <c r="B4703" t="s">
        <v>69</v>
      </c>
      <c r="C4703" s="1">
        <f>HYPERLINK("https://cao.dolgi.msk.ru/account/1011472753/", 1011472753)</f>
        <v>1011472753</v>
      </c>
      <c r="D4703">
        <v>0</v>
      </c>
    </row>
    <row r="4704" spans="1:4" hidden="1" x14ac:dyDescent="0.3">
      <c r="A4704" t="s">
        <v>559</v>
      </c>
      <c r="B4704" t="s">
        <v>70</v>
      </c>
      <c r="C4704" s="1">
        <f>HYPERLINK("https://cao.dolgi.msk.ru/account/1011472884/", 1011472884)</f>
        <v>1011472884</v>
      </c>
      <c r="D4704">
        <v>0</v>
      </c>
    </row>
    <row r="4705" spans="1:4" hidden="1" x14ac:dyDescent="0.3">
      <c r="A4705" t="s">
        <v>559</v>
      </c>
      <c r="B4705" t="s">
        <v>259</v>
      </c>
      <c r="C4705" s="1">
        <f>HYPERLINK("https://cao.dolgi.msk.ru/account/1011472761/", 1011472761)</f>
        <v>1011472761</v>
      </c>
      <c r="D4705">
        <v>0</v>
      </c>
    </row>
    <row r="4706" spans="1:4" hidden="1" x14ac:dyDescent="0.3">
      <c r="A4706" t="s">
        <v>559</v>
      </c>
      <c r="B4706" t="s">
        <v>100</v>
      </c>
      <c r="C4706" s="1">
        <f>HYPERLINK("https://cao.dolgi.msk.ru/account/1011473043/", 1011473043)</f>
        <v>1011473043</v>
      </c>
      <c r="D4706">
        <v>-8667.2800000000007</v>
      </c>
    </row>
    <row r="4707" spans="1:4" hidden="1" x14ac:dyDescent="0.3">
      <c r="A4707" t="s">
        <v>559</v>
      </c>
      <c r="B4707" t="s">
        <v>72</v>
      </c>
      <c r="C4707" s="1">
        <f>HYPERLINK("https://cao.dolgi.msk.ru/account/1011472606/", 1011472606)</f>
        <v>1011472606</v>
      </c>
      <c r="D4707">
        <v>-122.7</v>
      </c>
    </row>
    <row r="4708" spans="1:4" hidden="1" x14ac:dyDescent="0.3">
      <c r="A4708" t="s">
        <v>559</v>
      </c>
      <c r="B4708" t="s">
        <v>73</v>
      </c>
      <c r="C4708" s="1">
        <f>HYPERLINK("https://cao.dolgi.msk.ru/account/1011472454/", 1011472454)</f>
        <v>1011472454</v>
      </c>
      <c r="D4708">
        <v>0</v>
      </c>
    </row>
    <row r="4709" spans="1:4" hidden="1" x14ac:dyDescent="0.3">
      <c r="A4709" t="s">
        <v>559</v>
      </c>
      <c r="B4709" t="s">
        <v>74</v>
      </c>
      <c r="C4709" s="1">
        <f>HYPERLINK("https://cao.dolgi.msk.ru/account/1011472614/", 1011472614)</f>
        <v>1011472614</v>
      </c>
      <c r="D4709">
        <v>0</v>
      </c>
    </row>
    <row r="4710" spans="1:4" x14ac:dyDescent="0.3">
      <c r="A4710" t="s">
        <v>559</v>
      </c>
      <c r="B4710" t="s">
        <v>75</v>
      </c>
      <c r="C4710" s="1">
        <f>HYPERLINK("https://cao.dolgi.msk.ru/account/1011472462/", 1011472462)</f>
        <v>1011472462</v>
      </c>
      <c r="D4710">
        <v>17320.14</v>
      </c>
    </row>
    <row r="4711" spans="1:4" hidden="1" x14ac:dyDescent="0.3">
      <c r="A4711" t="s">
        <v>559</v>
      </c>
      <c r="B4711" t="s">
        <v>76</v>
      </c>
      <c r="C4711" s="1">
        <f>HYPERLINK("https://cao.dolgi.msk.ru/account/1011472972/", 1011472972)</f>
        <v>1011472972</v>
      </c>
      <c r="D4711">
        <v>-2888.79</v>
      </c>
    </row>
    <row r="4712" spans="1:4" hidden="1" x14ac:dyDescent="0.3">
      <c r="A4712" t="s">
        <v>560</v>
      </c>
      <c r="B4712" t="s">
        <v>28</v>
      </c>
      <c r="C4712" s="1">
        <f>HYPERLINK("https://cao.dolgi.msk.ru/account/1010258093/", 1010258093)</f>
        <v>1010258093</v>
      </c>
      <c r="D4712">
        <v>-1768.44</v>
      </c>
    </row>
    <row r="4713" spans="1:4" hidden="1" x14ac:dyDescent="0.3">
      <c r="A4713" t="s">
        <v>560</v>
      </c>
      <c r="B4713" t="s">
        <v>35</v>
      </c>
      <c r="C4713" s="1">
        <f>HYPERLINK("https://cao.dolgi.msk.ru/account/1010258106/", 1010258106)</f>
        <v>1010258106</v>
      </c>
      <c r="D4713">
        <v>0</v>
      </c>
    </row>
    <row r="4714" spans="1:4" hidden="1" x14ac:dyDescent="0.3">
      <c r="A4714" t="s">
        <v>560</v>
      </c>
      <c r="B4714" t="s">
        <v>5</v>
      </c>
      <c r="C4714" s="1">
        <f>HYPERLINK("https://cao.dolgi.msk.ru/account/1010258114/", 1010258114)</f>
        <v>1010258114</v>
      </c>
      <c r="D4714">
        <v>0</v>
      </c>
    </row>
    <row r="4715" spans="1:4" hidden="1" x14ac:dyDescent="0.3">
      <c r="A4715" t="s">
        <v>560</v>
      </c>
      <c r="B4715" t="s">
        <v>7</v>
      </c>
      <c r="C4715" s="1">
        <f>HYPERLINK("https://cao.dolgi.msk.ru/account/1010258122/", 1010258122)</f>
        <v>1010258122</v>
      </c>
      <c r="D4715">
        <v>0</v>
      </c>
    </row>
    <row r="4716" spans="1:4" hidden="1" x14ac:dyDescent="0.3">
      <c r="A4716" t="s">
        <v>560</v>
      </c>
      <c r="B4716" t="s">
        <v>8</v>
      </c>
      <c r="C4716" s="1">
        <f>HYPERLINK("https://cao.dolgi.msk.ru/account/1010258149/", 1010258149)</f>
        <v>1010258149</v>
      </c>
      <c r="D4716">
        <v>0</v>
      </c>
    </row>
    <row r="4717" spans="1:4" x14ac:dyDescent="0.3">
      <c r="A4717" t="s">
        <v>560</v>
      </c>
      <c r="B4717" t="s">
        <v>31</v>
      </c>
      <c r="C4717" s="1">
        <f>HYPERLINK("https://cao.dolgi.msk.ru/account/1010259344/", 1010259344)</f>
        <v>1010259344</v>
      </c>
      <c r="D4717">
        <v>5188.38</v>
      </c>
    </row>
    <row r="4718" spans="1:4" hidden="1" x14ac:dyDescent="0.3">
      <c r="A4718" t="s">
        <v>560</v>
      </c>
      <c r="B4718" t="s">
        <v>9</v>
      </c>
      <c r="C4718" s="1">
        <f>HYPERLINK("https://cao.dolgi.msk.ru/account/1010258157/", 1010258157)</f>
        <v>1010258157</v>
      </c>
      <c r="D4718">
        <v>-64</v>
      </c>
    </row>
    <row r="4719" spans="1:4" hidden="1" x14ac:dyDescent="0.3">
      <c r="A4719" t="s">
        <v>560</v>
      </c>
      <c r="B4719" t="s">
        <v>10</v>
      </c>
      <c r="C4719" s="1">
        <f>HYPERLINK("https://cao.dolgi.msk.ru/account/1010258165/", 1010258165)</f>
        <v>1010258165</v>
      </c>
      <c r="D4719">
        <v>0</v>
      </c>
    </row>
    <row r="4720" spans="1:4" x14ac:dyDescent="0.3">
      <c r="A4720" t="s">
        <v>560</v>
      </c>
      <c r="B4720" t="s">
        <v>11</v>
      </c>
      <c r="C4720" s="1">
        <f>HYPERLINK("https://cao.dolgi.msk.ru/account/1010258173/", 1010258173)</f>
        <v>1010258173</v>
      </c>
      <c r="D4720">
        <v>6512.74</v>
      </c>
    </row>
    <row r="4721" spans="1:4" hidden="1" x14ac:dyDescent="0.3">
      <c r="A4721" t="s">
        <v>560</v>
      </c>
      <c r="B4721" t="s">
        <v>12</v>
      </c>
      <c r="C4721" s="1">
        <f>HYPERLINK("https://cao.dolgi.msk.ru/account/1010258181/", 1010258181)</f>
        <v>1010258181</v>
      </c>
      <c r="D4721">
        <v>-4764.28</v>
      </c>
    </row>
    <row r="4722" spans="1:4" hidden="1" x14ac:dyDescent="0.3">
      <c r="A4722" t="s">
        <v>560</v>
      </c>
      <c r="B4722" t="s">
        <v>23</v>
      </c>
      <c r="C4722" s="1">
        <f>HYPERLINK("https://cao.dolgi.msk.ru/account/1010258202/", 1010258202)</f>
        <v>1010258202</v>
      </c>
      <c r="D4722">
        <v>-9883.68</v>
      </c>
    </row>
    <row r="4723" spans="1:4" hidden="1" x14ac:dyDescent="0.3">
      <c r="A4723" t="s">
        <v>560</v>
      </c>
      <c r="B4723" t="s">
        <v>13</v>
      </c>
      <c r="C4723" s="1">
        <f>HYPERLINK("https://cao.dolgi.msk.ru/account/1010258229/", 1010258229)</f>
        <v>1010258229</v>
      </c>
      <c r="D4723">
        <v>0</v>
      </c>
    </row>
    <row r="4724" spans="1:4" x14ac:dyDescent="0.3">
      <c r="A4724" t="s">
        <v>560</v>
      </c>
      <c r="B4724" t="s">
        <v>14</v>
      </c>
      <c r="C4724" s="1">
        <f>HYPERLINK("https://cao.dolgi.msk.ru/account/1010258237/", 1010258237)</f>
        <v>1010258237</v>
      </c>
      <c r="D4724">
        <v>7817.21</v>
      </c>
    </row>
    <row r="4725" spans="1:4" x14ac:dyDescent="0.3">
      <c r="A4725" t="s">
        <v>560</v>
      </c>
      <c r="B4725" t="s">
        <v>16</v>
      </c>
      <c r="C4725" s="1">
        <f>HYPERLINK("https://cao.dolgi.msk.ru/account/1010258245/", 1010258245)</f>
        <v>1010258245</v>
      </c>
      <c r="D4725">
        <v>973.83</v>
      </c>
    </row>
    <row r="4726" spans="1:4" hidden="1" x14ac:dyDescent="0.3">
      <c r="A4726" t="s">
        <v>560</v>
      </c>
      <c r="B4726" t="s">
        <v>17</v>
      </c>
      <c r="C4726" s="1">
        <f>HYPERLINK("https://cao.dolgi.msk.ru/account/1010258253/", 1010258253)</f>
        <v>1010258253</v>
      </c>
      <c r="D4726">
        <v>-9262.31</v>
      </c>
    </row>
    <row r="4727" spans="1:4" x14ac:dyDescent="0.3">
      <c r="A4727" t="s">
        <v>560</v>
      </c>
      <c r="B4727" t="s">
        <v>18</v>
      </c>
      <c r="C4727" s="1">
        <f>HYPERLINK("https://cao.dolgi.msk.ru/account/1010258261/", 1010258261)</f>
        <v>1010258261</v>
      </c>
      <c r="D4727">
        <v>12013.98</v>
      </c>
    </row>
    <row r="4728" spans="1:4" x14ac:dyDescent="0.3">
      <c r="A4728" t="s">
        <v>560</v>
      </c>
      <c r="B4728" t="s">
        <v>19</v>
      </c>
      <c r="C4728" s="1">
        <f>HYPERLINK("https://cao.dolgi.msk.ru/account/1010258288/", 1010258288)</f>
        <v>1010258288</v>
      </c>
      <c r="D4728">
        <v>4166.79</v>
      </c>
    </row>
    <row r="4729" spans="1:4" hidden="1" x14ac:dyDescent="0.3">
      <c r="A4729" t="s">
        <v>560</v>
      </c>
      <c r="B4729" t="s">
        <v>20</v>
      </c>
      <c r="C4729" s="1">
        <f>HYPERLINK("https://cao.dolgi.msk.ru/account/1010258296/", 1010258296)</f>
        <v>1010258296</v>
      </c>
      <c r="D4729">
        <v>-3738.32</v>
      </c>
    </row>
    <row r="4730" spans="1:4" hidden="1" x14ac:dyDescent="0.3">
      <c r="A4730" t="s">
        <v>560</v>
      </c>
      <c r="B4730" t="s">
        <v>21</v>
      </c>
      <c r="C4730" s="1">
        <f>HYPERLINK("https://cao.dolgi.msk.ru/account/1010258309/", 1010258309)</f>
        <v>1010258309</v>
      </c>
      <c r="D4730">
        <v>-16971.060000000001</v>
      </c>
    </row>
    <row r="4731" spans="1:4" hidden="1" x14ac:dyDescent="0.3">
      <c r="A4731" t="s">
        <v>560</v>
      </c>
      <c r="B4731" t="s">
        <v>22</v>
      </c>
      <c r="C4731" s="1">
        <f>HYPERLINK("https://cao.dolgi.msk.ru/account/1010258317/", 1010258317)</f>
        <v>1010258317</v>
      </c>
      <c r="D4731">
        <v>-3722.94</v>
      </c>
    </row>
    <row r="4732" spans="1:4" hidden="1" x14ac:dyDescent="0.3">
      <c r="A4732" t="s">
        <v>560</v>
      </c>
      <c r="B4732" t="s">
        <v>24</v>
      </c>
      <c r="C4732" s="1">
        <f>HYPERLINK("https://cao.dolgi.msk.ru/account/1010258325/", 1010258325)</f>
        <v>1010258325</v>
      </c>
      <c r="D4732">
        <v>-553.96</v>
      </c>
    </row>
    <row r="4733" spans="1:4" hidden="1" x14ac:dyDescent="0.3">
      <c r="A4733" t="s">
        <v>560</v>
      </c>
      <c r="B4733" t="s">
        <v>26</v>
      </c>
      <c r="C4733" s="1">
        <f>HYPERLINK("https://cao.dolgi.msk.ru/account/1010258333/", 1010258333)</f>
        <v>1010258333</v>
      </c>
      <c r="D4733">
        <v>-30.11</v>
      </c>
    </row>
    <row r="4734" spans="1:4" hidden="1" x14ac:dyDescent="0.3">
      <c r="A4734" t="s">
        <v>560</v>
      </c>
      <c r="B4734" t="s">
        <v>27</v>
      </c>
      <c r="C4734" s="1">
        <f>HYPERLINK("https://cao.dolgi.msk.ru/account/1010258341/", 1010258341)</f>
        <v>1010258341</v>
      </c>
      <c r="D4734">
        <v>-7.64</v>
      </c>
    </row>
    <row r="4735" spans="1:4" hidden="1" x14ac:dyDescent="0.3">
      <c r="A4735" t="s">
        <v>560</v>
      </c>
      <c r="B4735" t="s">
        <v>29</v>
      </c>
      <c r="C4735" s="1">
        <f>HYPERLINK("https://cao.dolgi.msk.ru/account/1010258368/", 1010258368)</f>
        <v>1010258368</v>
      </c>
      <c r="D4735">
        <v>-3173.4</v>
      </c>
    </row>
    <row r="4736" spans="1:4" hidden="1" x14ac:dyDescent="0.3">
      <c r="A4736" t="s">
        <v>560</v>
      </c>
      <c r="B4736" t="s">
        <v>38</v>
      </c>
      <c r="C4736" s="1">
        <f>HYPERLINK("https://cao.dolgi.msk.ru/account/1010258376/", 1010258376)</f>
        <v>1010258376</v>
      </c>
      <c r="D4736">
        <v>-806.97</v>
      </c>
    </row>
    <row r="4737" spans="1:4" hidden="1" x14ac:dyDescent="0.3">
      <c r="A4737" t="s">
        <v>560</v>
      </c>
      <c r="B4737" t="s">
        <v>39</v>
      </c>
      <c r="C4737" s="1">
        <f>HYPERLINK("https://cao.dolgi.msk.ru/account/1010258384/", 1010258384)</f>
        <v>1010258384</v>
      </c>
      <c r="D4737">
        <v>-675</v>
      </c>
    </row>
    <row r="4738" spans="1:4" hidden="1" x14ac:dyDescent="0.3">
      <c r="A4738" t="s">
        <v>560</v>
      </c>
      <c r="B4738" t="s">
        <v>40</v>
      </c>
      <c r="C4738" s="1">
        <f>HYPERLINK("https://cao.dolgi.msk.ru/account/1010258392/", 1010258392)</f>
        <v>1010258392</v>
      </c>
      <c r="D4738">
        <v>-64</v>
      </c>
    </row>
    <row r="4739" spans="1:4" hidden="1" x14ac:dyDescent="0.3">
      <c r="A4739" t="s">
        <v>560</v>
      </c>
      <c r="B4739" t="s">
        <v>41</v>
      </c>
      <c r="C4739" s="1">
        <f>HYPERLINK("https://cao.dolgi.msk.ru/account/1010258405/", 1010258405)</f>
        <v>1010258405</v>
      </c>
      <c r="D4739">
        <v>-567.80999999999995</v>
      </c>
    </row>
    <row r="4740" spans="1:4" hidden="1" x14ac:dyDescent="0.3">
      <c r="A4740" t="s">
        <v>560</v>
      </c>
      <c r="B4740" t="s">
        <v>51</v>
      </c>
      <c r="C4740" s="1">
        <f>HYPERLINK("https://cao.dolgi.msk.ru/account/1010258413/", 1010258413)</f>
        <v>1010258413</v>
      </c>
      <c r="D4740">
        <v>-6914.33</v>
      </c>
    </row>
    <row r="4741" spans="1:4" x14ac:dyDescent="0.3">
      <c r="A4741" t="s">
        <v>560</v>
      </c>
      <c r="B4741" t="s">
        <v>52</v>
      </c>
      <c r="C4741" s="1">
        <f>HYPERLINK("https://cao.dolgi.msk.ru/account/1010258421/", 1010258421)</f>
        <v>1010258421</v>
      </c>
      <c r="D4741">
        <v>6746.25</v>
      </c>
    </row>
    <row r="4742" spans="1:4" hidden="1" x14ac:dyDescent="0.3">
      <c r="A4742" t="s">
        <v>560</v>
      </c>
      <c r="B4742" t="s">
        <v>53</v>
      </c>
      <c r="C4742" s="1">
        <f>HYPERLINK("https://cao.dolgi.msk.ru/account/1010258448/", 1010258448)</f>
        <v>1010258448</v>
      </c>
      <c r="D4742">
        <v>-107.61</v>
      </c>
    </row>
    <row r="4743" spans="1:4" hidden="1" x14ac:dyDescent="0.3">
      <c r="A4743" t="s">
        <v>560</v>
      </c>
      <c r="B4743" t="s">
        <v>54</v>
      </c>
      <c r="C4743" s="1">
        <f>HYPERLINK("https://cao.dolgi.msk.ru/account/1010258456/", 1010258456)</f>
        <v>1010258456</v>
      </c>
      <c r="D4743">
        <v>-64</v>
      </c>
    </row>
    <row r="4744" spans="1:4" hidden="1" x14ac:dyDescent="0.3">
      <c r="A4744" t="s">
        <v>560</v>
      </c>
      <c r="B4744" t="s">
        <v>55</v>
      </c>
      <c r="C4744" s="1">
        <f>HYPERLINK("https://cao.dolgi.msk.ru/account/1010258464/", 1010258464)</f>
        <v>1010258464</v>
      </c>
      <c r="D4744">
        <v>-64</v>
      </c>
    </row>
    <row r="4745" spans="1:4" hidden="1" x14ac:dyDescent="0.3">
      <c r="A4745" t="s">
        <v>560</v>
      </c>
      <c r="B4745" t="s">
        <v>56</v>
      </c>
      <c r="C4745" s="1">
        <f>HYPERLINK("https://cao.dolgi.msk.ru/account/1010258472/", 1010258472)</f>
        <v>1010258472</v>
      </c>
      <c r="D4745">
        <v>0</v>
      </c>
    </row>
    <row r="4746" spans="1:4" x14ac:dyDescent="0.3">
      <c r="A4746" t="s">
        <v>560</v>
      </c>
      <c r="B4746" t="s">
        <v>87</v>
      </c>
      <c r="C4746" s="1">
        <f>HYPERLINK("https://cao.dolgi.msk.ru/account/1010258499/", 1010258499)</f>
        <v>1010258499</v>
      </c>
      <c r="D4746">
        <v>22417.16</v>
      </c>
    </row>
    <row r="4747" spans="1:4" hidden="1" x14ac:dyDescent="0.3">
      <c r="A4747" t="s">
        <v>560</v>
      </c>
      <c r="B4747" t="s">
        <v>88</v>
      </c>
      <c r="C4747" s="1">
        <f>HYPERLINK("https://cao.dolgi.msk.ru/account/1010258501/", 1010258501)</f>
        <v>1010258501</v>
      </c>
      <c r="D4747">
        <v>-28394.18</v>
      </c>
    </row>
    <row r="4748" spans="1:4" hidden="1" x14ac:dyDescent="0.3">
      <c r="A4748" t="s">
        <v>560</v>
      </c>
      <c r="B4748" t="s">
        <v>89</v>
      </c>
      <c r="C4748" s="1">
        <f>HYPERLINK("https://cao.dolgi.msk.ru/account/1010258528/", 1010258528)</f>
        <v>1010258528</v>
      </c>
      <c r="D4748">
        <v>-5758.91</v>
      </c>
    </row>
    <row r="4749" spans="1:4" hidden="1" x14ac:dyDescent="0.3">
      <c r="A4749" t="s">
        <v>560</v>
      </c>
      <c r="B4749" t="s">
        <v>90</v>
      </c>
      <c r="C4749" s="1">
        <f>HYPERLINK("https://cao.dolgi.msk.ru/account/1010258536/", 1010258536)</f>
        <v>1010258536</v>
      </c>
      <c r="D4749">
        <v>-64</v>
      </c>
    </row>
    <row r="4750" spans="1:4" hidden="1" x14ac:dyDescent="0.3">
      <c r="A4750" t="s">
        <v>560</v>
      </c>
      <c r="B4750" t="s">
        <v>96</v>
      </c>
      <c r="C4750" s="1">
        <f>HYPERLINK("https://cao.dolgi.msk.ru/account/1010258544/", 1010258544)</f>
        <v>1010258544</v>
      </c>
      <c r="D4750">
        <v>-4227.9399999999996</v>
      </c>
    </row>
    <row r="4751" spans="1:4" x14ac:dyDescent="0.3">
      <c r="A4751" t="s">
        <v>560</v>
      </c>
      <c r="B4751" t="s">
        <v>97</v>
      </c>
      <c r="C4751" s="1">
        <f>HYPERLINK("https://cao.dolgi.msk.ru/account/1010258552/", 1010258552)</f>
        <v>1010258552</v>
      </c>
      <c r="D4751">
        <v>2472.35</v>
      </c>
    </row>
    <row r="4752" spans="1:4" hidden="1" x14ac:dyDescent="0.3">
      <c r="A4752" t="s">
        <v>560</v>
      </c>
      <c r="B4752" t="s">
        <v>98</v>
      </c>
      <c r="C4752" s="1">
        <f>HYPERLINK("https://cao.dolgi.msk.ru/account/1010258579/", 1010258579)</f>
        <v>1010258579</v>
      </c>
      <c r="D4752">
        <v>-64</v>
      </c>
    </row>
    <row r="4753" spans="1:4" hidden="1" x14ac:dyDescent="0.3">
      <c r="A4753" t="s">
        <v>560</v>
      </c>
      <c r="B4753" t="s">
        <v>58</v>
      </c>
      <c r="C4753" s="1">
        <f>HYPERLINK("https://cao.dolgi.msk.ru/account/1010258587/", 1010258587)</f>
        <v>1010258587</v>
      </c>
      <c r="D4753">
        <v>0</v>
      </c>
    </row>
    <row r="4754" spans="1:4" hidden="1" x14ac:dyDescent="0.3">
      <c r="A4754" t="s">
        <v>560</v>
      </c>
      <c r="B4754" t="s">
        <v>59</v>
      </c>
      <c r="C4754" s="1">
        <f>HYPERLINK("https://cao.dolgi.msk.ru/account/1010259352/", 1010259352)</f>
        <v>1010259352</v>
      </c>
      <c r="D4754">
        <v>-975.35</v>
      </c>
    </row>
    <row r="4755" spans="1:4" hidden="1" x14ac:dyDescent="0.3">
      <c r="A4755" t="s">
        <v>560</v>
      </c>
      <c r="B4755" t="s">
        <v>60</v>
      </c>
      <c r="C4755" s="1">
        <f>HYPERLINK("https://cao.dolgi.msk.ru/account/1010258608/", 1010258608)</f>
        <v>1010258608</v>
      </c>
      <c r="D4755">
        <v>-704.83</v>
      </c>
    </row>
    <row r="4756" spans="1:4" hidden="1" x14ac:dyDescent="0.3">
      <c r="A4756" t="s">
        <v>560</v>
      </c>
      <c r="B4756" t="s">
        <v>60</v>
      </c>
      <c r="C4756" s="1">
        <f>HYPERLINK("https://cao.dolgi.msk.ru/account/1011130622/", 1011130622)</f>
        <v>1011130622</v>
      </c>
      <c r="D4756">
        <v>0</v>
      </c>
    </row>
    <row r="4757" spans="1:4" hidden="1" x14ac:dyDescent="0.3">
      <c r="A4757" t="s">
        <v>560</v>
      </c>
      <c r="B4757" t="s">
        <v>61</v>
      </c>
      <c r="C4757" s="1">
        <f>HYPERLINK("https://cao.dolgi.msk.ru/account/1010258595/", 1010258595)</f>
        <v>1010258595</v>
      </c>
      <c r="D4757">
        <v>0</v>
      </c>
    </row>
    <row r="4758" spans="1:4" hidden="1" x14ac:dyDescent="0.3">
      <c r="A4758" t="s">
        <v>560</v>
      </c>
      <c r="B4758" t="s">
        <v>62</v>
      </c>
      <c r="C4758" s="1">
        <f>HYPERLINK("https://cao.dolgi.msk.ru/account/1010258616/", 1010258616)</f>
        <v>1010258616</v>
      </c>
      <c r="D4758">
        <v>0</v>
      </c>
    </row>
    <row r="4759" spans="1:4" hidden="1" x14ac:dyDescent="0.3">
      <c r="A4759" t="s">
        <v>560</v>
      </c>
      <c r="B4759" t="s">
        <v>63</v>
      </c>
      <c r="C4759" s="1">
        <f>HYPERLINK("https://cao.dolgi.msk.ru/account/1010258624/", 1010258624)</f>
        <v>1010258624</v>
      </c>
      <c r="D4759">
        <v>0</v>
      </c>
    </row>
    <row r="4760" spans="1:4" hidden="1" x14ac:dyDescent="0.3">
      <c r="A4760" t="s">
        <v>560</v>
      </c>
      <c r="B4760" t="s">
        <v>64</v>
      </c>
      <c r="C4760" s="1">
        <f>HYPERLINK("https://cao.dolgi.msk.ru/account/1010258632/", 1010258632)</f>
        <v>1010258632</v>
      </c>
      <c r="D4760">
        <v>-458.05</v>
      </c>
    </row>
    <row r="4761" spans="1:4" hidden="1" x14ac:dyDescent="0.3">
      <c r="A4761" t="s">
        <v>560</v>
      </c>
      <c r="B4761" t="s">
        <v>65</v>
      </c>
      <c r="C4761" s="1">
        <f>HYPERLINK("https://cao.dolgi.msk.ru/account/1010258659/", 1010258659)</f>
        <v>1010258659</v>
      </c>
      <c r="D4761">
        <v>0</v>
      </c>
    </row>
    <row r="4762" spans="1:4" hidden="1" x14ac:dyDescent="0.3">
      <c r="A4762" t="s">
        <v>560</v>
      </c>
      <c r="B4762" t="s">
        <v>66</v>
      </c>
      <c r="C4762" s="1">
        <f>HYPERLINK("https://cao.dolgi.msk.ru/account/1010258667/", 1010258667)</f>
        <v>1010258667</v>
      </c>
      <c r="D4762">
        <v>-5321.22</v>
      </c>
    </row>
    <row r="4763" spans="1:4" hidden="1" x14ac:dyDescent="0.3">
      <c r="A4763" t="s">
        <v>560</v>
      </c>
      <c r="B4763" t="s">
        <v>67</v>
      </c>
      <c r="C4763" s="1">
        <f>HYPERLINK("https://cao.dolgi.msk.ru/account/1010258675/", 1010258675)</f>
        <v>1010258675</v>
      </c>
      <c r="D4763">
        <v>-3801.55</v>
      </c>
    </row>
    <row r="4764" spans="1:4" x14ac:dyDescent="0.3">
      <c r="A4764" t="s">
        <v>560</v>
      </c>
      <c r="B4764" t="s">
        <v>68</v>
      </c>
      <c r="C4764" s="1">
        <f>HYPERLINK("https://cao.dolgi.msk.ru/account/1010258683/", 1010258683)</f>
        <v>1010258683</v>
      </c>
      <c r="D4764">
        <v>17010.810000000001</v>
      </c>
    </row>
    <row r="4765" spans="1:4" x14ac:dyDescent="0.3">
      <c r="A4765" t="s">
        <v>560</v>
      </c>
      <c r="B4765" t="s">
        <v>69</v>
      </c>
      <c r="C4765" s="1">
        <f>HYPERLINK("https://cao.dolgi.msk.ru/account/1010258691/", 1010258691)</f>
        <v>1010258691</v>
      </c>
      <c r="D4765">
        <v>9533.52</v>
      </c>
    </row>
    <row r="4766" spans="1:4" hidden="1" x14ac:dyDescent="0.3">
      <c r="A4766" t="s">
        <v>560</v>
      </c>
      <c r="B4766" t="s">
        <v>70</v>
      </c>
      <c r="C4766" s="1">
        <f>HYPERLINK("https://cao.dolgi.msk.ru/account/1010258704/", 1010258704)</f>
        <v>1010258704</v>
      </c>
      <c r="D4766">
        <v>0</v>
      </c>
    </row>
    <row r="4767" spans="1:4" x14ac:dyDescent="0.3">
      <c r="A4767" t="s">
        <v>560</v>
      </c>
      <c r="B4767" t="s">
        <v>259</v>
      </c>
      <c r="C4767" s="1">
        <f>HYPERLINK("https://cao.dolgi.msk.ru/account/1010258712/", 1010258712)</f>
        <v>1010258712</v>
      </c>
      <c r="D4767">
        <v>4509.63</v>
      </c>
    </row>
    <row r="4768" spans="1:4" hidden="1" x14ac:dyDescent="0.3">
      <c r="A4768" t="s">
        <v>560</v>
      </c>
      <c r="B4768" t="s">
        <v>100</v>
      </c>
      <c r="C4768" s="1">
        <f>HYPERLINK("https://cao.dolgi.msk.ru/account/1010258739/", 1010258739)</f>
        <v>1010258739</v>
      </c>
      <c r="D4768">
        <v>-7141.77</v>
      </c>
    </row>
    <row r="4769" spans="1:4" x14ac:dyDescent="0.3">
      <c r="A4769" t="s">
        <v>560</v>
      </c>
      <c r="B4769" t="s">
        <v>72</v>
      </c>
      <c r="C4769" s="1">
        <f>HYPERLINK("https://cao.dolgi.msk.ru/account/1010258747/", 1010258747)</f>
        <v>1010258747</v>
      </c>
      <c r="D4769">
        <v>6666.47</v>
      </c>
    </row>
    <row r="4770" spans="1:4" hidden="1" x14ac:dyDescent="0.3">
      <c r="A4770" t="s">
        <v>560</v>
      </c>
      <c r="B4770" t="s">
        <v>73</v>
      </c>
      <c r="C4770" s="1">
        <f>HYPERLINK("https://cao.dolgi.msk.ru/account/1010258755/", 1010258755)</f>
        <v>1010258755</v>
      </c>
      <c r="D4770">
        <v>-3.62</v>
      </c>
    </row>
    <row r="4771" spans="1:4" x14ac:dyDescent="0.3">
      <c r="A4771" t="s">
        <v>560</v>
      </c>
      <c r="B4771" t="s">
        <v>74</v>
      </c>
      <c r="C4771" s="1">
        <f>HYPERLINK("https://cao.dolgi.msk.ru/account/1010258763/", 1010258763)</f>
        <v>1010258763</v>
      </c>
      <c r="D4771">
        <v>862.8</v>
      </c>
    </row>
    <row r="4772" spans="1:4" hidden="1" x14ac:dyDescent="0.3">
      <c r="A4772" t="s">
        <v>560</v>
      </c>
      <c r="B4772" t="s">
        <v>75</v>
      </c>
      <c r="C4772" s="1">
        <f>HYPERLINK("https://cao.dolgi.msk.ru/account/1010258771/", 1010258771)</f>
        <v>1010258771</v>
      </c>
      <c r="D4772">
        <v>-10.28</v>
      </c>
    </row>
    <row r="4773" spans="1:4" hidden="1" x14ac:dyDescent="0.3">
      <c r="A4773" t="s">
        <v>560</v>
      </c>
      <c r="B4773" t="s">
        <v>76</v>
      </c>
      <c r="C4773" s="1">
        <f>HYPERLINK("https://cao.dolgi.msk.ru/account/1010258798/", 1010258798)</f>
        <v>1010258798</v>
      </c>
      <c r="D4773">
        <v>0</v>
      </c>
    </row>
    <row r="4774" spans="1:4" x14ac:dyDescent="0.3">
      <c r="A4774" t="s">
        <v>560</v>
      </c>
      <c r="B4774" t="s">
        <v>77</v>
      </c>
      <c r="C4774" s="1">
        <f>HYPERLINK("https://cao.dolgi.msk.ru/account/1010258819/", 1010258819)</f>
        <v>1010258819</v>
      </c>
      <c r="D4774">
        <v>8431.84</v>
      </c>
    </row>
    <row r="4775" spans="1:4" hidden="1" x14ac:dyDescent="0.3">
      <c r="A4775" t="s">
        <v>560</v>
      </c>
      <c r="B4775" t="s">
        <v>78</v>
      </c>
      <c r="C4775" s="1">
        <f>HYPERLINK("https://cao.dolgi.msk.ru/account/1010258827/", 1010258827)</f>
        <v>1010258827</v>
      </c>
      <c r="D4775">
        <v>0</v>
      </c>
    </row>
    <row r="4776" spans="1:4" hidden="1" x14ac:dyDescent="0.3">
      <c r="A4776" t="s">
        <v>560</v>
      </c>
      <c r="B4776" t="s">
        <v>79</v>
      </c>
      <c r="C4776" s="1">
        <f>HYPERLINK("https://cao.dolgi.msk.ru/account/1010258835/", 1010258835)</f>
        <v>1010258835</v>
      </c>
      <c r="D4776">
        <v>0</v>
      </c>
    </row>
    <row r="4777" spans="1:4" hidden="1" x14ac:dyDescent="0.3">
      <c r="A4777" t="s">
        <v>560</v>
      </c>
      <c r="B4777" t="s">
        <v>81</v>
      </c>
      <c r="C4777" s="1">
        <f>HYPERLINK("https://cao.dolgi.msk.ru/account/1010258843/", 1010258843)</f>
        <v>1010258843</v>
      </c>
      <c r="D4777">
        <v>-64</v>
      </c>
    </row>
    <row r="4778" spans="1:4" hidden="1" x14ac:dyDescent="0.3">
      <c r="A4778" t="s">
        <v>560</v>
      </c>
      <c r="B4778" t="s">
        <v>101</v>
      </c>
      <c r="C4778" s="1">
        <f>HYPERLINK("https://cao.dolgi.msk.ru/account/1010258851/", 1010258851)</f>
        <v>1010258851</v>
      </c>
      <c r="D4778">
        <v>-64</v>
      </c>
    </row>
    <row r="4779" spans="1:4" hidden="1" x14ac:dyDescent="0.3">
      <c r="A4779" t="s">
        <v>560</v>
      </c>
      <c r="B4779" t="s">
        <v>82</v>
      </c>
      <c r="C4779" s="1">
        <f>HYPERLINK("https://cao.dolgi.msk.ru/account/1010258878/", 1010258878)</f>
        <v>1010258878</v>
      </c>
      <c r="D4779">
        <v>-213.66</v>
      </c>
    </row>
    <row r="4780" spans="1:4" hidden="1" x14ac:dyDescent="0.3">
      <c r="A4780" t="s">
        <v>560</v>
      </c>
      <c r="B4780" t="s">
        <v>83</v>
      </c>
      <c r="C4780" s="1">
        <f>HYPERLINK("https://cao.dolgi.msk.ru/account/1010258886/", 1010258886)</f>
        <v>1010258886</v>
      </c>
      <c r="D4780">
        <v>-64</v>
      </c>
    </row>
    <row r="4781" spans="1:4" x14ac:dyDescent="0.3">
      <c r="A4781" t="s">
        <v>560</v>
      </c>
      <c r="B4781" t="s">
        <v>84</v>
      </c>
      <c r="C4781" s="1">
        <f>HYPERLINK("https://cao.dolgi.msk.ru/account/1010258894/", 1010258894)</f>
        <v>1010258894</v>
      </c>
      <c r="D4781">
        <v>9586.15</v>
      </c>
    </row>
    <row r="4782" spans="1:4" x14ac:dyDescent="0.3">
      <c r="A4782" t="s">
        <v>560</v>
      </c>
      <c r="B4782" t="s">
        <v>85</v>
      </c>
      <c r="C4782" s="1">
        <f>HYPERLINK("https://cao.dolgi.msk.ru/account/1010258915/", 1010258915)</f>
        <v>1010258915</v>
      </c>
      <c r="D4782">
        <v>6455.45</v>
      </c>
    </row>
    <row r="4783" spans="1:4" x14ac:dyDescent="0.3">
      <c r="A4783" t="s">
        <v>560</v>
      </c>
      <c r="B4783" t="s">
        <v>102</v>
      </c>
      <c r="C4783" s="1">
        <f>HYPERLINK("https://cao.dolgi.msk.ru/account/1010258923/", 1010258923)</f>
        <v>1010258923</v>
      </c>
      <c r="D4783">
        <v>28965.85</v>
      </c>
    </row>
    <row r="4784" spans="1:4" hidden="1" x14ac:dyDescent="0.3">
      <c r="A4784" t="s">
        <v>560</v>
      </c>
      <c r="B4784" t="s">
        <v>103</v>
      </c>
      <c r="C4784" s="1">
        <f>HYPERLINK("https://cao.dolgi.msk.ru/account/1010258931/", 1010258931)</f>
        <v>1010258931</v>
      </c>
      <c r="D4784">
        <v>-64</v>
      </c>
    </row>
    <row r="4785" spans="1:4" x14ac:dyDescent="0.3">
      <c r="A4785" t="s">
        <v>560</v>
      </c>
      <c r="B4785" t="s">
        <v>103</v>
      </c>
      <c r="C4785" s="1">
        <f>HYPERLINK("https://cao.dolgi.msk.ru/account/1011020052/", 1011020052)</f>
        <v>1011020052</v>
      </c>
      <c r="D4785">
        <v>3405.07</v>
      </c>
    </row>
    <row r="4786" spans="1:4" hidden="1" x14ac:dyDescent="0.3">
      <c r="A4786" t="s">
        <v>560</v>
      </c>
      <c r="B4786" t="s">
        <v>104</v>
      </c>
      <c r="C4786" s="1">
        <f>HYPERLINK("https://cao.dolgi.msk.ru/account/1010258958/", 1010258958)</f>
        <v>1010258958</v>
      </c>
      <c r="D4786">
        <v>-255.27</v>
      </c>
    </row>
    <row r="4787" spans="1:4" hidden="1" x14ac:dyDescent="0.3">
      <c r="A4787" t="s">
        <v>560</v>
      </c>
      <c r="B4787" t="s">
        <v>105</v>
      </c>
      <c r="C4787" s="1">
        <f>HYPERLINK("https://cao.dolgi.msk.ru/account/1010258966/", 1010258966)</f>
        <v>1010258966</v>
      </c>
      <c r="D4787">
        <v>-4650.1000000000004</v>
      </c>
    </row>
    <row r="4788" spans="1:4" x14ac:dyDescent="0.3">
      <c r="A4788" t="s">
        <v>560</v>
      </c>
      <c r="B4788" t="s">
        <v>106</v>
      </c>
      <c r="C4788" s="1">
        <f>HYPERLINK("https://cao.dolgi.msk.ru/account/1010258974/", 1010258974)</f>
        <v>1010258974</v>
      </c>
      <c r="D4788">
        <v>1462.53</v>
      </c>
    </row>
    <row r="4789" spans="1:4" x14ac:dyDescent="0.3">
      <c r="A4789" t="s">
        <v>560</v>
      </c>
      <c r="B4789" t="s">
        <v>106</v>
      </c>
      <c r="C4789" s="1">
        <f>HYPERLINK("https://cao.dolgi.msk.ru/account/1019018715/", 1019018715)</f>
        <v>1019018715</v>
      </c>
      <c r="D4789">
        <v>1598.34</v>
      </c>
    </row>
    <row r="4790" spans="1:4" x14ac:dyDescent="0.3">
      <c r="A4790" t="s">
        <v>560</v>
      </c>
      <c r="B4790" t="s">
        <v>106</v>
      </c>
      <c r="C4790" s="1">
        <f>HYPERLINK("https://cao.dolgi.msk.ru/account/1019023602/", 1019023602)</f>
        <v>1019023602</v>
      </c>
      <c r="D4790">
        <v>2334.13</v>
      </c>
    </row>
    <row r="4791" spans="1:4" hidden="1" x14ac:dyDescent="0.3">
      <c r="A4791" t="s">
        <v>560</v>
      </c>
      <c r="B4791" t="s">
        <v>107</v>
      </c>
      <c r="C4791" s="1">
        <f>HYPERLINK("https://cao.dolgi.msk.ru/account/1010258982/", 1010258982)</f>
        <v>1010258982</v>
      </c>
      <c r="D4791">
        <v>-8986.8700000000008</v>
      </c>
    </row>
    <row r="4792" spans="1:4" hidden="1" x14ac:dyDescent="0.3">
      <c r="A4792" t="s">
        <v>560</v>
      </c>
      <c r="B4792" t="s">
        <v>108</v>
      </c>
      <c r="C4792" s="1">
        <f>HYPERLINK("https://cao.dolgi.msk.ru/account/1010259002/", 1010259002)</f>
        <v>1010259002</v>
      </c>
      <c r="D4792">
        <v>-64.06</v>
      </c>
    </row>
    <row r="4793" spans="1:4" hidden="1" x14ac:dyDescent="0.3">
      <c r="A4793" t="s">
        <v>560</v>
      </c>
      <c r="B4793" t="s">
        <v>109</v>
      </c>
      <c r="C4793" s="1">
        <f>HYPERLINK("https://cao.dolgi.msk.ru/account/1010259029/", 1010259029)</f>
        <v>1010259029</v>
      </c>
      <c r="D4793">
        <v>0</v>
      </c>
    </row>
    <row r="4794" spans="1:4" hidden="1" x14ac:dyDescent="0.3">
      <c r="A4794" t="s">
        <v>560</v>
      </c>
      <c r="B4794" t="s">
        <v>110</v>
      </c>
      <c r="C4794" s="1">
        <f>HYPERLINK("https://cao.dolgi.msk.ru/account/1010259037/", 1010259037)</f>
        <v>1010259037</v>
      </c>
      <c r="D4794">
        <v>-64</v>
      </c>
    </row>
    <row r="4795" spans="1:4" hidden="1" x14ac:dyDescent="0.3">
      <c r="A4795" t="s">
        <v>560</v>
      </c>
      <c r="B4795" t="s">
        <v>111</v>
      </c>
      <c r="C4795" s="1">
        <f>HYPERLINK("https://cao.dolgi.msk.ru/account/1010259045/", 1010259045)</f>
        <v>1010259045</v>
      </c>
      <c r="D4795">
        <v>0</v>
      </c>
    </row>
    <row r="4796" spans="1:4" hidden="1" x14ac:dyDescent="0.3">
      <c r="A4796" t="s">
        <v>560</v>
      </c>
      <c r="B4796" t="s">
        <v>112</v>
      </c>
      <c r="C4796" s="1">
        <f>HYPERLINK("https://cao.dolgi.msk.ru/account/1010259053/", 1010259053)</f>
        <v>1010259053</v>
      </c>
      <c r="D4796">
        <v>-64</v>
      </c>
    </row>
    <row r="4797" spans="1:4" hidden="1" x14ac:dyDescent="0.3">
      <c r="A4797" t="s">
        <v>560</v>
      </c>
      <c r="B4797" t="s">
        <v>113</v>
      </c>
      <c r="C4797" s="1">
        <f>HYPERLINK("https://cao.dolgi.msk.ru/account/1010259336/", 1010259336)</f>
        <v>1010259336</v>
      </c>
      <c r="D4797">
        <v>-448.46</v>
      </c>
    </row>
    <row r="4798" spans="1:4" hidden="1" x14ac:dyDescent="0.3">
      <c r="A4798" t="s">
        <v>560</v>
      </c>
      <c r="B4798" t="s">
        <v>114</v>
      </c>
      <c r="C4798" s="1">
        <f>HYPERLINK("https://cao.dolgi.msk.ru/account/1010259061/", 1010259061)</f>
        <v>1010259061</v>
      </c>
      <c r="D4798">
        <v>-64</v>
      </c>
    </row>
    <row r="4799" spans="1:4" x14ac:dyDescent="0.3">
      <c r="A4799" t="s">
        <v>560</v>
      </c>
      <c r="B4799" t="s">
        <v>115</v>
      </c>
      <c r="C4799" s="1">
        <f>HYPERLINK("https://cao.dolgi.msk.ru/account/1010259088/", 1010259088)</f>
        <v>1010259088</v>
      </c>
      <c r="D4799">
        <v>6212.1</v>
      </c>
    </row>
    <row r="4800" spans="1:4" hidden="1" x14ac:dyDescent="0.3">
      <c r="A4800" t="s">
        <v>560</v>
      </c>
      <c r="B4800" t="s">
        <v>116</v>
      </c>
      <c r="C4800" s="1">
        <f>HYPERLINK("https://cao.dolgi.msk.ru/account/1010259096/", 1010259096)</f>
        <v>1010259096</v>
      </c>
      <c r="D4800">
        <v>-7497.55</v>
      </c>
    </row>
    <row r="4801" spans="1:4" hidden="1" x14ac:dyDescent="0.3">
      <c r="A4801" t="s">
        <v>560</v>
      </c>
      <c r="B4801" t="s">
        <v>266</v>
      </c>
      <c r="C4801" s="1">
        <f>HYPERLINK("https://cao.dolgi.msk.ru/account/1010259109/", 1010259109)</f>
        <v>1010259109</v>
      </c>
      <c r="D4801">
        <v>-317.24</v>
      </c>
    </row>
    <row r="4802" spans="1:4" hidden="1" x14ac:dyDescent="0.3">
      <c r="A4802" t="s">
        <v>560</v>
      </c>
      <c r="B4802" t="s">
        <v>117</v>
      </c>
      <c r="C4802" s="1">
        <f>HYPERLINK("https://cao.dolgi.msk.ru/account/1010259117/", 1010259117)</f>
        <v>1010259117</v>
      </c>
      <c r="D4802">
        <v>-1204.07</v>
      </c>
    </row>
    <row r="4803" spans="1:4" hidden="1" x14ac:dyDescent="0.3">
      <c r="A4803" t="s">
        <v>560</v>
      </c>
      <c r="B4803" t="s">
        <v>118</v>
      </c>
      <c r="C4803" s="1">
        <f>HYPERLINK("https://cao.dolgi.msk.ru/account/1010259125/", 1010259125)</f>
        <v>1010259125</v>
      </c>
      <c r="D4803">
        <v>-64.319999999999993</v>
      </c>
    </row>
    <row r="4804" spans="1:4" x14ac:dyDescent="0.3">
      <c r="A4804" t="s">
        <v>560</v>
      </c>
      <c r="B4804" t="s">
        <v>119</v>
      </c>
      <c r="C4804" s="1">
        <f>HYPERLINK("https://cao.dolgi.msk.ru/account/1010259133/", 1010259133)</f>
        <v>1010259133</v>
      </c>
      <c r="D4804">
        <v>3112.52</v>
      </c>
    </row>
    <row r="4805" spans="1:4" hidden="1" x14ac:dyDescent="0.3">
      <c r="A4805" t="s">
        <v>560</v>
      </c>
      <c r="B4805" t="s">
        <v>120</v>
      </c>
      <c r="C4805" s="1">
        <f>HYPERLINK("https://cao.dolgi.msk.ru/account/1010259141/", 1010259141)</f>
        <v>1010259141</v>
      </c>
      <c r="D4805">
        <v>-4542.43</v>
      </c>
    </row>
    <row r="4806" spans="1:4" hidden="1" x14ac:dyDescent="0.3">
      <c r="A4806" t="s">
        <v>560</v>
      </c>
      <c r="B4806" t="s">
        <v>121</v>
      </c>
      <c r="C4806" s="1">
        <f>HYPERLINK("https://cao.dolgi.msk.ru/account/1010259168/", 1010259168)</f>
        <v>1010259168</v>
      </c>
      <c r="D4806">
        <v>-57.82</v>
      </c>
    </row>
    <row r="4807" spans="1:4" hidden="1" x14ac:dyDescent="0.3">
      <c r="A4807" t="s">
        <v>560</v>
      </c>
      <c r="B4807" t="s">
        <v>122</v>
      </c>
      <c r="C4807" s="1">
        <f>HYPERLINK("https://cao.dolgi.msk.ru/account/1010259176/", 1010259176)</f>
        <v>1010259176</v>
      </c>
      <c r="D4807">
        <v>-5109.57</v>
      </c>
    </row>
    <row r="4808" spans="1:4" hidden="1" x14ac:dyDescent="0.3">
      <c r="A4808" t="s">
        <v>560</v>
      </c>
      <c r="B4808" t="s">
        <v>123</v>
      </c>
      <c r="C4808" s="1">
        <f>HYPERLINK("https://cao.dolgi.msk.ru/account/1010259184/", 1010259184)</f>
        <v>1010259184</v>
      </c>
      <c r="D4808">
        <v>-64</v>
      </c>
    </row>
    <row r="4809" spans="1:4" x14ac:dyDescent="0.3">
      <c r="A4809" t="s">
        <v>560</v>
      </c>
      <c r="B4809" t="s">
        <v>124</v>
      </c>
      <c r="C4809" s="1">
        <f>HYPERLINK("https://cao.dolgi.msk.ru/account/1010259192/", 1010259192)</f>
        <v>1010259192</v>
      </c>
      <c r="D4809">
        <v>776.25</v>
      </c>
    </row>
    <row r="4810" spans="1:4" x14ac:dyDescent="0.3">
      <c r="A4810" t="s">
        <v>560</v>
      </c>
      <c r="B4810" t="s">
        <v>125</v>
      </c>
      <c r="C4810" s="1">
        <f>HYPERLINK("https://cao.dolgi.msk.ru/account/1010259205/", 1010259205)</f>
        <v>1010259205</v>
      </c>
      <c r="D4810">
        <v>7434.22</v>
      </c>
    </row>
    <row r="4811" spans="1:4" hidden="1" x14ac:dyDescent="0.3">
      <c r="A4811" t="s">
        <v>560</v>
      </c>
      <c r="B4811" t="s">
        <v>126</v>
      </c>
      <c r="C4811" s="1">
        <f>HYPERLINK("https://cao.dolgi.msk.ru/account/1010259213/", 1010259213)</f>
        <v>1010259213</v>
      </c>
      <c r="D4811">
        <v>-681.75</v>
      </c>
    </row>
    <row r="4812" spans="1:4" hidden="1" x14ac:dyDescent="0.3">
      <c r="A4812" t="s">
        <v>560</v>
      </c>
      <c r="B4812" t="s">
        <v>127</v>
      </c>
      <c r="C4812" s="1">
        <f>HYPERLINK("https://cao.dolgi.msk.ru/account/1010259221/", 1010259221)</f>
        <v>1010259221</v>
      </c>
      <c r="D4812">
        <v>-77.400000000000006</v>
      </c>
    </row>
    <row r="4813" spans="1:4" hidden="1" x14ac:dyDescent="0.3">
      <c r="A4813" t="s">
        <v>560</v>
      </c>
      <c r="B4813" t="s">
        <v>262</v>
      </c>
      <c r="C4813" s="1">
        <f>HYPERLINK("https://cao.dolgi.msk.ru/account/1010259248/", 1010259248)</f>
        <v>1010259248</v>
      </c>
      <c r="D4813">
        <v>-64</v>
      </c>
    </row>
    <row r="4814" spans="1:4" hidden="1" x14ac:dyDescent="0.3">
      <c r="A4814" t="s">
        <v>560</v>
      </c>
      <c r="B4814" t="s">
        <v>128</v>
      </c>
      <c r="C4814" s="1">
        <f>HYPERLINK("https://cao.dolgi.msk.ru/account/1010259256/", 1010259256)</f>
        <v>1010259256</v>
      </c>
      <c r="D4814">
        <v>-6326.52</v>
      </c>
    </row>
    <row r="4815" spans="1:4" hidden="1" x14ac:dyDescent="0.3">
      <c r="A4815" t="s">
        <v>560</v>
      </c>
      <c r="B4815" t="s">
        <v>129</v>
      </c>
      <c r="C4815" s="1">
        <f>HYPERLINK("https://cao.dolgi.msk.ru/account/1010259264/", 1010259264)</f>
        <v>1010259264</v>
      </c>
      <c r="D4815">
        <v>-64</v>
      </c>
    </row>
    <row r="4816" spans="1:4" hidden="1" x14ac:dyDescent="0.3">
      <c r="A4816" t="s">
        <v>560</v>
      </c>
      <c r="B4816" t="s">
        <v>130</v>
      </c>
      <c r="C4816" s="1">
        <f>HYPERLINK("https://cao.dolgi.msk.ru/account/1010259272/", 1010259272)</f>
        <v>1010259272</v>
      </c>
      <c r="D4816">
        <v>-2782.19</v>
      </c>
    </row>
    <row r="4817" spans="1:4" hidden="1" x14ac:dyDescent="0.3">
      <c r="A4817" t="s">
        <v>560</v>
      </c>
      <c r="B4817" t="s">
        <v>131</v>
      </c>
      <c r="C4817" s="1">
        <f>HYPERLINK("https://cao.dolgi.msk.ru/account/1010259299/", 1010259299)</f>
        <v>1010259299</v>
      </c>
      <c r="D4817">
        <v>0</v>
      </c>
    </row>
    <row r="4818" spans="1:4" hidden="1" x14ac:dyDescent="0.3">
      <c r="A4818" t="s">
        <v>560</v>
      </c>
      <c r="B4818" t="s">
        <v>132</v>
      </c>
      <c r="C4818" s="1">
        <f>HYPERLINK("https://cao.dolgi.msk.ru/account/1010259301/", 1010259301)</f>
        <v>1010259301</v>
      </c>
      <c r="D4818">
        <v>-195.66</v>
      </c>
    </row>
    <row r="4819" spans="1:4" hidden="1" x14ac:dyDescent="0.3">
      <c r="A4819" t="s">
        <v>560</v>
      </c>
      <c r="B4819" t="s">
        <v>133</v>
      </c>
      <c r="C4819" s="1">
        <f>HYPERLINK("https://cao.dolgi.msk.ru/account/1010259328/", 1010259328)</f>
        <v>1010259328</v>
      </c>
      <c r="D4819">
        <v>0</v>
      </c>
    </row>
    <row r="4820" spans="1:4" hidden="1" x14ac:dyDescent="0.3">
      <c r="A4820" t="s">
        <v>561</v>
      </c>
      <c r="B4820" t="s">
        <v>11</v>
      </c>
      <c r="C4820" s="1">
        <f>HYPERLINK("https://cao.dolgi.msk.ru/account/1011135685/", 1011135685)</f>
        <v>1011135685</v>
      </c>
      <c r="D4820">
        <v>-192.96</v>
      </c>
    </row>
    <row r="4821" spans="1:4" hidden="1" x14ac:dyDescent="0.3">
      <c r="A4821" t="s">
        <v>561</v>
      </c>
      <c r="B4821" t="s">
        <v>12</v>
      </c>
      <c r="C4821" s="1">
        <f>HYPERLINK("https://cao.dolgi.msk.ru/account/1011135642/", 1011135642)</f>
        <v>1011135642</v>
      </c>
      <c r="D4821">
        <v>0</v>
      </c>
    </row>
    <row r="4822" spans="1:4" hidden="1" x14ac:dyDescent="0.3">
      <c r="A4822" t="s">
        <v>561</v>
      </c>
      <c r="B4822" t="s">
        <v>12</v>
      </c>
      <c r="C4822" s="1">
        <f>HYPERLINK("https://cao.dolgi.msk.ru/account/1011135706/", 1011135706)</f>
        <v>1011135706</v>
      </c>
      <c r="D4822">
        <v>0</v>
      </c>
    </row>
    <row r="4823" spans="1:4" hidden="1" x14ac:dyDescent="0.3">
      <c r="A4823" t="s">
        <v>561</v>
      </c>
      <c r="B4823" t="s">
        <v>23</v>
      </c>
      <c r="C4823" s="1">
        <f>HYPERLINK("https://cao.dolgi.msk.ru/account/1011135626/", 1011135626)</f>
        <v>1011135626</v>
      </c>
      <c r="D4823">
        <v>-16639.89</v>
      </c>
    </row>
    <row r="4824" spans="1:4" hidden="1" x14ac:dyDescent="0.3">
      <c r="A4824" t="s">
        <v>561</v>
      </c>
      <c r="B4824" t="s">
        <v>13</v>
      </c>
      <c r="C4824" s="1">
        <f>HYPERLINK("https://cao.dolgi.msk.ru/account/1011135693/", 1011135693)</f>
        <v>1011135693</v>
      </c>
      <c r="D4824">
        <v>0</v>
      </c>
    </row>
    <row r="4825" spans="1:4" hidden="1" x14ac:dyDescent="0.3">
      <c r="A4825" t="s">
        <v>561</v>
      </c>
      <c r="B4825" t="s">
        <v>13</v>
      </c>
      <c r="C4825" s="1">
        <f>HYPERLINK("https://cao.dolgi.msk.ru/account/1011135714/", 1011135714)</f>
        <v>1011135714</v>
      </c>
      <c r="D4825">
        <v>0</v>
      </c>
    </row>
    <row r="4826" spans="1:4" hidden="1" x14ac:dyDescent="0.3">
      <c r="A4826" t="s">
        <v>561</v>
      </c>
      <c r="B4826" t="s">
        <v>17</v>
      </c>
      <c r="C4826" s="1">
        <f>HYPERLINK("https://cao.dolgi.msk.ru/account/1011135618/", 1011135618)</f>
        <v>1011135618</v>
      </c>
      <c r="D4826">
        <v>0</v>
      </c>
    </row>
    <row r="4827" spans="1:4" hidden="1" x14ac:dyDescent="0.3">
      <c r="A4827" t="s">
        <v>561</v>
      </c>
      <c r="B4827" t="s">
        <v>18</v>
      </c>
      <c r="C4827" s="1">
        <f>HYPERLINK("https://cao.dolgi.msk.ru/account/1011135669/", 1011135669)</f>
        <v>1011135669</v>
      </c>
      <c r="D4827">
        <v>0</v>
      </c>
    </row>
    <row r="4828" spans="1:4" hidden="1" x14ac:dyDescent="0.3">
      <c r="A4828" t="s">
        <v>561</v>
      </c>
      <c r="B4828" t="s">
        <v>19</v>
      </c>
      <c r="C4828" s="1">
        <f>HYPERLINK("https://cao.dolgi.msk.ru/account/1011135677/", 1011135677)</f>
        <v>1011135677</v>
      </c>
      <c r="D4828">
        <v>0</v>
      </c>
    </row>
    <row r="4829" spans="1:4" hidden="1" x14ac:dyDescent="0.3">
      <c r="A4829" t="s">
        <v>561</v>
      </c>
      <c r="B4829" t="s">
        <v>20</v>
      </c>
      <c r="C4829" s="1">
        <f>HYPERLINK("https://cao.dolgi.msk.ru/account/1011135634/", 1011135634)</f>
        <v>1011135634</v>
      </c>
      <c r="D4829">
        <v>0</v>
      </c>
    </row>
    <row r="4830" spans="1:4" x14ac:dyDescent="0.3">
      <c r="A4830" t="s">
        <v>562</v>
      </c>
      <c r="B4830" t="s">
        <v>35</v>
      </c>
      <c r="C4830" s="1">
        <f>HYPERLINK("https://cao.dolgi.msk.ru/account/1011473123/", 1011473123)</f>
        <v>1011473123</v>
      </c>
      <c r="D4830">
        <v>13237.34</v>
      </c>
    </row>
    <row r="4831" spans="1:4" x14ac:dyDescent="0.3">
      <c r="A4831" t="s">
        <v>562</v>
      </c>
      <c r="B4831" t="s">
        <v>5</v>
      </c>
      <c r="C4831" s="1">
        <f>HYPERLINK("https://cao.dolgi.msk.ru/account/1011473174/", 1011473174)</f>
        <v>1011473174</v>
      </c>
      <c r="D4831">
        <v>75116.02</v>
      </c>
    </row>
    <row r="4832" spans="1:4" hidden="1" x14ac:dyDescent="0.3">
      <c r="A4832" t="s">
        <v>562</v>
      </c>
      <c r="B4832" t="s">
        <v>7</v>
      </c>
      <c r="C4832" s="1">
        <f>HYPERLINK("https://cao.dolgi.msk.ru/account/1011473158/", 1011473158)</f>
        <v>1011473158</v>
      </c>
      <c r="D4832">
        <v>0</v>
      </c>
    </row>
    <row r="4833" spans="1:4" hidden="1" x14ac:dyDescent="0.3">
      <c r="A4833" t="s">
        <v>562</v>
      </c>
      <c r="B4833" t="s">
        <v>8</v>
      </c>
      <c r="C4833" s="1">
        <f>HYPERLINK("https://cao.dolgi.msk.ru/account/1011473238/", 1011473238)</f>
        <v>1011473238</v>
      </c>
      <c r="D4833">
        <v>-1070</v>
      </c>
    </row>
    <row r="4834" spans="1:4" hidden="1" x14ac:dyDescent="0.3">
      <c r="A4834" t="s">
        <v>562</v>
      </c>
      <c r="B4834" t="s">
        <v>31</v>
      </c>
      <c r="C4834" s="1">
        <f>HYPERLINK("https://cao.dolgi.msk.ru/account/1011473318/", 1011473318)</f>
        <v>1011473318</v>
      </c>
      <c r="D4834">
        <v>-4352.8100000000004</v>
      </c>
    </row>
    <row r="4835" spans="1:4" hidden="1" x14ac:dyDescent="0.3">
      <c r="A4835" t="s">
        <v>562</v>
      </c>
      <c r="B4835" t="s">
        <v>9</v>
      </c>
      <c r="C4835" s="1">
        <f>HYPERLINK("https://cao.dolgi.msk.ru/account/1011473166/", 1011473166)</f>
        <v>1011473166</v>
      </c>
      <c r="D4835">
        <v>-13016.52</v>
      </c>
    </row>
    <row r="4836" spans="1:4" hidden="1" x14ac:dyDescent="0.3">
      <c r="A4836" t="s">
        <v>562</v>
      </c>
      <c r="B4836" t="s">
        <v>10</v>
      </c>
      <c r="C4836" s="1">
        <f>HYPERLINK("https://cao.dolgi.msk.ru/account/1011473078/", 1011473078)</f>
        <v>1011473078</v>
      </c>
      <c r="D4836">
        <v>0</v>
      </c>
    </row>
    <row r="4837" spans="1:4" hidden="1" x14ac:dyDescent="0.3">
      <c r="A4837" t="s">
        <v>562</v>
      </c>
      <c r="B4837" t="s">
        <v>10</v>
      </c>
      <c r="C4837" s="1">
        <f>HYPERLINK("https://cao.dolgi.msk.ru/account/1011473182/", 1011473182)</f>
        <v>1011473182</v>
      </c>
      <c r="D4837">
        <v>0</v>
      </c>
    </row>
    <row r="4838" spans="1:4" hidden="1" x14ac:dyDescent="0.3">
      <c r="A4838" t="s">
        <v>562</v>
      </c>
      <c r="B4838" t="s">
        <v>11</v>
      </c>
      <c r="C4838" s="1">
        <f>HYPERLINK("https://cao.dolgi.msk.ru/account/1011473254/", 1011473254)</f>
        <v>1011473254</v>
      </c>
      <c r="D4838">
        <v>0</v>
      </c>
    </row>
    <row r="4839" spans="1:4" hidden="1" x14ac:dyDescent="0.3">
      <c r="A4839" t="s">
        <v>562</v>
      </c>
      <c r="B4839" t="s">
        <v>12</v>
      </c>
      <c r="C4839" s="1">
        <f>HYPERLINK("https://cao.dolgi.msk.ru/account/1011473246/", 1011473246)</f>
        <v>1011473246</v>
      </c>
      <c r="D4839">
        <v>0</v>
      </c>
    </row>
    <row r="4840" spans="1:4" hidden="1" x14ac:dyDescent="0.3">
      <c r="A4840" t="s">
        <v>562</v>
      </c>
      <c r="B4840" t="s">
        <v>23</v>
      </c>
      <c r="C4840" s="1">
        <f>HYPERLINK("https://cao.dolgi.msk.ru/account/1011473326/", 1011473326)</f>
        <v>1011473326</v>
      </c>
      <c r="D4840">
        <v>-8682.36</v>
      </c>
    </row>
    <row r="4841" spans="1:4" hidden="1" x14ac:dyDescent="0.3">
      <c r="A4841" t="s">
        <v>562</v>
      </c>
      <c r="B4841" t="s">
        <v>13</v>
      </c>
      <c r="C4841" s="1">
        <f>HYPERLINK("https://cao.dolgi.msk.ru/account/1011473297/", 1011473297)</f>
        <v>1011473297</v>
      </c>
      <c r="D4841">
        <v>0</v>
      </c>
    </row>
    <row r="4842" spans="1:4" hidden="1" x14ac:dyDescent="0.3">
      <c r="A4842" t="s">
        <v>562</v>
      </c>
      <c r="B4842" t="s">
        <v>14</v>
      </c>
      <c r="C4842" s="1">
        <f>HYPERLINK("https://cao.dolgi.msk.ru/account/1011473262/", 1011473262)</f>
        <v>1011473262</v>
      </c>
      <c r="D4842">
        <v>0</v>
      </c>
    </row>
    <row r="4843" spans="1:4" x14ac:dyDescent="0.3">
      <c r="A4843" t="s">
        <v>562</v>
      </c>
      <c r="B4843" t="s">
        <v>16</v>
      </c>
      <c r="C4843" s="1">
        <f>HYPERLINK("https://cao.dolgi.msk.ru/account/1011473131/", 1011473131)</f>
        <v>1011473131</v>
      </c>
      <c r="D4843">
        <v>58407.65</v>
      </c>
    </row>
    <row r="4844" spans="1:4" hidden="1" x14ac:dyDescent="0.3">
      <c r="A4844" t="s">
        <v>562</v>
      </c>
      <c r="B4844" t="s">
        <v>17</v>
      </c>
      <c r="C4844" s="1">
        <f>HYPERLINK("https://cao.dolgi.msk.ru/account/1011473334/", 1011473334)</f>
        <v>1011473334</v>
      </c>
      <c r="D4844">
        <v>0</v>
      </c>
    </row>
    <row r="4845" spans="1:4" hidden="1" x14ac:dyDescent="0.3">
      <c r="A4845" t="s">
        <v>562</v>
      </c>
      <c r="B4845" t="s">
        <v>18</v>
      </c>
      <c r="C4845" s="1">
        <f>HYPERLINK("https://cao.dolgi.msk.ru/account/1011473086/", 1011473086)</f>
        <v>1011473086</v>
      </c>
      <c r="D4845">
        <v>0</v>
      </c>
    </row>
    <row r="4846" spans="1:4" hidden="1" x14ac:dyDescent="0.3">
      <c r="A4846" t="s">
        <v>562</v>
      </c>
      <c r="B4846" t="s">
        <v>563</v>
      </c>
      <c r="C4846" s="1">
        <f>HYPERLINK("https://cao.dolgi.msk.ru/account/1011473211/", 1011473211)</f>
        <v>1011473211</v>
      </c>
      <c r="D4846">
        <v>0</v>
      </c>
    </row>
    <row r="4847" spans="1:4" hidden="1" x14ac:dyDescent="0.3">
      <c r="A4847" t="s">
        <v>562</v>
      </c>
      <c r="B4847" t="s">
        <v>20</v>
      </c>
      <c r="C4847" s="1">
        <f>HYPERLINK("https://cao.dolgi.msk.ru/account/1011473203/", 1011473203)</f>
        <v>1011473203</v>
      </c>
      <c r="D4847">
        <v>0</v>
      </c>
    </row>
    <row r="4848" spans="1:4" hidden="1" x14ac:dyDescent="0.3">
      <c r="A4848" t="s">
        <v>562</v>
      </c>
      <c r="B4848" t="s">
        <v>22</v>
      </c>
      <c r="C4848" s="1">
        <f>HYPERLINK("https://cao.dolgi.msk.ru/account/1011473107/", 1011473107)</f>
        <v>1011473107</v>
      </c>
      <c r="D4848">
        <v>-74786.05</v>
      </c>
    </row>
    <row r="4849" spans="1:4" hidden="1" x14ac:dyDescent="0.3">
      <c r="A4849" t="s">
        <v>562</v>
      </c>
      <c r="B4849" t="s">
        <v>24</v>
      </c>
      <c r="C4849" s="1">
        <f>HYPERLINK("https://cao.dolgi.msk.ru/account/1011473342/", 1011473342)</f>
        <v>1011473342</v>
      </c>
      <c r="D4849">
        <v>-15321.64</v>
      </c>
    </row>
    <row r="4850" spans="1:4" hidden="1" x14ac:dyDescent="0.3">
      <c r="A4850" t="s">
        <v>562</v>
      </c>
      <c r="B4850" t="s">
        <v>25</v>
      </c>
      <c r="C4850" s="1">
        <f>HYPERLINK("https://cao.dolgi.msk.ru/account/1011473115/", 1011473115)</f>
        <v>1011473115</v>
      </c>
      <c r="D4850">
        <v>0</v>
      </c>
    </row>
    <row r="4851" spans="1:4" x14ac:dyDescent="0.3">
      <c r="A4851" t="s">
        <v>562</v>
      </c>
      <c r="B4851" t="s">
        <v>26</v>
      </c>
      <c r="C4851" s="1">
        <f>HYPERLINK("https://cao.dolgi.msk.ru/account/1011473289/", 1011473289)</f>
        <v>1011473289</v>
      </c>
      <c r="D4851">
        <v>85612.88</v>
      </c>
    </row>
    <row r="4852" spans="1:4" hidden="1" x14ac:dyDescent="0.3">
      <c r="A4852" t="s">
        <v>564</v>
      </c>
      <c r="B4852" t="s">
        <v>35</v>
      </c>
      <c r="C4852" s="1">
        <f>HYPERLINK("https://cao.dolgi.msk.ru/account/1011193228/", 1011193228)</f>
        <v>1011193228</v>
      </c>
      <c r="D4852">
        <v>0</v>
      </c>
    </row>
    <row r="4853" spans="1:4" x14ac:dyDescent="0.3">
      <c r="A4853" t="s">
        <v>564</v>
      </c>
      <c r="B4853" t="s">
        <v>7</v>
      </c>
      <c r="C4853" s="1">
        <f>HYPERLINK("https://cao.dolgi.msk.ru/account/1011193199/", 1011193199)</f>
        <v>1011193199</v>
      </c>
      <c r="D4853">
        <v>15249.76</v>
      </c>
    </row>
    <row r="4854" spans="1:4" hidden="1" x14ac:dyDescent="0.3">
      <c r="A4854" t="s">
        <v>564</v>
      </c>
      <c r="B4854" t="s">
        <v>8</v>
      </c>
      <c r="C4854" s="1">
        <f>HYPERLINK("https://cao.dolgi.msk.ru/account/1011193201/", 1011193201)</f>
        <v>1011193201</v>
      </c>
      <c r="D4854">
        <v>-776.15</v>
      </c>
    </row>
    <row r="4855" spans="1:4" x14ac:dyDescent="0.3">
      <c r="A4855" t="s">
        <v>564</v>
      </c>
      <c r="B4855" t="s">
        <v>31</v>
      </c>
      <c r="C4855" s="1">
        <f>HYPERLINK("https://cao.dolgi.msk.ru/account/1011193148/", 1011193148)</f>
        <v>1011193148</v>
      </c>
      <c r="D4855">
        <v>34805.910000000003</v>
      </c>
    </row>
    <row r="4856" spans="1:4" hidden="1" x14ac:dyDescent="0.3">
      <c r="A4856" t="s">
        <v>564</v>
      </c>
      <c r="B4856" t="s">
        <v>9</v>
      </c>
      <c r="C4856" s="1">
        <f>HYPERLINK("https://cao.dolgi.msk.ru/account/1011193324/", 1011193324)</f>
        <v>1011193324</v>
      </c>
      <c r="D4856">
        <v>-16972.990000000002</v>
      </c>
    </row>
    <row r="4857" spans="1:4" hidden="1" x14ac:dyDescent="0.3">
      <c r="A4857" t="s">
        <v>564</v>
      </c>
      <c r="B4857" t="s">
        <v>11</v>
      </c>
      <c r="C4857" s="1">
        <f>HYPERLINK("https://cao.dolgi.msk.ru/account/1011193391/", 1011193391)</f>
        <v>1011193391</v>
      </c>
      <c r="D4857">
        <v>0</v>
      </c>
    </row>
    <row r="4858" spans="1:4" hidden="1" x14ac:dyDescent="0.3">
      <c r="A4858" t="s">
        <v>564</v>
      </c>
      <c r="B4858" t="s">
        <v>12</v>
      </c>
      <c r="C4858" s="1">
        <f>HYPERLINK("https://cao.dolgi.msk.ru/account/1011193156/", 1011193156)</f>
        <v>1011193156</v>
      </c>
      <c r="D4858">
        <v>0</v>
      </c>
    </row>
    <row r="4859" spans="1:4" hidden="1" x14ac:dyDescent="0.3">
      <c r="A4859" t="s">
        <v>564</v>
      </c>
      <c r="B4859" t="s">
        <v>12</v>
      </c>
      <c r="C4859" s="1">
        <f>HYPERLINK("https://cao.dolgi.msk.ru/account/1011193236/", 1011193236)</f>
        <v>1011193236</v>
      </c>
      <c r="D4859">
        <v>0</v>
      </c>
    </row>
    <row r="4860" spans="1:4" hidden="1" x14ac:dyDescent="0.3">
      <c r="A4860" t="s">
        <v>564</v>
      </c>
      <c r="B4860" t="s">
        <v>12</v>
      </c>
      <c r="C4860" s="1">
        <f>HYPERLINK("https://cao.dolgi.msk.ru/account/1011193404/", 1011193404)</f>
        <v>1011193404</v>
      </c>
      <c r="D4860">
        <v>-2697.64</v>
      </c>
    </row>
    <row r="4861" spans="1:4" hidden="1" x14ac:dyDescent="0.3">
      <c r="A4861" t="s">
        <v>564</v>
      </c>
      <c r="B4861" t="s">
        <v>23</v>
      </c>
      <c r="C4861" s="1">
        <f>HYPERLINK("https://cao.dolgi.msk.ru/account/1011193172/", 1011193172)</f>
        <v>1011193172</v>
      </c>
      <c r="D4861">
        <v>0</v>
      </c>
    </row>
    <row r="4862" spans="1:4" hidden="1" x14ac:dyDescent="0.3">
      <c r="A4862" t="s">
        <v>564</v>
      </c>
      <c r="B4862" t="s">
        <v>23</v>
      </c>
      <c r="C4862" s="1">
        <f>HYPERLINK("https://cao.dolgi.msk.ru/account/1011193244/", 1011193244)</f>
        <v>1011193244</v>
      </c>
      <c r="D4862">
        <v>-1401.3</v>
      </c>
    </row>
    <row r="4863" spans="1:4" x14ac:dyDescent="0.3">
      <c r="A4863" t="s">
        <v>564</v>
      </c>
      <c r="B4863" t="s">
        <v>23</v>
      </c>
      <c r="C4863" s="1">
        <f>HYPERLINK("https://cao.dolgi.msk.ru/account/1011193252/", 1011193252)</f>
        <v>1011193252</v>
      </c>
      <c r="D4863">
        <v>112436.41</v>
      </c>
    </row>
    <row r="4864" spans="1:4" x14ac:dyDescent="0.3">
      <c r="A4864" t="s">
        <v>564</v>
      </c>
      <c r="B4864" t="s">
        <v>23</v>
      </c>
      <c r="C4864" s="1">
        <f>HYPERLINK("https://cao.dolgi.msk.ru/account/1011193295/", 1011193295)</f>
        <v>1011193295</v>
      </c>
      <c r="D4864">
        <v>1856.05</v>
      </c>
    </row>
    <row r="4865" spans="1:4" hidden="1" x14ac:dyDescent="0.3">
      <c r="A4865" t="s">
        <v>564</v>
      </c>
      <c r="B4865" t="s">
        <v>23</v>
      </c>
      <c r="C4865" s="1">
        <f>HYPERLINK("https://cao.dolgi.msk.ru/account/1011193332/", 1011193332)</f>
        <v>1011193332</v>
      </c>
      <c r="D4865">
        <v>0</v>
      </c>
    </row>
    <row r="4866" spans="1:4" hidden="1" x14ac:dyDescent="0.3">
      <c r="A4866" t="s">
        <v>564</v>
      </c>
      <c r="B4866" t="s">
        <v>23</v>
      </c>
      <c r="C4866" s="1">
        <f>HYPERLINK("https://cao.dolgi.msk.ru/account/1011193359/", 1011193359)</f>
        <v>1011193359</v>
      </c>
      <c r="D4866">
        <v>0</v>
      </c>
    </row>
    <row r="4867" spans="1:4" hidden="1" x14ac:dyDescent="0.3">
      <c r="A4867" t="s">
        <v>564</v>
      </c>
      <c r="B4867" t="s">
        <v>23</v>
      </c>
      <c r="C4867" s="1">
        <f>HYPERLINK("https://cao.dolgi.msk.ru/account/1011193367/", 1011193367)</f>
        <v>1011193367</v>
      </c>
      <c r="D4867">
        <v>0</v>
      </c>
    </row>
    <row r="4868" spans="1:4" x14ac:dyDescent="0.3">
      <c r="A4868" t="s">
        <v>564</v>
      </c>
      <c r="B4868" t="s">
        <v>23</v>
      </c>
      <c r="C4868" s="1">
        <f>HYPERLINK("https://cao.dolgi.msk.ru/account/1011193375/", 1011193375)</f>
        <v>1011193375</v>
      </c>
      <c r="D4868">
        <v>14124.16</v>
      </c>
    </row>
    <row r="4869" spans="1:4" hidden="1" x14ac:dyDescent="0.3">
      <c r="A4869" t="s">
        <v>564</v>
      </c>
      <c r="B4869" t="s">
        <v>23</v>
      </c>
      <c r="C4869" s="1">
        <f>HYPERLINK("https://cao.dolgi.msk.ru/account/1011193383/", 1011193383)</f>
        <v>1011193383</v>
      </c>
      <c r="D4869">
        <v>-8219.02</v>
      </c>
    </row>
    <row r="4870" spans="1:4" x14ac:dyDescent="0.3">
      <c r="A4870" t="s">
        <v>564</v>
      </c>
      <c r="B4870" t="s">
        <v>23</v>
      </c>
      <c r="C4870" s="1">
        <f>HYPERLINK("https://cao.dolgi.msk.ru/account/1011193412/", 1011193412)</f>
        <v>1011193412</v>
      </c>
      <c r="D4870">
        <v>3716.38</v>
      </c>
    </row>
    <row r="4871" spans="1:4" x14ac:dyDescent="0.3">
      <c r="A4871" t="s">
        <v>564</v>
      </c>
      <c r="B4871" t="s">
        <v>23</v>
      </c>
      <c r="C4871" s="1">
        <f>HYPERLINK("https://cao.dolgi.msk.ru/account/1011193439/", 1011193439)</f>
        <v>1011193439</v>
      </c>
      <c r="D4871">
        <v>13916.11</v>
      </c>
    </row>
    <row r="4872" spans="1:4" hidden="1" x14ac:dyDescent="0.3">
      <c r="A4872" t="s">
        <v>564</v>
      </c>
      <c r="B4872" t="s">
        <v>565</v>
      </c>
      <c r="C4872" s="1">
        <f>HYPERLINK("https://cao.dolgi.msk.ru/account/1011193316/", 1011193316)</f>
        <v>1011193316</v>
      </c>
      <c r="D4872">
        <v>0</v>
      </c>
    </row>
    <row r="4873" spans="1:4" x14ac:dyDescent="0.3">
      <c r="A4873" t="s">
        <v>564</v>
      </c>
      <c r="B4873" t="s">
        <v>13</v>
      </c>
      <c r="C4873" s="1">
        <f>HYPERLINK("https://cao.dolgi.msk.ru/account/1011193279/", 1011193279)</f>
        <v>1011193279</v>
      </c>
      <c r="D4873">
        <v>30217.42</v>
      </c>
    </row>
    <row r="4874" spans="1:4" hidden="1" x14ac:dyDescent="0.3">
      <c r="A4874" t="s">
        <v>564</v>
      </c>
      <c r="B4874" t="s">
        <v>14</v>
      </c>
      <c r="C4874" s="1">
        <f>HYPERLINK("https://cao.dolgi.msk.ru/account/1011193287/", 1011193287)</f>
        <v>1011193287</v>
      </c>
      <c r="D4874">
        <v>-10277.49</v>
      </c>
    </row>
    <row r="4875" spans="1:4" hidden="1" x14ac:dyDescent="0.3">
      <c r="A4875" t="s">
        <v>564</v>
      </c>
      <c r="B4875" t="s">
        <v>16</v>
      </c>
      <c r="C4875" s="1">
        <f>HYPERLINK("https://cao.dolgi.msk.ru/account/1011193308/", 1011193308)</f>
        <v>1011193308</v>
      </c>
      <c r="D4875">
        <v>0</v>
      </c>
    </row>
    <row r="4876" spans="1:4" hidden="1" x14ac:dyDescent="0.3">
      <c r="A4876" t="s">
        <v>564</v>
      </c>
      <c r="B4876" t="s">
        <v>17</v>
      </c>
      <c r="C4876" s="1">
        <f>HYPERLINK("https://cao.dolgi.msk.ru/account/1011193164/", 1011193164)</f>
        <v>1011193164</v>
      </c>
      <c r="D4876">
        <v>-1048.8</v>
      </c>
    </row>
    <row r="4877" spans="1:4" x14ac:dyDescent="0.3">
      <c r="A4877" t="s">
        <v>566</v>
      </c>
      <c r="B4877" t="s">
        <v>18</v>
      </c>
      <c r="C4877" s="1">
        <f>HYPERLINK("https://cao.dolgi.msk.ru/account/1011473481/", 1011473481)</f>
        <v>1011473481</v>
      </c>
      <c r="D4877">
        <v>6488.2</v>
      </c>
    </row>
    <row r="4878" spans="1:4" hidden="1" x14ac:dyDescent="0.3">
      <c r="A4878" t="s">
        <v>566</v>
      </c>
      <c r="B4878" t="s">
        <v>20</v>
      </c>
      <c r="C4878" s="1">
        <f>HYPERLINK("https://cao.dolgi.msk.ru/account/1011473609/", 1011473609)</f>
        <v>1011473609</v>
      </c>
      <c r="D4878">
        <v>-0.78</v>
      </c>
    </row>
    <row r="4879" spans="1:4" hidden="1" x14ac:dyDescent="0.3">
      <c r="A4879" t="s">
        <v>566</v>
      </c>
      <c r="B4879" t="s">
        <v>21</v>
      </c>
      <c r="C4879" s="1">
        <f>HYPERLINK("https://cao.dolgi.msk.ru/account/1011473561/", 1011473561)</f>
        <v>1011473561</v>
      </c>
      <c r="D4879">
        <v>0</v>
      </c>
    </row>
    <row r="4880" spans="1:4" x14ac:dyDescent="0.3">
      <c r="A4880" t="s">
        <v>566</v>
      </c>
      <c r="B4880" t="s">
        <v>22</v>
      </c>
      <c r="C4880" s="1">
        <f>HYPERLINK("https://cao.dolgi.msk.ru/account/1011473502/", 1011473502)</f>
        <v>1011473502</v>
      </c>
      <c r="D4880">
        <v>7730.38</v>
      </c>
    </row>
    <row r="4881" spans="1:4" hidden="1" x14ac:dyDescent="0.3">
      <c r="A4881" t="s">
        <v>566</v>
      </c>
      <c r="B4881" t="s">
        <v>24</v>
      </c>
      <c r="C4881" s="1">
        <f>HYPERLINK("https://cao.dolgi.msk.ru/account/1011473588/", 1011473588)</f>
        <v>1011473588</v>
      </c>
      <c r="D4881">
        <v>-35</v>
      </c>
    </row>
    <row r="4882" spans="1:4" hidden="1" x14ac:dyDescent="0.3">
      <c r="A4882" t="s">
        <v>566</v>
      </c>
      <c r="B4882" t="s">
        <v>25</v>
      </c>
      <c r="C4882" s="1">
        <f>HYPERLINK("https://cao.dolgi.msk.ru/account/1011473529/", 1011473529)</f>
        <v>1011473529</v>
      </c>
      <c r="D4882">
        <v>-15161.08</v>
      </c>
    </row>
    <row r="4883" spans="1:4" hidden="1" x14ac:dyDescent="0.3">
      <c r="A4883" t="s">
        <v>566</v>
      </c>
      <c r="B4883" t="s">
        <v>26</v>
      </c>
      <c r="C4883" s="1">
        <f>HYPERLINK("https://cao.dolgi.msk.ru/account/1011473537/", 1011473537)</f>
        <v>1011473537</v>
      </c>
      <c r="D4883">
        <v>-6516.61</v>
      </c>
    </row>
    <row r="4884" spans="1:4" hidden="1" x14ac:dyDescent="0.3">
      <c r="A4884" t="s">
        <v>566</v>
      </c>
      <c r="B4884" t="s">
        <v>27</v>
      </c>
      <c r="C4884" s="1">
        <f>HYPERLINK("https://cao.dolgi.msk.ru/account/1011473369/", 1011473369)</f>
        <v>1011473369</v>
      </c>
      <c r="D4884">
        <v>0</v>
      </c>
    </row>
    <row r="4885" spans="1:4" hidden="1" x14ac:dyDescent="0.3">
      <c r="A4885" t="s">
        <v>566</v>
      </c>
      <c r="B4885" t="s">
        <v>29</v>
      </c>
      <c r="C4885" s="1">
        <f>HYPERLINK("https://cao.dolgi.msk.ru/account/1011473457/", 1011473457)</f>
        <v>1011473457</v>
      </c>
      <c r="D4885">
        <v>0</v>
      </c>
    </row>
    <row r="4886" spans="1:4" hidden="1" x14ac:dyDescent="0.3">
      <c r="A4886" t="s">
        <v>566</v>
      </c>
      <c r="B4886" t="s">
        <v>38</v>
      </c>
      <c r="C4886" s="1">
        <f>HYPERLINK("https://cao.dolgi.msk.ru/account/1011473377/", 1011473377)</f>
        <v>1011473377</v>
      </c>
      <c r="D4886">
        <v>0</v>
      </c>
    </row>
    <row r="4887" spans="1:4" hidden="1" x14ac:dyDescent="0.3">
      <c r="A4887" t="s">
        <v>566</v>
      </c>
      <c r="B4887" t="s">
        <v>38</v>
      </c>
      <c r="C4887" s="1">
        <f>HYPERLINK("https://cao.dolgi.msk.ru/account/1011473596/", 1011473596)</f>
        <v>1011473596</v>
      </c>
      <c r="D4887">
        <v>0</v>
      </c>
    </row>
    <row r="4888" spans="1:4" hidden="1" x14ac:dyDescent="0.3">
      <c r="A4888" t="s">
        <v>566</v>
      </c>
      <c r="B4888" t="s">
        <v>39</v>
      </c>
      <c r="C4888" s="1">
        <f>HYPERLINK("https://cao.dolgi.msk.ru/account/1011473545/", 1011473545)</f>
        <v>1011473545</v>
      </c>
      <c r="D4888">
        <v>0</v>
      </c>
    </row>
    <row r="4889" spans="1:4" hidden="1" x14ac:dyDescent="0.3">
      <c r="A4889" t="s">
        <v>566</v>
      </c>
      <c r="B4889" t="s">
        <v>40</v>
      </c>
      <c r="C4889" s="1">
        <f>HYPERLINK("https://cao.dolgi.msk.ru/account/1011473385/", 1011473385)</f>
        <v>1011473385</v>
      </c>
      <c r="D4889">
        <v>0</v>
      </c>
    </row>
    <row r="4890" spans="1:4" hidden="1" x14ac:dyDescent="0.3">
      <c r="A4890" t="s">
        <v>566</v>
      </c>
      <c r="B4890" t="s">
        <v>41</v>
      </c>
      <c r="C4890" s="1">
        <f>HYPERLINK("https://cao.dolgi.msk.ru/account/1011473449/", 1011473449)</f>
        <v>1011473449</v>
      </c>
      <c r="D4890">
        <v>-8989.73</v>
      </c>
    </row>
    <row r="4891" spans="1:4" x14ac:dyDescent="0.3">
      <c r="A4891" t="s">
        <v>566</v>
      </c>
      <c r="B4891" t="s">
        <v>51</v>
      </c>
      <c r="C4891" s="1">
        <f>HYPERLINK("https://cao.dolgi.msk.ru/account/1011473553/", 1011473553)</f>
        <v>1011473553</v>
      </c>
      <c r="D4891">
        <v>5202.21</v>
      </c>
    </row>
    <row r="4892" spans="1:4" hidden="1" x14ac:dyDescent="0.3">
      <c r="A4892" t="s">
        <v>566</v>
      </c>
      <c r="B4892" t="s">
        <v>52</v>
      </c>
      <c r="C4892" s="1">
        <f>HYPERLINK("https://cao.dolgi.msk.ru/account/1011473393/", 1011473393)</f>
        <v>1011473393</v>
      </c>
      <c r="D4892">
        <v>0</v>
      </c>
    </row>
    <row r="4893" spans="1:4" hidden="1" x14ac:dyDescent="0.3">
      <c r="A4893" t="s">
        <v>566</v>
      </c>
      <c r="B4893" t="s">
        <v>53</v>
      </c>
      <c r="C4893" s="1">
        <f>HYPERLINK("https://cao.dolgi.msk.ru/account/1011473406/", 1011473406)</f>
        <v>1011473406</v>
      </c>
      <c r="D4893">
        <v>0</v>
      </c>
    </row>
    <row r="4894" spans="1:4" hidden="1" x14ac:dyDescent="0.3">
      <c r="A4894" t="s">
        <v>566</v>
      </c>
      <c r="B4894" t="s">
        <v>53</v>
      </c>
      <c r="C4894" s="1">
        <f>HYPERLINK("https://cao.dolgi.msk.ru/account/1011473473/", 1011473473)</f>
        <v>1011473473</v>
      </c>
      <c r="D4894">
        <v>0</v>
      </c>
    </row>
    <row r="4895" spans="1:4" hidden="1" x14ac:dyDescent="0.3">
      <c r="A4895" t="s">
        <v>566</v>
      </c>
      <c r="B4895" t="s">
        <v>54</v>
      </c>
      <c r="C4895" s="1">
        <f>HYPERLINK("https://cao.dolgi.msk.ru/account/1011473465/", 1011473465)</f>
        <v>1011473465</v>
      </c>
      <c r="D4895">
        <v>-4.28</v>
      </c>
    </row>
    <row r="4896" spans="1:4" hidden="1" x14ac:dyDescent="0.3">
      <c r="A4896" t="s">
        <v>566</v>
      </c>
      <c r="B4896" t="s">
        <v>55</v>
      </c>
      <c r="C4896" s="1">
        <f>HYPERLINK("https://cao.dolgi.msk.ru/account/1011473414/", 1011473414)</f>
        <v>1011473414</v>
      </c>
      <c r="D4896">
        <v>-1974.32</v>
      </c>
    </row>
    <row r="4897" spans="1:4" hidden="1" x14ac:dyDescent="0.3">
      <c r="A4897" t="s">
        <v>566</v>
      </c>
      <c r="B4897" t="s">
        <v>56</v>
      </c>
      <c r="C4897" s="1">
        <f>HYPERLINK("https://cao.dolgi.msk.ru/account/1011473422/", 1011473422)</f>
        <v>1011473422</v>
      </c>
      <c r="D4897">
        <v>0</v>
      </c>
    </row>
    <row r="4898" spans="1:4" hidden="1" x14ac:dyDescent="0.3">
      <c r="A4898" t="s">
        <v>567</v>
      </c>
      <c r="B4898" t="s">
        <v>14</v>
      </c>
      <c r="C4898" s="1">
        <f>HYPERLINK("https://cao.dolgi.msk.ru/account/1011497467/", 1011497467)</f>
        <v>1011497467</v>
      </c>
      <c r="D4898">
        <v>-3619.2</v>
      </c>
    </row>
    <row r="4899" spans="1:4" hidden="1" x14ac:dyDescent="0.3">
      <c r="A4899" t="s">
        <v>567</v>
      </c>
      <c r="B4899" t="s">
        <v>16</v>
      </c>
      <c r="C4899" s="1">
        <f>HYPERLINK("https://cao.dolgi.msk.ru/account/1011497504/", 1011497504)</f>
        <v>1011497504</v>
      </c>
      <c r="D4899">
        <v>0</v>
      </c>
    </row>
    <row r="4900" spans="1:4" hidden="1" x14ac:dyDescent="0.3">
      <c r="A4900" t="s">
        <v>567</v>
      </c>
      <c r="B4900" t="s">
        <v>17</v>
      </c>
      <c r="C4900" s="1">
        <f>HYPERLINK("https://cao.dolgi.msk.ru/account/1011497475/", 1011497475)</f>
        <v>1011497475</v>
      </c>
      <c r="D4900">
        <v>0</v>
      </c>
    </row>
    <row r="4901" spans="1:4" hidden="1" x14ac:dyDescent="0.3">
      <c r="A4901" t="s">
        <v>567</v>
      </c>
      <c r="B4901" t="s">
        <v>18</v>
      </c>
      <c r="C4901" s="1">
        <f>HYPERLINK("https://cao.dolgi.msk.ru/account/1011497539/", 1011497539)</f>
        <v>1011497539</v>
      </c>
      <c r="D4901">
        <v>-17030.93</v>
      </c>
    </row>
    <row r="4902" spans="1:4" hidden="1" x14ac:dyDescent="0.3">
      <c r="A4902" t="s">
        <v>567</v>
      </c>
      <c r="B4902" t="s">
        <v>19</v>
      </c>
      <c r="C4902" s="1">
        <f>HYPERLINK("https://cao.dolgi.msk.ru/account/1011497491/", 1011497491)</f>
        <v>1011497491</v>
      </c>
      <c r="D4902">
        <v>0</v>
      </c>
    </row>
    <row r="4903" spans="1:4" x14ac:dyDescent="0.3">
      <c r="A4903" t="s">
        <v>567</v>
      </c>
      <c r="B4903" t="s">
        <v>568</v>
      </c>
      <c r="C4903" s="1">
        <f>HYPERLINK("https://cao.dolgi.msk.ru/account/1011497483/", 1011497483)</f>
        <v>1011497483</v>
      </c>
      <c r="D4903">
        <v>32209.55</v>
      </c>
    </row>
    <row r="4904" spans="1:4" hidden="1" x14ac:dyDescent="0.3">
      <c r="A4904" t="s">
        <v>567</v>
      </c>
      <c r="B4904" t="s">
        <v>21</v>
      </c>
      <c r="C4904" s="1">
        <f>HYPERLINK("https://cao.dolgi.msk.ru/account/1011497547/", 1011497547)</f>
        <v>1011497547</v>
      </c>
      <c r="D4904">
        <v>-11540.11</v>
      </c>
    </row>
    <row r="4905" spans="1:4" hidden="1" x14ac:dyDescent="0.3">
      <c r="A4905" t="s">
        <v>567</v>
      </c>
      <c r="B4905" t="s">
        <v>24</v>
      </c>
      <c r="C4905" s="1">
        <f>HYPERLINK("https://cao.dolgi.msk.ru/account/1011497512/", 1011497512)</f>
        <v>1011497512</v>
      </c>
      <c r="D4905">
        <v>0</v>
      </c>
    </row>
    <row r="4906" spans="1:4" hidden="1" x14ac:dyDescent="0.3">
      <c r="A4906" t="s">
        <v>569</v>
      </c>
      <c r="B4906" t="s">
        <v>6</v>
      </c>
      <c r="C4906" s="1">
        <f>HYPERLINK("https://cao.dolgi.msk.ru/account/1011330026/", 1011330026)</f>
        <v>1011330026</v>
      </c>
      <c r="D4906">
        <v>0</v>
      </c>
    </row>
    <row r="4907" spans="1:4" hidden="1" x14ac:dyDescent="0.3">
      <c r="A4907" t="s">
        <v>569</v>
      </c>
      <c r="B4907" t="s">
        <v>28</v>
      </c>
      <c r="C4907" s="1">
        <f>HYPERLINK("https://cao.dolgi.msk.ru/account/1011330317/", 1011330317)</f>
        <v>1011330317</v>
      </c>
      <c r="D4907">
        <v>0</v>
      </c>
    </row>
    <row r="4908" spans="1:4" hidden="1" x14ac:dyDescent="0.3">
      <c r="A4908" t="s">
        <v>569</v>
      </c>
      <c r="B4908" t="s">
        <v>35</v>
      </c>
      <c r="C4908" s="1">
        <f>HYPERLINK("https://cao.dolgi.msk.ru/account/1011330034/", 1011330034)</f>
        <v>1011330034</v>
      </c>
      <c r="D4908">
        <v>-6940.45</v>
      </c>
    </row>
    <row r="4909" spans="1:4" hidden="1" x14ac:dyDescent="0.3">
      <c r="A4909" t="s">
        <v>569</v>
      </c>
      <c r="B4909" t="s">
        <v>5</v>
      </c>
      <c r="C4909" s="1">
        <f>HYPERLINK("https://cao.dolgi.msk.ru/account/1011330202/", 1011330202)</f>
        <v>1011330202</v>
      </c>
      <c r="D4909">
        <v>0</v>
      </c>
    </row>
    <row r="4910" spans="1:4" x14ac:dyDescent="0.3">
      <c r="A4910" t="s">
        <v>569</v>
      </c>
      <c r="B4910" t="s">
        <v>7</v>
      </c>
      <c r="C4910" s="1">
        <f>HYPERLINK("https://cao.dolgi.msk.ru/account/1011330157/", 1011330157)</f>
        <v>1011330157</v>
      </c>
      <c r="D4910">
        <v>2849.57</v>
      </c>
    </row>
    <row r="4911" spans="1:4" hidden="1" x14ac:dyDescent="0.3">
      <c r="A4911" t="s">
        <v>569</v>
      </c>
      <c r="B4911" t="s">
        <v>8</v>
      </c>
      <c r="C4911" s="1">
        <f>HYPERLINK("https://cao.dolgi.msk.ru/account/1011330165/", 1011330165)</f>
        <v>1011330165</v>
      </c>
      <c r="D4911">
        <v>0</v>
      </c>
    </row>
    <row r="4912" spans="1:4" hidden="1" x14ac:dyDescent="0.3">
      <c r="A4912" t="s">
        <v>569</v>
      </c>
      <c r="B4912" t="s">
        <v>31</v>
      </c>
      <c r="C4912" s="1">
        <f>HYPERLINK("https://cao.dolgi.msk.ru/account/1011330173/", 1011330173)</f>
        <v>1011330173</v>
      </c>
      <c r="D4912">
        <v>0</v>
      </c>
    </row>
    <row r="4913" spans="1:4" hidden="1" x14ac:dyDescent="0.3">
      <c r="A4913" t="s">
        <v>569</v>
      </c>
      <c r="B4913" t="s">
        <v>9</v>
      </c>
      <c r="C4913" s="1">
        <f>HYPERLINK("https://cao.dolgi.msk.ru/account/1011330181/", 1011330181)</f>
        <v>1011330181</v>
      </c>
      <c r="D4913">
        <v>0</v>
      </c>
    </row>
    <row r="4914" spans="1:4" hidden="1" x14ac:dyDescent="0.3">
      <c r="A4914" t="s">
        <v>569</v>
      </c>
      <c r="B4914" t="s">
        <v>10</v>
      </c>
      <c r="C4914" s="1">
        <f>HYPERLINK("https://cao.dolgi.msk.ru/account/1011330325/", 1011330325)</f>
        <v>1011330325</v>
      </c>
      <c r="D4914">
        <v>0</v>
      </c>
    </row>
    <row r="4915" spans="1:4" hidden="1" x14ac:dyDescent="0.3">
      <c r="A4915" t="s">
        <v>569</v>
      </c>
      <c r="B4915" t="s">
        <v>11</v>
      </c>
      <c r="C4915" s="1">
        <f>HYPERLINK("https://cao.dolgi.msk.ru/account/1011330245/", 1011330245)</f>
        <v>1011330245</v>
      </c>
      <c r="D4915">
        <v>-414.5</v>
      </c>
    </row>
    <row r="4916" spans="1:4" hidden="1" x14ac:dyDescent="0.3">
      <c r="A4916" t="s">
        <v>569</v>
      </c>
      <c r="B4916" t="s">
        <v>12</v>
      </c>
      <c r="C4916" s="1">
        <f>HYPERLINK("https://cao.dolgi.msk.ru/account/1011330229/", 1011330229)</f>
        <v>1011330229</v>
      </c>
      <c r="D4916">
        <v>0</v>
      </c>
    </row>
    <row r="4917" spans="1:4" x14ac:dyDescent="0.3">
      <c r="A4917" t="s">
        <v>569</v>
      </c>
      <c r="B4917" t="s">
        <v>23</v>
      </c>
      <c r="C4917" s="1">
        <f>HYPERLINK("https://cao.dolgi.msk.ru/account/1011330042/", 1011330042)</f>
        <v>1011330042</v>
      </c>
      <c r="D4917">
        <v>5960.71</v>
      </c>
    </row>
    <row r="4918" spans="1:4" hidden="1" x14ac:dyDescent="0.3">
      <c r="A4918" t="s">
        <v>569</v>
      </c>
      <c r="B4918" t="s">
        <v>13</v>
      </c>
      <c r="C4918" s="1">
        <f>HYPERLINK("https://cao.dolgi.msk.ru/account/1011330288/", 1011330288)</f>
        <v>1011330288</v>
      </c>
      <c r="D4918">
        <v>-192.12</v>
      </c>
    </row>
    <row r="4919" spans="1:4" hidden="1" x14ac:dyDescent="0.3">
      <c r="A4919" t="s">
        <v>569</v>
      </c>
      <c r="B4919" t="s">
        <v>14</v>
      </c>
      <c r="C4919" s="1">
        <f>HYPERLINK("https://cao.dolgi.msk.ru/account/1011330114/", 1011330114)</f>
        <v>1011330114</v>
      </c>
      <c r="D4919">
        <v>0</v>
      </c>
    </row>
    <row r="4920" spans="1:4" hidden="1" x14ac:dyDescent="0.3">
      <c r="A4920" t="s">
        <v>569</v>
      </c>
      <c r="B4920" t="s">
        <v>16</v>
      </c>
      <c r="C4920" s="1">
        <f>HYPERLINK("https://cao.dolgi.msk.ru/account/1011330237/", 1011330237)</f>
        <v>1011330237</v>
      </c>
      <c r="D4920">
        <v>-207.28</v>
      </c>
    </row>
    <row r="4921" spans="1:4" hidden="1" x14ac:dyDescent="0.3">
      <c r="A4921" t="s">
        <v>569</v>
      </c>
      <c r="B4921" t="s">
        <v>18</v>
      </c>
      <c r="C4921" s="1">
        <f>HYPERLINK("https://cao.dolgi.msk.ru/account/1011330077/", 1011330077)</f>
        <v>1011330077</v>
      </c>
      <c r="D4921">
        <v>-6665.19</v>
      </c>
    </row>
    <row r="4922" spans="1:4" hidden="1" x14ac:dyDescent="0.3">
      <c r="A4922" t="s">
        <v>569</v>
      </c>
      <c r="B4922" t="s">
        <v>19</v>
      </c>
      <c r="C4922" s="1">
        <f>HYPERLINK("https://cao.dolgi.msk.ru/account/1011330085/", 1011330085)</f>
        <v>1011330085</v>
      </c>
      <c r="D4922">
        <v>0</v>
      </c>
    </row>
    <row r="4923" spans="1:4" hidden="1" x14ac:dyDescent="0.3">
      <c r="A4923" t="s">
        <v>569</v>
      </c>
      <c r="B4923" t="s">
        <v>20</v>
      </c>
      <c r="C4923" s="1">
        <f>HYPERLINK("https://cao.dolgi.msk.ru/account/1011330122/", 1011330122)</f>
        <v>1011330122</v>
      </c>
      <c r="D4923">
        <v>-2727.09</v>
      </c>
    </row>
    <row r="4924" spans="1:4" x14ac:dyDescent="0.3">
      <c r="A4924" t="s">
        <v>569</v>
      </c>
      <c r="B4924" t="s">
        <v>20</v>
      </c>
      <c r="C4924" s="1">
        <f>HYPERLINK("https://cao.dolgi.msk.ru/account/1011507637/", 1011507637)</f>
        <v>1011507637</v>
      </c>
      <c r="D4924">
        <v>6960.48</v>
      </c>
    </row>
    <row r="4925" spans="1:4" x14ac:dyDescent="0.3">
      <c r="A4925" t="s">
        <v>569</v>
      </c>
      <c r="B4925" t="s">
        <v>21</v>
      </c>
      <c r="C4925" s="1">
        <f>HYPERLINK("https://cao.dolgi.msk.ru/account/1011330093/", 1011330093)</f>
        <v>1011330093</v>
      </c>
      <c r="D4925">
        <v>8051.76</v>
      </c>
    </row>
    <row r="4926" spans="1:4" hidden="1" x14ac:dyDescent="0.3">
      <c r="A4926" t="s">
        <v>569</v>
      </c>
      <c r="B4926" t="s">
        <v>22</v>
      </c>
      <c r="C4926" s="1">
        <f>HYPERLINK("https://cao.dolgi.msk.ru/account/1011330253/", 1011330253)</f>
        <v>1011330253</v>
      </c>
      <c r="D4926">
        <v>0</v>
      </c>
    </row>
    <row r="4927" spans="1:4" hidden="1" x14ac:dyDescent="0.3">
      <c r="A4927" t="s">
        <v>569</v>
      </c>
      <c r="B4927" t="s">
        <v>24</v>
      </c>
      <c r="C4927" s="1">
        <f>HYPERLINK("https://cao.dolgi.msk.ru/account/1011330333/", 1011330333)</f>
        <v>1011330333</v>
      </c>
      <c r="D4927">
        <v>0</v>
      </c>
    </row>
    <row r="4928" spans="1:4" hidden="1" x14ac:dyDescent="0.3">
      <c r="A4928" t="s">
        <v>569</v>
      </c>
      <c r="B4928" t="s">
        <v>25</v>
      </c>
      <c r="C4928" s="1">
        <f>HYPERLINK("https://cao.dolgi.msk.ru/account/1011330296/", 1011330296)</f>
        <v>1011330296</v>
      </c>
      <c r="D4928">
        <v>-11301.42</v>
      </c>
    </row>
    <row r="4929" spans="1:4" x14ac:dyDescent="0.3">
      <c r="A4929" t="s">
        <v>569</v>
      </c>
      <c r="B4929" t="s">
        <v>26</v>
      </c>
      <c r="C4929" s="1">
        <f>HYPERLINK("https://cao.dolgi.msk.ru/account/1011330106/", 1011330106)</f>
        <v>1011330106</v>
      </c>
      <c r="D4929">
        <v>6338.49</v>
      </c>
    </row>
    <row r="4930" spans="1:4" hidden="1" x14ac:dyDescent="0.3">
      <c r="A4930" t="s">
        <v>569</v>
      </c>
      <c r="B4930" t="s">
        <v>27</v>
      </c>
      <c r="C4930" s="1">
        <f>HYPERLINK("https://cao.dolgi.msk.ru/account/1011330261/", 1011330261)</f>
        <v>1011330261</v>
      </c>
      <c r="D4930">
        <v>0</v>
      </c>
    </row>
    <row r="4931" spans="1:4" hidden="1" x14ac:dyDescent="0.3">
      <c r="A4931" t="s">
        <v>569</v>
      </c>
      <c r="B4931" t="s">
        <v>29</v>
      </c>
      <c r="C4931" s="1">
        <f>HYPERLINK("https://cao.dolgi.msk.ru/account/1011330309/", 1011330309)</f>
        <v>1011330309</v>
      </c>
      <c r="D4931">
        <v>0</v>
      </c>
    </row>
    <row r="4932" spans="1:4" hidden="1" x14ac:dyDescent="0.3">
      <c r="A4932" t="s">
        <v>569</v>
      </c>
      <c r="B4932" t="s">
        <v>38</v>
      </c>
      <c r="C4932" s="1">
        <f>HYPERLINK("https://cao.dolgi.msk.ru/account/1011330069/", 1011330069)</f>
        <v>1011330069</v>
      </c>
      <c r="D4932">
        <v>0</v>
      </c>
    </row>
    <row r="4933" spans="1:4" hidden="1" x14ac:dyDescent="0.3">
      <c r="A4933" t="s">
        <v>569</v>
      </c>
      <c r="B4933" t="s">
        <v>39</v>
      </c>
      <c r="C4933" s="1">
        <f>HYPERLINK("https://cao.dolgi.msk.ru/account/1011330149/", 1011330149)</f>
        <v>1011330149</v>
      </c>
      <c r="D4933">
        <v>-21523.86</v>
      </c>
    </row>
    <row r="4934" spans="1:4" x14ac:dyDescent="0.3">
      <c r="A4934" t="s">
        <v>570</v>
      </c>
      <c r="B4934" t="s">
        <v>6</v>
      </c>
      <c r="C4934" s="1">
        <f>HYPERLINK("https://cao.dolgi.msk.ru/account/1011193471/", 1011193471)</f>
        <v>1011193471</v>
      </c>
      <c r="D4934">
        <v>29273.08</v>
      </c>
    </row>
    <row r="4935" spans="1:4" x14ac:dyDescent="0.3">
      <c r="A4935" t="s">
        <v>570</v>
      </c>
      <c r="B4935" t="s">
        <v>28</v>
      </c>
      <c r="C4935" s="1">
        <f>HYPERLINK("https://cao.dolgi.msk.ru/account/1011193543/", 1011193543)</f>
        <v>1011193543</v>
      </c>
      <c r="D4935">
        <v>33455.769999999997</v>
      </c>
    </row>
    <row r="4936" spans="1:4" hidden="1" x14ac:dyDescent="0.3">
      <c r="A4936" t="s">
        <v>570</v>
      </c>
      <c r="B4936" t="s">
        <v>35</v>
      </c>
      <c r="C4936" s="1">
        <f>HYPERLINK("https://cao.dolgi.msk.ru/account/1011193498/", 1011193498)</f>
        <v>1011193498</v>
      </c>
      <c r="D4936">
        <v>-2552.38</v>
      </c>
    </row>
    <row r="4937" spans="1:4" hidden="1" x14ac:dyDescent="0.3">
      <c r="A4937" t="s">
        <v>570</v>
      </c>
      <c r="B4937" t="s">
        <v>5</v>
      </c>
      <c r="C4937" s="1">
        <f>HYPERLINK("https://cao.dolgi.msk.ru/account/1011193455/", 1011193455)</f>
        <v>1011193455</v>
      </c>
      <c r="D4937">
        <v>-24491.22</v>
      </c>
    </row>
    <row r="4938" spans="1:4" x14ac:dyDescent="0.3">
      <c r="A4938" t="s">
        <v>570</v>
      </c>
      <c r="B4938" t="s">
        <v>7</v>
      </c>
      <c r="C4938" s="1">
        <f>HYPERLINK("https://cao.dolgi.msk.ru/account/1011193463/", 1011193463)</f>
        <v>1011193463</v>
      </c>
      <c r="D4938">
        <v>54306.09</v>
      </c>
    </row>
    <row r="4939" spans="1:4" hidden="1" x14ac:dyDescent="0.3">
      <c r="A4939" t="s">
        <v>570</v>
      </c>
      <c r="B4939" t="s">
        <v>8</v>
      </c>
      <c r="C4939" s="1">
        <f>HYPERLINK("https://cao.dolgi.msk.ru/account/1011193535/", 1011193535)</f>
        <v>1011193535</v>
      </c>
      <c r="D4939">
        <v>-138.96</v>
      </c>
    </row>
    <row r="4940" spans="1:4" hidden="1" x14ac:dyDescent="0.3">
      <c r="A4940" t="s">
        <v>570</v>
      </c>
      <c r="B4940" t="s">
        <v>31</v>
      </c>
      <c r="C4940" s="1">
        <f>HYPERLINK("https://cao.dolgi.msk.ru/account/1011193447/", 1011193447)</f>
        <v>1011193447</v>
      </c>
      <c r="D4940">
        <v>0</v>
      </c>
    </row>
    <row r="4941" spans="1:4" hidden="1" x14ac:dyDescent="0.3">
      <c r="A4941" t="s">
        <v>570</v>
      </c>
      <c r="B4941" t="s">
        <v>9</v>
      </c>
      <c r="C4941" s="1">
        <f>HYPERLINK("https://cao.dolgi.msk.ru/account/1011193519/", 1011193519)</f>
        <v>1011193519</v>
      </c>
      <c r="D4941">
        <v>0</v>
      </c>
    </row>
    <row r="4942" spans="1:4" hidden="1" x14ac:dyDescent="0.3">
      <c r="A4942" t="s">
        <v>570</v>
      </c>
      <c r="B4942" t="s">
        <v>10</v>
      </c>
      <c r="C4942" s="1">
        <f>HYPERLINK("https://cao.dolgi.msk.ru/account/1011193551/", 1011193551)</f>
        <v>1011193551</v>
      </c>
      <c r="D4942">
        <v>-7715.96</v>
      </c>
    </row>
    <row r="4943" spans="1:4" hidden="1" x14ac:dyDescent="0.3">
      <c r="A4943" t="s">
        <v>570</v>
      </c>
      <c r="B4943" t="s">
        <v>571</v>
      </c>
      <c r="C4943" s="1">
        <f>HYPERLINK("https://cao.dolgi.msk.ru/account/1011193527/", 1011193527)</f>
        <v>1011193527</v>
      </c>
      <c r="D4943">
        <v>0</v>
      </c>
    </row>
    <row r="4944" spans="1:4" hidden="1" x14ac:dyDescent="0.3">
      <c r="A4944" t="s">
        <v>572</v>
      </c>
      <c r="B4944" t="s">
        <v>35</v>
      </c>
      <c r="C4944" s="1">
        <f>HYPERLINK("https://cao.dolgi.msk.ru/account/1011193615/", 1011193615)</f>
        <v>1011193615</v>
      </c>
      <c r="D4944">
        <v>0</v>
      </c>
    </row>
    <row r="4945" spans="1:4" hidden="1" x14ac:dyDescent="0.3">
      <c r="A4945" t="s">
        <v>572</v>
      </c>
      <c r="B4945" t="s">
        <v>5</v>
      </c>
      <c r="C4945" s="1">
        <f>HYPERLINK("https://cao.dolgi.msk.ru/account/1011193586/", 1011193586)</f>
        <v>1011193586</v>
      </c>
      <c r="D4945">
        <v>0</v>
      </c>
    </row>
    <row r="4946" spans="1:4" hidden="1" x14ac:dyDescent="0.3">
      <c r="A4946" t="s">
        <v>572</v>
      </c>
      <c r="B4946" t="s">
        <v>7</v>
      </c>
      <c r="C4946" s="1">
        <f>HYPERLINK("https://cao.dolgi.msk.ru/account/1011193674/", 1011193674)</f>
        <v>1011193674</v>
      </c>
      <c r="D4946">
        <v>-102.02</v>
      </c>
    </row>
    <row r="4947" spans="1:4" x14ac:dyDescent="0.3">
      <c r="A4947" t="s">
        <v>572</v>
      </c>
      <c r="B4947" t="s">
        <v>8</v>
      </c>
      <c r="C4947" s="1">
        <f>HYPERLINK("https://cao.dolgi.msk.ru/account/1011193594/", 1011193594)</f>
        <v>1011193594</v>
      </c>
      <c r="D4947">
        <v>40402.589999999997</v>
      </c>
    </row>
    <row r="4948" spans="1:4" hidden="1" x14ac:dyDescent="0.3">
      <c r="A4948" t="s">
        <v>572</v>
      </c>
      <c r="B4948" t="s">
        <v>31</v>
      </c>
      <c r="C4948" s="1">
        <f>HYPERLINK("https://cao.dolgi.msk.ru/account/1011193666/", 1011193666)</f>
        <v>1011193666</v>
      </c>
      <c r="D4948">
        <v>0</v>
      </c>
    </row>
    <row r="4949" spans="1:4" hidden="1" x14ac:dyDescent="0.3">
      <c r="A4949" t="s">
        <v>572</v>
      </c>
      <c r="B4949" t="s">
        <v>9</v>
      </c>
      <c r="C4949" s="1">
        <f>HYPERLINK("https://cao.dolgi.msk.ru/account/1011193682/", 1011193682)</f>
        <v>1011193682</v>
      </c>
      <c r="D4949">
        <v>0</v>
      </c>
    </row>
    <row r="4950" spans="1:4" hidden="1" x14ac:dyDescent="0.3">
      <c r="A4950" t="s">
        <v>572</v>
      </c>
      <c r="B4950" t="s">
        <v>10</v>
      </c>
      <c r="C4950" s="1">
        <f>HYPERLINK("https://cao.dolgi.msk.ru/account/1011193631/", 1011193631)</f>
        <v>1011193631</v>
      </c>
      <c r="D4950">
        <v>0</v>
      </c>
    </row>
    <row r="4951" spans="1:4" hidden="1" x14ac:dyDescent="0.3">
      <c r="A4951" t="s">
        <v>572</v>
      </c>
      <c r="B4951" t="s">
        <v>11</v>
      </c>
      <c r="C4951" s="1">
        <f>HYPERLINK("https://cao.dolgi.msk.ru/account/1011193607/", 1011193607)</f>
        <v>1011193607</v>
      </c>
      <c r="D4951">
        <v>-17201.77</v>
      </c>
    </row>
    <row r="4952" spans="1:4" hidden="1" x14ac:dyDescent="0.3">
      <c r="A4952" t="s">
        <v>572</v>
      </c>
      <c r="B4952" t="s">
        <v>12</v>
      </c>
      <c r="C4952" s="1">
        <f>HYPERLINK("https://cao.dolgi.msk.ru/account/1011193703/", 1011193703)</f>
        <v>1011193703</v>
      </c>
      <c r="D4952">
        <v>0</v>
      </c>
    </row>
    <row r="4953" spans="1:4" hidden="1" x14ac:dyDescent="0.3">
      <c r="A4953" t="s">
        <v>572</v>
      </c>
      <c r="B4953" t="s">
        <v>23</v>
      </c>
      <c r="C4953" s="1">
        <f>HYPERLINK("https://cao.dolgi.msk.ru/account/1011193578/", 1011193578)</f>
        <v>1011193578</v>
      </c>
      <c r="D4953">
        <v>-17235.63</v>
      </c>
    </row>
    <row r="4954" spans="1:4" hidden="1" x14ac:dyDescent="0.3">
      <c r="A4954" t="s">
        <v>572</v>
      </c>
      <c r="B4954" t="s">
        <v>13</v>
      </c>
      <c r="C4954" s="1">
        <f>HYPERLINK("https://cao.dolgi.msk.ru/account/1011193658/", 1011193658)</f>
        <v>1011193658</v>
      </c>
      <c r="D4954">
        <v>-16923.66</v>
      </c>
    </row>
    <row r="4955" spans="1:4" x14ac:dyDescent="0.3">
      <c r="A4955" t="s">
        <v>572</v>
      </c>
      <c r="B4955" t="s">
        <v>14</v>
      </c>
      <c r="C4955" s="1">
        <f>HYPERLINK("https://cao.dolgi.msk.ru/account/1011193623/", 1011193623)</f>
        <v>1011193623</v>
      </c>
      <c r="D4955">
        <v>15229.15</v>
      </c>
    </row>
    <row r="4956" spans="1:4" hidden="1" x14ac:dyDescent="0.3">
      <c r="A4956" t="s">
        <v>573</v>
      </c>
      <c r="B4956" t="s">
        <v>28</v>
      </c>
      <c r="C4956" s="1">
        <f>HYPERLINK("https://cao.dolgi.msk.ru/account/1011486469/", 1011486469)</f>
        <v>1011486469</v>
      </c>
      <c r="D4956">
        <v>0</v>
      </c>
    </row>
    <row r="4957" spans="1:4" hidden="1" x14ac:dyDescent="0.3">
      <c r="A4957" t="s">
        <v>573</v>
      </c>
      <c r="B4957" t="s">
        <v>35</v>
      </c>
      <c r="C4957" s="1">
        <f>HYPERLINK("https://cao.dolgi.msk.ru/account/1011486637/", 1011486637)</f>
        <v>1011486637</v>
      </c>
      <c r="D4957">
        <v>-16410.849999999999</v>
      </c>
    </row>
    <row r="4958" spans="1:4" hidden="1" x14ac:dyDescent="0.3">
      <c r="A4958" t="s">
        <v>573</v>
      </c>
      <c r="B4958" t="s">
        <v>5</v>
      </c>
      <c r="C4958" s="1">
        <f>HYPERLINK("https://cao.dolgi.msk.ru/account/1011486493/", 1011486493)</f>
        <v>1011486493</v>
      </c>
      <c r="D4958">
        <v>0</v>
      </c>
    </row>
    <row r="4959" spans="1:4" hidden="1" x14ac:dyDescent="0.3">
      <c r="A4959" t="s">
        <v>573</v>
      </c>
      <c r="B4959" t="s">
        <v>7</v>
      </c>
      <c r="C4959" s="1">
        <f>HYPERLINK("https://cao.dolgi.msk.ru/account/1011486629/", 1011486629)</f>
        <v>1011486629</v>
      </c>
      <c r="D4959">
        <v>-45.65</v>
      </c>
    </row>
    <row r="4960" spans="1:4" hidden="1" x14ac:dyDescent="0.3">
      <c r="A4960" t="s">
        <v>573</v>
      </c>
      <c r="B4960" t="s">
        <v>8</v>
      </c>
      <c r="C4960" s="1">
        <f>HYPERLINK("https://cao.dolgi.msk.ru/account/1011486442/", 1011486442)</f>
        <v>1011486442</v>
      </c>
      <c r="D4960">
        <v>-26899.75</v>
      </c>
    </row>
    <row r="4961" spans="1:4" hidden="1" x14ac:dyDescent="0.3">
      <c r="A4961" t="s">
        <v>573</v>
      </c>
      <c r="B4961" t="s">
        <v>31</v>
      </c>
      <c r="C4961" s="1">
        <f>HYPERLINK("https://cao.dolgi.msk.ru/account/1011486602/", 1011486602)</f>
        <v>1011486602</v>
      </c>
      <c r="D4961">
        <v>0</v>
      </c>
    </row>
    <row r="4962" spans="1:4" hidden="1" x14ac:dyDescent="0.3">
      <c r="A4962" t="s">
        <v>573</v>
      </c>
      <c r="B4962" t="s">
        <v>9</v>
      </c>
      <c r="C4962" s="1">
        <f>HYPERLINK("https://cao.dolgi.msk.ru/account/1011486506/", 1011486506)</f>
        <v>1011486506</v>
      </c>
      <c r="D4962">
        <v>-16005.24</v>
      </c>
    </row>
    <row r="4963" spans="1:4" x14ac:dyDescent="0.3">
      <c r="A4963" t="s">
        <v>573</v>
      </c>
      <c r="B4963" t="s">
        <v>10</v>
      </c>
      <c r="C4963" s="1">
        <f>HYPERLINK("https://cao.dolgi.msk.ru/account/1011486477/", 1011486477)</f>
        <v>1011486477</v>
      </c>
      <c r="D4963">
        <v>45078.14</v>
      </c>
    </row>
    <row r="4964" spans="1:4" x14ac:dyDescent="0.3">
      <c r="A4964" t="s">
        <v>573</v>
      </c>
      <c r="B4964" t="s">
        <v>11</v>
      </c>
      <c r="C4964" s="1">
        <f>HYPERLINK("https://cao.dolgi.msk.ru/account/1011486573/", 1011486573)</f>
        <v>1011486573</v>
      </c>
      <c r="D4964">
        <v>21640.13</v>
      </c>
    </row>
    <row r="4965" spans="1:4" hidden="1" x14ac:dyDescent="0.3">
      <c r="A4965" t="s">
        <v>573</v>
      </c>
      <c r="B4965" t="s">
        <v>12</v>
      </c>
      <c r="C4965" s="1">
        <f>HYPERLINK("https://cao.dolgi.msk.ru/account/1011486514/", 1011486514)</f>
        <v>1011486514</v>
      </c>
      <c r="D4965">
        <v>-23594.11</v>
      </c>
    </row>
    <row r="4966" spans="1:4" hidden="1" x14ac:dyDescent="0.3">
      <c r="A4966" t="s">
        <v>573</v>
      </c>
      <c r="B4966" t="s">
        <v>23</v>
      </c>
      <c r="C4966" s="1">
        <f>HYPERLINK("https://cao.dolgi.msk.ru/account/1011486522/", 1011486522)</f>
        <v>1011486522</v>
      </c>
      <c r="D4966">
        <v>0</v>
      </c>
    </row>
    <row r="4967" spans="1:4" hidden="1" x14ac:dyDescent="0.3">
      <c r="A4967" t="s">
        <v>573</v>
      </c>
      <c r="B4967" t="s">
        <v>13</v>
      </c>
      <c r="C4967" s="1">
        <f>HYPERLINK("https://cao.dolgi.msk.ru/account/1011486549/", 1011486549)</f>
        <v>1011486549</v>
      </c>
      <c r="D4967">
        <v>0</v>
      </c>
    </row>
    <row r="4968" spans="1:4" x14ac:dyDescent="0.3">
      <c r="A4968" t="s">
        <v>573</v>
      </c>
      <c r="B4968" t="s">
        <v>14</v>
      </c>
      <c r="C4968" s="1">
        <f>HYPERLINK("https://cao.dolgi.msk.ru/account/1011486581/", 1011486581)</f>
        <v>1011486581</v>
      </c>
      <c r="D4968">
        <v>81089.52</v>
      </c>
    </row>
    <row r="4969" spans="1:4" hidden="1" x14ac:dyDescent="0.3">
      <c r="A4969" t="s">
        <v>573</v>
      </c>
      <c r="B4969" t="s">
        <v>16</v>
      </c>
      <c r="C4969" s="1">
        <f>HYPERLINK("https://cao.dolgi.msk.ru/account/1011486645/", 1011486645)</f>
        <v>1011486645</v>
      </c>
      <c r="D4969">
        <v>0</v>
      </c>
    </row>
    <row r="4970" spans="1:4" x14ac:dyDescent="0.3">
      <c r="A4970" t="s">
        <v>573</v>
      </c>
      <c r="B4970" t="s">
        <v>17</v>
      </c>
      <c r="C4970" s="1">
        <f>HYPERLINK("https://cao.dolgi.msk.ru/account/1011486485/", 1011486485)</f>
        <v>1011486485</v>
      </c>
      <c r="D4970">
        <v>62929.24</v>
      </c>
    </row>
    <row r="4971" spans="1:4" hidden="1" x14ac:dyDescent="0.3">
      <c r="A4971" t="s">
        <v>573</v>
      </c>
      <c r="B4971" t="s">
        <v>18</v>
      </c>
      <c r="C4971" s="1">
        <f>HYPERLINK("https://cao.dolgi.msk.ru/account/1011486565/", 1011486565)</f>
        <v>1011486565</v>
      </c>
      <c r="D4971">
        <v>0</v>
      </c>
    </row>
    <row r="4972" spans="1:4" x14ac:dyDescent="0.3">
      <c r="A4972" t="s">
        <v>573</v>
      </c>
      <c r="B4972" t="s">
        <v>19</v>
      </c>
      <c r="C4972" s="1">
        <f>HYPERLINK("https://cao.dolgi.msk.ru/account/1011486557/", 1011486557)</f>
        <v>1011486557</v>
      </c>
      <c r="D4972">
        <v>13901.45</v>
      </c>
    </row>
    <row r="4973" spans="1:4" hidden="1" x14ac:dyDescent="0.3">
      <c r="A4973" t="s">
        <v>574</v>
      </c>
      <c r="B4973" t="s">
        <v>18</v>
      </c>
      <c r="C4973" s="1">
        <f>HYPERLINK("https://cao.dolgi.msk.ru/account/1011309243/", 1011309243)</f>
        <v>1011309243</v>
      </c>
      <c r="D4973">
        <v>0</v>
      </c>
    </row>
    <row r="4974" spans="1:4" x14ac:dyDescent="0.3">
      <c r="A4974" t="s">
        <v>574</v>
      </c>
      <c r="B4974" t="s">
        <v>19</v>
      </c>
      <c r="C4974" s="1">
        <f>HYPERLINK("https://cao.dolgi.msk.ru/account/1011309163/", 1011309163)</f>
        <v>1011309163</v>
      </c>
      <c r="D4974">
        <v>126450.97</v>
      </c>
    </row>
    <row r="4975" spans="1:4" hidden="1" x14ac:dyDescent="0.3">
      <c r="A4975" t="s">
        <v>574</v>
      </c>
      <c r="B4975" t="s">
        <v>20</v>
      </c>
      <c r="C4975" s="1">
        <f>HYPERLINK("https://cao.dolgi.msk.ru/account/1011309147/", 1011309147)</f>
        <v>1011309147</v>
      </c>
      <c r="D4975">
        <v>0</v>
      </c>
    </row>
    <row r="4976" spans="1:4" hidden="1" x14ac:dyDescent="0.3">
      <c r="A4976" t="s">
        <v>574</v>
      </c>
      <c r="B4976" t="s">
        <v>21</v>
      </c>
      <c r="C4976" s="1">
        <f>HYPERLINK("https://cao.dolgi.msk.ru/account/1011309307/", 1011309307)</f>
        <v>1011309307</v>
      </c>
      <c r="D4976">
        <v>0</v>
      </c>
    </row>
    <row r="4977" spans="1:4" hidden="1" x14ac:dyDescent="0.3">
      <c r="A4977" t="s">
        <v>574</v>
      </c>
      <c r="B4977" t="s">
        <v>22</v>
      </c>
      <c r="C4977" s="1">
        <f>HYPERLINK("https://cao.dolgi.msk.ru/account/1011309286/", 1011309286)</f>
        <v>1011309286</v>
      </c>
      <c r="D4977">
        <v>0</v>
      </c>
    </row>
    <row r="4978" spans="1:4" hidden="1" x14ac:dyDescent="0.3">
      <c r="A4978" t="s">
        <v>574</v>
      </c>
      <c r="B4978" t="s">
        <v>24</v>
      </c>
      <c r="C4978" s="1">
        <f>HYPERLINK("https://cao.dolgi.msk.ru/account/1011309278/", 1011309278)</f>
        <v>1011309278</v>
      </c>
      <c r="D4978">
        <v>0</v>
      </c>
    </row>
    <row r="4979" spans="1:4" hidden="1" x14ac:dyDescent="0.3">
      <c r="A4979" t="s">
        <v>574</v>
      </c>
      <c r="B4979" t="s">
        <v>25</v>
      </c>
      <c r="C4979" s="1">
        <f>HYPERLINK("https://cao.dolgi.msk.ru/account/1011309251/", 1011309251)</f>
        <v>1011309251</v>
      </c>
      <c r="D4979">
        <v>0</v>
      </c>
    </row>
    <row r="4980" spans="1:4" hidden="1" x14ac:dyDescent="0.3">
      <c r="A4980" t="s">
        <v>574</v>
      </c>
      <c r="B4980" t="s">
        <v>26</v>
      </c>
      <c r="C4980" s="1">
        <f>HYPERLINK("https://cao.dolgi.msk.ru/account/1011309219/", 1011309219)</f>
        <v>1011309219</v>
      </c>
      <c r="D4980">
        <v>-21663.21</v>
      </c>
    </row>
    <row r="4981" spans="1:4" hidden="1" x14ac:dyDescent="0.3">
      <c r="A4981" t="s">
        <v>574</v>
      </c>
      <c r="B4981" t="s">
        <v>27</v>
      </c>
      <c r="C4981" s="1">
        <f>HYPERLINK("https://cao.dolgi.msk.ru/account/1011309198/", 1011309198)</f>
        <v>1011309198</v>
      </c>
      <c r="D4981">
        <v>0</v>
      </c>
    </row>
    <row r="4982" spans="1:4" x14ac:dyDescent="0.3">
      <c r="A4982" t="s">
        <v>574</v>
      </c>
      <c r="B4982" t="s">
        <v>27</v>
      </c>
      <c r="C4982" s="1">
        <f>HYPERLINK("https://cao.dolgi.msk.ru/account/1011309227/", 1011309227)</f>
        <v>1011309227</v>
      </c>
      <c r="D4982">
        <v>167039.66</v>
      </c>
    </row>
    <row r="4983" spans="1:4" hidden="1" x14ac:dyDescent="0.3">
      <c r="A4983" t="s">
        <v>574</v>
      </c>
      <c r="B4983" t="s">
        <v>27</v>
      </c>
      <c r="C4983" s="1">
        <f>HYPERLINK("https://cao.dolgi.msk.ru/account/1011309235/", 1011309235)</f>
        <v>1011309235</v>
      </c>
      <c r="D4983">
        <v>0</v>
      </c>
    </row>
    <row r="4984" spans="1:4" hidden="1" x14ac:dyDescent="0.3">
      <c r="A4984" t="s">
        <v>574</v>
      </c>
      <c r="B4984" t="s">
        <v>29</v>
      </c>
      <c r="C4984" s="1">
        <f>HYPERLINK("https://cao.dolgi.msk.ru/account/1011309294/", 1011309294)</f>
        <v>1011309294</v>
      </c>
      <c r="D4984">
        <v>-6049.04</v>
      </c>
    </row>
    <row r="4985" spans="1:4" hidden="1" x14ac:dyDescent="0.3">
      <c r="A4985" t="s">
        <v>574</v>
      </c>
      <c r="B4985" t="s">
        <v>38</v>
      </c>
      <c r="C4985" s="1">
        <f>HYPERLINK("https://cao.dolgi.msk.ru/account/1011309171/", 1011309171)</f>
        <v>1011309171</v>
      </c>
      <c r="D4985">
        <v>-6201.13</v>
      </c>
    </row>
    <row r="4986" spans="1:4" hidden="1" x14ac:dyDescent="0.3">
      <c r="A4986" t="s">
        <v>574</v>
      </c>
      <c r="B4986" t="s">
        <v>39</v>
      </c>
      <c r="C4986" s="1">
        <f>HYPERLINK("https://cao.dolgi.msk.ru/account/1011309155/", 1011309155)</f>
        <v>1011309155</v>
      </c>
      <c r="D4986">
        <v>-12524.9</v>
      </c>
    </row>
    <row r="4987" spans="1:4" hidden="1" x14ac:dyDescent="0.3">
      <c r="A4987" t="s">
        <v>575</v>
      </c>
      <c r="B4987" t="s">
        <v>35</v>
      </c>
      <c r="C4987" s="1">
        <f>HYPERLINK("https://cao.dolgi.msk.ru/account/1011193738/", 1011193738)</f>
        <v>1011193738</v>
      </c>
      <c r="D4987">
        <v>0</v>
      </c>
    </row>
    <row r="4988" spans="1:4" hidden="1" x14ac:dyDescent="0.3">
      <c r="A4988" t="s">
        <v>575</v>
      </c>
      <c r="B4988" t="s">
        <v>5</v>
      </c>
      <c r="C4988" s="1">
        <f>HYPERLINK("https://cao.dolgi.msk.ru/account/1011193797/", 1011193797)</f>
        <v>1011193797</v>
      </c>
      <c r="D4988">
        <v>0</v>
      </c>
    </row>
    <row r="4989" spans="1:4" hidden="1" x14ac:dyDescent="0.3">
      <c r="A4989" t="s">
        <v>575</v>
      </c>
      <c r="B4989" t="s">
        <v>7</v>
      </c>
      <c r="C4989" s="1">
        <f>HYPERLINK("https://cao.dolgi.msk.ru/account/1011193711/", 1011193711)</f>
        <v>1011193711</v>
      </c>
      <c r="D4989">
        <v>0</v>
      </c>
    </row>
    <row r="4990" spans="1:4" hidden="1" x14ac:dyDescent="0.3">
      <c r="A4990" t="s">
        <v>575</v>
      </c>
      <c r="B4990" t="s">
        <v>7</v>
      </c>
      <c r="C4990" s="1">
        <f>HYPERLINK("https://cao.dolgi.msk.ru/account/1011193746/", 1011193746)</f>
        <v>1011193746</v>
      </c>
      <c r="D4990">
        <v>0</v>
      </c>
    </row>
    <row r="4991" spans="1:4" hidden="1" x14ac:dyDescent="0.3">
      <c r="A4991" t="s">
        <v>575</v>
      </c>
      <c r="B4991" t="s">
        <v>7</v>
      </c>
      <c r="C4991" s="1">
        <f>HYPERLINK("https://cao.dolgi.msk.ru/account/1011193754/", 1011193754)</f>
        <v>1011193754</v>
      </c>
      <c r="D4991">
        <v>0</v>
      </c>
    </row>
    <row r="4992" spans="1:4" hidden="1" x14ac:dyDescent="0.3">
      <c r="A4992" t="s">
        <v>575</v>
      </c>
      <c r="B4992" t="s">
        <v>8</v>
      </c>
      <c r="C4992" s="1">
        <f>HYPERLINK("https://cao.dolgi.msk.ru/account/1011193762/", 1011193762)</f>
        <v>1011193762</v>
      </c>
      <c r="D4992">
        <v>0</v>
      </c>
    </row>
    <row r="4993" spans="1:4" hidden="1" x14ac:dyDescent="0.3">
      <c r="A4993" t="s">
        <v>575</v>
      </c>
      <c r="B4993" t="s">
        <v>31</v>
      </c>
      <c r="C4993" s="1">
        <f>HYPERLINK("https://cao.dolgi.msk.ru/account/1011193834/", 1011193834)</f>
        <v>1011193834</v>
      </c>
      <c r="D4993">
        <v>0</v>
      </c>
    </row>
    <row r="4994" spans="1:4" hidden="1" x14ac:dyDescent="0.3">
      <c r="A4994" t="s">
        <v>575</v>
      </c>
      <c r="B4994" t="s">
        <v>9</v>
      </c>
      <c r="C4994" s="1">
        <f>HYPERLINK("https://cao.dolgi.msk.ru/account/1011193818/", 1011193818)</f>
        <v>1011193818</v>
      </c>
      <c r="D4994">
        <v>0</v>
      </c>
    </row>
    <row r="4995" spans="1:4" hidden="1" x14ac:dyDescent="0.3">
      <c r="A4995" t="s">
        <v>575</v>
      </c>
      <c r="B4995" t="s">
        <v>9</v>
      </c>
      <c r="C4995" s="1">
        <f>HYPERLINK("https://cao.dolgi.msk.ru/account/1011193842/", 1011193842)</f>
        <v>1011193842</v>
      </c>
      <c r="D4995">
        <v>0</v>
      </c>
    </row>
    <row r="4996" spans="1:4" hidden="1" x14ac:dyDescent="0.3">
      <c r="A4996" t="s">
        <v>575</v>
      </c>
      <c r="B4996" t="s">
        <v>9</v>
      </c>
      <c r="C4996" s="1">
        <f>HYPERLINK("https://cao.dolgi.msk.ru/account/1011193869/", 1011193869)</f>
        <v>1011193869</v>
      </c>
      <c r="D4996">
        <v>-422.9</v>
      </c>
    </row>
    <row r="4997" spans="1:4" hidden="1" x14ac:dyDescent="0.3">
      <c r="A4997" t="s">
        <v>575</v>
      </c>
      <c r="B4997" t="s">
        <v>10</v>
      </c>
      <c r="C4997" s="1">
        <f>HYPERLINK("https://cao.dolgi.msk.ru/account/1011193826/", 1011193826)</f>
        <v>1011193826</v>
      </c>
      <c r="D4997">
        <v>0</v>
      </c>
    </row>
    <row r="4998" spans="1:4" x14ac:dyDescent="0.3">
      <c r="A4998" t="s">
        <v>575</v>
      </c>
      <c r="B4998" t="s">
        <v>11</v>
      </c>
      <c r="C4998" s="1">
        <f>HYPERLINK("https://cao.dolgi.msk.ru/account/1011193789/", 1011193789)</f>
        <v>1011193789</v>
      </c>
      <c r="D4998">
        <v>7005.65</v>
      </c>
    </row>
    <row r="4999" spans="1:4" x14ac:dyDescent="0.3">
      <c r="A4999" t="s">
        <v>576</v>
      </c>
      <c r="B4999" t="s">
        <v>11</v>
      </c>
      <c r="C4999" s="1">
        <f>HYPERLINK("https://cao.dolgi.msk.ru/account/1011385545/", 1011385545)</f>
        <v>1011385545</v>
      </c>
      <c r="D4999">
        <v>2840.39</v>
      </c>
    </row>
    <row r="5000" spans="1:4" hidden="1" x14ac:dyDescent="0.3">
      <c r="A5000" t="s">
        <v>576</v>
      </c>
      <c r="B5000" t="s">
        <v>12</v>
      </c>
      <c r="C5000" s="1">
        <f>HYPERLINK("https://cao.dolgi.msk.ru/account/1011385481/", 1011385481)</f>
        <v>1011385481</v>
      </c>
      <c r="D5000">
        <v>-43455.89</v>
      </c>
    </row>
    <row r="5001" spans="1:4" hidden="1" x14ac:dyDescent="0.3">
      <c r="A5001" t="s">
        <v>576</v>
      </c>
      <c r="B5001" t="s">
        <v>23</v>
      </c>
      <c r="C5001" s="1">
        <f>HYPERLINK("https://cao.dolgi.msk.ru/account/1011385537/", 1011385537)</f>
        <v>1011385537</v>
      </c>
      <c r="D5001">
        <v>-111.37</v>
      </c>
    </row>
    <row r="5002" spans="1:4" x14ac:dyDescent="0.3">
      <c r="A5002" t="s">
        <v>576</v>
      </c>
      <c r="B5002" t="s">
        <v>13</v>
      </c>
      <c r="C5002" s="1">
        <f>HYPERLINK("https://cao.dolgi.msk.ru/account/1011385502/", 1011385502)</f>
        <v>1011385502</v>
      </c>
      <c r="D5002">
        <v>35702.449999999997</v>
      </c>
    </row>
    <row r="5003" spans="1:4" hidden="1" x14ac:dyDescent="0.3">
      <c r="A5003" t="s">
        <v>576</v>
      </c>
      <c r="B5003" t="s">
        <v>14</v>
      </c>
      <c r="C5003" s="1">
        <f>HYPERLINK("https://cao.dolgi.msk.ru/account/1011385553/", 1011385553)</f>
        <v>1011385553</v>
      </c>
      <c r="D5003">
        <v>-41572.78</v>
      </c>
    </row>
    <row r="5004" spans="1:4" x14ac:dyDescent="0.3">
      <c r="A5004" t="s">
        <v>577</v>
      </c>
      <c r="B5004" t="s">
        <v>24</v>
      </c>
      <c r="C5004" s="1">
        <f>HYPERLINK("https://cao.dolgi.msk.ru/account/1011310471/", 1011310471)</f>
        <v>1011310471</v>
      </c>
      <c r="D5004">
        <v>9460.39</v>
      </c>
    </row>
    <row r="5005" spans="1:4" hidden="1" x14ac:dyDescent="0.3">
      <c r="A5005" t="s">
        <v>577</v>
      </c>
      <c r="B5005" t="s">
        <v>26</v>
      </c>
      <c r="C5005" s="1">
        <f>HYPERLINK("https://cao.dolgi.msk.ru/account/1011310498/", 1011310498)</f>
        <v>1011310498</v>
      </c>
      <c r="D5005">
        <v>0</v>
      </c>
    </row>
    <row r="5006" spans="1:4" hidden="1" x14ac:dyDescent="0.3">
      <c r="A5006" t="s">
        <v>577</v>
      </c>
      <c r="B5006" t="s">
        <v>27</v>
      </c>
      <c r="C5006" s="1">
        <f>HYPERLINK("https://cao.dolgi.msk.ru/account/1011310455/", 1011310455)</f>
        <v>1011310455</v>
      </c>
      <c r="D5006">
        <v>-7469.89</v>
      </c>
    </row>
    <row r="5007" spans="1:4" x14ac:dyDescent="0.3">
      <c r="A5007" t="s">
        <v>577</v>
      </c>
      <c r="B5007" t="s">
        <v>29</v>
      </c>
      <c r="C5007" s="1">
        <f>HYPERLINK("https://cao.dolgi.msk.ru/account/1011310543/", 1011310543)</f>
        <v>1011310543</v>
      </c>
      <c r="D5007">
        <v>4031.78</v>
      </c>
    </row>
    <row r="5008" spans="1:4" hidden="1" x14ac:dyDescent="0.3">
      <c r="A5008" t="s">
        <v>577</v>
      </c>
      <c r="B5008" t="s">
        <v>38</v>
      </c>
      <c r="C5008" s="1">
        <f>HYPERLINK("https://cao.dolgi.msk.ru/account/1011310519/", 1011310519)</f>
        <v>1011310519</v>
      </c>
      <c r="D5008">
        <v>0</v>
      </c>
    </row>
    <row r="5009" spans="1:4" hidden="1" x14ac:dyDescent="0.3">
      <c r="A5009" t="s">
        <v>577</v>
      </c>
      <c r="B5009" t="s">
        <v>39</v>
      </c>
      <c r="C5009" s="1">
        <f>HYPERLINK("https://cao.dolgi.msk.ru/account/1011310463/", 1011310463)</f>
        <v>1011310463</v>
      </c>
      <c r="D5009">
        <v>-5587.31</v>
      </c>
    </row>
    <row r="5010" spans="1:4" x14ac:dyDescent="0.3">
      <c r="A5010" t="s">
        <v>577</v>
      </c>
      <c r="B5010" t="s">
        <v>40</v>
      </c>
      <c r="C5010" s="1">
        <f>HYPERLINK("https://cao.dolgi.msk.ru/account/1011310535/", 1011310535)</f>
        <v>1011310535</v>
      </c>
      <c r="D5010">
        <v>10304.950000000001</v>
      </c>
    </row>
    <row r="5011" spans="1:4" hidden="1" x14ac:dyDescent="0.3">
      <c r="A5011" t="s">
        <v>577</v>
      </c>
      <c r="B5011" t="s">
        <v>41</v>
      </c>
      <c r="C5011" s="1">
        <f>HYPERLINK("https://cao.dolgi.msk.ru/account/1011310578/", 1011310578)</f>
        <v>1011310578</v>
      </c>
      <c r="D5011">
        <v>0</v>
      </c>
    </row>
    <row r="5012" spans="1:4" hidden="1" x14ac:dyDescent="0.3">
      <c r="A5012" t="s">
        <v>577</v>
      </c>
      <c r="B5012" t="s">
        <v>51</v>
      </c>
      <c r="C5012" s="1">
        <f>HYPERLINK("https://cao.dolgi.msk.ru/account/1011310551/", 1011310551)</f>
        <v>1011310551</v>
      </c>
      <c r="D5012">
        <v>-210.95</v>
      </c>
    </row>
    <row r="5013" spans="1:4" hidden="1" x14ac:dyDescent="0.3">
      <c r="A5013" t="s">
        <v>578</v>
      </c>
      <c r="B5013" t="s">
        <v>6</v>
      </c>
      <c r="C5013" s="1">
        <f>HYPERLINK("https://cao.dolgi.msk.ru/account/1011332179/", 1011332179)</f>
        <v>1011332179</v>
      </c>
      <c r="D5013">
        <v>0</v>
      </c>
    </row>
    <row r="5014" spans="1:4" hidden="1" x14ac:dyDescent="0.3">
      <c r="A5014" t="s">
        <v>578</v>
      </c>
      <c r="B5014" t="s">
        <v>6</v>
      </c>
      <c r="C5014" s="1">
        <f>HYPERLINK("https://cao.dolgi.msk.ru/account/1011332187/", 1011332187)</f>
        <v>1011332187</v>
      </c>
      <c r="D5014">
        <v>-7138.36</v>
      </c>
    </row>
    <row r="5015" spans="1:4" hidden="1" x14ac:dyDescent="0.3">
      <c r="A5015" t="s">
        <v>578</v>
      </c>
      <c r="B5015" t="s">
        <v>6</v>
      </c>
      <c r="C5015" s="1">
        <f>HYPERLINK("https://cao.dolgi.msk.ru/account/1011332216/", 1011332216)</f>
        <v>1011332216</v>
      </c>
      <c r="D5015">
        <v>0</v>
      </c>
    </row>
    <row r="5016" spans="1:4" hidden="1" x14ac:dyDescent="0.3">
      <c r="A5016" t="s">
        <v>578</v>
      </c>
      <c r="B5016" t="s">
        <v>28</v>
      </c>
      <c r="C5016" s="1">
        <f>HYPERLINK("https://cao.dolgi.msk.ru/account/1011332136/", 1011332136)</f>
        <v>1011332136</v>
      </c>
      <c r="D5016">
        <v>0</v>
      </c>
    </row>
    <row r="5017" spans="1:4" hidden="1" x14ac:dyDescent="0.3">
      <c r="A5017" t="s">
        <v>578</v>
      </c>
      <c r="B5017" t="s">
        <v>35</v>
      </c>
      <c r="C5017" s="1">
        <f>HYPERLINK("https://cao.dolgi.msk.ru/account/1011332128/", 1011332128)</f>
        <v>1011332128</v>
      </c>
      <c r="D5017">
        <v>0</v>
      </c>
    </row>
    <row r="5018" spans="1:4" hidden="1" x14ac:dyDescent="0.3">
      <c r="A5018" t="s">
        <v>578</v>
      </c>
      <c r="B5018" t="s">
        <v>5</v>
      </c>
      <c r="C5018" s="1">
        <f>HYPERLINK("https://cao.dolgi.msk.ru/account/1011332339/", 1011332339)</f>
        <v>1011332339</v>
      </c>
      <c r="D5018">
        <v>-1158.5899999999999</v>
      </c>
    </row>
    <row r="5019" spans="1:4" hidden="1" x14ac:dyDescent="0.3">
      <c r="A5019" t="s">
        <v>578</v>
      </c>
      <c r="B5019" t="s">
        <v>7</v>
      </c>
      <c r="C5019" s="1">
        <f>HYPERLINK("https://cao.dolgi.msk.ru/account/1011332101/", 1011332101)</f>
        <v>1011332101</v>
      </c>
      <c r="D5019">
        <v>0</v>
      </c>
    </row>
    <row r="5020" spans="1:4" x14ac:dyDescent="0.3">
      <c r="A5020" t="s">
        <v>578</v>
      </c>
      <c r="B5020" t="s">
        <v>8</v>
      </c>
      <c r="C5020" s="1">
        <f>HYPERLINK("https://cao.dolgi.msk.ru/account/1011332427/", 1011332427)</f>
        <v>1011332427</v>
      </c>
      <c r="D5020">
        <v>385491.11</v>
      </c>
    </row>
    <row r="5021" spans="1:4" x14ac:dyDescent="0.3">
      <c r="A5021" t="s">
        <v>578</v>
      </c>
      <c r="B5021" t="s">
        <v>31</v>
      </c>
      <c r="C5021" s="1">
        <f>HYPERLINK("https://cao.dolgi.msk.ru/account/1011332152/", 1011332152)</f>
        <v>1011332152</v>
      </c>
      <c r="D5021">
        <v>7302.59</v>
      </c>
    </row>
    <row r="5022" spans="1:4" hidden="1" x14ac:dyDescent="0.3">
      <c r="A5022" t="s">
        <v>578</v>
      </c>
      <c r="B5022" t="s">
        <v>9</v>
      </c>
      <c r="C5022" s="1">
        <f>HYPERLINK("https://cao.dolgi.msk.ru/account/1011332224/", 1011332224)</f>
        <v>1011332224</v>
      </c>
      <c r="D5022">
        <v>-7304.5</v>
      </c>
    </row>
    <row r="5023" spans="1:4" hidden="1" x14ac:dyDescent="0.3">
      <c r="A5023" t="s">
        <v>578</v>
      </c>
      <c r="B5023" t="s">
        <v>9</v>
      </c>
      <c r="C5023" s="1">
        <f>HYPERLINK("https://cao.dolgi.msk.ru/account/1011332275/", 1011332275)</f>
        <v>1011332275</v>
      </c>
      <c r="D5023">
        <v>-4389.16</v>
      </c>
    </row>
    <row r="5024" spans="1:4" hidden="1" x14ac:dyDescent="0.3">
      <c r="A5024" t="s">
        <v>578</v>
      </c>
      <c r="B5024" t="s">
        <v>10</v>
      </c>
      <c r="C5024" s="1">
        <f>HYPERLINK("https://cao.dolgi.msk.ru/account/1011332072/", 1011332072)</f>
        <v>1011332072</v>
      </c>
      <c r="D5024">
        <v>-3094.6</v>
      </c>
    </row>
    <row r="5025" spans="1:4" hidden="1" x14ac:dyDescent="0.3">
      <c r="A5025" t="s">
        <v>578</v>
      </c>
      <c r="B5025" t="s">
        <v>11</v>
      </c>
      <c r="C5025" s="1">
        <f>HYPERLINK("https://cao.dolgi.msk.ru/account/1011332259/", 1011332259)</f>
        <v>1011332259</v>
      </c>
      <c r="D5025">
        <v>0</v>
      </c>
    </row>
    <row r="5026" spans="1:4" hidden="1" x14ac:dyDescent="0.3">
      <c r="A5026" t="s">
        <v>578</v>
      </c>
      <c r="B5026" t="s">
        <v>12</v>
      </c>
      <c r="C5026" s="1">
        <f>HYPERLINK("https://cao.dolgi.msk.ru/account/1011332291/", 1011332291)</f>
        <v>1011332291</v>
      </c>
      <c r="D5026">
        <v>-30.55</v>
      </c>
    </row>
    <row r="5027" spans="1:4" hidden="1" x14ac:dyDescent="0.3">
      <c r="A5027" t="s">
        <v>578</v>
      </c>
      <c r="B5027" t="s">
        <v>23</v>
      </c>
      <c r="C5027" s="1">
        <f>HYPERLINK("https://cao.dolgi.msk.ru/account/1011332398/", 1011332398)</f>
        <v>1011332398</v>
      </c>
      <c r="D5027">
        <v>0</v>
      </c>
    </row>
    <row r="5028" spans="1:4" hidden="1" x14ac:dyDescent="0.3">
      <c r="A5028" t="s">
        <v>578</v>
      </c>
      <c r="B5028" t="s">
        <v>13</v>
      </c>
      <c r="C5028" s="1">
        <f>HYPERLINK("https://cao.dolgi.msk.ru/account/1011332267/", 1011332267)</f>
        <v>1011332267</v>
      </c>
      <c r="D5028">
        <v>0</v>
      </c>
    </row>
    <row r="5029" spans="1:4" x14ac:dyDescent="0.3">
      <c r="A5029" t="s">
        <v>578</v>
      </c>
      <c r="B5029" t="s">
        <v>13</v>
      </c>
      <c r="C5029" s="1">
        <f>HYPERLINK("https://cao.dolgi.msk.ru/account/1011332283/", 1011332283)</f>
        <v>1011332283</v>
      </c>
      <c r="D5029">
        <v>26325.93</v>
      </c>
    </row>
    <row r="5030" spans="1:4" hidden="1" x14ac:dyDescent="0.3">
      <c r="A5030" t="s">
        <v>578</v>
      </c>
      <c r="B5030" t="s">
        <v>14</v>
      </c>
      <c r="C5030" s="1">
        <f>HYPERLINK("https://cao.dolgi.msk.ru/account/1011332304/", 1011332304)</f>
        <v>1011332304</v>
      </c>
      <c r="D5030">
        <v>-5305.61</v>
      </c>
    </row>
    <row r="5031" spans="1:4" hidden="1" x14ac:dyDescent="0.3">
      <c r="A5031" t="s">
        <v>578</v>
      </c>
      <c r="B5031" t="s">
        <v>16</v>
      </c>
      <c r="C5031" s="1">
        <f>HYPERLINK("https://cao.dolgi.msk.ru/account/1011332232/", 1011332232)</f>
        <v>1011332232</v>
      </c>
      <c r="D5031">
        <v>0</v>
      </c>
    </row>
    <row r="5032" spans="1:4" hidden="1" x14ac:dyDescent="0.3">
      <c r="A5032" t="s">
        <v>578</v>
      </c>
      <c r="B5032" t="s">
        <v>17</v>
      </c>
      <c r="C5032" s="1">
        <f>HYPERLINK("https://cao.dolgi.msk.ru/account/1011332371/", 1011332371)</f>
        <v>1011332371</v>
      </c>
      <c r="D5032">
        <v>0</v>
      </c>
    </row>
    <row r="5033" spans="1:4" x14ac:dyDescent="0.3">
      <c r="A5033" t="s">
        <v>578</v>
      </c>
      <c r="B5033" t="s">
        <v>18</v>
      </c>
      <c r="C5033" s="1">
        <f>HYPERLINK("https://cao.dolgi.msk.ru/account/1011332144/", 1011332144)</f>
        <v>1011332144</v>
      </c>
      <c r="D5033">
        <v>20033.689999999999</v>
      </c>
    </row>
    <row r="5034" spans="1:4" hidden="1" x14ac:dyDescent="0.3">
      <c r="A5034" t="s">
        <v>578</v>
      </c>
      <c r="B5034" t="s">
        <v>19</v>
      </c>
      <c r="C5034" s="1">
        <f>HYPERLINK("https://cao.dolgi.msk.ru/account/1011332355/", 1011332355)</f>
        <v>1011332355</v>
      </c>
      <c r="D5034">
        <v>-7351.22</v>
      </c>
    </row>
    <row r="5035" spans="1:4" hidden="1" x14ac:dyDescent="0.3">
      <c r="A5035" t="s">
        <v>578</v>
      </c>
      <c r="B5035" t="s">
        <v>20</v>
      </c>
      <c r="C5035" s="1">
        <f>HYPERLINK("https://cao.dolgi.msk.ru/account/1011332363/", 1011332363)</f>
        <v>1011332363</v>
      </c>
      <c r="D5035">
        <v>0</v>
      </c>
    </row>
    <row r="5036" spans="1:4" hidden="1" x14ac:dyDescent="0.3">
      <c r="A5036" t="s">
        <v>578</v>
      </c>
      <c r="B5036" t="s">
        <v>21</v>
      </c>
      <c r="C5036" s="1">
        <f>HYPERLINK("https://cao.dolgi.msk.ru/account/1011332208/", 1011332208)</f>
        <v>1011332208</v>
      </c>
      <c r="D5036">
        <v>0</v>
      </c>
    </row>
    <row r="5037" spans="1:4" hidden="1" x14ac:dyDescent="0.3">
      <c r="A5037" t="s">
        <v>578</v>
      </c>
      <c r="B5037" t="s">
        <v>22</v>
      </c>
      <c r="C5037" s="1">
        <f>HYPERLINK("https://cao.dolgi.msk.ru/account/1011332312/", 1011332312)</f>
        <v>1011332312</v>
      </c>
      <c r="D5037">
        <v>0</v>
      </c>
    </row>
    <row r="5038" spans="1:4" hidden="1" x14ac:dyDescent="0.3">
      <c r="A5038" t="s">
        <v>578</v>
      </c>
      <c r="B5038" t="s">
        <v>24</v>
      </c>
      <c r="C5038" s="1">
        <f>HYPERLINK("https://cao.dolgi.msk.ru/account/1011332099/", 1011332099)</f>
        <v>1011332099</v>
      </c>
      <c r="D5038">
        <v>0</v>
      </c>
    </row>
    <row r="5039" spans="1:4" hidden="1" x14ac:dyDescent="0.3">
      <c r="A5039" t="s">
        <v>578</v>
      </c>
      <c r="B5039" t="s">
        <v>24</v>
      </c>
      <c r="C5039" s="1">
        <f>HYPERLINK("https://cao.dolgi.msk.ru/account/1011332195/", 1011332195)</f>
        <v>1011332195</v>
      </c>
      <c r="D5039">
        <v>0</v>
      </c>
    </row>
    <row r="5040" spans="1:4" hidden="1" x14ac:dyDescent="0.3">
      <c r="A5040" t="s">
        <v>578</v>
      </c>
      <c r="B5040" t="s">
        <v>25</v>
      </c>
      <c r="C5040" s="1">
        <f>HYPERLINK("https://cao.dolgi.msk.ru/account/1011332347/", 1011332347)</f>
        <v>1011332347</v>
      </c>
      <c r="D5040">
        <v>0</v>
      </c>
    </row>
    <row r="5041" spans="1:4" hidden="1" x14ac:dyDescent="0.3">
      <c r="A5041" t="s">
        <v>578</v>
      </c>
      <c r="B5041" t="s">
        <v>26</v>
      </c>
      <c r="C5041" s="1">
        <f>HYPERLINK("https://cao.dolgi.msk.ru/account/1011332419/", 1011332419)</f>
        <v>1011332419</v>
      </c>
      <c r="D5041">
        <v>0</v>
      </c>
    </row>
    <row r="5042" spans="1:4" hidden="1" x14ac:dyDescent="0.3">
      <c r="A5042" t="s">
        <v>579</v>
      </c>
      <c r="B5042" t="s">
        <v>38</v>
      </c>
      <c r="C5042" s="1">
        <f>HYPERLINK("https://cao.dolgi.msk.ru/account/1011332531/", 1011332531)</f>
        <v>1011332531</v>
      </c>
      <c r="D5042">
        <v>-230</v>
      </c>
    </row>
    <row r="5043" spans="1:4" x14ac:dyDescent="0.3">
      <c r="A5043" t="s">
        <v>579</v>
      </c>
      <c r="B5043" t="s">
        <v>38</v>
      </c>
      <c r="C5043" s="1">
        <f>HYPERLINK("https://cao.dolgi.msk.ru/account/1011332558/", 1011332558)</f>
        <v>1011332558</v>
      </c>
      <c r="D5043">
        <v>2595.38</v>
      </c>
    </row>
    <row r="5044" spans="1:4" x14ac:dyDescent="0.3">
      <c r="A5044" t="s">
        <v>579</v>
      </c>
      <c r="B5044" t="s">
        <v>38</v>
      </c>
      <c r="C5044" s="1">
        <f>HYPERLINK("https://cao.dolgi.msk.ru/account/1011332742/", 1011332742)</f>
        <v>1011332742</v>
      </c>
      <c r="D5044">
        <v>445.96</v>
      </c>
    </row>
    <row r="5045" spans="1:4" hidden="1" x14ac:dyDescent="0.3">
      <c r="A5045" t="s">
        <v>579</v>
      </c>
      <c r="B5045" t="s">
        <v>38</v>
      </c>
      <c r="C5045" s="1">
        <f>HYPERLINK("https://cao.dolgi.msk.ru/account/1011332769/", 1011332769)</f>
        <v>1011332769</v>
      </c>
      <c r="D5045">
        <v>0</v>
      </c>
    </row>
    <row r="5046" spans="1:4" hidden="1" x14ac:dyDescent="0.3">
      <c r="A5046" t="s">
        <v>579</v>
      </c>
      <c r="B5046" t="s">
        <v>39</v>
      </c>
      <c r="C5046" s="1">
        <f>HYPERLINK("https://cao.dolgi.msk.ru/account/1011332486/", 1011332486)</f>
        <v>1011332486</v>
      </c>
      <c r="D5046">
        <v>-572</v>
      </c>
    </row>
    <row r="5047" spans="1:4" hidden="1" x14ac:dyDescent="0.3">
      <c r="A5047" t="s">
        <v>579</v>
      </c>
      <c r="B5047" t="s">
        <v>40</v>
      </c>
      <c r="C5047" s="1">
        <f>HYPERLINK("https://cao.dolgi.msk.ru/account/1011332566/", 1011332566)</f>
        <v>1011332566</v>
      </c>
      <c r="D5047">
        <v>-8615.2199999999993</v>
      </c>
    </row>
    <row r="5048" spans="1:4" hidden="1" x14ac:dyDescent="0.3">
      <c r="A5048" t="s">
        <v>579</v>
      </c>
      <c r="B5048" t="s">
        <v>41</v>
      </c>
      <c r="C5048" s="1">
        <f>HYPERLINK("https://cao.dolgi.msk.ru/account/1011332451/", 1011332451)</f>
        <v>1011332451</v>
      </c>
      <c r="D5048">
        <v>0</v>
      </c>
    </row>
    <row r="5049" spans="1:4" hidden="1" x14ac:dyDescent="0.3">
      <c r="A5049" t="s">
        <v>579</v>
      </c>
      <c r="B5049" t="s">
        <v>51</v>
      </c>
      <c r="C5049" s="1">
        <f>HYPERLINK("https://cao.dolgi.msk.ru/account/1011332734/", 1011332734)</f>
        <v>1011332734</v>
      </c>
      <c r="D5049">
        <v>0</v>
      </c>
    </row>
    <row r="5050" spans="1:4" hidden="1" x14ac:dyDescent="0.3">
      <c r="A5050" t="s">
        <v>579</v>
      </c>
      <c r="B5050" t="s">
        <v>52</v>
      </c>
      <c r="C5050" s="1">
        <f>HYPERLINK("https://cao.dolgi.msk.ru/account/1011332697/", 1011332697)</f>
        <v>1011332697</v>
      </c>
      <c r="D5050">
        <v>-13941.72</v>
      </c>
    </row>
    <row r="5051" spans="1:4" hidden="1" x14ac:dyDescent="0.3">
      <c r="A5051" t="s">
        <v>579</v>
      </c>
      <c r="B5051" t="s">
        <v>53</v>
      </c>
      <c r="C5051" s="1">
        <f>HYPERLINK("https://cao.dolgi.msk.ru/account/1011332435/", 1011332435)</f>
        <v>1011332435</v>
      </c>
      <c r="D5051">
        <v>0</v>
      </c>
    </row>
    <row r="5052" spans="1:4" hidden="1" x14ac:dyDescent="0.3">
      <c r="A5052" t="s">
        <v>579</v>
      </c>
      <c r="B5052" t="s">
        <v>54</v>
      </c>
      <c r="C5052" s="1">
        <f>HYPERLINK("https://cao.dolgi.msk.ru/account/1011332777/", 1011332777)</f>
        <v>1011332777</v>
      </c>
      <c r="D5052">
        <v>0</v>
      </c>
    </row>
    <row r="5053" spans="1:4" hidden="1" x14ac:dyDescent="0.3">
      <c r="A5053" t="s">
        <v>579</v>
      </c>
      <c r="B5053" t="s">
        <v>55</v>
      </c>
      <c r="C5053" s="1">
        <f>HYPERLINK("https://cao.dolgi.msk.ru/account/1011332603/", 1011332603)</f>
        <v>1011332603</v>
      </c>
      <c r="D5053">
        <v>-6156.6</v>
      </c>
    </row>
    <row r="5054" spans="1:4" hidden="1" x14ac:dyDescent="0.3">
      <c r="A5054" t="s">
        <v>579</v>
      </c>
      <c r="B5054" t="s">
        <v>55</v>
      </c>
      <c r="C5054" s="1">
        <f>HYPERLINK("https://cao.dolgi.msk.ru/account/1011332726/", 1011332726)</f>
        <v>1011332726</v>
      </c>
      <c r="D5054">
        <v>0</v>
      </c>
    </row>
    <row r="5055" spans="1:4" hidden="1" x14ac:dyDescent="0.3">
      <c r="A5055" t="s">
        <v>579</v>
      </c>
      <c r="B5055" t="s">
        <v>56</v>
      </c>
      <c r="C5055" s="1">
        <f>HYPERLINK("https://cao.dolgi.msk.ru/account/1011332611/", 1011332611)</f>
        <v>1011332611</v>
      </c>
      <c r="D5055">
        <v>-6271.48</v>
      </c>
    </row>
    <row r="5056" spans="1:4" hidden="1" x14ac:dyDescent="0.3">
      <c r="A5056" t="s">
        <v>579</v>
      </c>
      <c r="B5056" t="s">
        <v>96</v>
      </c>
      <c r="C5056" s="1">
        <f>HYPERLINK("https://cao.dolgi.msk.ru/account/1011332507/", 1011332507)</f>
        <v>1011332507</v>
      </c>
      <c r="D5056">
        <v>0</v>
      </c>
    </row>
    <row r="5057" spans="1:4" hidden="1" x14ac:dyDescent="0.3">
      <c r="A5057" t="s">
        <v>579</v>
      </c>
      <c r="B5057" t="s">
        <v>96</v>
      </c>
      <c r="C5057" s="1">
        <f>HYPERLINK("https://cao.dolgi.msk.ru/account/1011332785/", 1011332785)</f>
        <v>1011332785</v>
      </c>
      <c r="D5057">
        <v>0</v>
      </c>
    </row>
    <row r="5058" spans="1:4" hidden="1" x14ac:dyDescent="0.3">
      <c r="A5058" t="s">
        <v>579</v>
      </c>
      <c r="B5058" t="s">
        <v>97</v>
      </c>
      <c r="C5058" s="1">
        <f>HYPERLINK("https://cao.dolgi.msk.ru/account/1011332494/", 1011332494)</f>
        <v>1011332494</v>
      </c>
      <c r="D5058">
        <v>-1578.45</v>
      </c>
    </row>
    <row r="5059" spans="1:4" hidden="1" x14ac:dyDescent="0.3">
      <c r="A5059" t="s">
        <v>579</v>
      </c>
      <c r="B5059" t="s">
        <v>98</v>
      </c>
      <c r="C5059" s="1">
        <f>HYPERLINK("https://cao.dolgi.msk.ru/account/1011332515/", 1011332515)</f>
        <v>1011332515</v>
      </c>
      <c r="D5059">
        <v>-12050.57</v>
      </c>
    </row>
    <row r="5060" spans="1:4" hidden="1" x14ac:dyDescent="0.3">
      <c r="A5060" t="s">
        <v>579</v>
      </c>
      <c r="B5060" t="s">
        <v>58</v>
      </c>
      <c r="C5060" s="1">
        <f>HYPERLINK("https://cao.dolgi.msk.ru/account/1011332654/", 1011332654)</f>
        <v>1011332654</v>
      </c>
      <c r="D5060">
        <v>-5010.2299999999996</v>
      </c>
    </row>
    <row r="5061" spans="1:4" x14ac:dyDescent="0.3">
      <c r="A5061" t="s">
        <v>579</v>
      </c>
      <c r="B5061" t="s">
        <v>59</v>
      </c>
      <c r="C5061" s="1">
        <f>HYPERLINK("https://cao.dolgi.msk.ru/account/1011332478/", 1011332478)</f>
        <v>1011332478</v>
      </c>
      <c r="D5061">
        <v>3952.45</v>
      </c>
    </row>
    <row r="5062" spans="1:4" x14ac:dyDescent="0.3">
      <c r="A5062" t="s">
        <v>579</v>
      </c>
      <c r="B5062" t="s">
        <v>59</v>
      </c>
      <c r="C5062" s="1">
        <f>HYPERLINK("https://cao.dolgi.msk.ru/account/1011332574/", 1011332574)</f>
        <v>1011332574</v>
      </c>
      <c r="D5062">
        <v>27117.3</v>
      </c>
    </row>
    <row r="5063" spans="1:4" x14ac:dyDescent="0.3">
      <c r="A5063" t="s">
        <v>579</v>
      </c>
      <c r="B5063" t="s">
        <v>60</v>
      </c>
      <c r="C5063" s="1">
        <f>HYPERLINK("https://cao.dolgi.msk.ru/account/1011332523/", 1011332523)</f>
        <v>1011332523</v>
      </c>
      <c r="D5063">
        <v>11900.61</v>
      </c>
    </row>
    <row r="5064" spans="1:4" hidden="1" x14ac:dyDescent="0.3">
      <c r="A5064" t="s">
        <v>579</v>
      </c>
      <c r="B5064" t="s">
        <v>61</v>
      </c>
      <c r="C5064" s="1">
        <f>HYPERLINK("https://cao.dolgi.msk.ru/account/1011332689/", 1011332689)</f>
        <v>1011332689</v>
      </c>
      <c r="D5064">
        <v>-2269.7800000000002</v>
      </c>
    </row>
    <row r="5065" spans="1:4" hidden="1" x14ac:dyDescent="0.3">
      <c r="A5065" t="s">
        <v>579</v>
      </c>
      <c r="B5065" t="s">
        <v>62</v>
      </c>
      <c r="C5065" s="1">
        <f>HYPERLINK("https://cao.dolgi.msk.ru/account/1011332806/", 1011332806)</f>
        <v>1011332806</v>
      </c>
      <c r="D5065">
        <v>-10134.07</v>
      </c>
    </row>
    <row r="5066" spans="1:4" hidden="1" x14ac:dyDescent="0.3">
      <c r="A5066" t="s">
        <v>579</v>
      </c>
      <c r="B5066" t="s">
        <v>63</v>
      </c>
      <c r="C5066" s="1">
        <f>HYPERLINK("https://cao.dolgi.msk.ru/account/1011332646/", 1011332646)</f>
        <v>1011332646</v>
      </c>
      <c r="D5066">
        <v>0</v>
      </c>
    </row>
    <row r="5067" spans="1:4" hidden="1" x14ac:dyDescent="0.3">
      <c r="A5067" t="s">
        <v>579</v>
      </c>
      <c r="B5067" t="s">
        <v>64</v>
      </c>
      <c r="C5067" s="1">
        <f>HYPERLINK("https://cao.dolgi.msk.ru/account/1011332662/", 1011332662)</f>
        <v>1011332662</v>
      </c>
      <c r="D5067">
        <v>-3862.91</v>
      </c>
    </row>
    <row r="5068" spans="1:4" hidden="1" x14ac:dyDescent="0.3">
      <c r="A5068" t="s">
        <v>579</v>
      </c>
      <c r="B5068" t="s">
        <v>65</v>
      </c>
      <c r="C5068" s="1">
        <f>HYPERLINK("https://cao.dolgi.msk.ru/account/1011332793/", 1011332793)</f>
        <v>1011332793</v>
      </c>
      <c r="D5068">
        <v>0</v>
      </c>
    </row>
    <row r="5069" spans="1:4" hidden="1" x14ac:dyDescent="0.3">
      <c r="A5069" t="s">
        <v>579</v>
      </c>
      <c r="B5069" t="s">
        <v>66</v>
      </c>
      <c r="C5069" s="1">
        <f>HYPERLINK("https://cao.dolgi.msk.ru/account/1011332582/", 1011332582)</f>
        <v>1011332582</v>
      </c>
      <c r="D5069">
        <v>0</v>
      </c>
    </row>
    <row r="5070" spans="1:4" x14ac:dyDescent="0.3">
      <c r="A5070" t="s">
        <v>579</v>
      </c>
      <c r="B5070" t="s">
        <v>67</v>
      </c>
      <c r="C5070" s="1">
        <f>HYPERLINK("https://cao.dolgi.msk.ru/account/1011332718/", 1011332718)</f>
        <v>1011332718</v>
      </c>
      <c r="D5070">
        <v>6491.19</v>
      </c>
    </row>
    <row r="5071" spans="1:4" hidden="1" x14ac:dyDescent="0.3">
      <c r="A5071" t="s">
        <v>580</v>
      </c>
      <c r="B5071" t="s">
        <v>6</v>
      </c>
      <c r="C5071" s="1">
        <f>HYPERLINK("https://cao.dolgi.msk.ru/account/1011307934/", 1011307934)</f>
        <v>1011307934</v>
      </c>
      <c r="D5071">
        <v>0</v>
      </c>
    </row>
    <row r="5072" spans="1:4" hidden="1" x14ac:dyDescent="0.3">
      <c r="A5072" t="s">
        <v>580</v>
      </c>
      <c r="B5072" t="s">
        <v>28</v>
      </c>
      <c r="C5072" s="1">
        <f>HYPERLINK("https://cao.dolgi.msk.ru/account/1011307635/", 1011307635)</f>
        <v>1011307635</v>
      </c>
      <c r="D5072">
        <v>0</v>
      </c>
    </row>
    <row r="5073" spans="1:4" hidden="1" x14ac:dyDescent="0.3">
      <c r="A5073" t="s">
        <v>580</v>
      </c>
      <c r="B5073" t="s">
        <v>35</v>
      </c>
      <c r="C5073" s="1">
        <f>HYPERLINK("https://cao.dolgi.msk.ru/account/1011307803/", 1011307803)</f>
        <v>1011307803</v>
      </c>
      <c r="D5073">
        <v>-14573.39</v>
      </c>
    </row>
    <row r="5074" spans="1:4" hidden="1" x14ac:dyDescent="0.3">
      <c r="A5074" t="s">
        <v>580</v>
      </c>
      <c r="B5074" t="s">
        <v>5</v>
      </c>
      <c r="C5074" s="1">
        <f>HYPERLINK("https://cao.dolgi.msk.ru/account/1011307299/", 1011307299)</f>
        <v>1011307299</v>
      </c>
      <c r="D5074">
        <v>0</v>
      </c>
    </row>
    <row r="5075" spans="1:4" x14ac:dyDescent="0.3">
      <c r="A5075" t="s">
        <v>580</v>
      </c>
      <c r="B5075" t="s">
        <v>7</v>
      </c>
      <c r="C5075" s="1">
        <f>HYPERLINK("https://cao.dolgi.msk.ru/account/1011307766/", 1011307766)</f>
        <v>1011307766</v>
      </c>
      <c r="D5075">
        <v>22860.99</v>
      </c>
    </row>
    <row r="5076" spans="1:4" hidden="1" x14ac:dyDescent="0.3">
      <c r="A5076" t="s">
        <v>580</v>
      </c>
      <c r="B5076" t="s">
        <v>8</v>
      </c>
      <c r="C5076" s="1">
        <f>HYPERLINK("https://cao.dolgi.msk.ru/account/1011308013/", 1011308013)</f>
        <v>1011308013</v>
      </c>
      <c r="D5076">
        <v>0</v>
      </c>
    </row>
    <row r="5077" spans="1:4" hidden="1" x14ac:dyDescent="0.3">
      <c r="A5077" t="s">
        <v>580</v>
      </c>
      <c r="B5077" t="s">
        <v>31</v>
      </c>
      <c r="C5077" s="1">
        <f>HYPERLINK("https://cao.dolgi.msk.ru/account/1011307125/", 1011307125)</f>
        <v>1011307125</v>
      </c>
      <c r="D5077">
        <v>-9141.81</v>
      </c>
    </row>
    <row r="5078" spans="1:4" x14ac:dyDescent="0.3">
      <c r="A5078" t="s">
        <v>580</v>
      </c>
      <c r="B5078" t="s">
        <v>9</v>
      </c>
      <c r="C5078" s="1">
        <f>HYPERLINK("https://cao.dolgi.msk.ru/account/1011307774/", 1011307774)</f>
        <v>1011307774</v>
      </c>
      <c r="D5078">
        <v>10818.32</v>
      </c>
    </row>
    <row r="5079" spans="1:4" x14ac:dyDescent="0.3">
      <c r="A5079" t="s">
        <v>580</v>
      </c>
      <c r="B5079" t="s">
        <v>10</v>
      </c>
      <c r="C5079" s="1">
        <f>HYPERLINK("https://cao.dolgi.msk.ru/account/1011307168/", 1011307168)</f>
        <v>1011307168</v>
      </c>
      <c r="D5079">
        <v>64</v>
      </c>
    </row>
    <row r="5080" spans="1:4" hidden="1" x14ac:dyDescent="0.3">
      <c r="A5080" t="s">
        <v>580</v>
      </c>
      <c r="B5080" t="s">
        <v>10</v>
      </c>
      <c r="C5080" s="1">
        <f>HYPERLINK("https://cao.dolgi.msk.ru/account/1011307942/", 1011307942)</f>
        <v>1011307942</v>
      </c>
      <c r="D5080">
        <v>-40.25</v>
      </c>
    </row>
    <row r="5081" spans="1:4" hidden="1" x14ac:dyDescent="0.3">
      <c r="A5081" t="s">
        <v>580</v>
      </c>
      <c r="B5081" t="s">
        <v>11</v>
      </c>
      <c r="C5081" s="1">
        <f>HYPERLINK("https://cao.dolgi.msk.ru/account/1011307977/", 1011307977)</f>
        <v>1011307977</v>
      </c>
      <c r="D5081">
        <v>0</v>
      </c>
    </row>
    <row r="5082" spans="1:4" hidden="1" x14ac:dyDescent="0.3">
      <c r="A5082" t="s">
        <v>580</v>
      </c>
      <c r="B5082" t="s">
        <v>12</v>
      </c>
      <c r="C5082" s="1">
        <f>HYPERLINK("https://cao.dolgi.msk.ru/account/1011307758/", 1011307758)</f>
        <v>1011307758</v>
      </c>
      <c r="D5082">
        <v>0</v>
      </c>
    </row>
    <row r="5083" spans="1:4" x14ac:dyDescent="0.3">
      <c r="A5083" t="s">
        <v>580</v>
      </c>
      <c r="B5083" t="s">
        <v>23</v>
      </c>
      <c r="C5083" s="1">
        <f>HYPERLINK("https://cao.dolgi.msk.ru/account/1011307619/", 1011307619)</f>
        <v>1011307619</v>
      </c>
      <c r="D5083">
        <v>8348.27</v>
      </c>
    </row>
    <row r="5084" spans="1:4" hidden="1" x14ac:dyDescent="0.3">
      <c r="A5084" t="s">
        <v>580</v>
      </c>
      <c r="B5084" t="s">
        <v>13</v>
      </c>
      <c r="C5084" s="1">
        <f>HYPERLINK("https://cao.dolgi.msk.ru/account/1011307985/", 1011307985)</f>
        <v>1011307985</v>
      </c>
      <c r="D5084">
        <v>0</v>
      </c>
    </row>
    <row r="5085" spans="1:4" hidden="1" x14ac:dyDescent="0.3">
      <c r="A5085" t="s">
        <v>580</v>
      </c>
      <c r="B5085" t="s">
        <v>14</v>
      </c>
      <c r="C5085" s="1">
        <f>HYPERLINK("https://cao.dolgi.msk.ru/account/1011307184/", 1011307184)</f>
        <v>1011307184</v>
      </c>
      <c r="D5085">
        <v>-9039.26</v>
      </c>
    </row>
    <row r="5086" spans="1:4" hidden="1" x14ac:dyDescent="0.3">
      <c r="A5086" t="s">
        <v>580</v>
      </c>
      <c r="B5086" t="s">
        <v>16</v>
      </c>
      <c r="C5086" s="1">
        <f>HYPERLINK("https://cao.dolgi.msk.ru/account/1011307408/", 1011307408)</f>
        <v>1011307408</v>
      </c>
      <c r="D5086">
        <v>-20862.3</v>
      </c>
    </row>
    <row r="5087" spans="1:4" hidden="1" x14ac:dyDescent="0.3">
      <c r="A5087" t="s">
        <v>580</v>
      </c>
      <c r="B5087" t="s">
        <v>17</v>
      </c>
      <c r="C5087" s="1">
        <f>HYPERLINK("https://cao.dolgi.msk.ru/account/1011307301/", 1011307301)</f>
        <v>1011307301</v>
      </c>
      <c r="D5087">
        <v>0</v>
      </c>
    </row>
    <row r="5088" spans="1:4" hidden="1" x14ac:dyDescent="0.3">
      <c r="A5088" t="s">
        <v>580</v>
      </c>
      <c r="B5088" t="s">
        <v>17</v>
      </c>
      <c r="C5088" s="1">
        <f>HYPERLINK("https://cao.dolgi.msk.ru/account/1011307432/", 1011307432)</f>
        <v>1011307432</v>
      </c>
      <c r="D5088">
        <v>0</v>
      </c>
    </row>
    <row r="5089" spans="1:4" hidden="1" x14ac:dyDescent="0.3">
      <c r="A5089" t="s">
        <v>580</v>
      </c>
      <c r="B5089" t="s">
        <v>18</v>
      </c>
      <c r="C5089" s="1">
        <f>HYPERLINK("https://cao.dolgi.msk.ru/account/1011307221/", 1011307221)</f>
        <v>1011307221</v>
      </c>
      <c r="D5089">
        <v>0</v>
      </c>
    </row>
    <row r="5090" spans="1:4" hidden="1" x14ac:dyDescent="0.3">
      <c r="A5090" t="s">
        <v>580</v>
      </c>
      <c r="B5090" t="s">
        <v>19</v>
      </c>
      <c r="C5090" s="1">
        <f>HYPERLINK("https://cao.dolgi.msk.ru/account/1011307387/", 1011307387)</f>
        <v>1011307387</v>
      </c>
      <c r="D5090">
        <v>0</v>
      </c>
    </row>
    <row r="5091" spans="1:4" hidden="1" x14ac:dyDescent="0.3">
      <c r="A5091" t="s">
        <v>580</v>
      </c>
      <c r="B5091" t="s">
        <v>20</v>
      </c>
      <c r="C5091" s="1">
        <f>HYPERLINK("https://cao.dolgi.msk.ru/account/1011307846/", 1011307846)</f>
        <v>1011307846</v>
      </c>
      <c r="D5091">
        <v>0</v>
      </c>
    </row>
    <row r="5092" spans="1:4" hidden="1" x14ac:dyDescent="0.3">
      <c r="A5092" t="s">
        <v>580</v>
      </c>
      <c r="B5092" t="s">
        <v>21</v>
      </c>
      <c r="C5092" s="1">
        <f>HYPERLINK("https://cao.dolgi.msk.ru/account/1011307256/", 1011307256)</f>
        <v>1011307256</v>
      </c>
      <c r="D5092">
        <v>0</v>
      </c>
    </row>
    <row r="5093" spans="1:4" hidden="1" x14ac:dyDescent="0.3">
      <c r="A5093" t="s">
        <v>580</v>
      </c>
      <c r="B5093" t="s">
        <v>22</v>
      </c>
      <c r="C5093" s="1">
        <f>HYPERLINK("https://cao.dolgi.msk.ru/account/1011307993/", 1011307993)</f>
        <v>1011307993</v>
      </c>
      <c r="D5093">
        <v>0</v>
      </c>
    </row>
    <row r="5094" spans="1:4" hidden="1" x14ac:dyDescent="0.3">
      <c r="A5094" t="s">
        <v>580</v>
      </c>
      <c r="B5094" t="s">
        <v>24</v>
      </c>
      <c r="C5094" s="1">
        <f>HYPERLINK("https://cao.dolgi.msk.ru/account/1011307328/", 1011307328)</f>
        <v>1011307328</v>
      </c>
      <c r="D5094">
        <v>0</v>
      </c>
    </row>
    <row r="5095" spans="1:4" hidden="1" x14ac:dyDescent="0.3">
      <c r="A5095" t="s">
        <v>580</v>
      </c>
      <c r="B5095" t="s">
        <v>25</v>
      </c>
      <c r="C5095" s="1">
        <f>HYPERLINK("https://cao.dolgi.msk.ru/account/1011308005/", 1011308005)</f>
        <v>1011308005</v>
      </c>
      <c r="D5095">
        <v>0</v>
      </c>
    </row>
    <row r="5096" spans="1:4" hidden="1" x14ac:dyDescent="0.3">
      <c r="A5096" t="s">
        <v>580</v>
      </c>
      <c r="B5096" t="s">
        <v>26</v>
      </c>
      <c r="C5096" s="1">
        <f>HYPERLINK("https://cao.dolgi.msk.ru/account/1011307571/", 1011307571)</f>
        <v>1011307571</v>
      </c>
      <c r="D5096">
        <v>0</v>
      </c>
    </row>
    <row r="5097" spans="1:4" hidden="1" x14ac:dyDescent="0.3">
      <c r="A5097" t="s">
        <v>580</v>
      </c>
      <c r="B5097" t="s">
        <v>27</v>
      </c>
      <c r="C5097" s="1">
        <f>HYPERLINK("https://cao.dolgi.msk.ru/account/1011307213/", 1011307213)</f>
        <v>1011307213</v>
      </c>
      <c r="D5097">
        <v>-1398.22</v>
      </c>
    </row>
    <row r="5098" spans="1:4" x14ac:dyDescent="0.3">
      <c r="A5098" t="s">
        <v>580</v>
      </c>
      <c r="B5098" t="s">
        <v>27</v>
      </c>
      <c r="C5098" s="1">
        <f>HYPERLINK("https://cao.dolgi.msk.ru/account/1011307686/", 1011307686)</f>
        <v>1011307686</v>
      </c>
      <c r="D5098">
        <v>9439.15</v>
      </c>
    </row>
    <row r="5099" spans="1:4" hidden="1" x14ac:dyDescent="0.3">
      <c r="A5099" t="s">
        <v>580</v>
      </c>
      <c r="B5099" t="s">
        <v>27</v>
      </c>
      <c r="C5099" s="1">
        <f>HYPERLINK("https://cao.dolgi.msk.ru/account/1011307969/", 1011307969)</f>
        <v>1011307969</v>
      </c>
      <c r="D5099">
        <v>-7757.65</v>
      </c>
    </row>
    <row r="5100" spans="1:4" hidden="1" x14ac:dyDescent="0.3">
      <c r="A5100" t="s">
        <v>580</v>
      </c>
      <c r="B5100" t="s">
        <v>27</v>
      </c>
      <c r="C5100" s="1">
        <f>HYPERLINK("https://cao.dolgi.msk.ru/account/1011515207/", 1011515207)</f>
        <v>1011515207</v>
      </c>
      <c r="D5100">
        <v>-1642.36</v>
      </c>
    </row>
    <row r="5101" spans="1:4" hidden="1" x14ac:dyDescent="0.3">
      <c r="A5101" t="s">
        <v>580</v>
      </c>
      <c r="B5101" t="s">
        <v>29</v>
      </c>
      <c r="C5101" s="1">
        <f>HYPERLINK("https://cao.dolgi.msk.ru/account/1011307811/", 1011307811)</f>
        <v>1011307811</v>
      </c>
      <c r="D5101">
        <v>-523.1</v>
      </c>
    </row>
    <row r="5102" spans="1:4" hidden="1" x14ac:dyDescent="0.3">
      <c r="A5102" t="s">
        <v>580</v>
      </c>
      <c r="B5102" t="s">
        <v>38</v>
      </c>
      <c r="C5102" s="1">
        <f>HYPERLINK("https://cao.dolgi.msk.ru/account/1011307512/", 1011307512)</f>
        <v>1011307512</v>
      </c>
      <c r="D5102">
        <v>0</v>
      </c>
    </row>
    <row r="5103" spans="1:4" x14ac:dyDescent="0.3">
      <c r="A5103" t="s">
        <v>580</v>
      </c>
      <c r="B5103" t="s">
        <v>39</v>
      </c>
      <c r="C5103" s="1">
        <f>HYPERLINK("https://cao.dolgi.msk.ru/account/1011307467/", 1011307467)</f>
        <v>1011307467</v>
      </c>
      <c r="D5103">
        <v>14492.8</v>
      </c>
    </row>
    <row r="5104" spans="1:4" hidden="1" x14ac:dyDescent="0.3">
      <c r="A5104" t="s">
        <v>580</v>
      </c>
      <c r="B5104" t="s">
        <v>39</v>
      </c>
      <c r="C5104" s="1">
        <f>HYPERLINK("https://cao.dolgi.msk.ru/account/1011307539/", 1011307539)</f>
        <v>1011307539</v>
      </c>
      <c r="D5104">
        <v>0</v>
      </c>
    </row>
    <row r="5105" spans="1:4" hidden="1" x14ac:dyDescent="0.3">
      <c r="A5105" t="s">
        <v>580</v>
      </c>
      <c r="B5105" t="s">
        <v>39</v>
      </c>
      <c r="C5105" s="1">
        <f>HYPERLINK("https://cao.dolgi.msk.ru/account/1011307782/", 1011307782)</f>
        <v>1011307782</v>
      </c>
      <c r="D5105">
        <v>0</v>
      </c>
    </row>
    <row r="5106" spans="1:4" x14ac:dyDescent="0.3">
      <c r="A5106" t="s">
        <v>580</v>
      </c>
      <c r="B5106" t="s">
        <v>39</v>
      </c>
      <c r="C5106" s="1">
        <f>HYPERLINK("https://cao.dolgi.msk.ru/account/1011307889/", 1011307889)</f>
        <v>1011307889</v>
      </c>
      <c r="D5106">
        <v>484.15</v>
      </c>
    </row>
    <row r="5107" spans="1:4" hidden="1" x14ac:dyDescent="0.3">
      <c r="A5107" t="s">
        <v>580</v>
      </c>
      <c r="B5107" t="s">
        <v>40</v>
      </c>
      <c r="C5107" s="1">
        <f>HYPERLINK("https://cao.dolgi.msk.ru/account/1011307547/", 1011307547)</f>
        <v>1011307547</v>
      </c>
      <c r="D5107">
        <v>0</v>
      </c>
    </row>
    <row r="5108" spans="1:4" hidden="1" x14ac:dyDescent="0.3">
      <c r="A5108" t="s">
        <v>580</v>
      </c>
      <c r="B5108" t="s">
        <v>41</v>
      </c>
      <c r="C5108" s="1">
        <f>HYPERLINK("https://cao.dolgi.msk.ru/account/1011307344/", 1011307344)</f>
        <v>1011307344</v>
      </c>
      <c r="D5108">
        <v>-11000.1</v>
      </c>
    </row>
    <row r="5109" spans="1:4" x14ac:dyDescent="0.3">
      <c r="A5109" t="s">
        <v>580</v>
      </c>
      <c r="B5109" t="s">
        <v>51</v>
      </c>
      <c r="C5109" s="1">
        <f>HYPERLINK("https://cao.dolgi.msk.ru/account/1011307133/", 1011307133)</f>
        <v>1011307133</v>
      </c>
      <c r="D5109">
        <v>776.35</v>
      </c>
    </row>
    <row r="5110" spans="1:4" hidden="1" x14ac:dyDescent="0.3">
      <c r="A5110" t="s">
        <v>580</v>
      </c>
      <c r="B5110" t="s">
        <v>52</v>
      </c>
      <c r="C5110" s="1">
        <f>HYPERLINK("https://cao.dolgi.msk.ru/account/1011307643/", 1011307643)</f>
        <v>1011307643</v>
      </c>
      <c r="D5110">
        <v>0</v>
      </c>
    </row>
    <row r="5111" spans="1:4" hidden="1" x14ac:dyDescent="0.3">
      <c r="A5111" t="s">
        <v>580</v>
      </c>
      <c r="B5111" t="s">
        <v>53</v>
      </c>
      <c r="C5111" s="1">
        <f>HYPERLINK("https://cao.dolgi.msk.ru/account/1011307264/", 1011307264)</f>
        <v>1011307264</v>
      </c>
      <c r="D5111">
        <v>-230.29</v>
      </c>
    </row>
    <row r="5112" spans="1:4" hidden="1" x14ac:dyDescent="0.3">
      <c r="A5112" t="s">
        <v>580</v>
      </c>
      <c r="B5112" t="s">
        <v>54</v>
      </c>
      <c r="C5112" s="1">
        <f>HYPERLINK("https://cao.dolgi.msk.ru/account/1011307723/", 1011307723)</f>
        <v>1011307723</v>
      </c>
      <c r="D5112">
        <v>0</v>
      </c>
    </row>
    <row r="5113" spans="1:4" hidden="1" x14ac:dyDescent="0.3">
      <c r="A5113" t="s">
        <v>580</v>
      </c>
      <c r="B5113" t="s">
        <v>55</v>
      </c>
      <c r="C5113" s="1">
        <f>HYPERLINK("https://cao.dolgi.msk.ru/account/1011307897/", 1011307897)</f>
        <v>1011307897</v>
      </c>
      <c r="D5113">
        <v>0</v>
      </c>
    </row>
    <row r="5114" spans="1:4" hidden="1" x14ac:dyDescent="0.3">
      <c r="A5114" t="s">
        <v>580</v>
      </c>
      <c r="B5114" t="s">
        <v>56</v>
      </c>
      <c r="C5114" s="1">
        <f>HYPERLINK("https://cao.dolgi.msk.ru/account/1011307694/", 1011307694)</f>
        <v>1011307694</v>
      </c>
      <c r="D5114">
        <v>-10255.129999999999</v>
      </c>
    </row>
    <row r="5115" spans="1:4" hidden="1" x14ac:dyDescent="0.3">
      <c r="A5115" t="s">
        <v>580</v>
      </c>
      <c r="B5115" t="s">
        <v>87</v>
      </c>
      <c r="C5115" s="1">
        <f>HYPERLINK("https://cao.dolgi.msk.ru/account/1011307192/", 1011307192)</f>
        <v>1011307192</v>
      </c>
      <c r="D5115">
        <v>-464.93</v>
      </c>
    </row>
    <row r="5116" spans="1:4" hidden="1" x14ac:dyDescent="0.3">
      <c r="A5116" t="s">
        <v>580</v>
      </c>
      <c r="B5116" t="s">
        <v>88</v>
      </c>
      <c r="C5116" s="1">
        <f>HYPERLINK("https://cao.dolgi.msk.ru/account/1011307707/", 1011307707)</f>
        <v>1011307707</v>
      </c>
      <c r="D5116">
        <v>0</v>
      </c>
    </row>
    <row r="5117" spans="1:4" hidden="1" x14ac:dyDescent="0.3">
      <c r="A5117" t="s">
        <v>580</v>
      </c>
      <c r="B5117" t="s">
        <v>89</v>
      </c>
      <c r="C5117" s="1">
        <f>HYPERLINK("https://cao.dolgi.msk.ru/account/1011308021/", 1011308021)</f>
        <v>1011308021</v>
      </c>
      <c r="D5117">
        <v>-11503.89</v>
      </c>
    </row>
    <row r="5118" spans="1:4" hidden="1" x14ac:dyDescent="0.3">
      <c r="A5118" t="s">
        <v>580</v>
      </c>
      <c r="B5118" t="s">
        <v>90</v>
      </c>
      <c r="C5118" s="1">
        <f>HYPERLINK("https://cao.dolgi.msk.ru/account/1011307475/", 1011307475)</f>
        <v>1011307475</v>
      </c>
      <c r="D5118">
        <v>-15146.41</v>
      </c>
    </row>
    <row r="5119" spans="1:4" hidden="1" x14ac:dyDescent="0.3">
      <c r="A5119" t="s">
        <v>580</v>
      </c>
      <c r="B5119" t="s">
        <v>96</v>
      </c>
      <c r="C5119" s="1">
        <f>HYPERLINK("https://cao.dolgi.msk.ru/account/1011307352/", 1011307352)</f>
        <v>1011307352</v>
      </c>
      <c r="D5119">
        <v>-116.52</v>
      </c>
    </row>
    <row r="5120" spans="1:4" hidden="1" x14ac:dyDescent="0.3">
      <c r="A5120" t="s">
        <v>580</v>
      </c>
      <c r="B5120" t="s">
        <v>97</v>
      </c>
      <c r="C5120" s="1">
        <f>HYPERLINK("https://cao.dolgi.msk.ru/account/1011307176/", 1011307176)</f>
        <v>1011307176</v>
      </c>
      <c r="D5120">
        <v>-717.1</v>
      </c>
    </row>
    <row r="5121" spans="1:4" hidden="1" x14ac:dyDescent="0.3">
      <c r="A5121" t="s">
        <v>580</v>
      </c>
      <c r="B5121" t="s">
        <v>98</v>
      </c>
      <c r="C5121" s="1">
        <f>HYPERLINK("https://cao.dolgi.msk.ru/account/1011308048/", 1011308048)</f>
        <v>1011308048</v>
      </c>
      <c r="D5121">
        <v>-12325.88</v>
      </c>
    </row>
    <row r="5122" spans="1:4" hidden="1" x14ac:dyDescent="0.3">
      <c r="A5122" t="s">
        <v>580</v>
      </c>
      <c r="B5122" t="s">
        <v>58</v>
      </c>
      <c r="C5122" s="1">
        <f>HYPERLINK("https://cao.dolgi.msk.ru/account/1011514829/", 1011514829)</f>
        <v>1011514829</v>
      </c>
      <c r="D5122">
        <v>-800.23</v>
      </c>
    </row>
    <row r="5123" spans="1:4" hidden="1" x14ac:dyDescent="0.3">
      <c r="A5123" t="s">
        <v>580</v>
      </c>
      <c r="B5123" t="s">
        <v>59</v>
      </c>
      <c r="C5123" s="1">
        <f>HYPERLINK("https://cao.dolgi.msk.ru/account/1011307395/", 1011307395)</f>
        <v>1011307395</v>
      </c>
      <c r="D5123">
        <v>0</v>
      </c>
    </row>
    <row r="5124" spans="1:4" hidden="1" x14ac:dyDescent="0.3">
      <c r="A5124" t="s">
        <v>580</v>
      </c>
      <c r="B5124" t="s">
        <v>60</v>
      </c>
      <c r="C5124" s="1">
        <f>HYPERLINK("https://cao.dolgi.msk.ru/account/1011307555/", 1011307555)</f>
        <v>1011307555</v>
      </c>
      <c r="D5124">
        <v>-11763.38</v>
      </c>
    </row>
    <row r="5125" spans="1:4" hidden="1" x14ac:dyDescent="0.3">
      <c r="A5125" t="s">
        <v>580</v>
      </c>
      <c r="B5125" t="s">
        <v>61</v>
      </c>
      <c r="C5125" s="1">
        <f>HYPERLINK("https://cao.dolgi.msk.ru/account/1011307248/", 1011307248)</f>
        <v>1011307248</v>
      </c>
      <c r="D5125">
        <v>-124.09</v>
      </c>
    </row>
    <row r="5126" spans="1:4" hidden="1" x14ac:dyDescent="0.3">
      <c r="A5126" t="s">
        <v>580</v>
      </c>
      <c r="B5126" t="s">
        <v>62</v>
      </c>
      <c r="C5126" s="1">
        <f>HYPERLINK("https://cao.dolgi.msk.ru/account/1011307141/", 1011307141)</f>
        <v>1011307141</v>
      </c>
      <c r="D5126">
        <v>-2099.17</v>
      </c>
    </row>
    <row r="5127" spans="1:4" hidden="1" x14ac:dyDescent="0.3">
      <c r="A5127" t="s">
        <v>580</v>
      </c>
      <c r="B5127" t="s">
        <v>62</v>
      </c>
      <c r="C5127" s="1">
        <f>HYPERLINK("https://cao.dolgi.msk.ru/account/1011307918/", 1011307918)</f>
        <v>1011307918</v>
      </c>
      <c r="D5127">
        <v>-196.47</v>
      </c>
    </row>
    <row r="5128" spans="1:4" hidden="1" x14ac:dyDescent="0.3">
      <c r="A5128" t="s">
        <v>580</v>
      </c>
      <c r="B5128" t="s">
        <v>63</v>
      </c>
      <c r="C5128" s="1">
        <f>HYPERLINK("https://cao.dolgi.msk.ru/account/1011307336/", 1011307336)</f>
        <v>1011307336</v>
      </c>
      <c r="D5128">
        <v>0</v>
      </c>
    </row>
    <row r="5129" spans="1:4" x14ac:dyDescent="0.3">
      <c r="A5129" t="s">
        <v>580</v>
      </c>
      <c r="B5129" t="s">
        <v>64</v>
      </c>
      <c r="C5129" s="1">
        <f>HYPERLINK("https://cao.dolgi.msk.ru/account/1011307416/", 1011307416)</f>
        <v>1011307416</v>
      </c>
      <c r="D5129">
        <v>13338.41</v>
      </c>
    </row>
    <row r="5130" spans="1:4" x14ac:dyDescent="0.3">
      <c r="A5130" t="s">
        <v>580</v>
      </c>
      <c r="B5130" t="s">
        <v>65</v>
      </c>
      <c r="C5130" s="1">
        <f>HYPERLINK("https://cao.dolgi.msk.ru/account/1011307563/", 1011307563)</f>
        <v>1011307563</v>
      </c>
      <c r="D5130">
        <v>13683.54</v>
      </c>
    </row>
    <row r="5131" spans="1:4" x14ac:dyDescent="0.3">
      <c r="A5131" t="s">
        <v>580</v>
      </c>
      <c r="B5131" t="s">
        <v>66</v>
      </c>
      <c r="C5131" s="1">
        <f>HYPERLINK("https://cao.dolgi.msk.ru/account/1011307598/", 1011307598)</f>
        <v>1011307598</v>
      </c>
      <c r="D5131">
        <v>9909.66</v>
      </c>
    </row>
    <row r="5132" spans="1:4" hidden="1" x14ac:dyDescent="0.3">
      <c r="A5132" t="s">
        <v>580</v>
      </c>
      <c r="B5132" t="s">
        <v>67</v>
      </c>
      <c r="C5132" s="1">
        <f>HYPERLINK("https://cao.dolgi.msk.ru/account/1011307483/", 1011307483)</f>
        <v>1011307483</v>
      </c>
      <c r="D5132">
        <v>0</v>
      </c>
    </row>
    <row r="5133" spans="1:4" hidden="1" x14ac:dyDescent="0.3">
      <c r="A5133" t="s">
        <v>580</v>
      </c>
      <c r="B5133" t="s">
        <v>68</v>
      </c>
      <c r="C5133" s="1">
        <f>HYPERLINK("https://cao.dolgi.msk.ru/account/1011307272/", 1011307272)</f>
        <v>1011307272</v>
      </c>
      <c r="D5133">
        <v>0</v>
      </c>
    </row>
    <row r="5134" spans="1:4" hidden="1" x14ac:dyDescent="0.3">
      <c r="A5134" t="s">
        <v>580</v>
      </c>
      <c r="B5134" t="s">
        <v>69</v>
      </c>
      <c r="C5134" s="1">
        <f>HYPERLINK("https://cao.dolgi.msk.ru/account/1011308056/", 1011308056)</f>
        <v>1011308056</v>
      </c>
      <c r="D5134">
        <v>-22760.92</v>
      </c>
    </row>
    <row r="5135" spans="1:4" hidden="1" x14ac:dyDescent="0.3">
      <c r="A5135" t="s">
        <v>580</v>
      </c>
      <c r="B5135" t="s">
        <v>70</v>
      </c>
      <c r="C5135" s="1">
        <f>HYPERLINK("https://cao.dolgi.msk.ru/account/1011307731/", 1011307731)</f>
        <v>1011307731</v>
      </c>
      <c r="D5135">
        <v>0</v>
      </c>
    </row>
    <row r="5136" spans="1:4" hidden="1" x14ac:dyDescent="0.3">
      <c r="A5136" t="s">
        <v>580</v>
      </c>
      <c r="B5136" t="s">
        <v>259</v>
      </c>
      <c r="C5136" s="1">
        <f>HYPERLINK("https://cao.dolgi.msk.ru/account/1011307678/", 1011307678)</f>
        <v>1011307678</v>
      </c>
      <c r="D5136">
        <v>0</v>
      </c>
    </row>
    <row r="5137" spans="1:4" hidden="1" x14ac:dyDescent="0.3">
      <c r="A5137" t="s">
        <v>580</v>
      </c>
      <c r="B5137" t="s">
        <v>100</v>
      </c>
      <c r="C5137" s="1">
        <f>HYPERLINK("https://cao.dolgi.msk.ru/account/1011307862/", 1011307862)</f>
        <v>1011307862</v>
      </c>
      <c r="D5137">
        <v>-39.299999999999997</v>
      </c>
    </row>
    <row r="5138" spans="1:4" x14ac:dyDescent="0.3">
      <c r="A5138" t="s">
        <v>580</v>
      </c>
      <c r="B5138" t="s">
        <v>72</v>
      </c>
      <c r="C5138" s="1">
        <f>HYPERLINK("https://cao.dolgi.msk.ru/account/1011307491/", 1011307491)</f>
        <v>1011307491</v>
      </c>
      <c r="D5138">
        <v>548653.04</v>
      </c>
    </row>
    <row r="5139" spans="1:4" x14ac:dyDescent="0.3">
      <c r="A5139" t="s">
        <v>580</v>
      </c>
      <c r="B5139" t="s">
        <v>73</v>
      </c>
      <c r="C5139" s="1">
        <f>HYPERLINK("https://cao.dolgi.msk.ru/account/1011307379/", 1011307379)</f>
        <v>1011307379</v>
      </c>
      <c r="D5139">
        <v>11640.03</v>
      </c>
    </row>
    <row r="5140" spans="1:4" hidden="1" x14ac:dyDescent="0.3">
      <c r="A5140" t="s">
        <v>580</v>
      </c>
      <c r="B5140" t="s">
        <v>74</v>
      </c>
      <c r="C5140" s="1">
        <f>HYPERLINK("https://cao.dolgi.msk.ru/account/1011307424/", 1011307424)</f>
        <v>1011307424</v>
      </c>
      <c r="D5140">
        <v>-11456.54</v>
      </c>
    </row>
    <row r="5141" spans="1:4" hidden="1" x14ac:dyDescent="0.3">
      <c r="A5141" t="s">
        <v>580</v>
      </c>
      <c r="B5141" t="s">
        <v>75</v>
      </c>
      <c r="C5141" s="1">
        <f>HYPERLINK("https://cao.dolgi.msk.ru/account/1011308064/", 1011308064)</f>
        <v>1011308064</v>
      </c>
      <c r="D5141">
        <v>-9842.82</v>
      </c>
    </row>
    <row r="5142" spans="1:4" hidden="1" x14ac:dyDescent="0.3">
      <c r="A5142" t="s">
        <v>580</v>
      </c>
      <c r="B5142" t="s">
        <v>76</v>
      </c>
      <c r="C5142" s="1">
        <f>HYPERLINK("https://cao.dolgi.msk.ru/account/1011307459/", 1011307459)</f>
        <v>1011307459</v>
      </c>
      <c r="D5142">
        <v>0</v>
      </c>
    </row>
    <row r="5143" spans="1:4" hidden="1" x14ac:dyDescent="0.3">
      <c r="A5143" t="s">
        <v>580</v>
      </c>
      <c r="B5143" t="s">
        <v>77</v>
      </c>
      <c r="C5143" s="1">
        <f>HYPERLINK("https://cao.dolgi.msk.ru/account/1011307627/", 1011307627)</f>
        <v>1011307627</v>
      </c>
      <c r="D5143">
        <v>-7959.51</v>
      </c>
    </row>
    <row r="5144" spans="1:4" hidden="1" x14ac:dyDescent="0.3">
      <c r="A5144" t="s">
        <v>580</v>
      </c>
      <c r="B5144" t="s">
        <v>78</v>
      </c>
      <c r="C5144" s="1">
        <f>HYPERLINK("https://cao.dolgi.msk.ru/account/1011307926/", 1011307926)</f>
        <v>1011307926</v>
      </c>
      <c r="D5144">
        <v>-14519.02</v>
      </c>
    </row>
    <row r="5145" spans="1:4" x14ac:dyDescent="0.3">
      <c r="A5145" t="s">
        <v>580</v>
      </c>
      <c r="B5145" t="s">
        <v>79</v>
      </c>
      <c r="C5145" s="1">
        <f>HYPERLINK("https://cao.dolgi.msk.ru/account/1011307504/", 1011307504)</f>
        <v>1011307504</v>
      </c>
      <c r="D5145">
        <v>7065.53</v>
      </c>
    </row>
    <row r="5146" spans="1:4" hidden="1" x14ac:dyDescent="0.3">
      <c r="A5146" t="s">
        <v>580</v>
      </c>
      <c r="B5146" t="s">
        <v>80</v>
      </c>
      <c r="C5146" s="1">
        <f>HYPERLINK("https://cao.dolgi.msk.ru/account/1011307838/", 1011307838)</f>
        <v>1011307838</v>
      </c>
      <c r="D5146">
        <v>-8634.52</v>
      </c>
    </row>
    <row r="5147" spans="1:4" x14ac:dyDescent="0.3">
      <c r="A5147" t="s">
        <v>581</v>
      </c>
      <c r="B5147" t="s">
        <v>5</v>
      </c>
      <c r="C5147" s="1">
        <f>HYPERLINK("https://cao.dolgi.msk.ru/account/1011393799/", 1011393799)</f>
        <v>1011393799</v>
      </c>
      <c r="D5147">
        <v>11793.88</v>
      </c>
    </row>
    <row r="5148" spans="1:4" hidden="1" x14ac:dyDescent="0.3">
      <c r="A5148" t="s">
        <v>581</v>
      </c>
      <c r="B5148" t="s">
        <v>7</v>
      </c>
      <c r="C5148" s="1">
        <f>HYPERLINK("https://cao.dolgi.msk.ru/account/1011393713/", 1011393713)</f>
        <v>1011393713</v>
      </c>
      <c r="D5148">
        <v>0</v>
      </c>
    </row>
    <row r="5149" spans="1:4" hidden="1" x14ac:dyDescent="0.3">
      <c r="A5149" t="s">
        <v>581</v>
      </c>
      <c r="B5149" t="s">
        <v>8</v>
      </c>
      <c r="C5149" s="1">
        <f>HYPERLINK("https://cao.dolgi.msk.ru/account/1011393828/", 1011393828)</f>
        <v>1011393828</v>
      </c>
      <c r="D5149">
        <v>-462.96</v>
      </c>
    </row>
    <row r="5150" spans="1:4" x14ac:dyDescent="0.3">
      <c r="A5150" t="s">
        <v>581</v>
      </c>
      <c r="B5150" t="s">
        <v>31</v>
      </c>
      <c r="C5150" s="1">
        <f>HYPERLINK("https://cao.dolgi.msk.ru/account/1011393756/", 1011393756)</f>
        <v>1011393756</v>
      </c>
      <c r="D5150">
        <v>640.4</v>
      </c>
    </row>
    <row r="5151" spans="1:4" hidden="1" x14ac:dyDescent="0.3">
      <c r="A5151" t="s">
        <v>581</v>
      </c>
      <c r="B5151" t="s">
        <v>9</v>
      </c>
      <c r="C5151" s="1">
        <f>HYPERLINK("https://cao.dolgi.msk.ru/account/1011393908/", 1011393908)</f>
        <v>1011393908</v>
      </c>
      <c r="D5151">
        <v>0</v>
      </c>
    </row>
    <row r="5152" spans="1:4" x14ac:dyDescent="0.3">
      <c r="A5152" t="s">
        <v>581</v>
      </c>
      <c r="B5152" t="s">
        <v>10</v>
      </c>
      <c r="C5152" s="1">
        <f>HYPERLINK("https://cao.dolgi.msk.ru/account/1011393836/", 1011393836)</f>
        <v>1011393836</v>
      </c>
      <c r="D5152">
        <v>17039.7</v>
      </c>
    </row>
    <row r="5153" spans="1:4" hidden="1" x14ac:dyDescent="0.3">
      <c r="A5153" t="s">
        <v>581</v>
      </c>
      <c r="B5153" t="s">
        <v>11</v>
      </c>
      <c r="C5153" s="1">
        <f>HYPERLINK("https://cao.dolgi.msk.ru/account/1011393975/", 1011393975)</f>
        <v>1011393975</v>
      </c>
      <c r="D5153">
        <v>0</v>
      </c>
    </row>
    <row r="5154" spans="1:4" hidden="1" x14ac:dyDescent="0.3">
      <c r="A5154" t="s">
        <v>581</v>
      </c>
      <c r="B5154" t="s">
        <v>12</v>
      </c>
      <c r="C5154" s="1">
        <f>HYPERLINK("https://cao.dolgi.msk.ru/account/1011393895/", 1011393895)</f>
        <v>1011393895</v>
      </c>
      <c r="D5154">
        <v>0</v>
      </c>
    </row>
    <row r="5155" spans="1:4" hidden="1" x14ac:dyDescent="0.3">
      <c r="A5155" t="s">
        <v>581</v>
      </c>
      <c r="B5155" t="s">
        <v>23</v>
      </c>
      <c r="C5155" s="1">
        <f>HYPERLINK("https://cao.dolgi.msk.ru/account/1011393887/", 1011393887)</f>
        <v>1011393887</v>
      </c>
      <c r="D5155">
        <v>-9573.14</v>
      </c>
    </row>
    <row r="5156" spans="1:4" hidden="1" x14ac:dyDescent="0.3">
      <c r="A5156" t="s">
        <v>581</v>
      </c>
      <c r="B5156" t="s">
        <v>13</v>
      </c>
      <c r="C5156" s="1">
        <f>HYPERLINK("https://cao.dolgi.msk.ru/account/1011393932/", 1011393932)</f>
        <v>1011393932</v>
      </c>
      <c r="D5156">
        <v>-9837.25</v>
      </c>
    </row>
    <row r="5157" spans="1:4" hidden="1" x14ac:dyDescent="0.3">
      <c r="A5157" t="s">
        <v>581</v>
      </c>
      <c r="B5157" t="s">
        <v>14</v>
      </c>
      <c r="C5157" s="1">
        <f>HYPERLINK("https://cao.dolgi.msk.ru/account/1011393764/", 1011393764)</f>
        <v>1011393764</v>
      </c>
      <c r="D5157">
        <v>0</v>
      </c>
    </row>
    <row r="5158" spans="1:4" hidden="1" x14ac:dyDescent="0.3">
      <c r="A5158" t="s">
        <v>581</v>
      </c>
      <c r="B5158" t="s">
        <v>16</v>
      </c>
      <c r="C5158" s="1">
        <f>HYPERLINK("https://cao.dolgi.msk.ru/account/1011393959/", 1011393959)</f>
        <v>1011393959</v>
      </c>
      <c r="D5158">
        <v>-8008.74</v>
      </c>
    </row>
    <row r="5159" spans="1:4" hidden="1" x14ac:dyDescent="0.3">
      <c r="A5159" t="s">
        <v>581</v>
      </c>
      <c r="B5159" t="s">
        <v>49</v>
      </c>
      <c r="C5159" s="1">
        <f>HYPERLINK("https://cao.dolgi.msk.ru/account/1011393916/", 1011393916)</f>
        <v>1011393916</v>
      </c>
      <c r="D5159">
        <v>-6165.29</v>
      </c>
    </row>
    <row r="5160" spans="1:4" hidden="1" x14ac:dyDescent="0.3">
      <c r="A5160" t="s">
        <v>581</v>
      </c>
      <c r="B5160" t="s">
        <v>50</v>
      </c>
      <c r="C5160" s="1">
        <f>HYPERLINK("https://cao.dolgi.msk.ru/account/1011393772/", 1011393772)</f>
        <v>1011393772</v>
      </c>
      <c r="D5160">
        <v>0</v>
      </c>
    </row>
    <row r="5161" spans="1:4" hidden="1" x14ac:dyDescent="0.3">
      <c r="A5161" t="s">
        <v>581</v>
      </c>
      <c r="B5161" t="s">
        <v>33</v>
      </c>
      <c r="C5161" s="1">
        <f>HYPERLINK("https://cao.dolgi.msk.ru/account/1011393705/", 1011393705)</f>
        <v>1011393705</v>
      </c>
      <c r="D5161">
        <v>-5251.87</v>
      </c>
    </row>
    <row r="5162" spans="1:4" x14ac:dyDescent="0.3">
      <c r="A5162" t="s">
        <v>581</v>
      </c>
      <c r="B5162" t="s">
        <v>582</v>
      </c>
      <c r="C5162" s="1">
        <f>HYPERLINK("https://cao.dolgi.msk.ru/account/1011393721/", 1011393721)</f>
        <v>1011393721</v>
      </c>
      <c r="D5162">
        <v>24069.75</v>
      </c>
    </row>
    <row r="5163" spans="1:4" hidden="1" x14ac:dyDescent="0.3">
      <c r="A5163" t="s">
        <v>581</v>
      </c>
      <c r="B5163" t="s">
        <v>93</v>
      </c>
      <c r="C5163" s="1">
        <f>HYPERLINK("https://cao.dolgi.msk.ru/account/1011393879/", 1011393879)</f>
        <v>1011393879</v>
      </c>
      <c r="D5163">
        <v>-10650.92</v>
      </c>
    </row>
    <row r="5164" spans="1:4" hidden="1" x14ac:dyDescent="0.3">
      <c r="A5164" t="s">
        <v>581</v>
      </c>
      <c r="B5164" t="s">
        <v>583</v>
      </c>
      <c r="C5164" s="1">
        <f>HYPERLINK("https://cao.dolgi.msk.ru/account/1011393801/", 1011393801)</f>
        <v>1011393801</v>
      </c>
      <c r="D5164">
        <v>0</v>
      </c>
    </row>
    <row r="5165" spans="1:4" hidden="1" x14ac:dyDescent="0.3">
      <c r="A5165" t="s">
        <v>581</v>
      </c>
      <c r="B5165" t="s">
        <v>584</v>
      </c>
      <c r="C5165" s="1">
        <f>HYPERLINK("https://cao.dolgi.msk.ru/account/1011393967/", 1011393967)</f>
        <v>1011393967</v>
      </c>
      <c r="D5165">
        <v>0</v>
      </c>
    </row>
    <row r="5166" spans="1:4" hidden="1" x14ac:dyDescent="0.3">
      <c r="A5166" t="s">
        <v>581</v>
      </c>
      <c r="B5166" t="s">
        <v>37</v>
      </c>
      <c r="C5166" s="1">
        <f>HYPERLINK("https://cao.dolgi.msk.ru/account/1011393692/", 1011393692)</f>
        <v>1011393692</v>
      </c>
      <c r="D5166">
        <v>0</v>
      </c>
    </row>
    <row r="5167" spans="1:4" hidden="1" x14ac:dyDescent="0.3">
      <c r="A5167" t="s">
        <v>581</v>
      </c>
      <c r="B5167" t="s">
        <v>585</v>
      </c>
      <c r="C5167" s="1">
        <f>HYPERLINK("https://cao.dolgi.msk.ru/account/1011510844/", 1011510844)</f>
        <v>1011510844</v>
      </c>
      <c r="D5167">
        <v>-1882.94</v>
      </c>
    </row>
    <row r="5168" spans="1:4" hidden="1" x14ac:dyDescent="0.3">
      <c r="A5168" t="s">
        <v>581</v>
      </c>
      <c r="B5168" t="s">
        <v>586</v>
      </c>
      <c r="C5168" s="1">
        <f>HYPERLINK("https://cao.dolgi.msk.ru/account/1011393852/", 1011393852)</f>
        <v>1011393852</v>
      </c>
      <c r="D5168">
        <v>0</v>
      </c>
    </row>
    <row r="5169" spans="1:4" hidden="1" x14ac:dyDescent="0.3">
      <c r="A5169" t="s">
        <v>581</v>
      </c>
      <c r="B5169" t="s">
        <v>587</v>
      </c>
      <c r="C5169" s="1">
        <f>HYPERLINK("https://cao.dolgi.msk.ru/account/1011393748/", 1011393748)</f>
        <v>1011393748</v>
      </c>
      <c r="D5169">
        <v>0</v>
      </c>
    </row>
    <row r="5170" spans="1:4" hidden="1" x14ac:dyDescent="0.3">
      <c r="A5170" t="s">
        <v>581</v>
      </c>
      <c r="B5170" t="s">
        <v>588</v>
      </c>
      <c r="C5170" s="1">
        <f>HYPERLINK("https://cao.dolgi.msk.ru/account/1011393924/", 1011393924)</f>
        <v>1011393924</v>
      </c>
      <c r="D5170">
        <v>0</v>
      </c>
    </row>
    <row r="5171" spans="1:4" hidden="1" x14ac:dyDescent="0.3">
      <c r="A5171" t="s">
        <v>589</v>
      </c>
      <c r="B5171" t="s">
        <v>17</v>
      </c>
      <c r="C5171" s="1">
        <f>HYPERLINK("https://cao.dolgi.msk.ru/account/1011394038/", 1011394038)</f>
        <v>1011394038</v>
      </c>
      <c r="D5171">
        <v>0</v>
      </c>
    </row>
    <row r="5172" spans="1:4" hidden="1" x14ac:dyDescent="0.3">
      <c r="A5172" t="s">
        <v>589</v>
      </c>
      <c r="B5172" t="s">
        <v>18</v>
      </c>
      <c r="C5172" s="1">
        <f>HYPERLINK("https://cao.dolgi.msk.ru/account/1011394257/", 1011394257)</f>
        <v>1011394257</v>
      </c>
      <c r="D5172">
        <v>-880</v>
      </c>
    </row>
    <row r="5173" spans="1:4" hidden="1" x14ac:dyDescent="0.3">
      <c r="A5173" t="s">
        <v>589</v>
      </c>
      <c r="B5173" t="s">
        <v>19</v>
      </c>
      <c r="C5173" s="1">
        <f>HYPERLINK("https://cao.dolgi.msk.ru/account/1011394118/", 1011394118)</f>
        <v>1011394118</v>
      </c>
      <c r="D5173">
        <v>-10654.55</v>
      </c>
    </row>
    <row r="5174" spans="1:4" hidden="1" x14ac:dyDescent="0.3">
      <c r="A5174" t="s">
        <v>589</v>
      </c>
      <c r="B5174" t="s">
        <v>20</v>
      </c>
      <c r="C5174" s="1">
        <f>HYPERLINK("https://cao.dolgi.msk.ru/account/1011394046/", 1011394046)</f>
        <v>1011394046</v>
      </c>
      <c r="D5174">
        <v>0</v>
      </c>
    </row>
    <row r="5175" spans="1:4" hidden="1" x14ac:dyDescent="0.3">
      <c r="A5175" t="s">
        <v>589</v>
      </c>
      <c r="B5175" t="s">
        <v>20</v>
      </c>
      <c r="C5175" s="1">
        <f>HYPERLINK("https://cao.dolgi.msk.ru/account/1011394054/", 1011394054)</f>
        <v>1011394054</v>
      </c>
      <c r="D5175">
        <v>0</v>
      </c>
    </row>
    <row r="5176" spans="1:4" hidden="1" x14ac:dyDescent="0.3">
      <c r="A5176" t="s">
        <v>589</v>
      </c>
      <c r="B5176" t="s">
        <v>21</v>
      </c>
      <c r="C5176" s="1">
        <f>HYPERLINK("https://cao.dolgi.msk.ru/account/1011394273/", 1011394273)</f>
        <v>1011394273</v>
      </c>
      <c r="D5176">
        <v>0</v>
      </c>
    </row>
    <row r="5177" spans="1:4" x14ac:dyDescent="0.3">
      <c r="A5177" t="s">
        <v>589</v>
      </c>
      <c r="B5177" t="s">
        <v>22</v>
      </c>
      <c r="C5177" s="1">
        <f>HYPERLINK("https://cao.dolgi.msk.ru/account/1011394222/", 1011394222)</f>
        <v>1011394222</v>
      </c>
      <c r="D5177">
        <v>1393.64</v>
      </c>
    </row>
    <row r="5178" spans="1:4" hidden="1" x14ac:dyDescent="0.3">
      <c r="A5178" t="s">
        <v>589</v>
      </c>
      <c r="B5178" t="s">
        <v>24</v>
      </c>
      <c r="C5178" s="1">
        <f>HYPERLINK("https://cao.dolgi.msk.ru/account/1011394302/", 1011394302)</f>
        <v>1011394302</v>
      </c>
      <c r="D5178">
        <v>0</v>
      </c>
    </row>
    <row r="5179" spans="1:4" hidden="1" x14ac:dyDescent="0.3">
      <c r="A5179" t="s">
        <v>589</v>
      </c>
      <c r="B5179" t="s">
        <v>25</v>
      </c>
      <c r="C5179" s="1">
        <f>HYPERLINK("https://cao.dolgi.msk.ru/account/1011394134/", 1011394134)</f>
        <v>1011394134</v>
      </c>
      <c r="D5179">
        <v>-7964.77</v>
      </c>
    </row>
    <row r="5180" spans="1:4" x14ac:dyDescent="0.3">
      <c r="A5180" t="s">
        <v>589</v>
      </c>
      <c r="B5180" t="s">
        <v>26</v>
      </c>
      <c r="C5180" s="1">
        <f>HYPERLINK("https://cao.dolgi.msk.ru/account/1011394003/", 1011394003)</f>
        <v>1011394003</v>
      </c>
      <c r="D5180">
        <v>17859.5</v>
      </c>
    </row>
    <row r="5181" spans="1:4" x14ac:dyDescent="0.3">
      <c r="A5181" t="s">
        <v>589</v>
      </c>
      <c r="B5181" t="s">
        <v>27</v>
      </c>
      <c r="C5181" s="1">
        <f>HYPERLINK("https://cao.dolgi.msk.ru/account/1011394089/", 1011394089)</f>
        <v>1011394089</v>
      </c>
      <c r="D5181">
        <v>81709.34</v>
      </c>
    </row>
    <row r="5182" spans="1:4" x14ac:dyDescent="0.3">
      <c r="A5182" t="s">
        <v>589</v>
      </c>
      <c r="B5182" t="s">
        <v>29</v>
      </c>
      <c r="C5182" s="1">
        <f>HYPERLINK("https://cao.dolgi.msk.ru/account/1011393991/", 1011393991)</f>
        <v>1011393991</v>
      </c>
      <c r="D5182">
        <v>947.68</v>
      </c>
    </row>
    <row r="5183" spans="1:4" hidden="1" x14ac:dyDescent="0.3">
      <c r="A5183" t="s">
        <v>589</v>
      </c>
      <c r="B5183" t="s">
        <v>39</v>
      </c>
      <c r="C5183" s="1">
        <f>HYPERLINK("https://cao.dolgi.msk.ru/account/1011394193/", 1011394193)</f>
        <v>1011394193</v>
      </c>
      <c r="D5183">
        <v>-6872.96</v>
      </c>
    </row>
    <row r="5184" spans="1:4" hidden="1" x14ac:dyDescent="0.3">
      <c r="A5184" t="s">
        <v>589</v>
      </c>
      <c r="B5184" t="s">
        <v>40</v>
      </c>
      <c r="C5184" s="1">
        <f>HYPERLINK("https://cao.dolgi.msk.ru/account/1011394337/", 1011394337)</f>
        <v>1011394337</v>
      </c>
      <c r="D5184">
        <v>0</v>
      </c>
    </row>
    <row r="5185" spans="1:4" hidden="1" x14ac:dyDescent="0.3">
      <c r="A5185" t="s">
        <v>589</v>
      </c>
      <c r="B5185" t="s">
        <v>41</v>
      </c>
      <c r="C5185" s="1">
        <f>HYPERLINK("https://cao.dolgi.msk.ru/account/1011394185/", 1011394185)</f>
        <v>1011394185</v>
      </c>
      <c r="D5185">
        <v>0</v>
      </c>
    </row>
    <row r="5186" spans="1:4" hidden="1" x14ac:dyDescent="0.3">
      <c r="A5186" t="s">
        <v>589</v>
      </c>
      <c r="B5186" t="s">
        <v>51</v>
      </c>
      <c r="C5186" s="1">
        <f>HYPERLINK("https://cao.dolgi.msk.ru/account/1011394206/", 1011394206)</f>
        <v>1011394206</v>
      </c>
      <c r="D5186">
        <v>-6198.29</v>
      </c>
    </row>
    <row r="5187" spans="1:4" hidden="1" x14ac:dyDescent="0.3">
      <c r="A5187" t="s">
        <v>589</v>
      </c>
      <c r="B5187" t="s">
        <v>52</v>
      </c>
      <c r="C5187" s="1">
        <f>HYPERLINK("https://cao.dolgi.msk.ru/account/1011394329/", 1011394329)</f>
        <v>1011394329</v>
      </c>
      <c r="D5187">
        <v>-7233.84</v>
      </c>
    </row>
    <row r="5188" spans="1:4" hidden="1" x14ac:dyDescent="0.3">
      <c r="A5188" t="s">
        <v>589</v>
      </c>
      <c r="B5188" t="s">
        <v>53</v>
      </c>
      <c r="C5188" s="1">
        <f>HYPERLINK("https://cao.dolgi.msk.ru/account/1011394353/", 1011394353)</f>
        <v>1011394353</v>
      </c>
      <c r="D5188">
        <v>0</v>
      </c>
    </row>
    <row r="5189" spans="1:4" hidden="1" x14ac:dyDescent="0.3">
      <c r="A5189" t="s">
        <v>589</v>
      </c>
      <c r="B5189" t="s">
        <v>54</v>
      </c>
      <c r="C5189" s="1">
        <f>HYPERLINK("https://cao.dolgi.msk.ru/account/1011394249/", 1011394249)</f>
        <v>1011394249</v>
      </c>
      <c r="D5189">
        <v>0</v>
      </c>
    </row>
    <row r="5190" spans="1:4" hidden="1" x14ac:dyDescent="0.3">
      <c r="A5190" t="s">
        <v>589</v>
      </c>
      <c r="B5190" t="s">
        <v>55</v>
      </c>
      <c r="C5190" s="1">
        <f>HYPERLINK("https://cao.dolgi.msk.ru/account/1011394142/", 1011394142)</f>
        <v>1011394142</v>
      </c>
      <c r="D5190">
        <v>0</v>
      </c>
    </row>
    <row r="5191" spans="1:4" hidden="1" x14ac:dyDescent="0.3">
      <c r="A5191" t="s">
        <v>589</v>
      </c>
      <c r="B5191" t="s">
        <v>56</v>
      </c>
      <c r="C5191" s="1">
        <f>HYPERLINK("https://cao.dolgi.msk.ru/account/1011394345/", 1011394345)</f>
        <v>1011394345</v>
      </c>
      <c r="D5191">
        <v>-229.98</v>
      </c>
    </row>
    <row r="5192" spans="1:4" hidden="1" x14ac:dyDescent="0.3">
      <c r="A5192" t="s">
        <v>589</v>
      </c>
      <c r="B5192" t="s">
        <v>87</v>
      </c>
      <c r="C5192" s="1">
        <f>HYPERLINK("https://cao.dolgi.msk.ru/account/1011394214/", 1011394214)</f>
        <v>1011394214</v>
      </c>
      <c r="D5192">
        <v>-7139.49</v>
      </c>
    </row>
    <row r="5193" spans="1:4" hidden="1" x14ac:dyDescent="0.3">
      <c r="A5193" t="s">
        <v>589</v>
      </c>
      <c r="B5193" t="s">
        <v>88</v>
      </c>
      <c r="C5193" s="1">
        <f>HYPERLINK("https://cao.dolgi.msk.ru/account/1011394097/", 1011394097)</f>
        <v>1011394097</v>
      </c>
      <c r="D5193">
        <v>-258.94</v>
      </c>
    </row>
    <row r="5194" spans="1:4" x14ac:dyDescent="0.3">
      <c r="A5194" t="s">
        <v>589</v>
      </c>
      <c r="B5194" t="s">
        <v>89</v>
      </c>
      <c r="C5194" s="1">
        <f>HYPERLINK("https://cao.dolgi.msk.ru/account/1011393983/", 1011393983)</f>
        <v>1011393983</v>
      </c>
      <c r="D5194">
        <v>12610.53</v>
      </c>
    </row>
    <row r="5195" spans="1:4" hidden="1" x14ac:dyDescent="0.3">
      <c r="A5195" t="s">
        <v>589</v>
      </c>
      <c r="B5195" t="s">
        <v>90</v>
      </c>
      <c r="C5195" s="1">
        <f>HYPERLINK("https://cao.dolgi.msk.ru/account/1011394388/", 1011394388)</f>
        <v>1011394388</v>
      </c>
      <c r="D5195">
        <v>-6941.44</v>
      </c>
    </row>
    <row r="5196" spans="1:4" hidden="1" x14ac:dyDescent="0.3">
      <c r="A5196" t="s">
        <v>589</v>
      </c>
      <c r="B5196" t="s">
        <v>96</v>
      </c>
      <c r="C5196" s="1">
        <f>HYPERLINK("https://cao.dolgi.msk.ru/account/1011394011/", 1011394011)</f>
        <v>1011394011</v>
      </c>
      <c r="D5196">
        <v>-8910.5300000000007</v>
      </c>
    </row>
    <row r="5197" spans="1:4" hidden="1" x14ac:dyDescent="0.3">
      <c r="A5197" t="s">
        <v>589</v>
      </c>
      <c r="B5197" t="s">
        <v>97</v>
      </c>
      <c r="C5197" s="1">
        <f>HYPERLINK("https://cao.dolgi.msk.ru/account/1011394062/", 1011394062)</f>
        <v>1011394062</v>
      </c>
      <c r="D5197">
        <v>0</v>
      </c>
    </row>
    <row r="5198" spans="1:4" hidden="1" x14ac:dyDescent="0.3">
      <c r="A5198" t="s">
        <v>589</v>
      </c>
      <c r="B5198" t="s">
        <v>97</v>
      </c>
      <c r="C5198" s="1">
        <f>HYPERLINK("https://cao.dolgi.msk.ru/account/1011394265/", 1011394265)</f>
        <v>1011394265</v>
      </c>
      <c r="D5198">
        <v>0</v>
      </c>
    </row>
    <row r="5199" spans="1:4" hidden="1" x14ac:dyDescent="0.3">
      <c r="A5199" t="s">
        <v>589</v>
      </c>
      <c r="B5199" t="s">
        <v>98</v>
      </c>
      <c r="C5199" s="1">
        <f>HYPERLINK("https://cao.dolgi.msk.ru/account/1011394126/", 1011394126)</f>
        <v>1011394126</v>
      </c>
      <c r="D5199">
        <v>0</v>
      </c>
    </row>
    <row r="5200" spans="1:4" hidden="1" x14ac:dyDescent="0.3">
      <c r="A5200" t="s">
        <v>589</v>
      </c>
      <c r="B5200" t="s">
        <v>58</v>
      </c>
      <c r="C5200" s="1">
        <f>HYPERLINK("https://cao.dolgi.msk.ru/account/1011394177/", 1011394177)</f>
        <v>1011394177</v>
      </c>
      <c r="D5200">
        <v>0</v>
      </c>
    </row>
    <row r="5201" spans="1:4" hidden="1" x14ac:dyDescent="0.3">
      <c r="A5201" t="s">
        <v>589</v>
      </c>
      <c r="B5201" t="s">
        <v>59</v>
      </c>
      <c r="C5201" s="1">
        <f>HYPERLINK("https://cao.dolgi.msk.ru/account/1011394169/", 1011394169)</f>
        <v>1011394169</v>
      </c>
      <c r="D5201">
        <v>-100</v>
      </c>
    </row>
    <row r="5202" spans="1:4" hidden="1" x14ac:dyDescent="0.3">
      <c r="A5202" t="s">
        <v>589</v>
      </c>
      <c r="B5202" t="s">
        <v>60</v>
      </c>
      <c r="C5202" s="1">
        <f>HYPERLINK("https://cao.dolgi.msk.ru/account/1011394361/", 1011394361)</f>
        <v>1011394361</v>
      </c>
      <c r="D5202">
        <v>0</v>
      </c>
    </row>
    <row r="5203" spans="1:4" hidden="1" x14ac:dyDescent="0.3">
      <c r="A5203" t="s">
        <v>589</v>
      </c>
      <c r="B5203" t="s">
        <v>61</v>
      </c>
      <c r="C5203" s="1">
        <f>HYPERLINK("https://cao.dolgi.msk.ru/account/1011394281/", 1011394281)</f>
        <v>1011394281</v>
      </c>
      <c r="D5203">
        <v>-6271.92</v>
      </c>
    </row>
    <row r="5204" spans="1:4" hidden="1" x14ac:dyDescent="0.3">
      <c r="A5204" t="s">
        <v>590</v>
      </c>
      <c r="B5204" t="s">
        <v>5</v>
      </c>
      <c r="C5204" s="1">
        <f>HYPERLINK("https://cao.dolgi.msk.ru/account/1011193981/", 1011193981)</f>
        <v>1011193981</v>
      </c>
      <c r="D5204">
        <v>0</v>
      </c>
    </row>
    <row r="5205" spans="1:4" x14ac:dyDescent="0.3">
      <c r="A5205" t="s">
        <v>590</v>
      </c>
      <c r="B5205" t="s">
        <v>5</v>
      </c>
      <c r="C5205" s="1">
        <f>HYPERLINK("https://cao.dolgi.msk.ru/account/1011194087/", 1011194087)</f>
        <v>1011194087</v>
      </c>
      <c r="D5205">
        <v>4631.96</v>
      </c>
    </row>
    <row r="5206" spans="1:4" hidden="1" x14ac:dyDescent="0.3">
      <c r="A5206" t="s">
        <v>590</v>
      </c>
      <c r="B5206" t="s">
        <v>5</v>
      </c>
      <c r="C5206" s="1">
        <f>HYPERLINK("https://cao.dolgi.msk.ru/account/1011194159/", 1011194159)</f>
        <v>1011194159</v>
      </c>
      <c r="D5206">
        <v>-124.22</v>
      </c>
    </row>
    <row r="5207" spans="1:4" hidden="1" x14ac:dyDescent="0.3">
      <c r="A5207" t="s">
        <v>590</v>
      </c>
      <c r="B5207" t="s">
        <v>5</v>
      </c>
      <c r="C5207" s="1">
        <f>HYPERLINK("https://cao.dolgi.msk.ru/account/1011194175/", 1011194175)</f>
        <v>1011194175</v>
      </c>
      <c r="D5207">
        <v>0</v>
      </c>
    </row>
    <row r="5208" spans="1:4" x14ac:dyDescent="0.3">
      <c r="A5208" t="s">
        <v>590</v>
      </c>
      <c r="B5208" t="s">
        <v>5</v>
      </c>
      <c r="C5208" s="1">
        <f>HYPERLINK("https://cao.dolgi.msk.ru/account/1011504524/", 1011504524)</f>
        <v>1011504524</v>
      </c>
      <c r="D5208">
        <v>689.27</v>
      </c>
    </row>
    <row r="5209" spans="1:4" hidden="1" x14ac:dyDescent="0.3">
      <c r="A5209" t="s">
        <v>590</v>
      </c>
      <c r="B5209" t="s">
        <v>31</v>
      </c>
      <c r="C5209" s="1">
        <f>HYPERLINK("https://cao.dolgi.msk.ru/account/1011194036/", 1011194036)</f>
        <v>1011194036</v>
      </c>
      <c r="D5209">
        <v>0</v>
      </c>
    </row>
    <row r="5210" spans="1:4" hidden="1" x14ac:dyDescent="0.3">
      <c r="A5210" t="s">
        <v>590</v>
      </c>
      <c r="B5210" t="s">
        <v>31</v>
      </c>
      <c r="C5210" s="1">
        <f>HYPERLINK("https://cao.dolgi.msk.ru/account/1011194095/", 1011194095)</f>
        <v>1011194095</v>
      </c>
      <c r="D5210">
        <v>0</v>
      </c>
    </row>
    <row r="5211" spans="1:4" hidden="1" x14ac:dyDescent="0.3">
      <c r="A5211" t="s">
        <v>590</v>
      </c>
      <c r="B5211" t="s">
        <v>31</v>
      </c>
      <c r="C5211" s="1">
        <f>HYPERLINK("https://cao.dolgi.msk.ru/account/1011194183/", 1011194183)</f>
        <v>1011194183</v>
      </c>
      <c r="D5211">
        <v>0</v>
      </c>
    </row>
    <row r="5212" spans="1:4" hidden="1" x14ac:dyDescent="0.3">
      <c r="A5212" t="s">
        <v>590</v>
      </c>
      <c r="B5212" t="s">
        <v>31</v>
      </c>
      <c r="C5212" s="1">
        <f>HYPERLINK("https://cao.dolgi.msk.ru/account/1011194191/", 1011194191)</f>
        <v>1011194191</v>
      </c>
      <c r="D5212">
        <v>0</v>
      </c>
    </row>
    <row r="5213" spans="1:4" hidden="1" x14ac:dyDescent="0.3">
      <c r="A5213" t="s">
        <v>590</v>
      </c>
      <c r="B5213" t="s">
        <v>9</v>
      </c>
      <c r="C5213" s="1">
        <f>HYPERLINK("https://cao.dolgi.msk.ru/account/1011194108/", 1011194108)</f>
        <v>1011194108</v>
      </c>
      <c r="D5213">
        <v>0</v>
      </c>
    </row>
    <row r="5214" spans="1:4" hidden="1" x14ac:dyDescent="0.3">
      <c r="A5214" t="s">
        <v>590</v>
      </c>
      <c r="B5214" t="s">
        <v>10</v>
      </c>
      <c r="C5214" s="1">
        <f>HYPERLINK("https://cao.dolgi.msk.ru/account/1011531944/", 1011531944)</f>
        <v>1011531944</v>
      </c>
      <c r="D5214">
        <v>0</v>
      </c>
    </row>
    <row r="5215" spans="1:4" hidden="1" x14ac:dyDescent="0.3">
      <c r="A5215" t="s">
        <v>590</v>
      </c>
      <c r="B5215" t="s">
        <v>11</v>
      </c>
      <c r="C5215" s="1">
        <f>HYPERLINK("https://cao.dolgi.msk.ru/account/1011194044/", 1011194044)</f>
        <v>1011194044</v>
      </c>
      <c r="D5215">
        <v>-4130.76</v>
      </c>
    </row>
    <row r="5216" spans="1:4" hidden="1" x14ac:dyDescent="0.3">
      <c r="A5216" t="s">
        <v>590</v>
      </c>
      <c r="B5216" t="s">
        <v>11</v>
      </c>
      <c r="C5216" s="1">
        <f>HYPERLINK("https://cao.dolgi.msk.ru/account/1011194052/", 1011194052)</f>
        <v>1011194052</v>
      </c>
      <c r="D5216">
        <v>0</v>
      </c>
    </row>
    <row r="5217" spans="1:4" hidden="1" x14ac:dyDescent="0.3">
      <c r="A5217" t="s">
        <v>590</v>
      </c>
      <c r="B5217" t="s">
        <v>11</v>
      </c>
      <c r="C5217" s="1">
        <f>HYPERLINK("https://cao.dolgi.msk.ru/account/1011194132/", 1011194132)</f>
        <v>1011194132</v>
      </c>
      <c r="D5217">
        <v>0</v>
      </c>
    </row>
    <row r="5218" spans="1:4" hidden="1" x14ac:dyDescent="0.3">
      <c r="A5218" t="s">
        <v>590</v>
      </c>
      <c r="B5218" t="s">
        <v>11</v>
      </c>
      <c r="C5218" s="1">
        <f>HYPERLINK("https://cao.dolgi.msk.ru/account/1011194212/", 1011194212)</f>
        <v>1011194212</v>
      </c>
      <c r="D5218">
        <v>-7743.58</v>
      </c>
    </row>
    <row r="5219" spans="1:4" hidden="1" x14ac:dyDescent="0.3">
      <c r="A5219" t="s">
        <v>590</v>
      </c>
      <c r="B5219" t="s">
        <v>25</v>
      </c>
      <c r="C5219" s="1">
        <f>HYPERLINK("https://cao.dolgi.msk.ru/account/1011194028/", 1011194028)</f>
        <v>1011194028</v>
      </c>
      <c r="D5219">
        <v>0</v>
      </c>
    </row>
    <row r="5220" spans="1:4" hidden="1" x14ac:dyDescent="0.3">
      <c r="A5220" t="s">
        <v>590</v>
      </c>
      <c r="B5220" t="s">
        <v>25</v>
      </c>
      <c r="C5220" s="1">
        <f>HYPERLINK("https://cao.dolgi.msk.ru/account/1011194167/", 1011194167)</f>
        <v>1011194167</v>
      </c>
      <c r="D5220">
        <v>0</v>
      </c>
    </row>
    <row r="5221" spans="1:4" hidden="1" x14ac:dyDescent="0.3">
      <c r="A5221" t="s">
        <v>590</v>
      </c>
      <c r="B5221" t="s">
        <v>26</v>
      </c>
      <c r="C5221" s="1">
        <f>HYPERLINK("https://cao.dolgi.msk.ru/account/1011194001/", 1011194001)</f>
        <v>1011194001</v>
      </c>
      <c r="D5221">
        <v>0</v>
      </c>
    </row>
    <row r="5222" spans="1:4" hidden="1" x14ac:dyDescent="0.3">
      <c r="A5222" t="s">
        <v>590</v>
      </c>
      <c r="B5222" t="s">
        <v>27</v>
      </c>
      <c r="C5222" s="1">
        <f>HYPERLINK("https://cao.dolgi.msk.ru/account/1011194124/", 1011194124)</f>
        <v>1011194124</v>
      </c>
      <c r="D5222">
        <v>-5604.18</v>
      </c>
    </row>
    <row r="5223" spans="1:4" x14ac:dyDescent="0.3">
      <c r="A5223" t="s">
        <v>590</v>
      </c>
      <c r="B5223" t="s">
        <v>27</v>
      </c>
      <c r="C5223" s="1">
        <f>HYPERLINK("https://cao.dolgi.msk.ru/account/1011194204/", 1011194204)</f>
        <v>1011194204</v>
      </c>
      <c r="D5223">
        <v>165155.6</v>
      </c>
    </row>
    <row r="5224" spans="1:4" hidden="1" x14ac:dyDescent="0.3">
      <c r="A5224" t="s">
        <v>590</v>
      </c>
      <c r="B5224" t="s">
        <v>29</v>
      </c>
      <c r="C5224" s="1">
        <f>HYPERLINK("https://cao.dolgi.msk.ru/account/1011194079/", 1011194079)</f>
        <v>1011194079</v>
      </c>
      <c r="D5224">
        <v>0</v>
      </c>
    </row>
    <row r="5225" spans="1:4" hidden="1" x14ac:dyDescent="0.3">
      <c r="A5225" t="s">
        <v>591</v>
      </c>
      <c r="B5225" t="s">
        <v>13</v>
      </c>
      <c r="C5225" s="1">
        <f>HYPERLINK("https://cao.dolgi.msk.ru/account/1010739188/", 1010739188)</f>
        <v>1010739188</v>
      </c>
      <c r="D5225">
        <v>-1966.16</v>
      </c>
    </row>
    <row r="5226" spans="1:4" x14ac:dyDescent="0.3">
      <c r="A5226" t="s">
        <v>591</v>
      </c>
      <c r="B5226" t="s">
        <v>14</v>
      </c>
      <c r="C5226" s="1">
        <f>HYPERLINK("https://cao.dolgi.msk.ru/account/1010748244/", 1010748244)</f>
        <v>1010748244</v>
      </c>
      <c r="D5226">
        <v>5834.65</v>
      </c>
    </row>
    <row r="5227" spans="1:4" hidden="1" x14ac:dyDescent="0.3">
      <c r="A5227" t="s">
        <v>591</v>
      </c>
      <c r="B5227" t="s">
        <v>14</v>
      </c>
      <c r="C5227" s="1">
        <f>HYPERLINK("https://cao.dolgi.msk.ru/account/1011097076/", 1011097076)</f>
        <v>1011097076</v>
      </c>
      <c r="D5227">
        <v>-302.22000000000003</v>
      </c>
    </row>
    <row r="5228" spans="1:4" hidden="1" x14ac:dyDescent="0.3">
      <c r="A5228" t="s">
        <v>591</v>
      </c>
      <c r="B5228" t="s">
        <v>16</v>
      </c>
      <c r="C5228" s="1">
        <f>HYPERLINK("https://cao.dolgi.msk.ru/account/1010739233/", 1010739233)</f>
        <v>1010739233</v>
      </c>
      <c r="D5228">
        <v>-1617.16</v>
      </c>
    </row>
    <row r="5229" spans="1:4" x14ac:dyDescent="0.3">
      <c r="A5229" t="s">
        <v>591</v>
      </c>
      <c r="B5229" t="s">
        <v>17</v>
      </c>
      <c r="C5229" s="1">
        <f>HYPERLINK("https://cao.dolgi.msk.ru/account/1010739241/", 1010739241)</f>
        <v>1010739241</v>
      </c>
      <c r="D5229">
        <v>4752.24</v>
      </c>
    </row>
    <row r="5230" spans="1:4" hidden="1" x14ac:dyDescent="0.3">
      <c r="A5230" t="s">
        <v>591</v>
      </c>
      <c r="B5230" t="s">
        <v>17</v>
      </c>
      <c r="C5230" s="1">
        <f>HYPERLINK("https://cao.dolgi.msk.ru/account/1011020642/", 1011020642)</f>
        <v>1011020642</v>
      </c>
      <c r="D5230">
        <v>-3380.54</v>
      </c>
    </row>
    <row r="5231" spans="1:4" hidden="1" x14ac:dyDescent="0.3">
      <c r="A5231" t="s">
        <v>591</v>
      </c>
      <c r="B5231" t="s">
        <v>21</v>
      </c>
      <c r="C5231" s="1">
        <f>HYPERLINK("https://cao.dolgi.msk.ru/account/1010739276/", 1010739276)</f>
        <v>1010739276</v>
      </c>
      <c r="D5231">
        <v>-11119.88</v>
      </c>
    </row>
    <row r="5232" spans="1:4" x14ac:dyDescent="0.3">
      <c r="A5232" t="s">
        <v>591</v>
      </c>
      <c r="B5232" t="s">
        <v>21</v>
      </c>
      <c r="C5232" s="1">
        <f>HYPERLINK("https://cao.dolgi.msk.ru/account/1010739284/", 1010739284)</f>
        <v>1010739284</v>
      </c>
      <c r="D5232">
        <v>61589.75</v>
      </c>
    </row>
    <row r="5233" spans="1:4" x14ac:dyDescent="0.3">
      <c r="A5233" t="s">
        <v>591</v>
      </c>
      <c r="B5233" t="s">
        <v>22</v>
      </c>
      <c r="C5233" s="1">
        <f>HYPERLINK("https://cao.dolgi.msk.ru/account/1010739292/", 1010739292)</f>
        <v>1010739292</v>
      </c>
      <c r="D5233">
        <v>12153.99</v>
      </c>
    </row>
    <row r="5234" spans="1:4" hidden="1" x14ac:dyDescent="0.3">
      <c r="A5234" t="s">
        <v>592</v>
      </c>
      <c r="B5234" t="s">
        <v>28</v>
      </c>
      <c r="C5234" s="1">
        <f>HYPERLINK("https://cao.dolgi.msk.ru/account/1011465342/", 1011465342)</f>
        <v>1011465342</v>
      </c>
      <c r="D5234">
        <v>0</v>
      </c>
    </row>
    <row r="5235" spans="1:4" hidden="1" x14ac:dyDescent="0.3">
      <c r="A5235" t="s">
        <v>592</v>
      </c>
      <c r="B5235" t="s">
        <v>35</v>
      </c>
      <c r="C5235" s="1">
        <f>HYPERLINK("https://cao.dolgi.msk.ru/account/1011465238/", 1011465238)</f>
        <v>1011465238</v>
      </c>
      <c r="D5235">
        <v>0</v>
      </c>
    </row>
    <row r="5236" spans="1:4" x14ac:dyDescent="0.3">
      <c r="A5236" t="s">
        <v>592</v>
      </c>
      <c r="B5236" t="s">
        <v>5</v>
      </c>
      <c r="C5236" s="1">
        <f>HYPERLINK("https://cao.dolgi.msk.ru/account/1011465123/", 1011465123)</f>
        <v>1011465123</v>
      </c>
      <c r="D5236">
        <v>6456.11</v>
      </c>
    </row>
    <row r="5237" spans="1:4" hidden="1" x14ac:dyDescent="0.3">
      <c r="A5237" t="s">
        <v>592</v>
      </c>
      <c r="B5237" t="s">
        <v>7</v>
      </c>
      <c r="C5237" s="1">
        <f>HYPERLINK("https://cao.dolgi.msk.ru/account/1011465326/", 1011465326)</f>
        <v>1011465326</v>
      </c>
      <c r="D5237">
        <v>-0.01</v>
      </c>
    </row>
    <row r="5238" spans="1:4" x14ac:dyDescent="0.3">
      <c r="A5238" t="s">
        <v>592</v>
      </c>
      <c r="B5238" t="s">
        <v>8</v>
      </c>
      <c r="C5238" s="1">
        <f>HYPERLINK("https://cao.dolgi.msk.ru/account/1011465203/", 1011465203)</f>
        <v>1011465203</v>
      </c>
      <c r="D5238">
        <v>19620.2</v>
      </c>
    </row>
    <row r="5239" spans="1:4" hidden="1" x14ac:dyDescent="0.3">
      <c r="A5239" t="s">
        <v>592</v>
      </c>
      <c r="B5239" t="s">
        <v>31</v>
      </c>
      <c r="C5239" s="1">
        <f>HYPERLINK("https://cao.dolgi.msk.ru/account/1011465182/", 1011465182)</f>
        <v>1011465182</v>
      </c>
      <c r="D5239">
        <v>0</v>
      </c>
    </row>
    <row r="5240" spans="1:4" hidden="1" x14ac:dyDescent="0.3">
      <c r="A5240" t="s">
        <v>592</v>
      </c>
      <c r="B5240" t="s">
        <v>31</v>
      </c>
      <c r="C5240" s="1">
        <f>HYPERLINK("https://cao.dolgi.msk.ru/account/1011465297/", 1011465297)</f>
        <v>1011465297</v>
      </c>
      <c r="D5240">
        <v>-6817.59</v>
      </c>
    </row>
    <row r="5241" spans="1:4" hidden="1" x14ac:dyDescent="0.3">
      <c r="A5241" t="s">
        <v>592</v>
      </c>
      <c r="B5241" t="s">
        <v>9</v>
      </c>
      <c r="C5241" s="1">
        <f>HYPERLINK("https://cao.dolgi.msk.ru/account/1011465377/", 1011465377)</f>
        <v>1011465377</v>
      </c>
      <c r="D5241">
        <v>0</v>
      </c>
    </row>
    <row r="5242" spans="1:4" x14ac:dyDescent="0.3">
      <c r="A5242" t="s">
        <v>592</v>
      </c>
      <c r="B5242" t="s">
        <v>10</v>
      </c>
      <c r="C5242" s="1">
        <f>HYPERLINK("https://cao.dolgi.msk.ru/account/1011465262/", 1011465262)</f>
        <v>1011465262</v>
      </c>
      <c r="D5242">
        <v>26174.99</v>
      </c>
    </row>
    <row r="5243" spans="1:4" hidden="1" x14ac:dyDescent="0.3">
      <c r="A5243" t="s">
        <v>592</v>
      </c>
      <c r="B5243" t="s">
        <v>11</v>
      </c>
      <c r="C5243" s="1">
        <f>HYPERLINK("https://cao.dolgi.msk.ru/account/1011465131/", 1011465131)</f>
        <v>1011465131</v>
      </c>
      <c r="D5243">
        <v>0</v>
      </c>
    </row>
    <row r="5244" spans="1:4" hidden="1" x14ac:dyDescent="0.3">
      <c r="A5244" t="s">
        <v>592</v>
      </c>
      <c r="B5244" t="s">
        <v>12</v>
      </c>
      <c r="C5244" s="1">
        <f>HYPERLINK("https://cao.dolgi.msk.ru/account/1011465254/", 1011465254)</f>
        <v>1011465254</v>
      </c>
      <c r="D5244">
        <v>0</v>
      </c>
    </row>
    <row r="5245" spans="1:4" hidden="1" x14ac:dyDescent="0.3">
      <c r="A5245" t="s">
        <v>592</v>
      </c>
      <c r="B5245" t="s">
        <v>23</v>
      </c>
      <c r="C5245" s="1">
        <f>HYPERLINK("https://cao.dolgi.msk.ru/account/1011465211/", 1011465211)</f>
        <v>1011465211</v>
      </c>
      <c r="D5245">
        <v>0</v>
      </c>
    </row>
    <row r="5246" spans="1:4" hidden="1" x14ac:dyDescent="0.3">
      <c r="A5246" t="s">
        <v>592</v>
      </c>
      <c r="B5246" t="s">
        <v>13</v>
      </c>
      <c r="C5246" s="1">
        <f>HYPERLINK("https://cao.dolgi.msk.ru/account/1011465369/", 1011465369)</f>
        <v>1011465369</v>
      </c>
      <c r="D5246">
        <v>-173.65</v>
      </c>
    </row>
    <row r="5247" spans="1:4" hidden="1" x14ac:dyDescent="0.3">
      <c r="A5247" t="s">
        <v>592</v>
      </c>
      <c r="B5247" t="s">
        <v>14</v>
      </c>
      <c r="C5247" s="1">
        <f>HYPERLINK("https://cao.dolgi.msk.ru/account/1011465318/", 1011465318)</f>
        <v>1011465318</v>
      </c>
      <c r="D5247">
        <v>-8838.64</v>
      </c>
    </row>
    <row r="5248" spans="1:4" x14ac:dyDescent="0.3">
      <c r="A5248" t="s">
        <v>592</v>
      </c>
      <c r="B5248" t="s">
        <v>16</v>
      </c>
      <c r="C5248" s="1">
        <f>HYPERLINK("https://cao.dolgi.msk.ru/account/1011465166/", 1011465166)</f>
        <v>1011465166</v>
      </c>
      <c r="D5248">
        <v>50335.48</v>
      </c>
    </row>
    <row r="5249" spans="1:4" hidden="1" x14ac:dyDescent="0.3">
      <c r="A5249" t="s">
        <v>592</v>
      </c>
      <c r="B5249" t="s">
        <v>17</v>
      </c>
      <c r="C5249" s="1">
        <f>HYPERLINK("https://cao.dolgi.msk.ru/account/1011465174/", 1011465174)</f>
        <v>1011465174</v>
      </c>
      <c r="D5249">
        <v>0</v>
      </c>
    </row>
    <row r="5250" spans="1:4" hidden="1" x14ac:dyDescent="0.3">
      <c r="A5250" t="s">
        <v>592</v>
      </c>
      <c r="B5250" t="s">
        <v>18</v>
      </c>
      <c r="C5250" s="1">
        <f>HYPERLINK("https://cao.dolgi.msk.ru/account/1011465334/", 1011465334)</f>
        <v>1011465334</v>
      </c>
      <c r="D5250">
        <v>0</v>
      </c>
    </row>
    <row r="5251" spans="1:4" x14ac:dyDescent="0.3">
      <c r="A5251" t="s">
        <v>592</v>
      </c>
      <c r="B5251" t="s">
        <v>19</v>
      </c>
      <c r="C5251" s="1">
        <f>HYPERLINK("https://cao.dolgi.msk.ru/account/1011465246/", 1011465246)</f>
        <v>1011465246</v>
      </c>
      <c r="D5251">
        <v>18793.04</v>
      </c>
    </row>
    <row r="5252" spans="1:4" x14ac:dyDescent="0.3">
      <c r="A5252" t="s">
        <v>592</v>
      </c>
      <c r="B5252" t="s">
        <v>20</v>
      </c>
      <c r="C5252" s="1">
        <f>HYPERLINK("https://cao.dolgi.msk.ru/account/1011465289/", 1011465289)</f>
        <v>1011465289</v>
      </c>
      <c r="D5252">
        <v>8399.52</v>
      </c>
    </row>
    <row r="5253" spans="1:4" hidden="1" x14ac:dyDescent="0.3">
      <c r="A5253" t="s">
        <v>592</v>
      </c>
      <c r="B5253" t="s">
        <v>21</v>
      </c>
      <c r="C5253" s="1">
        <f>HYPERLINK("https://cao.dolgi.msk.ru/account/1011465158/", 1011465158)</f>
        <v>1011465158</v>
      </c>
      <c r="D5253">
        <v>0</v>
      </c>
    </row>
    <row r="5254" spans="1:4" hidden="1" x14ac:dyDescent="0.3">
      <c r="A5254" t="s">
        <v>593</v>
      </c>
      <c r="B5254" t="s">
        <v>6</v>
      </c>
      <c r="C5254" s="1">
        <f>HYPERLINK("https://cao.dolgi.msk.ru/account/1011465502/", 1011465502)</f>
        <v>1011465502</v>
      </c>
      <c r="D5254">
        <v>-25.47</v>
      </c>
    </row>
    <row r="5255" spans="1:4" hidden="1" x14ac:dyDescent="0.3">
      <c r="A5255" t="s">
        <v>593</v>
      </c>
      <c r="B5255" t="s">
        <v>35</v>
      </c>
      <c r="C5255" s="1">
        <f>HYPERLINK("https://cao.dolgi.msk.ru/account/1011465617/", 1011465617)</f>
        <v>1011465617</v>
      </c>
      <c r="D5255">
        <v>0</v>
      </c>
    </row>
    <row r="5256" spans="1:4" hidden="1" x14ac:dyDescent="0.3">
      <c r="A5256" t="s">
        <v>593</v>
      </c>
      <c r="B5256" t="s">
        <v>5</v>
      </c>
      <c r="C5256" s="1">
        <f>HYPERLINK("https://cao.dolgi.msk.ru/account/1011465625/", 1011465625)</f>
        <v>1011465625</v>
      </c>
      <c r="D5256">
        <v>0</v>
      </c>
    </row>
    <row r="5257" spans="1:4" hidden="1" x14ac:dyDescent="0.3">
      <c r="A5257" t="s">
        <v>593</v>
      </c>
      <c r="B5257" t="s">
        <v>7</v>
      </c>
      <c r="C5257" s="1">
        <f>HYPERLINK("https://cao.dolgi.msk.ru/account/1011465406/", 1011465406)</f>
        <v>1011465406</v>
      </c>
      <c r="D5257">
        <v>0</v>
      </c>
    </row>
    <row r="5258" spans="1:4" hidden="1" x14ac:dyDescent="0.3">
      <c r="A5258" t="s">
        <v>593</v>
      </c>
      <c r="B5258" t="s">
        <v>8</v>
      </c>
      <c r="C5258" s="1">
        <f>HYPERLINK("https://cao.dolgi.msk.ru/account/1011465422/", 1011465422)</f>
        <v>1011465422</v>
      </c>
      <c r="D5258">
        <v>0</v>
      </c>
    </row>
    <row r="5259" spans="1:4" hidden="1" x14ac:dyDescent="0.3">
      <c r="A5259" t="s">
        <v>593</v>
      </c>
      <c r="B5259" t="s">
        <v>31</v>
      </c>
      <c r="C5259" s="1">
        <f>HYPERLINK("https://cao.dolgi.msk.ru/account/1011465609/", 1011465609)</f>
        <v>1011465609</v>
      </c>
      <c r="D5259">
        <v>0</v>
      </c>
    </row>
    <row r="5260" spans="1:4" hidden="1" x14ac:dyDescent="0.3">
      <c r="A5260" t="s">
        <v>593</v>
      </c>
      <c r="B5260" t="s">
        <v>9</v>
      </c>
      <c r="C5260" s="1">
        <f>HYPERLINK("https://cao.dolgi.msk.ru/account/1011465596/", 1011465596)</f>
        <v>1011465596</v>
      </c>
      <c r="D5260">
        <v>-46.21</v>
      </c>
    </row>
    <row r="5261" spans="1:4" x14ac:dyDescent="0.3">
      <c r="A5261" t="s">
        <v>593</v>
      </c>
      <c r="B5261" t="s">
        <v>10</v>
      </c>
      <c r="C5261" s="1">
        <f>HYPERLINK("https://cao.dolgi.msk.ru/account/1011465457/", 1011465457)</f>
        <v>1011465457</v>
      </c>
      <c r="D5261">
        <v>1122.0899999999999</v>
      </c>
    </row>
    <row r="5262" spans="1:4" x14ac:dyDescent="0.3">
      <c r="A5262" t="s">
        <v>593</v>
      </c>
      <c r="B5262" t="s">
        <v>11</v>
      </c>
      <c r="C5262" s="1">
        <f>HYPERLINK("https://cao.dolgi.msk.ru/account/1011465561/", 1011465561)</f>
        <v>1011465561</v>
      </c>
      <c r="D5262">
        <v>2903.89</v>
      </c>
    </row>
    <row r="5263" spans="1:4" hidden="1" x14ac:dyDescent="0.3">
      <c r="A5263" t="s">
        <v>593</v>
      </c>
      <c r="B5263" t="s">
        <v>12</v>
      </c>
      <c r="C5263" s="1">
        <f>HYPERLINK("https://cao.dolgi.msk.ru/account/1011465449/", 1011465449)</f>
        <v>1011465449</v>
      </c>
      <c r="D5263">
        <v>0</v>
      </c>
    </row>
    <row r="5264" spans="1:4" hidden="1" x14ac:dyDescent="0.3">
      <c r="A5264" t="s">
        <v>593</v>
      </c>
      <c r="B5264" t="s">
        <v>23</v>
      </c>
      <c r="C5264" s="1">
        <f>HYPERLINK("https://cao.dolgi.msk.ru/account/1011465633/", 1011465633)</f>
        <v>1011465633</v>
      </c>
      <c r="D5264">
        <v>0</v>
      </c>
    </row>
    <row r="5265" spans="1:4" hidden="1" x14ac:dyDescent="0.3">
      <c r="A5265" t="s">
        <v>593</v>
      </c>
      <c r="B5265" t="s">
        <v>13</v>
      </c>
      <c r="C5265" s="1">
        <f>HYPERLINK("https://cao.dolgi.msk.ru/account/1011465545/", 1011465545)</f>
        <v>1011465545</v>
      </c>
      <c r="D5265">
        <v>0</v>
      </c>
    </row>
    <row r="5266" spans="1:4" hidden="1" x14ac:dyDescent="0.3">
      <c r="A5266" t="s">
        <v>593</v>
      </c>
      <c r="B5266" t="s">
        <v>14</v>
      </c>
      <c r="C5266" s="1">
        <f>HYPERLINK("https://cao.dolgi.msk.ru/account/1011465537/", 1011465537)</f>
        <v>1011465537</v>
      </c>
      <c r="D5266">
        <v>0</v>
      </c>
    </row>
    <row r="5267" spans="1:4" hidden="1" x14ac:dyDescent="0.3">
      <c r="A5267" t="s">
        <v>593</v>
      </c>
      <c r="B5267" t="s">
        <v>16</v>
      </c>
      <c r="C5267" s="1">
        <f>HYPERLINK("https://cao.dolgi.msk.ru/account/1011465414/", 1011465414)</f>
        <v>1011465414</v>
      </c>
      <c r="D5267">
        <v>0</v>
      </c>
    </row>
    <row r="5268" spans="1:4" hidden="1" x14ac:dyDescent="0.3">
      <c r="A5268" t="s">
        <v>593</v>
      </c>
      <c r="B5268" t="s">
        <v>17</v>
      </c>
      <c r="C5268" s="1">
        <f>HYPERLINK("https://cao.dolgi.msk.ru/account/1011465553/", 1011465553)</f>
        <v>1011465553</v>
      </c>
      <c r="D5268">
        <v>0</v>
      </c>
    </row>
    <row r="5269" spans="1:4" hidden="1" x14ac:dyDescent="0.3">
      <c r="A5269" t="s">
        <v>593</v>
      </c>
      <c r="B5269" t="s">
        <v>18</v>
      </c>
      <c r="C5269" s="1">
        <f>HYPERLINK("https://cao.dolgi.msk.ru/account/1011465529/", 1011465529)</f>
        <v>1011465529</v>
      </c>
      <c r="D5269">
        <v>0</v>
      </c>
    </row>
    <row r="5270" spans="1:4" hidden="1" x14ac:dyDescent="0.3">
      <c r="A5270" t="s">
        <v>593</v>
      </c>
      <c r="B5270" t="s">
        <v>19</v>
      </c>
      <c r="C5270" s="1">
        <f>HYPERLINK("https://cao.dolgi.msk.ru/account/1011465465/", 1011465465)</f>
        <v>1011465465</v>
      </c>
      <c r="D5270">
        <v>-515.80999999999995</v>
      </c>
    </row>
    <row r="5271" spans="1:4" x14ac:dyDescent="0.3">
      <c r="A5271" t="s">
        <v>593</v>
      </c>
      <c r="B5271" t="s">
        <v>20</v>
      </c>
      <c r="C5271" s="1">
        <f>HYPERLINK("https://cao.dolgi.msk.ru/account/1011465385/", 1011465385)</f>
        <v>1011465385</v>
      </c>
      <c r="D5271">
        <v>27411.68</v>
      </c>
    </row>
    <row r="5272" spans="1:4" hidden="1" x14ac:dyDescent="0.3">
      <c r="A5272" t="s">
        <v>593</v>
      </c>
      <c r="B5272" t="s">
        <v>21</v>
      </c>
      <c r="C5272" s="1">
        <f>HYPERLINK("https://cao.dolgi.msk.ru/account/1011465588/", 1011465588)</f>
        <v>1011465588</v>
      </c>
      <c r="D5272">
        <v>-6615.51</v>
      </c>
    </row>
    <row r="5273" spans="1:4" hidden="1" x14ac:dyDescent="0.3">
      <c r="A5273" t="s">
        <v>593</v>
      </c>
      <c r="B5273" t="s">
        <v>22</v>
      </c>
      <c r="C5273" s="1">
        <f>HYPERLINK("https://cao.dolgi.msk.ru/account/1011465393/", 1011465393)</f>
        <v>1011465393</v>
      </c>
      <c r="D5273">
        <v>0</v>
      </c>
    </row>
    <row r="5274" spans="1:4" hidden="1" x14ac:dyDescent="0.3">
      <c r="A5274" t="s">
        <v>593</v>
      </c>
      <c r="B5274" t="s">
        <v>24</v>
      </c>
      <c r="C5274" s="1">
        <f>HYPERLINK("https://cao.dolgi.msk.ru/account/1011465473/", 1011465473)</f>
        <v>1011465473</v>
      </c>
      <c r="D5274">
        <v>-4499.33</v>
      </c>
    </row>
    <row r="5275" spans="1:4" x14ac:dyDescent="0.3">
      <c r="A5275" t="s">
        <v>593</v>
      </c>
      <c r="B5275" t="s">
        <v>25</v>
      </c>
      <c r="C5275" s="1">
        <f>HYPERLINK("https://cao.dolgi.msk.ru/account/1011465481/", 1011465481)</f>
        <v>1011465481</v>
      </c>
      <c r="D5275">
        <v>0.13</v>
      </c>
    </row>
    <row r="5276" spans="1:4" hidden="1" x14ac:dyDescent="0.3">
      <c r="A5276" t="s">
        <v>594</v>
      </c>
      <c r="B5276" t="s">
        <v>6</v>
      </c>
      <c r="C5276" s="1">
        <f>HYPERLINK("https://cao.dolgi.msk.ru/account/1011466089/", 1011466089)</f>
        <v>1011466089</v>
      </c>
      <c r="D5276">
        <v>0</v>
      </c>
    </row>
    <row r="5277" spans="1:4" hidden="1" x14ac:dyDescent="0.3">
      <c r="A5277" t="s">
        <v>594</v>
      </c>
      <c r="B5277" t="s">
        <v>6</v>
      </c>
      <c r="C5277" s="1">
        <f>HYPERLINK("https://cao.dolgi.msk.ru/account/1011466804/", 1011466804)</f>
        <v>1011466804</v>
      </c>
      <c r="D5277">
        <v>0</v>
      </c>
    </row>
    <row r="5278" spans="1:4" hidden="1" x14ac:dyDescent="0.3">
      <c r="A5278" t="s">
        <v>594</v>
      </c>
      <c r="B5278" t="s">
        <v>28</v>
      </c>
      <c r="C5278" s="1">
        <f>HYPERLINK("https://cao.dolgi.msk.ru/account/1011466572/", 1011466572)</f>
        <v>1011466572</v>
      </c>
      <c r="D5278">
        <v>0</v>
      </c>
    </row>
    <row r="5279" spans="1:4" x14ac:dyDescent="0.3">
      <c r="A5279" t="s">
        <v>594</v>
      </c>
      <c r="B5279" t="s">
        <v>35</v>
      </c>
      <c r="C5279" s="1">
        <f>HYPERLINK("https://cao.dolgi.msk.ru/account/1011467575/", 1011467575)</f>
        <v>1011467575</v>
      </c>
      <c r="D5279">
        <v>21892.23</v>
      </c>
    </row>
    <row r="5280" spans="1:4" hidden="1" x14ac:dyDescent="0.3">
      <c r="A5280" t="s">
        <v>594</v>
      </c>
      <c r="B5280" t="s">
        <v>5</v>
      </c>
      <c r="C5280" s="1">
        <f>HYPERLINK("https://cao.dolgi.msk.ru/account/1011467022/", 1011467022)</f>
        <v>1011467022</v>
      </c>
      <c r="D5280">
        <v>0</v>
      </c>
    </row>
    <row r="5281" spans="1:4" hidden="1" x14ac:dyDescent="0.3">
      <c r="A5281" t="s">
        <v>594</v>
      </c>
      <c r="B5281" t="s">
        <v>7</v>
      </c>
      <c r="C5281" s="1">
        <f>HYPERLINK("https://cao.dolgi.msk.ru/account/1011466214/", 1011466214)</f>
        <v>1011466214</v>
      </c>
      <c r="D5281">
        <v>0</v>
      </c>
    </row>
    <row r="5282" spans="1:4" hidden="1" x14ac:dyDescent="0.3">
      <c r="A5282" t="s">
        <v>594</v>
      </c>
      <c r="B5282" t="s">
        <v>8</v>
      </c>
      <c r="C5282" s="1">
        <f>HYPERLINK("https://cao.dolgi.msk.ru/account/1011467866/", 1011467866)</f>
        <v>1011467866</v>
      </c>
      <c r="D5282">
        <v>-5505.2</v>
      </c>
    </row>
    <row r="5283" spans="1:4" hidden="1" x14ac:dyDescent="0.3">
      <c r="A5283" t="s">
        <v>594</v>
      </c>
      <c r="B5283" t="s">
        <v>31</v>
      </c>
      <c r="C5283" s="1">
        <f>HYPERLINK("https://cao.dolgi.msk.ru/account/1011467145/", 1011467145)</f>
        <v>1011467145</v>
      </c>
      <c r="D5283">
        <v>0</v>
      </c>
    </row>
    <row r="5284" spans="1:4" x14ac:dyDescent="0.3">
      <c r="A5284" t="s">
        <v>594</v>
      </c>
      <c r="B5284" t="s">
        <v>9</v>
      </c>
      <c r="C5284" s="1">
        <f>HYPERLINK("https://cao.dolgi.msk.ru/account/1011466492/", 1011466492)</f>
        <v>1011466492</v>
      </c>
      <c r="D5284">
        <v>6538.94</v>
      </c>
    </row>
    <row r="5285" spans="1:4" hidden="1" x14ac:dyDescent="0.3">
      <c r="A5285" t="s">
        <v>594</v>
      </c>
      <c r="B5285" t="s">
        <v>12</v>
      </c>
      <c r="C5285" s="1">
        <f>HYPERLINK("https://cao.dolgi.msk.ru/account/1011465772/", 1011465772)</f>
        <v>1011465772</v>
      </c>
      <c r="D5285">
        <v>0</v>
      </c>
    </row>
    <row r="5286" spans="1:4" hidden="1" x14ac:dyDescent="0.3">
      <c r="A5286" t="s">
        <v>594</v>
      </c>
      <c r="B5286" t="s">
        <v>23</v>
      </c>
      <c r="C5286" s="1">
        <f>HYPERLINK("https://cao.dolgi.msk.ru/account/1011465852/", 1011465852)</f>
        <v>1011465852</v>
      </c>
      <c r="D5286">
        <v>0</v>
      </c>
    </row>
    <row r="5287" spans="1:4" hidden="1" x14ac:dyDescent="0.3">
      <c r="A5287" t="s">
        <v>594</v>
      </c>
      <c r="B5287" t="s">
        <v>23</v>
      </c>
      <c r="C5287" s="1">
        <f>HYPERLINK("https://cao.dolgi.msk.ru/account/1011465991/", 1011465991)</f>
        <v>1011465991</v>
      </c>
      <c r="D5287">
        <v>0</v>
      </c>
    </row>
    <row r="5288" spans="1:4" hidden="1" x14ac:dyDescent="0.3">
      <c r="A5288" t="s">
        <v>594</v>
      </c>
      <c r="B5288" t="s">
        <v>23</v>
      </c>
      <c r="C5288" s="1">
        <f>HYPERLINK("https://cao.dolgi.msk.ru/account/1011466767/", 1011466767)</f>
        <v>1011466767</v>
      </c>
      <c r="D5288">
        <v>0</v>
      </c>
    </row>
    <row r="5289" spans="1:4" hidden="1" x14ac:dyDescent="0.3">
      <c r="A5289" t="s">
        <v>594</v>
      </c>
      <c r="B5289" t="s">
        <v>13</v>
      </c>
      <c r="C5289" s="1">
        <f>HYPERLINK("https://cao.dolgi.msk.ru/account/1011467794/", 1011467794)</f>
        <v>1011467794</v>
      </c>
      <c r="D5289">
        <v>-9018.86</v>
      </c>
    </row>
    <row r="5290" spans="1:4" hidden="1" x14ac:dyDescent="0.3">
      <c r="A5290" t="s">
        <v>594</v>
      </c>
      <c r="B5290" t="s">
        <v>14</v>
      </c>
      <c r="C5290" s="1">
        <f>HYPERLINK("https://cao.dolgi.msk.ru/account/1011466353/", 1011466353)</f>
        <v>1011466353</v>
      </c>
      <c r="D5290">
        <v>0</v>
      </c>
    </row>
    <row r="5291" spans="1:4" hidden="1" x14ac:dyDescent="0.3">
      <c r="A5291" t="s">
        <v>594</v>
      </c>
      <c r="B5291" t="s">
        <v>16</v>
      </c>
      <c r="C5291" s="1">
        <f>HYPERLINK("https://cao.dolgi.msk.ru/account/1011467313/", 1011467313)</f>
        <v>1011467313</v>
      </c>
      <c r="D5291">
        <v>0</v>
      </c>
    </row>
    <row r="5292" spans="1:4" hidden="1" x14ac:dyDescent="0.3">
      <c r="A5292" t="s">
        <v>594</v>
      </c>
      <c r="B5292" t="s">
        <v>17</v>
      </c>
      <c r="C5292" s="1">
        <f>HYPERLINK("https://cao.dolgi.msk.ru/account/1011466839/", 1011466839)</f>
        <v>1011466839</v>
      </c>
      <c r="D5292">
        <v>0</v>
      </c>
    </row>
    <row r="5293" spans="1:4" hidden="1" x14ac:dyDescent="0.3">
      <c r="A5293" t="s">
        <v>594</v>
      </c>
      <c r="B5293" t="s">
        <v>18</v>
      </c>
      <c r="C5293" s="1">
        <f>HYPERLINK("https://cao.dolgi.msk.ru/account/1011466142/", 1011466142)</f>
        <v>1011466142</v>
      </c>
      <c r="D5293">
        <v>0</v>
      </c>
    </row>
    <row r="5294" spans="1:4" hidden="1" x14ac:dyDescent="0.3">
      <c r="A5294" t="s">
        <v>594</v>
      </c>
      <c r="B5294" t="s">
        <v>19</v>
      </c>
      <c r="C5294" s="1">
        <f>HYPERLINK("https://cao.dolgi.msk.ru/account/1011466935/", 1011466935)</f>
        <v>1011466935</v>
      </c>
      <c r="D5294">
        <v>-5548.83</v>
      </c>
    </row>
    <row r="5295" spans="1:4" hidden="1" x14ac:dyDescent="0.3">
      <c r="A5295" t="s">
        <v>594</v>
      </c>
      <c r="B5295" t="s">
        <v>19</v>
      </c>
      <c r="C5295" s="1">
        <f>HYPERLINK("https://cao.dolgi.msk.ru/account/1011467268/", 1011467268)</f>
        <v>1011467268</v>
      </c>
      <c r="D5295">
        <v>0</v>
      </c>
    </row>
    <row r="5296" spans="1:4" x14ac:dyDescent="0.3">
      <c r="A5296" t="s">
        <v>594</v>
      </c>
      <c r="B5296" t="s">
        <v>19</v>
      </c>
      <c r="C5296" s="1">
        <f>HYPERLINK("https://cao.dolgi.msk.ru/account/1011467719/", 1011467719)</f>
        <v>1011467719</v>
      </c>
      <c r="D5296">
        <v>11602.8</v>
      </c>
    </row>
    <row r="5297" spans="1:4" hidden="1" x14ac:dyDescent="0.3">
      <c r="A5297" t="s">
        <v>594</v>
      </c>
      <c r="B5297" t="s">
        <v>20</v>
      </c>
      <c r="C5297" s="1">
        <f>HYPERLINK("https://cao.dolgi.msk.ru/account/1011465721/", 1011465721)</f>
        <v>1011465721</v>
      </c>
      <c r="D5297">
        <v>-12268.32</v>
      </c>
    </row>
    <row r="5298" spans="1:4" x14ac:dyDescent="0.3">
      <c r="A5298" t="s">
        <v>594</v>
      </c>
      <c r="B5298" t="s">
        <v>21</v>
      </c>
      <c r="C5298" s="1">
        <f>HYPERLINK("https://cao.dolgi.msk.ru/account/1011467778/", 1011467778)</f>
        <v>1011467778</v>
      </c>
      <c r="D5298">
        <v>1739.44</v>
      </c>
    </row>
    <row r="5299" spans="1:4" hidden="1" x14ac:dyDescent="0.3">
      <c r="A5299" t="s">
        <v>594</v>
      </c>
      <c r="B5299" t="s">
        <v>22</v>
      </c>
      <c r="C5299" s="1">
        <f>HYPERLINK("https://cao.dolgi.msk.ru/account/1011465748/", 1011465748)</f>
        <v>1011465748</v>
      </c>
      <c r="D5299">
        <v>0</v>
      </c>
    </row>
    <row r="5300" spans="1:4" x14ac:dyDescent="0.3">
      <c r="A5300" t="s">
        <v>594</v>
      </c>
      <c r="B5300" t="s">
        <v>24</v>
      </c>
      <c r="C5300" s="1">
        <f>HYPERLINK("https://cao.dolgi.msk.ru/account/1011465879/", 1011465879)</f>
        <v>1011465879</v>
      </c>
      <c r="D5300">
        <v>9954.89</v>
      </c>
    </row>
    <row r="5301" spans="1:4" hidden="1" x14ac:dyDescent="0.3">
      <c r="A5301" t="s">
        <v>594</v>
      </c>
      <c r="B5301" t="s">
        <v>25</v>
      </c>
      <c r="C5301" s="1">
        <f>HYPERLINK("https://cao.dolgi.msk.ru/account/1011465887/", 1011465887)</f>
        <v>1011465887</v>
      </c>
      <c r="D5301">
        <v>0</v>
      </c>
    </row>
    <row r="5302" spans="1:4" hidden="1" x14ac:dyDescent="0.3">
      <c r="A5302" t="s">
        <v>594</v>
      </c>
      <c r="B5302" t="s">
        <v>26</v>
      </c>
      <c r="C5302" s="1">
        <f>HYPERLINK("https://cao.dolgi.msk.ru/account/1011465705/", 1011465705)</f>
        <v>1011465705</v>
      </c>
      <c r="D5302">
        <v>0</v>
      </c>
    </row>
    <row r="5303" spans="1:4" hidden="1" x14ac:dyDescent="0.3">
      <c r="A5303" t="s">
        <v>594</v>
      </c>
      <c r="B5303" t="s">
        <v>27</v>
      </c>
      <c r="C5303" s="1">
        <f>HYPERLINK("https://cao.dolgi.msk.ru/account/1011466679/", 1011466679)</f>
        <v>1011466679</v>
      </c>
      <c r="D5303">
        <v>-40317.97</v>
      </c>
    </row>
    <row r="5304" spans="1:4" x14ac:dyDescent="0.3">
      <c r="A5304" t="s">
        <v>594</v>
      </c>
      <c r="B5304" t="s">
        <v>38</v>
      </c>
      <c r="C5304" s="1">
        <f>HYPERLINK("https://cao.dolgi.msk.ru/account/1011466847/", 1011466847)</f>
        <v>1011466847</v>
      </c>
      <c r="D5304">
        <v>15649.78</v>
      </c>
    </row>
    <row r="5305" spans="1:4" hidden="1" x14ac:dyDescent="0.3">
      <c r="A5305" t="s">
        <v>594</v>
      </c>
      <c r="B5305" t="s">
        <v>39</v>
      </c>
      <c r="C5305" s="1">
        <f>HYPERLINK("https://cao.dolgi.msk.ru/account/1011466222/", 1011466222)</f>
        <v>1011466222</v>
      </c>
      <c r="D5305">
        <v>0</v>
      </c>
    </row>
    <row r="5306" spans="1:4" hidden="1" x14ac:dyDescent="0.3">
      <c r="A5306" t="s">
        <v>594</v>
      </c>
      <c r="B5306" t="s">
        <v>40</v>
      </c>
      <c r="C5306" s="1">
        <f>HYPERLINK("https://cao.dolgi.msk.ru/account/1011467567/", 1011467567)</f>
        <v>1011467567</v>
      </c>
      <c r="D5306">
        <v>-867.88</v>
      </c>
    </row>
    <row r="5307" spans="1:4" hidden="1" x14ac:dyDescent="0.3">
      <c r="A5307" t="s">
        <v>594</v>
      </c>
      <c r="B5307" t="s">
        <v>41</v>
      </c>
      <c r="C5307" s="1">
        <f>HYPERLINK("https://cao.dolgi.msk.ru/account/1011465836/", 1011465836)</f>
        <v>1011465836</v>
      </c>
      <c r="D5307">
        <v>0</v>
      </c>
    </row>
    <row r="5308" spans="1:4" hidden="1" x14ac:dyDescent="0.3">
      <c r="A5308" t="s">
        <v>594</v>
      </c>
      <c r="B5308" t="s">
        <v>51</v>
      </c>
      <c r="C5308" s="1">
        <f>HYPERLINK("https://cao.dolgi.msk.ru/account/1011466943/", 1011466943)</f>
        <v>1011466943</v>
      </c>
      <c r="D5308">
        <v>0</v>
      </c>
    </row>
    <row r="5309" spans="1:4" hidden="1" x14ac:dyDescent="0.3">
      <c r="A5309" t="s">
        <v>594</v>
      </c>
      <c r="B5309" t="s">
        <v>52</v>
      </c>
      <c r="C5309" s="1">
        <f>HYPERLINK("https://cao.dolgi.msk.ru/account/1011467727/", 1011467727)</f>
        <v>1011467727</v>
      </c>
      <c r="D5309">
        <v>-88.62</v>
      </c>
    </row>
    <row r="5310" spans="1:4" hidden="1" x14ac:dyDescent="0.3">
      <c r="A5310" t="s">
        <v>594</v>
      </c>
      <c r="B5310" t="s">
        <v>53</v>
      </c>
      <c r="C5310" s="1">
        <f>HYPERLINK("https://cao.dolgi.msk.ru/account/1011467647/", 1011467647)</f>
        <v>1011467647</v>
      </c>
      <c r="D5310">
        <v>0</v>
      </c>
    </row>
    <row r="5311" spans="1:4" hidden="1" x14ac:dyDescent="0.3">
      <c r="A5311" t="s">
        <v>594</v>
      </c>
      <c r="B5311" t="s">
        <v>54</v>
      </c>
      <c r="C5311" s="1">
        <f>HYPERLINK("https://cao.dolgi.msk.ru/account/1011466652/", 1011466652)</f>
        <v>1011466652</v>
      </c>
      <c r="D5311">
        <v>0</v>
      </c>
    </row>
    <row r="5312" spans="1:4" hidden="1" x14ac:dyDescent="0.3">
      <c r="A5312" t="s">
        <v>594</v>
      </c>
      <c r="B5312" t="s">
        <v>55</v>
      </c>
      <c r="C5312" s="1">
        <f>HYPERLINK("https://cao.dolgi.msk.ru/account/1011466951/", 1011466951)</f>
        <v>1011466951</v>
      </c>
      <c r="D5312">
        <v>-11189.23</v>
      </c>
    </row>
    <row r="5313" spans="1:4" x14ac:dyDescent="0.3">
      <c r="A5313" t="s">
        <v>594</v>
      </c>
      <c r="B5313" t="s">
        <v>56</v>
      </c>
      <c r="C5313" s="1">
        <f>HYPERLINK("https://cao.dolgi.msk.ru/account/1011466599/", 1011466599)</f>
        <v>1011466599</v>
      </c>
      <c r="D5313">
        <v>39445.440000000002</v>
      </c>
    </row>
    <row r="5314" spans="1:4" x14ac:dyDescent="0.3">
      <c r="A5314" t="s">
        <v>594</v>
      </c>
      <c r="B5314" t="s">
        <v>87</v>
      </c>
      <c r="C5314" s="1">
        <f>HYPERLINK("https://cao.dolgi.msk.ru/account/1011466169/", 1011466169)</f>
        <v>1011466169</v>
      </c>
      <c r="D5314">
        <v>22558.34</v>
      </c>
    </row>
    <row r="5315" spans="1:4" hidden="1" x14ac:dyDescent="0.3">
      <c r="A5315" t="s">
        <v>594</v>
      </c>
      <c r="B5315" t="s">
        <v>88</v>
      </c>
      <c r="C5315" s="1">
        <f>HYPERLINK("https://cao.dolgi.msk.ru/account/1011467735/", 1011467735)</f>
        <v>1011467735</v>
      </c>
      <c r="D5315">
        <v>-0.04</v>
      </c>
    </row>
    <row r="5316" spans="1:4" hidden="1" x14ac:dyDescent="0.3">
      <c r="A5316" t="s">
        <v>594</v>
      </c>
      <c r="B5316" t="s">
        <v>89</v>
      </c>
      <c r="C5316" s="1">
        <f>HYPERLINK("https://cao.dolgi.msk.ru/account/1011466775/", 1011466775)</f>
        <v>1011466775</v>
      </c>
      <c r="D5316">
        <v>-146.74</v>
      </c>
    </row>
    <row r="5317" spans="1:4" x14ac:dyDescent="0.3">
      <c r="A5317" t="s">
        <v>594</v>
      </c>
      <c r="B5317" t="s">
        <v>90</v>
      </c>
      <c r="C5317" s="1">
        <f>HYPERLINK("https://cao.dolgi.msk.ru/account/1011466097/", 1011466097)</f>
        <v>1011466097</v>
      </c>
      <c r="D5317">
        <v>12795.36</v>
      </c>
    </row>
    <row r="5318" spans="1:4" hidden="1" x14ac:dyDescent="0.3">
      <c r="A5318" t="s">
        <v>594</v>
      </c>
      <c r="B5318" t="s">
        <v>97</v>
      </c>
      <c r="C5318" s="1">
        <f>HYPERLINK("https://cao.dolgi.msk.ru/account/1011466433/", 1011466433)</f>
        <v>1011466433</v>
      </c>
      <c r="D5318">
        <v>-12040.12</v>
      </c>
    </row>
    <row r="5319" spans="1:4" hidden="1" x14ac:dyDescent="0.3">
      <c r="A5319" t="s">
        <v>594</v>
      </c>
      <c r="B5319" t="s">
        <v>98</v>
      </c>
      <c r="C5319" s="1">
        <f>HYPERLINK("https://cao.dolgi.msk.ru/account/1011466177/", 1011466177)</f>
        <v>1011466177</v>
      </c>
      <c r="D5319">
        <v>-6533.19</v>
      </c>
    </row>
    <row r="5320" spans="1:4" hidden="1" x14ac:dyDescent="0.3">
      <c r="A5320" t="s">
        <v>594</v>
      </c>
      <c r="B5320" t="s">
        <v>58</v>
      </c>
      <c r="C5320" s="1">
        <f>HYPERLINK("https://cao.dolgi.msk.ru/account/1011467823/", 1011467823)</f>
        <v>1011467823</v>
      </c>
      <c r="D5320">
        <v>-9496.48</v>
      </c>
    </row>
    <row r="5321" spans="1:4" x14ac:dyDescent="0.3">
      <c r="A5321" t="s">
        <v>594</v>
      </c>
      <c r="B5321" t="s">
        <v>59</v>
      </c>
      <c r="C5321" s="1">
        <f>HYPERLINK("https://cao.dolgi.msk.ru/account/1011467807/", 1011467807)</f>
        <v>1011467807</v>
      </c>
      <c r="D5321">
        <v>6739.04</v>
      </c>
    </row>
    <row r="5322" spans="1:4" hidden="1" x14ac:dyDescent="0.3">
      <c r="A5322" t="s">
        <v>594</v>
      </c>
      <c r="B5322" t="s">
        <v>60</v>
      </c>
      <c r="C5322" s="1">
        <f>HYPERLINK("https://cao.dolgi.msk.ru/account/1011467006/", 1011467006)</f>
        <v>1011467006</v>
      </c>
      <c r="D5322">
        <v>0</v>
      </c>
    </row>
    <row r="5323" spans="1:4" hidden="1" x14ac:dyDescent="0.3">
      <c r="A5323" t="s">
        <v>594</v>
      </c>
      <c r="B5323" t="s">
        <v>61</v>
      </c>
      <c r="C5323" s="1">
        <f>HYPERLINK("https://cao.dolgi.msk.ru/account/1011465713/", 1011465713)</f>
        <v>1011465713</v>
      </c>
      <c r="D5323">
        <v>-9631.61</v>
      </c>
    </row>
    <row r="5324" spans="1:4" hidden="1" x14ac:dyDescent="0.3">
      <c r="A5324" t="s">
        <v>594</v>
      </c>
      <c r="B5324" t="s">
        <v>62</v>
      </c>
      <c r="C5324" s="1">
        <f>HYPERLINK("https://cao.dolgi.msk.ru/account/1011466708/", 1011466708)</f>
        <v>1011466708</v>
      </c>
      <c r="D5324">
        <v>0</v>
      </c>
    </row>
    <row r="5325" spans="1:4" x14ac:dyDescent="0.3">
      <c r="A5325" t="s">
        <v>594</v>
      </c>
      <c r="B5325" t="s">
        <v>63</v>
      </c>
      <c r="C5325" s="1">
        <f>HYPERLINK("https://cao.dolgi.msk.ru/account/1011466361/", 1011466361)</f>
        <v>1011466361</v>
      </c>
      <c r="D5325">
        <v>287.05</v>
      </c>
    </row>
    <row r="5326" spans="1:4" hidden="1" x14ac:dyDescent="0.3">
      <c r="A5326" t="s">
        <v>594</v>
      </c>
      <c r="B5326" t="s">
        <v>64</v>
      </c>
      <c r="C5326" s="1">
        <f>HYPERLINK("https://cao.dolgi.msk.ru/account/1011466281/", 1011466281)</f>
        <v>1011466281</v>
      </c>
      <c r="D5326">
        <v>0</v>
      </c>
    </row>
    <row r="5327" spans="1:4" hidden="1" x14ac:dyDescent="0.3">
      <c r="A5327" t="s">
        <v>594</v>
      </c>
      <c r="B5327" t="s">
        <v>65</v>
      </c>
      <c r="C5327" s="1">
        <f>HYPERLINK("https://cao.dolgi.msk.ru/account/1011465908/", 1011465908)</f>
        <v>1011465908</v>
      </c>
      <c r="D5327">
        <v>-6382.3</v>
      </c>
    </row>
    <row r="5328" spans="1:4" hidden="1" x14ac:dyDescent="0.3">
      <c r="A5328" t="s">
        <v>594</v>
      </c>
      <c r="B5328" t="s">
        <v>66</v>
      </c>
      <c r="C5328" s="1">
        <f>HYPERLINK("https://cao.dolgi.msk.ru/account/1011466687/", 1011466687)</f>
        <v>1011466687</v>
      </c>
      <c r="D5328">
        <v>-7048.23</v>
      </c>
    </row>
    <row r="5329" spans="1:4" x14ac:dyDescent="0.3">
      <c r="A5329" t="s">
        <v>594</v>
      </c>
      <c r="B5329" t="s">
        <v>67</v>
      </c>
      <c r="C5329" s="1">
        <f>HYPERLINK("https://cao.dolgi.msk.ru/account/1011465895/", 1011465895)</f>
        <v>1011465895</v>
      </c>
      <c r="D5329">
        <v>12301.68</v>
      </c>
    </row>
    <row r="5330" spans="1:4" hidden="1" x14ac:dyDescent="0.3">
      <c r="A5330" t="s">
        <v>594</v>
      </c>
      <c r="B5330" t="s">
        <v>68</v>
      </c>
      <c r="C5330" s="1">
        <f>HYPERLINK("https://cao.dolgi.msk.ru/account/1011466409/", 1011466409)</f>
        <v>1011466409</v>
      </c>
      <c r="D5330">
        <v>0</v>
      </c>
    </row>
    <row r="5331" spans="1:4" hidden="1" x14ac:dyDescent="0.3">
      <c r="A5331" t="s">
        <v>594</v>
      </c>
      <c r="B5331" t="s">
        <v>69</v>
      </c>
      <c r="C5331" s="1">
        <f>HYPERLINK("https://cao.dolgi.msk.ru/account/1011466732/", 1011466732)</f>
        <v>1011466732</v>
      </c>
      <c r="D5331">
        <v>0</v>
      </c>
    </row>
    <row r="5332" spans="1:4" hidden="1" x14ac:dyDescent="0.3">
      <c r="A5332" t="s">
        <v>594</v>
      </c>
      <c r="B5332" t="s">
        <v>70</v>
      </c>
      <c r="C5332" s="1">
        <f>HYPERLINK("https://cao.dolgi.msk.ru/account/1011467583/", 1011467583)</f>
        <v>1011467583</v>
      </c>
      <c r="D5332">
        <v>0</v>
      </c>
    </row>
    <row r="5333" spans="1:4" x14ac:dyDescent="0.3">
      <c r="A5333" t="s">
        <v>594</v>
      </c>
      <c r="B5333" t="s">
        <v>259</v>
      </c>
      <c r="C5333" s="1">
        <f>HYPERLINK("https://cao.dolgi.msk.ru/account/1011466003/", 1011466003)</f>
        <v>1011466003</v>
      </c>
      <c r="D5333">
        <v>18574.419999999998</v>
      </c>
    </row>
    <row r="5334" spans="1:4" hidden="1" x14ac:dyDescent="0.3">
      <c r="A5334" t="s">
        <v>594</v>
      </c>
      <c r="B5334" t="s">
        <v>100</v>
      </c>
      <c r="C5334" s="1">
        <f>HYPERLINK("https://cao.dolgi.msk.ru/account/1011466919/", 1011466919)</f>
        <v>1011466919</v>
      </c>
      <c r="D5334">
        <v>0</v>
      </c>
    </row>
    <row r="5335" spans="1:4" hidden="1" x14ac:dyDescent="0.3">
      <c r="A5335" t="s">
        <v>594</v>
      </c>
      <c r="B5335" t="s">
        <v>100</v>
      </c>
      <c r="C5335" s="1">
        <f>HYPERLINK("https://cao.dolgi.msk.ru/account/1011467284/", 1011467284)</f>
        <v>1011467284</v>
      </c>
      <c r="D5335">
        <v>0</v>
      </c>
    </row>
    <row r="5336" spans="1:4" hidden="1" x14ac:dyDescent="0.3">
      <c r="A5336" t="s">
        <v>594</v>
      </c>
      <c r="B5336" t="s">
        <v>72</v>
      </c>
      <c r="C5336" s="1">
        <f>HYPERLINK("https://cao.dolgi.msk.ru/account/1011465676/", 1011465676)</f>
        <v>1011465676</v>
      </c>
      <c r="D5336">
        <v>0</v>
      </c>
    </row>
    <row r="5337" spans="1:4" hidden="1" x14ac:dyDescent="0.3">
      <c r="A5337" t="s">
        <v>594</v>
      </c>
      <c r="B5337" t="s">
        <v>73</v>
      </c>
      <c r="C5337" s="1">
        <f>HYPERLINK("https://cao.dolgi.msk.ru/account/1011466388/", 1011466388)</f>
        <v>1011466388</v>
      </c>
      <c r="D5337">
        <v>-10532.47</v>
      </c>
    </row>
    <row r="5338" spans="1:4" hidden="1" x14ac:dyDescent="0.3">
      <c r="A5338" t="s">
        <v>594</v>
      </c>
      <c r="B5338" t="s">
        <v>74</v>
      </c>
      <c r="C5338" s="1">
        <f>HYPERLINK("https://cao.dolgi.msk.ru/account/1011466011/", 1011466011)</f>
        <v>1011466011</v>
      </c>
      <c r="D5338">
        <v>-9988.9</v>
      </c>
    </row>
    <row r="5339" spans="1:4" x14ac:dyDescent="0.3">
      <c r="A5339" t="s">
        <v>594</v>
      </c>
      <c r="B5339" t="s">
        <v>75</v>
      </c>
      <c r="C5339" s="1">
        <f>HYPERLINK("https://cao.dolgi.msk.ru/account/1011465967/", 1011465967)</f>
        <v>1011465967</v>
      </c>
      <c r="D5339">
        <v>7477.53</v>
      </c>
    </row>
    <row r="5340" spans="1:4" x14ac:dyDescent="0.3">
      <c r="A5340" t="s">
        <v>594</v>
      </c>
      <c r="B5340" t="s">
        <v>75</v>
      </c>
      <c r="C5340" s="1">
        <f>HYPERLINK("https://cao.dolgi.msk.ru/account/1011466505/", 1011466505)</f>
        <v>1011466505</v>
      </c>
      <c r="D5340">
        <v>59566.27</v>
      </c>
    </row>
    <row r="5341" spans="1:4" hidden="1" x14ac:dyDescent="0.3">
      <c r="A5341" t="s">
        <v>594</v>
      </c>
      <c r="B5341" t="s">
        <v>75</v>
      </c>
      <c r="C5341" s="1">
        <f>HYPERLINK("https://cao.dolgi.msk.ru/account/1011467196/", 1011467196)</f>
        <v>1011467196</v>
      </c>
      <c r="D5341">
        <v>-4271.3900000000003</v>
      </c>
    </row>
    <row r="5342" spans="1:4" x14ac:dyDescent="0.3">
      <c r="A5342" t="s">
        <v>594</v>
      </c>
      <c r="B5342" t="s">
        <v>76</v>
      </c>
      <c r="C5342" s="1">
        <f>HYPERLINK("https://cao.dolgi.msk.ru/account/1011465756/", 1011465756)</f>
        <v>1011465756</v>
      </c>
      <c r="D5342">
        <v>10568.44</v>
      </c>
    </row>
    <row r="5343" spans="1:4" hidden="1" x14ac:dyDescent="0.3">
      <c r="A5343" t="s">
        <v>594</v>
      </c>
      <c r="B5343" t="s">
        <v>77</v>
      </c>
      <c r="C5343" s="1">
        <f>HYPERLINK("https://cao.dolgi.msk.ru/account/1011467444/", 1011467444)</f>
        <v>1011467444</v>
      </c>
      <c r="D5343">
        <v>-7151.91</v>
      </c>
    </row>
    <row r="5344" spans="1:4" hidden="1" x14ac:dyDescent="0.3">
      <c r="A5344" t="s">
        <v>594</v>
      </c>
      <c r="B5344" t="s">
        <v>78</v>
      </c>
      <c r="C5344" s="1">
        <f>HYPERLINK("https://cao.dolgi.msk.ru/account/1011466249/", 1011466249)</f>
        <v>1011466249</v>
      </c>
      <c r="D5344">
        <v>0</v>
      </c>
    </row>
    <row r="5345" spans="1:4" hidden="1" x14ac:dyDescent="0.3">
      <c r="A5345" t="s">
        <v>594</v>
      </c>
      <c r="B5345" t="s">
        <v>79</v>
      </c>
      <c r="C5345" s="1">
        <f>HYPERLINK("https://cao.dolgi.msk.ru/account/1011466927/", 1011466927)</f>
        <v>1011466927</v>
      </c>
      <c r="D5345">
        <v>0</v>
      </c>
    </row>
    <row r="5346" spans="1:4" hidden="1" x14ac:dyDescent="0.3">
      <c r="A5346" t="s">
        <v>594</v>
      </c>
      <c r="B5346" t="s">
        <v>80</v>
      </c>
      <c r="C5346" s="1">
        <f>HYPERLINK("https://cao.dolgi.msk.ru/account/1011467321/", 1011467321)</f>
        <v>1011467321</v>
      </c>
      <c r="D5346">
        <v>-19553.38</v>
      </c>
    </row>
    <row r="5347" spans="1:4" hidden="1" x14ac:dyDescent="0.3">
      <c r="A5347" t="s">
        <v>594</v>
      </c>
      <c r="B5347" t="s">
        <v>81</v>
      </c>
      <c r="C5347" s="1">
        <f>HYPERLINK("https://cao.dolgi.msk.ru/account/1011467524/", 1011467524)</f>
        <v>1011467524</v>
      </c>
      <c r="D5347">
        <v>0</v>
      </c>
    </row>
    <row r="5348" spans="1:4" hidden="1" x14ac:dyDescent="0.3">
      <c r="A5348" t="s">
        <v>594</v>
      </c>
      <c r="B5348" t="s">
        <v>101</v>
      </c>
      <c r="C5348" s="1">
        <f>HYPERLINK("https://cao.dolgi.msk.ru/account/1011467452/", 1011467452)</f>
        <v>1011467452</v>
      </c>
      <c r="D5348">
        <v>0</v>
      </c>
    </row>
    <row r="5349" spans="1:4" hidden="1" x14ac:dyDescent="0.3">
      <c r="A5349" t="s">
        <v>594</v>
      </c>
      <c r="B5349" t="s">
        <v>82</v>
      </c>
      <c r="C5349" s="1">
        <f>HYPERLINK("https://cao.dolgi.msk.ru/account/1011466038/", 1011466038)</f>
        <v>1011466038</v>
      </c>
      <c r="D5349">
        <v>0</v>
      </c>
    </row>
    <row r="5350" spans="1:4" hidden="1" x14ac:dyDescent="0.3">
      <c r="A5350" t="s">
        <v>594</v>
      </c>
      <c r="B5350" t="s">
        <v>83</v>
      </c>
      <c r="C5350" s="1">
        <f>HYPERLINK("https://cao.dolgi.msk.ru/account/1011467102/", 1011467102)</f>
        <v>1011467102</v>
      </c>
      <c r="D5350">
        <v>0</v>
      </c>
    </row>
    <row r="5351" spans="1:4" hidden="1" x14ac:dyDescent="0.3">
      <c r="A5351" t="s">
        <v>594</v>
      </c>
      <c r="B5351" t="s">
        <v>84</v>
      </c>
      <c r="C5351" s="1">
        <f>HYPERLINK("https://cao.dolgi.msk.ru/account/1011466513/", 1011466513)</f>
        <v>1011466513</v>
      </c>
      <c r="D5351">
        <v>0</v>
      </c>
    </row>
    <row r="5352" spans="1:4" hidden="1" x14ac:dyDescent="0.3">
      <c r="A5352" t="s">
        <v>594</v>
      </c>
      <c r="B5352" t="s">
        <v>85</v>
      </c>
      <c r="C5352" s="1">
        <f>HYPERLINK("https://cao.dolgi.msk.ru/account/1011466716/", 1011466716)</f>
        <v>1011466716</v>
      </c>
      <c r="D5352">
        <v>0</v>
      </c>
    </row>
    <row r="5353" spans="1:4" hidden="1" x14ac:dyDescent="0.3">
      <c r="A5353" t="s">
        <v>594</v>
      </c>
      <c r="B5353" t="s">
        <v>85</v>
      </c>
      <c r="C5353" s="1">
        <f>HYPERLINK("https://cao.dolgi.msk.ru/account/1011467049/", 1011467049)</f>
        <v>1011467049</v>
      </c>
      <c r="D5353">
        <v>0</v>
      </c>
    </row>
    <row r="5354" spans="1:4" x14ac:dyDescent="0.3">
      <c r="A5354" t="s">
        <v>594</v>
      </c>
      <c r="B5354" t="s">
        <v>85</v>
      </c>
      <c r="C5354" s="1">
        <f>HYPERLINK("https://cao.dolgi.msk.ru/account/1011467655/", 1011467655)</f>
        <v>1011467655</v>
      </c>
      <c r="D5354">
        <v>21036.82</v>
      </c>
    </row>
    <row r="5355" spans="1:4" hidden="1" x14ac:dyDescent="0.3">
      <c r="A5355" t="s">
        <v>594</v>
      </c>
      <c r="B5355" t="s">
        <v>102</v>
      </c>
      <c r="C5355" s="1">
        <f>HYPERLINK("https://cao.dolgi.msk.ru/account/1011467209/", 1011467209)</f>
        <v>1011467209</v>
      </c>
      <c r="D5355">
        <v>-6277.86</v>
      </c>
    </row>
    <row r="5356" spans="1:4" hidden="1" x14ac:dyDescent="0.3">
      <c r="A5356" t="s">
        <v>594</v>
      </c>
      <c r="B5356" t="s">
        <v>103</v>
      </c>
      <c r="C5356" s="1">
        <f>HYPERLINK("https://cao.dolgi.msk.ru/account/1011467153/", 1011467153)</f>
        <v>1011467153</v>
      </c>
      <c r="D5356">
        <v>0</v>
      </c>
    </row>
    <row r="5357" spans="1:4" hidden="1" x14ac:dyDescent="0.3">
      <c r="A5357" t="s">
        <v>594</v>
      </c>
      <c r="B5357" t="s">
        <v>104</v>
      </c>
      <c r="C5357" s="1">
        <f>HYPERLINK("https://cao.dolgi.msk.ru/account/1011467292/", 1011467292)</f>
        <v>1011467292</v>
      </c>
      <c r="D5357">
        <v>0</v>
      </c>
    </row>
    <row r="5358" spans="1:4" x14ac:dyDescent="0.3">
      <c r="A5358" t="s">
        <v>594</v>
      </c>
      <c r="B5358" t="s">
        <v>105</v>
      </c>
      <c r="C5358" s="1">
        <f>HYPERLINK("https://cao.dolgi.msk.ru/account/1011465764/", 1011465764)</f>
        <v>1011465764</v>
      </c>
      <c r="D5358">
        <v>128860.11</v>
      </c>
    </row>
    <row r="5359" spans="1:4" hidden="1" x14ac:dyDescent="0.3">
      <c r="A5359" t="s">
        <v>594</v>
      </c>
      <c r="B5359" t="s">
        <v>106</v>
      </c>
      <c r="C5359" s="1">
        <f>HYPERLINK("https://cao.dolgi.msk.ru/account/1011466863/", 1011466863)</f>
        <v>1011466863</v>
      </c>
      <c r="D5359">
        <v>-8279.14</v>
      </c>
    </row>
    <row r="5360" spans="1:4" x14ac:dyDescent="0.3">
      <c r="A5360" t="s">
        <v>594</v>
      </c>
      <c r="B5360" t="s">
        <v>107</v>
      </c>
      <c r="C5360" s="1">
        <f>HYPERLINK("https://cao.dolgi.msk.ru/account/1011467305/", 1011467305)</f>
        <v>1011467305</v>
      </c>
      <c r="D5360">
        <v>16013.17</v>
      </c>
    </row>
    <row r="5361" spans="1:4" x14ac:dyDescent="0.3">
      <c r="A5361" t="s">
        <v>594</v>
      </c>
      <c r="B5361" t="s">
        <v>108</v>
      </c>
      <c r="C5361" s="1">
        <f>HYPERLINK("https://cao.dolgi.msk.ru/account/1011467364/", 1011467364)</f>
        <v>1011467364</v>
      </c>
      <c r="D5361">
        <v>9266.93</v>
      </c>
    </row>
    <row r="5362" spans="1:4" hidden="1" x14ac:dyDescent="0.3">
      <c r="A5362" t="s">
        <v>594</v>
      </c>
      <c r="B5362" t="s">
        <v>109</v>
      </c>
      <c r="C5362" s="1">
        <f>HYPERLINK("https://cao.dolgi.msk.ru/account/1011467217/", 1011467217)</f>
        <v>1011467217</v>
      </c>
      <c r="D5362">
        <v>-10646.81</v>
      </c>
    </row>
    <row r="5363" spans="1:4" hidden="1" x14ac:dyDescent="0.3">
      <c r="A5363" t="s">
        <v>594</v>
      </c>
      <c r="B5363" t="s">
        <v>110</v>
      </c>
      <c r="C5363" s="1">
        <f>HYPERLINK("https://cao.dolgi.msk.ru/account/1011466601/", 1011466601)</f>
        <v>1011466601</v>
      </c>
      <c r="D5363">
        <v>0</v>
      </c>
    </row>
    <row r="5364" spans="1:4" hidden="1" x14ac:dyDescent="0.3">
      <c r="A5364" t="s">
        <v>594</v>
      </c>
      <c r="B5364" t="s">
        <v>111</v>
      </c>
      <c r="C5364" s="1">
        <f>HYPERLINK("https://cao.dolgi.msk.ru/account/1011465983/", 1011465983)</f>
        <v>1011465983</v>
      </c>
      <c r="D5364">
        <v>0</v>
      </c>
    </row>
    <row r="5365" spans="1:4" hidden="1" x14ac:dyDescent="0.3">
      <c r="A5365" t="s">
        <v>594</v>
      </c>
      <c r="B5365" t="s">
        <v>111</v>
      </c>
      <c r="C5365" s="1">
        <f>HYPERLINK("https://cao.dolgi.msk.ru/account/1011467401/", 1011467401)</f>
        <v>1011467401</v>
      </c>
      <c r="D5365">
        <v>0</v>
      </c>
    </row>
    <row r="5366" spans="1:4" hidden="1" x14ac:dyDescent="0.3">
      <c r="A5366" t="s">
        <v>594</v>
      </c>
      <c r="B5366" t="s">
        <v>112</v>
      </c>
      <c r="C5366" s="1">
        <f>HYPERLINK("https://cao.dolgi.msk.ru/account/1011466521/", 1011466521)</f>
        <v>1011466521</v>
      </c>
      <c r="D5366">
        <v>0</v>
      </c>
    </row>
    <row r="5367" spans="1:4" hidden="1" x14ac:dyDescent="0.3">
      <c r="A5367" t="s">
        <v>594</v>
      </c>
      <c r="B5367" t="s">
        <v>114</v>
      </c>
      <c r="C5367" s="1">
        <f>HYPERLINK("https://cao.dolgi.msk.ru/account/1011465924/", 1011465924)</f>
        <v>1011465924</v>
      </c>
      <c r="D5367">
        <v>0</v>
      </c>
    </row>
    <row r="5368" spans="1:4" hidden="1" x14ac:dyDescent="0.3">
      <c r="A5368" t="s">
        <v>594</v>
      </c>
      <c r="B5368" t="s">
        <v>115</v>
      </c>
      <c r="C5368" s="1">
        <f>HYPERLINK("https://cao.dolgi.msk.ru/account/1011467663/", 1011467663)</f>
        <v>1011467663</v>
      </c>
      <c r="D5368">
        <v>-145</v>
      </c>
    </row>
    <row r="5369" spans="1:4" hidden="1" x14ac:dyDescent="0.3">
      <c r="A5369" t="s">
        <v>594</v>
      </c>
      <c r="B5369" t="s">
        <v>116</v>
      </c>
      <c r="C5369" s="1">
        <f>HYPERLINK("https://cao.dolgi.msk.ru/account/1011467129/", 1011467129)</f>
        <v>1011467129</v>
      </c>
      <c r="D5369">
        <v>0</v>
      </c>
    </row>
    <row r="5370" spans="1:4" hidden="1" x14ac:dyDescent="0.3">
      <c r="A5370" t="s">
        <v>594</v>
      </c>
      <c r="B5370" t="s">
        <v>266</v>
      </c>
      <c r="C5370" s="1">
        <f>HYPERLINK("https://cao.dolgi.msk.ru/account/1011467487/", 1011467487)</f>
        <v>1011467487</v>
      </c>
      <c r="D5370">
        <v>0</v>
      </c>
    </row>
    <row r="5371" spans="1:4" hidden="1" x14ac:dyDescent="0.3">
      <c r="A5371" t="s">
        <v>594</v>
      </c>
      <c r="B5371" t="s">
        <v>117</v>
      </c>
      <c r="C5371" s="1">
        <f>HYPERLINK("https://cao.dolgi.msk.ru/account/1011466046/", 1011466046)</f>
        <v>1011466046</v>
      </c>
      <c r="D5371">
        <v>-162.19999999999999</v>
      </c>
    </row>
    <row r="5372" spans="1:4" x14ac:dyDescent="0.3">
      <c r="A5372" t="s">
        <v>594</v>
      </c>
      <c r="B5372" t="s">
        <v>118</v>
      </c>
      <c r="C5372" s="1">
        <f>HYPERLINK("https://cao.dolgi.msk.ru/account/1011466548/", 1011466548)</f>
        <v>1011466548</v>
      </c>
      <c r="D5372">
        <v>65670.81</v>
      </c>
    </row>
    <row r="5373" spans="1:4" hidden="1" x14ac:dyDescent="0.3">
      <c r="A5373" t="s">
        <v>594</v>
      </c>
      <c r="B5373" t="s">
        <v>119</v>
      </c>
      <c r="C5373" s="1">
        <f>HYPERLINK("https://cao.dolgi.msk.ru/account/1011466185/", 1011466185)</f>
        <v>1011466185</v>
      </c>
      <c r="D5373">
        <v>-114.09</v>
      </c>
    </row>
    <row r="5374" spans="1:4" hidden="1" x14ac:dyDescent="0.3">
      <c r="A5374" t="s">
        <v>594</v>
      </c>
      <c r="B5374" t="s">
        <v>120</v>
      </c>
      <c r="C5374" s="1">
        <f>HYPERLINK("https://cao.dolgi.msk.ru/account/1011467591/", 1011467591)</f>
        <v>1011467591</v>
      </c>
      <c r="D5374">
        <v>0</v>
      </c>
    </row>
    <row r="5375" spans="1:4" x14ac:dyDescent="0.3">
      <c r="A5375" t="s">
        <v>594</v>
      </c>
      <c r="B5375" t="s">
        <v>121</v>
      </c>
      <c r="C5375" s="1">
        <f>HYPERLINK("https://cao.dolgi.msk.ru/account/1011467057/", 1011467057)</f>
        <v>1011467057</v>
      </c>
      <c r="D5375">
        <v>607</v>
      </c>
    </row>
    <row r="5376" spans="1:4" hidden="1" x14ac:dyDescent="0.3">
      <c r="A5376" t="s">
        <v>594</v>
      </c>
      <c r="B5376" t="s">
        <v>122</v>
      </c>
      <c r="C5376" s="1">
        <f>HYPERLINK("https://cao.dolgi.msk.ru/account/1011467372/", 1011467372)</f>
        <v>1011467372</v>
      </c>
      <c r="D5376">
        <v>-8143.26</v>
      </c>
    </row>
    <row r="5377" spans="1:4" hidden="1" x14ac:dyDescent="0.3">
      <c r="A5377" t="s">
        <v>594</v>
      </c>
      <c r="B5377" t="s">
        <v>123</v>
      </c>
      <c r="C5377" s="1">
        <f>HYPERLINK("https://cao.dolgi.msk.ru/account/1011466417/", 1011466417)</f>
        <v>1011466417</v>
      </c>
      <c r="D5377">
        <v>0</v>
      </c>
    </row>
    <row r="5378" spans="1:4" hidden="1" x14ac:dyDescent="0.3">
      <c r="A5378" t="s">
        <v>594</v>
      </c>
      <c r="B5378" t="s">
        <v>124</v>
      </c>
      <c r="C5378" s="1">
        <f>HYPERLINK("https://cao.dolgi.msk.ru/account/1011465932/", 1011465932)</f>
        <v>1011465932</v>
      </c>
      <c r="D5378">
        <v>-10847.79</v>
      </c>
    </row>
    <row r="5379" spans="1:4" hidden="1" x14ac:dyDescent="0.3">
      <c r="A5379" t="s">
        <v>594</v>
      </c>
      <c r="B5379" t="s">
        <v>125</v>
      </c>
      <c r="C5379" s="1">
        <f>HYPERLINK("https://cao.dolgi.msk.ru/account/1011467532/", 1011467532)</f>
        <v>1011467532</v>
      </c>
      <c r="D5379">
        <v>-64</v>
      </c>
    </row>
    <row r="5380" spans="1:4" x14ac:dyDescent="0.3">
      <c r="A5380" t="s">
        <v>594</v>
      </c>
      <c r="B5380" t="s">
        <v>126</v>
      </c>
      <c r="C5380" s="1">
        <f>HYPERLINK("https://cao.dolgi.msk.ru/account/1011466468/", 1011466468)</f>
        <v>1011466468</v>
      </c>
      <c r="D5380">
        <v>14280.94</v>
      </c>
    </row>
    <row r="5381" spans="1:4" hidden="1" x14ac:dyDescent="0.3">
      <c r="A5381" t="s">
        <v>594</v>
      </c>
      <c r="B5381" t="s">
        <v>127</v>
      </c>
      <c r="C5381" s="1">
        <f>HYPERLINK("https://cao.dolgi.msk.ru/account/1011466628/", 1011466628)</f>
        <v>1011466628</v>
      </c>
      <c r="D5381">
        <v>-5451.23</v>
      </c>
    </row>
    <row r="5382" spans="1:4" hidden="1" x14ac:dyDescent="0.3">
      <c r="A5382" t="s">
        <v>594</v>
      </c>
      <c r="B5382" t="s">
        <v>262</v>
      </c>
      <c r="C5382" s="1">
        <f>HYPERLINK("https://cao.dolgi.msk.ru/account/1011467786/", 1011467786)</f>
        <v>1011467786</v>
      </c>
      <c r="D5382">
        <v>0</v>
      </c>
    </row>
    <row r="5383" spans="1:4" hidden="1" x14ac:dyDescent="0.3">
      <c r="A5383" t="s">
        <v>594</v>
      </c>
      <c r="B5383" t="s">
        <v>128</v>
      </c>
      <c r="C5383" s="1">
        <f>HYPERLINK("https://cao.dolgi.msk.ru/account/1011467428/", 1011467428)</f>
        <v>1011467428</v>
      </c>
      <c r="D5383">
        <v>0</v>
      </c>
    </row>
    <row r="5384" spans="1:4" hidden="1" x14ac:dyDescent="0.3">
      <c r="A5384" t="s">
        <v>594</v>
      </c>
      <c r="B5384" t="s">
        <v>129</v>
      </c>
      <c r="C5384" s="1">
        <f>HYPERLINK("https://cao.dolgi.msk.ru/account/1011467161/", 1011467161)</f>
        <v>1011467161</v>
      </c>
      <c r="D5384">
        <v>-325.75</v>
      </c>
    </row>
    <row r="5385" spans="1:4" hidden="1" x14ac:dyDescent="0.3">
      <c r="A5385" t="s">
        <v>594</v>
      </c>
      <c r="B5385" t="s">
        <v>130</v>
      </c>
      <c r="C5385" s="1">
        <f>HYPERLINK("https://cao.dolgi.msk.ru/account/1011467073/", 1011467073)</f>
        <v>1011467073</v>
      </c>
      <c r="D5385">
        <v>-5135.6000000000004</v>
      </c>
    </row>
    <row r="5386" spans="1:4" hidden="1" x14ac:dyDescent="0.3">
      <c r="A5386" t="s">
        <v>594</v>
      </c>
      <c r="B5386" t="s">
        <v>131</v>
      </c>
      <c r="C5386" s="1">
        <f>HYPERLINK("https://cao.dolgi.msk.ru/account/1011465799/", 1011465799)</f>
        <v>1011465799</v>
      </c>
      <c r="D5386">
        <v>0</v>
      </c>
    </row>
    <row r="5387" spans="1:4" hidden="1" x14ac:dyDescent="0.3">
      <c r="A5387" t="s">
        <v>594</v>
      </c>
      <c r="B5387" t="s">
        <v>132</v>
      </c>
      <c r="C5387" s="1">
        <f>HYPERLINK("https://cao.dolgi.msk.ru/account/1011465801/", 1011465801)</f>
        <v>1011465801</v>
      </c>
      <c r="D5387">
        <v>-8617.19</v>
      </c>
    </row>
    <row r="5388" spans="1:4" x14ac:dyDescent="0.3">
      <c r="A5388" t="s">
        <v>594</v>
      </c>
      <c r="B5388" t="s">
        <v>133</v>
      </c>
      <c r="C5388" s="1">
        <f>HYPERLINK("https://cao.dolgi.msk.ru/account/1011466193/", 1011466193)</f>
        <v>1011466193</v>
      </c>
      <c r="D5388">
        <v>13691.57</v>
      </c>
    </row>
    <row r="5389" spans="1:4" x14ac:dyDescent="0.3">
      <c r="A5389" t="s">
        <v>594</v>
      </c>
      <c r="B5389" t="s">
        <v>134</v>
      </c>
      <c r="C5389" s="1">
        <f>HYPERLINK("https://cao.dolgi.msk.ru/account/1011467188/", 1011467188)</f>
        <v>1011467188</v>
      </c>
      <c r="D5389">
        <v>6794.09</v>
      </c>
    </row>
    <row r="5390" spans="1:4" x14ac:dyDescent="0.3">
      <c r="A5390" t="s">
        <v>594</v>
      </c>
      <c r="B5390" t="s">
        <v>136</v>
      </c>
      <c r="C5390" s="1">
        <f>HYPERLINK("https://cao.dolgi.msk.ru/account/1011467671/", 1011467671)</f>
        <v>1011467671</v>
      </c>
      <c r="D5390">
        <v>3511.23</v>
      </c>
    </row>
    <row r="5391" spans="1:4" hidden="1" x14ac:dyDescent="0.3">
      <c r="A5391" t="s">
        <v>594</v>
      </c>
      <c r="B5391" t="s">
        <v>137</v>
      </c>
      <c r="C5391" s="1">
        <f>HYPERLINK("https://cao.dolgi.msk.ru/account/1011467743/", 1011467743)</f>
        <v>1011467743</v>
      </c>
      <c r="D5391">
        <v>-345.46</v>
      </c>
    </row>
    <row r="5392" spans="1:4" hidden="1" x14ac:dyDescent="0.3">
      <c r="A5392" t="s">
        <v>594</v>
      </c>
      <c r="B5392" t="s">
        <v>138</v>
      </c>
      <c r="C5392" s="1">
        <f>HYPERLINK("https://cao.dolgi.msk.ru/account/1011466257/", 1011466257)</f>
        <v>1011466257</v>
      </c>
      <c r="D5392">
        <v>0</v>
      </c>
    </row>
    <row r="5393" spans="1:4" hidden="1" x14ac:dyDescent="0.3">
      <c r="A5393" t="s">
        <v>594</v>
      </c>
      <c r="B5393" t="s">
        <v>139</v>
      </c>
      <c r="C5393" s="1">
        <f>HYPERLINK("https://cao.dolgi.msk.ru/account/1011466812/", 1011466812)</f>
        <v>1011466812</v>
      </c>
      <c r="D5393">
        <v>0</v>
      </c>
    </row>
    <row r="5394" spans="1:4" hidden="1" x14ac:dyDescent="0.3">
      <c r="A5394" t="s">
        <v>594</v>
      </c>
      <c r="B5394" t="s">
        <v>140</v>
      </c>
      <c r="C5394" s="1">
        <f>HYPERLINK("https://cao.dolgi.msk.ru/account/1011465641/", 1011465641)</f>
        <v>1011465641</v>
      </c>
      <c r="D5394">
        <v>0</v>
      </c>
    </row>
    <row r="5395" spans="1:4" hidden="1" x14ac:dyDescent="0.3">
      <c r="A5395" t="s">
        <v>594</v>
      </c>
      <c r="B5395" t="s">
        <v>141</v>
      </c>
      <c r="C5395" s="1">
        <f>HYPERLINK("https://cao.dolgi.msk.ru/account/1011465684/", 1011465684)</f>
        <v>1011465684</v>
      </c>
      <c r="D5395">
        <v>-6608.17</v>
      </c>
    </row>
    <row r="5396" spans="1:4" hidden="1" x14ac:dyDescent="0.3">
      <c r="A5396" t="s">
        <v>594</v>
      </c>
      <c r="B5396" t="s">
        <v>142</v>
      </c>
      <c r="C5396" s="1">
        <f>HYPERLINK("https://cao.dolgi.msk.ru/account/1011466206/", 1011466206)</f>
        <v>1011466206</v>
      </c>
      <c r="D5396">
        <v>0</v>
      </c>
    </row>
    <row r="5397" spans="1:4" hidden="1" x14ac:dyDescent="0.3">
      <c r="A5397" t="s">
        <v>594</v>
      </c>
      <c r="B5397" t="s">
        <v>143</v>
      </c>
      <c r="C5397" s="1">
        <f>HYPERLINK("https://cao.dolgi.msk.ru/account/1011465668/", 1011465668)</f>
        <v>1011465668</v>
      </c>
      <c r="D5397">
        <v>0</v>
      </c>
    </row>
    <row r="5398" spans="1:4" hidden="1" x14ac:dyDescent="0.3">
      <c r="A5398" t="s">
        <v>594</v>
      </c>
      <c r="B5398" t="s">
        <v>144</v>
      </c>
      <c r="C5398" s="1">
        <f>HYPERLINK("https://cao.dolgi.msk.ru/account/1011465959/", 1011465959)</f>
        <v>1011465959</v>
      </c>
      <c r="D5398">
        <v>0</v>
      </c>
    </row>
    <row r="5399" spans="1:4" hidden="1" x14ac:dyDescent="0.3">
      <c r="A5399" t="s">
        <v>594</v>
      </c>
      <c r="B5399" t="s">
        <v>145</v>
      </c>
      <c r="C5399" s="1">
        <f>HYPERLINK("https://cao.dolgi.msk.ru/account/1011466118/", 1011466118)</f>
        <v>1011466118</v>
      </c>
      <c r="D5399">
        <v>-10458.4</v>
      </c>
    </row>
    <row r="5400" spans="1:4" hidden="1" x14ac:dyDescent="0.3">
      <c r="A5400" t="s">
        <v>594</v>
      </c>
      <c r="B5400" t="s">
        <v>146</v>
      </c>
      <c r="C5400" s="1">
        <f>HYPERLINK("https://cao.dolgi.msk.ru/account/1011466978/", 1011466978)</f>
        <v>1011466978</v>
      </c>
      <c r="D5400">
        <v>0</v>
      </c>
    </row>
    <row r="5401" spans="1:4" hidden="1" x14ac:dyDescent="0.3">
      <c r="A5401" t="s">
        <v>594</v>
      </c>
      <c r="B5401" t="s">
        <v>147</v>
      </c>
      <c r="C5401" s="1">
        <f>HYPERLINK("https://cao.dolgi.msk.ru/account/1011467612/", 1011467612)</f>
        <v>1011467612</v>
      </c>
      <c r="D5401">
        <v>0</v>
      </c>
    </row>
    <row r="5402" spans="1:4" hidden="1" x14ac:dyDescent="0.3">
      <c r="A5402" t="s">
        <v>594</v>
      </c>
      <c r="B5402" t="s">
        <v>150</v>
      </c>
      <c r="C5402" s="1">
        <f>HYPERLINK("https://cao.dolgi.msk.ru/account/1011467225/", 1011467225)</f>
        <v>1011467225</v>
      </c>
      <c r="D5402">
        <v>-13128.57</v>
      </c>
    </row>
    <row r="5403" spans="1:4" hidden="1" x14ac:dyDescent="0.3">
      <c r="A5403" t="s">
        <v>594</v>
      </c>
      <c r="B5403" t="s">
        <v>151</v>
      </c>
      <c r="C5403" s="1">
        <f>HYPERLINK("https://cao.dolgi.msk.ru/account/1011465692/", 1011465692)</f>
        <v>1011465692</v>
      </c>
      <c r="D5403">
        <v>0</v>
      </c>
    </row>
    <row r="5404" spans="1:4" hidden="1" x14ac:dyDescent="0.3">
      <c r="A5404" t="s">
        <v>594</v>
      </c>
      <c r="B5404" t="s">
        <v>151</v>
      </c>
      <c r="C5404" s="1">
        <f>HYPERLINK("https://cao.dolgi.msk.ru/account/1011466062/", 1011466062)</f>
        <v>1011466062</v>
      </c>
      <c r="D5404">
        <v>0</v>
      </c>
    </row>
    <row r="5405" spans="1:4" hidden="1" x14ac:dyDescent="0.3">
      <c r="A5405" t="s">
        <v>594</v>
      </c>
      <c r="B5405" t="s">
        <v>151</v>
      </c>
      <c r="C5405" s="1">
        <f>HYPERLINK("https://cao.dolgi.msk.ru/account/1011466695/", 1011466695)</f>
        <v>1011466695</v>
      </c>
      <c r="D5405">
        <v>0</v>
      </c>
    </row>
    <row r="5406" spans="1:4" hidden="1" x14ac:dyDescent="0.3">
      <c r="A5406" t="s">
        <v>594</v>
      </c>
      <c r="B5406" t="s">
        <v>152</v>
      </c>
      <c r="C5406" s="1">
        <f>HYPERLINK("https://cao.dolgi.msk.ru/account/1011467639/", 1011467639)</f>
        <v>1011467639</v>
      </c>
      <c r="D5406">
        <v>0</v>
      </c>
    </row>
    <row r="5407" spans="1:4" x14ac:dyDescent="0.3">
      <c r="A5407" t="s">
        <v>594</v>
      </c>
      <c r="B5407" t="s">
        <v>153</v>
      </c>
      <c r="C5407" s="1">
        <f>HYPERLINK("https://cao.dolgi.msk.ru/account/1011467751/", 1011467751)</f>
        <v>1011467751</v>
      </c>
      <c r="D5407">
        <v>68152.95</v>
      </c>
    </row>
    <row r="5408" spans="1:4" hidden="1" x14ac:dyDescent="0.3">
      <c r="A5408" t="s">
        <v>594</v>
      </c>
      <c r="B5408" t="s">
        <v>154</v>
      </c>
      <c r="C5408" s="1">
        <f>HYPERLINK("https://cao.dolgi.msk.ru/account/1011466724/", 1011466724)</f>
        <v>1011466724</v>
      </c>
      <c r="D5408">
        <v>0</v>
      </c>
    </row>
    <row r="5409" spans="1:4" hidden="1" x14ac:dyDescent="0.3">
      <c r="A5409" t="s">
        <v>594</v>
      </c>
      <c r="B5409" t="s">
        <v>155</v>
      </c>
      <c r="C5409" s="1">
        <f>HYPERLINK("https://cao.dolgi.msk.ru/account/1011467479/", 1011467479)</f>
        <v>1011467479</v>
      </c>
      <c r="D5409">
        <v>0</v>
      </c>
    </row>
    <row r="5410" spans="1:4" hidden="1" x14ac:dyDescent="0.3">
      <c r="A5410" t="s">
        <v>594</v>
      </c>
      <c r="B5410" t="s">
        <v>156</v>
      </c>
      <c r="C5410" s="1">
        <f>HYPERLINK("https://cao.dolgi.msk.ru/account/1011467014/", 1011467014)</f>
        <v>1011467014</v>
      </c>
      <c r="D5410">
        <v>-10215.51</v>
      </c>
    </row>
    <row r="5411" spans="1:4" hidden="1" x14ac:dyDescent="0.3">
      <c r="A5411" t="s">
        <v>594</v>
      </c>
      <c r="B5411" t="s">
        <v>157</v>
      </c>
      <c r="C5411" s="1">
        <f>HYPERLINK("https://cao.dolgi.msk.ru/account/1011467065/", 1011467065)</f>
        <v>1011467065</v>
      </c>
      <c r="D5411">
        <v>0</v>
      </c>
    </row>
    <row r="5412" spans="1:4" hidden="1" x14ac:dyDescent="0.3">
      <c r="A5412" t="s">
        <v>594</v>
      </c>
      <c r="B5412" t="s">
        <v>158</v>
      </c>
      <c r="C5412" s="1">
        <f>HYPERLINK("https://cao.dolgi.msk.ru/account/1011466783/", 1011466783)</f>
        <v>1011466783</v>
      </c>
      <c r="D5412">
        <v>0</v>
      </c>
    </row>
    <row r="5413" spans="1:4" hidden="1" x14ac:dyDescent="0.3">
      <c r="A5413" t="s">
        <v>594</v>
      </c>
      <c r="B5413" t="s">
        <v>159</v>
      </c>
      <c r="C5413" s="1">
        <f>HYPERLINK("https://cao.dolgi.msk.ru/account/1011467233/", 1011467233)</f>
        <v>1011467233</v>
      </c>
      <c r="D5413">
        <v>0</v>
      </c>
    </row>
    <row r="5414" spans="1:4" hidden="1" x14ac:dyDescent="0.3">
      <c r="A5414" t="s">
        <v>594</v>
      </c>
      <c r="B5414" t="s">
        <v>160</v>
      </c>
      <c r="C5414" s="1">
        <f>HYPERLINK("https://cao.dolgi.msk.ru/account/1011466636/", 1011466636)</f>
        <v>1011466636</v>
      </c>
      <c r="D5414">
        <v>-8.49</v>
      </c>
    </row>
    <row r="5415" spans="1:4" hidden="1" x14ac:dyDescent="0.3">
      <c r="A5415" t="s">
        <v>594</v>
      </c>
      <c r="B5415" t="s">
        <v>161</v>
      </c>
      <c r="C5415" s="1">
        <f>HYPERLINK("https://cao.dolgi.msk.ru/account/1011466302/", 1011466302)</f>
        <v>1011466302</v>
      </c>
      <c r="D5415">
        <v>0</v>
      </c>
    </row>
    <row r="5416" spans="1:4" hidden="1" x14ac:dyDescent="0.3">
      <c r="A5416" t="s">
        <v>594</v>
      </c>
      <c r="B5416" t="s">
        <v>164</v>
      </c>
      <c r="C5416" s="1">
        <f>HYPERLINK("https://cao.dolgi.msk.ru/account/1011467276/", 1011467276)</f>
        <v>1011467276</v>
      </c>
      <c r="D5416">
        <v>0</v>
      </c>
    </row>
    <row r="5417" spans="1:4" hidden="1" x14ac:dyDescent="0.3">
      <c r="A5417" t="s">
        <v>594</v>
      </c>
      <c r="B5417" t="s">
        <v>165</v>
      </c>
      <c r="C5417" s="1">
        <f>HYPERLINK("https://cao.dolgi.msk.ru/account/1011466986/", 1011466986)</f>
        <v>1011466986</v>
      </c>
      <c r="D5417">
        <v>0</v>
      </c>
    </row>
    <row r="5418" spans="1:4" hidden="1" x14ac:dyDescent="0.3">
      <c r="A5418" t="s">
        <v>594</v>
      </c>
      <c r="B5418" t="s">
        <v>166</v>
      </c>
      <c r="C5418" s="1">
        <f>HYPERLINK("https://cao.dolgi.msk.ru/account/1011466265/", 1011466265)</f>
        <v>1011466265</v>
      </c>
      <c r="D5418">
        <v>-29.4</v>
      </c>
    </row>
    <row r="5419" spans="1:4" hidden="1" x14ac:dyDescent="0.3">
      <c r="A5419" t="s">
        <v>594</v>
      </c>
      <c r="B5419" t="s">
        <v>167</v>
      </c>
      <c r="C5419" s="1">
        <f>HYPERLINK("https://cao.dolgi.msk.ru/account/1011466898/", 1011466898)</f>
        <v>1011466898</v>
      </c>
      <c r="D5419">
        <v>0</v>
      </c>
    </row>
    <row r="5420" spans="1:4" hidden="1" x14ac:dyDescent="0.3">
      <c r="A5420" t="s">
        <v>594</v>
      </c>
      <c r="B5420" t="s">
        <v>168</v>
      </c>
      <c r="C5420" s="1">
        <f>HYPERLINK("https://cao.dolgi.msk.ru/account/1011467516/", 1011467516)</f>
        <v>1011467516</v>
      </c>
      <c r="D5420">
        <v>0</v>
      </c>
    </row>
    <row r="5421" spans="1:4" hidden="1" x14ac:dyDescent="0.3">
      <c r="A5421" t="s">
        <v>594</v>
      </c>
      <c r="B5421" t="s">
        <v>169</v>
      </c>
      <c r="C5421" s="1">
        <f>HYPERLINK("https://cao.dolgi.msk.ru/account/1011465828/", 1011465828)</f>
        <v>1011465828</v>
      </c>
      <c r="D5421">
        <v>0</v>
      </c>
    </row>
    <row r="5422" spans="1:4" x14ac:dyDescent="0.3">
      <c r="A5422" t="s">
        <v>594</v>
      </c>
      <c r="B5422" t="s">
        <v>170</v>
      </c>
      <c r="C5422" s="1">
        <f>HYPERLINK("https://cao.dolgi.msk.ru/account/1011467698/", 1011467698)</f>
        <v>1011467698</v>
      </c>
      <c r="D5422">
        <v>5646.67</v>
      </c>
    </row>
    <row r="5423" spans="1:4" hidden="1" x14ac:dyDescent="0.3">
      <c r="A5423" t="s">
        <v>594</v>
      </c>
      <c r="B5423" t="s">
        <v>171</v>
      </c>
      <c r="C5423" s="1">
        <f>HYPERLINK("https://cao.dolgi.msk.ru/account/1011466791/", 1011466791)</f>
        <v>1011466791</v>
      </c>
      <c r="D5423">
        <v>0</v>
      </c>
    </row>
    <row r="5424" spans="1:4" hidden="1" x14ac:dyDescent="0.3">
      <c r="A5424" t="s">
        <v>594</v>
      </c>
      <c r="B5424" t="s">
        <v>172</v>
      </c>
      <c r="C5424" s="1">
        <f>HYPERLINK("https://cao.dolgi.msk.ru/account/1011466425/", 1011466425)</f>
        <v>1011466425</v>
      </c>
      <c r="D5424">
        <v>-4338.46</v>
      </c>
    </row>
    <row r="5425" spans="1:4" hidden="1" x14ac:dyDescent="0.3">
      <c r="A5425" t="s">
        <v>594</v>
      </c>
      <c r="B5425" t="s">
        <v>173</v>
      </c>
      <c r="C5425" s="1">
        <f>HYPERLINK("https://cao.dolgi.msk.ru/account/1011466476/", 1011466476)</f>
        <v>1011466476</v>
      </c>
      <c r="D5425">
        <v>0</v>
      </c>
    </row>
    <row r="5426" spans="1:4" hidden="1" x14ac:dyDescent="0.3">
      <c r="A5426" t="s">
        <v>594</v>
      </c>
      <c r="B5426" t="s">
        <v>174</v>
      </c>
      <c r="C5426" s="1">
        <f>HYPERLINK("https://cao.dolgi.msk.ru/account/1011465975/", 1011465975)</f>
        <v>1011465975</v>
      </c>
      <c r="D5426">
        <v>0</v>
      </c>
    </row>
    <row r="5427" spans="1:4" hidden="1" x14ac:dyDescent="0.3">
      <c r="A5427" t="s">
        <v>594</v>
      </c>
      <c r="B5427" t="s">
        <v>175</v>
      </c>
      <c r="C5427" s="1">
        <f>HYPERLINK("https://cao.dolgi.msk.ru/account/1011467241/", 1011467241)</f>
        <v>1011467241</v>
      </c>
      <c r="D5427">
        <v>0</v>
      </c>
    </row>
    <row r="5428" spans="1:4" hidden="1" x14ac:dyDescent="0.3">
      <c r="A5428" t="s">
        <v>594</v>
      </c>
      <c r="B5428" t="s">
        <v>177</v>
      </c>
      <c r="C5428" s="1">
        <f>HYPERLINK("https://cao.dolgi.msk.ru/account/1011466994/", 1011466994)</f>
        <v>1011466994</v>
      </c>
      <c r="D5428">
        <v>0</v>
      </c>
    </row>
    <row r="5429" spans="1:4" hidden="1" x14ac:dyDescent="0.3">
      <c r="A5429" t="s">
        <v>594</v>
      </c>
      <c r="B5429" t="s">
        <v>178</v>
      </c>
      <c r="C5429" s="1">
        <f>HYPERLINK("https://cao.dolgi.msk.ru/account/1011466644/", 1011466644)</f>
        <v>1011466644</v>
      </c>
      <c r="D5429">
        <v>0</v>
      </c>
    </row>
    <row r="5430" spans="1:4" hidden="1" x14ac:dyDescent="0.3">
      <c r="A5430" t="s">
        <v>594</v>
      </c>
      <c r="B5430" t="s">
        <v>179</v>
      </c>
      <c r="C5430" s="1">
        <f>HYPERLINK("https://cao.dolgi.msk.ru/account/1011467137/", 1011467137)</f>
        <v>1011467137</v>
      </c>
      <c r="D5430">
        <v>0</v>
      </c>
    </row>
    <row r="5431" spans="1:4" hidden="1" x14ac:dyDescent="0.3">
      <c r="A5431" t="s">
        <v>594</v>
      </c>
      <c r="B5431" t="s">
        <v>273</v>
      </c>
      <c r="C5431" s="1">
        <f>HYPERLINK("https://cao.dolgi.msk.ru/account/1011467348/", 1011467348)</f>
        <v>1011467348</v>
      </c>
      <c r="D5431">
        <v>0</v>
      </c>
    </row>
    <row r="5432" spans="1:4" x14ac:dyDescent="0.3">
      <c r="A5432" t="s">
        <v>594</v>
      </c>
      <c r="B5432" t="s">
        <v>180</v>
      </c>
      <c r="C5432" s="1">
        <f>HYPERLINK("https://cao.dolgi.msk.ru/account/1011466134/", 1011466134)</f>
        <v>1011466134</v>
      </c>
      <c r="D5432">
        <v>14986.5</v>
      </c>
    </row>
    <row r="5433" spans="1:4" hidden="1" x14ac:dyDescent="0.3">
      <c r="A5433" t="s">
        <v>594</v>
      </c>
      <c r="B5433" t="s">
        <v>180</v>
      </c>
      <c r="C5433" s="1">
        <f>HYPERLINK("https://cao.dolgi.msk.ru/account/1011466273/", 1011466273)</f>
        <v>1011466273</v>
      </c>
      <c r="D5433">
        <v>0</v>
      </c>
    </row>
    <row r="5434" spans="1:4" hidden="1" x14ac:dyDescent="0.3">
      <c r="A5434" t="s">
        <v>594</v>
      </c>
      <c r="B5434" t="s">
        <v>181</v>
      </c>
      <c r="C5434" s="1">
        <f>HYPERLINK("https://cao.dolgi.msk.ru/account/1011467815/", 1011467815)</f>
        <v>1011467815</v>
      </c>
      <c r="D5434">
        <v>0</v>
      </c>
    </row>
    <row r="5435" spans="1:4" hidden="1" x14ac:dyDescent="0.3">
      <c r="A5435" t="s">
        <v>594</v>
      </c>
      <c r="B5435" t="s">
        <v>182</v>
      </c>
      <c r="C5435" s="1">
        <f>HYPERLINK("https://cao.dolgi.msk.ru/account/1011467559/", 1011467559)</f>
        <v>1011467559</v>
      </c>
      <c r="D5435">
        <v>0</v>
      </c>
    </row>
    <row r="5436" spans="1:4" hidden="1" x14ac:dyDescent="0.3">
      <c r="A5436" t="s">
        <v>594</v>
      </c>
      <c r="B5436" t="s">
        <v>183</v>
      </c>
      <c r="C5436" s="1">
        <f>HYPERLINK("https://cao.dolgi.msk.ru/account/1011467874/", 1011467874)</f>
        <v>1011467874</v>
      </c>
      <c r="D5436">
        <v>0</v>
      </c>
    </row>
    <row r="5437" spans="1:4" hidden="1" x14ac:dyDescent="0.3">
      <c r="A5437" t="s">
        <v>594</v>
      </c>
      <c r="B5437" t="s">
        <v>184</v>
      </c>
      <c r="C5437" s="1">
        <f>HYPERLINK("https://cao.dolgi.msk.ru/account/1011467831/", 1011467831)</f>
        <v>1011467831</v>
      </c>
      <c r="D5437">
        <v>0</v>
      </c>
    </row>
    <row r="5438" spans="1:4" hidden="1" x14ac:dyDescent="0.3">
      <c r="A5438" t="s">
        <v>594</v>
      </c>
      <c r="B5438" t="s">
        <v>185</v>
      </c>
      <c r="C5438" s="1">
        <f>HYPERLINK("https://cao.dolgi.msk.ru/account/1011467495/", 1011467495)</f>
        <v>1011467495</v>
      </c>
      <c r="D5438">
        <v>0</v>
      </c>
    </row>
    <row r="5439" spans="1:4" hidden="1" x14ac:dyDescent="0.3">
      <c r="A5439" t="s">
        <v>594</v>
      </c>
      <c r="B5439" t="s">
        <v>274</v>
      </c>
      <c r="C5439" s="1">
        <f>HYPERLINK("https://cao.dolgi.msk.ru/account/1011467508/", 1011467508)</f>
        <v>1011467508</v>
      </c>
      <c r="D5439">
        <v>-10288.91</v>
      </c>
    </row>
    <row r="5440" spans="1:4" hidden="1" x14ac:dyDescent="0.3">
      <c r="A5440" t="s">
        <v>594</v>
      </c>
      <c r="B5440" t="s">
        <v>186</v>
      </c>
      <c r="C5440" s="1">
        <f>HYPERLINK("https://cao.dolgi.msk.ru/account/1011466441/", 1011466441)</f>
        <v>1011466441</v>
      </c>
      <c r="D5440">
        <v>0</v>
      </c>
    </row>
    <row r="5441" spans="1:4" hidden="1" x14ac:dyDescent="0.3">
      <c r="A5441" t="s">
        <v>594</v>
      </c>
      <c r="B5441" t="s">
        <v>187</v>
      </c>
      <c r="C5441" s="1">
        <f>HYPERLINK("https://cao.dolgi.msk.ru/account/1011465844/", 1011465844)</f>
        <v>1011465844</v>
      </c>
      <c r="D5441">
        <v>0</v>
      </c>
    </row>
    <row r="5442" spans="1:4" hidden="1" x14ac:dyDescent="0.3">
      <c r="A5442" t="s">
        <v>594</v>
      </c>
      <c r="B5442" t="s">
        <v>188</v>
      </c>
      <c r="C5442" s="1">
        <f>HYPERLINK("https://cao.dolgi.msk.ru/account/1011466556/", 1011466556)</f>
        <v>1011466556</v>
      </c>
      <c r="D5442">
        <v>0</v>
      </c>
    </row>
    <row r="5443" spans="1:4" hidden="1" x14ac:dyDescent="0.3">
      <c r="A5443" t="s">
        <v>594</v>
      </c>
      <c r="B5443" t="s">
        <v>189</v>
      </c>
      <c r="C5443" s="1">
        <f>HYPERLINK("https://cao.dolgi.msk.ru/account/1011466126/", 1011466126)</f>
        <v>1011466126</v>
      </c>
      <c r="D5443">
        <v>0</v>
      </c>
    </row>
    <row r="5444" spans="1:4" hidden="1" x14ac:dyDescent="0.3">
      <c r="A5444" t="s">
        <v>594</v>
      </c>
      <c r="B5444" t="s">
        <v>189</v>
      </c>
      <c r="C5444" s="1">
        <f>HYPERLINK("https://cao.dolgi.msk.ru/account/1011466564/", 1011466564)</f>
        <v>1011466564</v>
      </c>
      <c r="D5444">
        <v>0</v>
      </c>
    </row>
    <row r="5445" spans="1:4" hidden="1" x14ac:dyDescent="0.3">
      <c r="A5445" t="s">
        <v>594</v>
      </c>
      <c r="B5445" t="s">
        <v>190</v>
      </c>
      <c r="C5445" s="1">
        <f>HYPERLINK("https://cao.dolgi.msk.ru/account/1011467858/", 1011467858)</f>
        <v>1011467858</v>
      </c>
      <c r="D5445">
        <v>-11209.98</v>
      </c>
    </row>
    <row r="5446" spans="1:4" hidden="1" x14ac:dyDescent="0.3">
      <c r="A5446" t="s">
        <v>594</v>
      </c>
      <c r="B5446" t="s">
        <v>191</v>
      </c>
      <c r="C5446" s="1">
        <f>HYPERLINK("https://cao.dolgi.msk.ru/account/1011466054/", 1011466054)</f>
        <v>1011466054</v>
      </c>
      <c r="D5446">
        <v>0</v>
      </c>
    </row>
    <row r="5447" spans="1:4" x14ac:dyDescent="0.3">
      <c r="A5447" t="s">
        <v>594</v>
      </c>
      <c r="B5447" t="s">
        <v>192</v>
      </c>
      <c r="C5447" s="1">
        <f>HYPERLINK("https://cao.dolgi.msk.ru/account/1011466329/", 1011466329)</f>
        <v>1011466329</v>
      </c>
      <c r="D5447">
        <v>11636.01</v>
      </c>
    </row>
    <row r="5448" spans="1:4" hidden="1" x14ac:dyDescent="0.3">
      <c r="A5448" t="s">
        <v>594</v>
      </c>
      <c r="B5448" t="s">
        <v>325</v>
      </c>
      <c r="C5448" s="1">
        <f>HYPERLINK("https://cao.dolgi.msk.ru/account/1011466855/", 1011466855)</f>
        <v>1011466855</v>
      </c>
      <c r="D5448">
        <v>0</v>
      </c>
    </row>
    <row r="5449" spans="1:4" hidden="1" x14ac:dyDescent="0.3">
      <c r="A5449" t="s">
        <v>594</v>
      </c>
      <c r="B5449" t="s">
        <v>193</v>
      </c>
      <c r="C5449" s="1">
        <f>HYPERLINK("https://cao.dolgi.msk.ru/account/1011466396/", 1011466396)</f>
        <v>1011466396</v>
      </c>
      <c r="D5449">
        <v>0</v>
      </c>
    </row>
    <row r="5450" spans="1:4" hidden="1" x14ac:dyDescent="0.3">
      <c r="A5450" t="s">
        <v>594</v>
      </c>
      <c r="B5450" t="s">
        <v>194</v>
      </c>
      <c r="C5450" s="1">
        <f>HYPERLINK("https://cao.dolgi.msk.ru/account/1011466484/", 1011466484)</f>
        <v>1011466484</v>
      </c>
      <c r="D5450">
        <v>-12969.24</v>
      </c>
    </row>
    <row r="5451" spans="1:4" hidden="1" x14ac:dyDescent="0.3">
      <c r="A5451" t="s">
        <v>594</v>
      </c>
      <c r="B5451" t="s">
        <v>195</v>
      </c>
      <c r="C5451" s="1">
        <f>HYPERLINK("https://cao.dolgi.msk.ru/account/1011467604/", 1011467604)</f>
        <v>1011467604</v>
      </c>
      <c r="D5451">
        <v>0</v>
      </c>
    </row>
    <row r="5452" spans="1:4" hidden="1" x14ac:dyDescent="0.3">
      <c r="A5452" t="s">
        <v>594</v>
      </c>
      <c r="B5452" t="s">
        <v>195</v>
      </c>
      <c r="C5452" s="1">
        <f>HYPERLINK("https://cao.dolgi.msk.ru/account/1011515573/", 1011515573)</f>
        <v>1011515573</v>
      </c>
      <c r="D5452">
        <v>0</v>
      </c>
    </row>
    <row r="5453" spans="1:4" hidden="1" x14ac:dyDescent="0.3">
      <c r="A5453" t="s">
        <v>594</v>
      </c>
      <c r="B5453" t="s">
        <v>196</v>
      </c>
      <c r="C5453" s="1">
        <f>HYPERLINK("https://cao.dolgi.msk.ru/account/1011467081/", 1011467081)</f>
        <v>1011467081</v>
      </c>
      <c r="D5453">
        <v>-23753.9</v>
      </c>
    </row>
    <row r="5454" spans="1:4" hidden="1" x14ac:dyDescent="0.3">
      <c r="A5454" t="s">
        <v>594</v>
      </c>
      <c r="B5454" t="s">
        <v>197</v>
      </c>
      <c r="C5454" s="1">
        <f>HYPERLINK("https://cao.dolgi.msk.ru/account/1011467356/", 1011467356)</f>
        <v>1011467356</v>
      </c>
      <c r="D5454">
        <v>0</v>
      </c>
    </row>
    <row r="5455" spans="1:4" hidden="1" x14ac:dyDescent="0.3">
      <c r="A5455" t="s">
        <v>594</v>
      </c>
      <c r="B5455" t="s">
        <v>198</v>
      </c>
      <c r="C5455" s="1">
        <f>HYPERLINK("https://cao.dolgi.msk.ru/account/1011467399/", 1011467399)</f>
        <v>1011467399</v>
      </c>
      <c r="D5455">
        <v>-8842.08</v>
      </c>
    </row>
    <row r="5456" spans="1:4" x14ac:dyDescent="0.3">
      <c r="A5456" t="s">
        <v>594</v>
      </c>
      <c r="B5456" t="s">
        <v>199</v>
      </c>
      <c r="C5456" s="1">
        <f>HYPERLINK("https://cao.dolgi.msk.ru/account/1011466337/", 1011466337)</f>
        <v>1011466337</v>
      </c>
      <c r="D5456">
        <v>5453.53</v>
      </c>
    </row>
    <row r="5457" spans="1:4" hidden="1" x14ac:dyDescent="0.3">
      <c r="A5457" t="s">
        <v>594</v>
      </c>
      <c r="B5457" t="s">
        <v>200</v>
      </c>
      <c r="C5457" s="1">
        <f>HYPERLINK("https://cao.dolgi.msk.ru/account/1011465916/", 1011465916)</f>
        <v>1011465916</v>
      </c>
      <c r="D5457">
        <v>0</v>
      </c>
    </row>
    <row r="5458" spans="1:4" hidden="1" x14ac:dyDescent="0.3">
      <c r="A5458" t="s">
        <v>594</v>
      </c>
      <c r="B5458" t="s">
        <v>201</v>
      </c>
      <c r="C5458" s="1">
        <f>HYPERLINK("https://cao.dolgi.msk.ru/account/1011466345/", 1011466345)</f>
        <v>1011466345</v>
      </c>
      <c r="D5458">
        <v>0</v>
      </c>
    </row>
    <row r="5459" spans="1:4" x14ac:dyDescent="0.3">
      <c r="A5459" t="s">
        <v>594</v>
      </c>
      <c r="B5459" t="s">
        <v>202</v>
      </c>
      <c r="C5459" s="1">
        <f>HYPERLINK("https://cao.dolgi.msk.ru/account/1011466759/", 1011466759)</f>
        <v>1011466759</v>
      </c>
      <c r="D5459">
        <v>620.38</v>
      </c>
    </row>
    <row r="5460" spans="1:4" hidden="1" x14ac:dyDescent="0.3">
      <c r="A5460" t="s">
        <v>594</v>
      </c>
      <c r="B5460" t="s">
        <v>203</v>
      </c>
      <c r="C5460" s="1">
        <f>HYPERLINK("https://cao.dolgi.msk.ru/account/1011467436/", 1011467436)</f>
        <v>1011467436</v>
      </c>
      <c r="D5460">
        <v>-8950.3700000000008</v>
      </c>
    </row>
    <row r="5461" spans="1:4" x14ac:dyDescent="0.3">
      <c r="A5461" t="s">
        <v>594</v>
      </c>
      <c r="B5461" t="s">
        <v>205</v>
      </c>
      <c r="C5461" s="1">
        <f>HYPERLINK("https://cao.dolgi.msk.ru/account/1011466871/", 1011466871)</f>
        <v>1011466871</v>
      </c>
      <c r="D5461">
        <v>27933.66</v>
      </c>
    </row>
    <row r="5462" spans="1:4" hidden="1" x14ac:dyDescent="0.3">
      <c r="A5462" t="s">
        <v>595</v>
      </c>
      <c r="B5462" t="s">
        <v>6</v>
      </c>
      <c r="C5462" s="1">
        <f>HYPERLINK("https://cao.dolgi.msk.ru/account/1011327927/", 1011327927)</f>
        <v>1011327927</v>
      </c>
      <c r="D5462">
        <v>0</v>
      </c>
    </row>
    <row r="5463" spans="1:4" hidden="1" x14ac:dyDescent="0.3">
      <c r="A5463" t="s">
        <v>595</v>
      </c>
      <c r="B5463" t="s">
        <v>28</v>
      </c>
      <c r="C5463" s="1">
        <f>HYPERLINK("https://cao.dolgi.msk.ru/account/1011328145/", 1011328145)</f>
        <v>1011328145</v>
      </c>
      <c r="D5463">
        <v>0</v>
      </c>
    </row>
    <row r="5464" spans="1:4" hidden="1" x14ac:dyDescent="0.3">
      <c r="A5464" t="s">
        <v>595</v>
      </c>
      <c r="B5464" t="s">
        <v>35</v>
      </c>
      <c r="C5464" s="1">
        <f>HYPERLINK("https://cao.dolgi.msk.ru/account/1011328153/", 1011328153)</f>
        <v>1011328153</v>
      </c>
      <c r="D5464">
        <v>0</v>
      </c>
    </row>
    <row r="5465" spans="1:4" x14ac:dyDescent="0.3">
      <c r="A5465" t="s">
        <v>595</v>
      </c>
      <c r="B5465" t="s">
        <v>5</v>
      </c>
      <c r="C5465" s="1">
        <f>HYPERLINK("https://cao.dolgi.msk.ru/account/1011328129/", 1011328129)</f>
        <v>1011328129</v>
      </c>
      <c r="D5465">
        <v>16360.67</v>
      </c>
    </row>
    <row r="5466" spans="1:4" hidden="1" x14ac:dyDescent="0.3">
      <c r="A5466" t="s">
        <v>595</v>
      </c>
      <c r="B5466" t="s">
        <v>7</v>
      </c>
      <c r="C5466" s="1">
        <f>HYPERLINK("https://cao.dolgi.msk.ru/account/1011532138/", 1011532138)</f>
        <v>1011532138</v>
      </c>
      <c r="D5466">
        <v>-4183.97</v>
      </c>
    </row>
    <row r="5467" spans="1:4" hidden="1" x14ac:dyDescent="0.3">
      <c r="A5467" t="s">
        <v>595</v>
      </c>
      <c r="B5467" t="s">
        <v>8</v>
      </c>
      <c r="C5467" s="1">
        <f>HYPERLINK("https://cao.dolgi.msk.ru/account/1011328137/", 1011328137)</f>
        <v>1011328137</v>
      </c>
      <c r="D5467">
        <v>0</v>
      </c>
    </row>
    <row r="5468" spans="1:4" hidden="1" x14ac:dyDescent="0.3">
      <c r="A5468" t="s">
        <v>595</v>
      </c>
      <c r="B5468" t="s">
        <v>31</v>
      </c>
      <c r="C5468" s="1">
        <f>HYPERLINK("https://cao.dolgi.msk.ru/account/1011328196/", 1011328196)</f>
        <v>1011328196</v>
      </c>
      <c r="D5468">
        <v>-13006.57</v>
      </c>
    </row>
    <row r="5469" spans="1:4" hidden="1" x14ac:dyDescent="0.3">
      <c r="A5469" t="s">
        <v>595</v>
      </c>
      <c r="B5469" t="s">
        <v>9</v>
      </c>
      <c r="C5469" s="1">
        <f>HYPERLINK("https://cao.dolgi.msk.ru/account/1011328073/", 1011328073)</f>
        <v>1011328073</v>
      </c>
      <c r="D5469">
        <v>-9196.01</v>
      </c>
    </row>
    <row r="5470" spans="1:4" hidden="1" x14ac:dyDescent="0.3">
      <c r="A5470" t="s">
        <v>595</v>
      </c>
      <c r="B5470" t="s">
        <v>10</v>
      </c>
      <c r="C5470" s="1">
        <f>HYPERLINK("https://cao.dolgi.msk.ru/account/1011328065/", 1011328065)</f>
        <v>1011328065</v>
      </c>
      <c r="D5470">
        <v>-52.05</v>
      </c>
    </row>
    <row r="5471" spans="1:4" x14ac:dyDescent="0.3">
      <c r="A5471" t="s">
        <v>595</v>
      </c>
      <c r="B5471" t="s">
        <v>11</v>
      </c>
      <c r="C5471" s="1">
        <f>HYPERLINK("https://cao.dolgi.msk.ru/account/1011328161/", 1011328161)</f>
        <v>1011328161</v>
      </c>
      <c r="D5471">
        <v>12377.07</v>
      </c>
    </row>
    <row r="5472" spans="1:4" x14ac:dyDescent="0.3">
      <c r="A5472" t="s">
        <v>595</v>
      </c>
      <c r="B5472" t="s">
        <v>12</v>
      </c>
      <c r="C5472" s="1">
        <f>HYPERLINK("https://cao.dolgi.msk.ru/account/1011327994/", 1011327994)</f>
        <v>1011327994</v>
      </c>
      <c r="D5472">
        <v>3317.42</v>
      </c>
    </row>
    <row r="5473" spans="1:4" hidden="1" x14ac:dyDescent="0.3">
      <c r="A5473" t="s">
        <v>595</v>
      </c>
      <c r="B5473" t="s">
        <v>12</v>
      </c>
      <c r="C5473" s="1">
        <f>HYPERLINK("https://cao.dolgi.msk.ru/account/1011328102/", 1011328102)</f>
        <v>1011328102</v>
      </c>
      <c r="D5473">
        <v>-22.44</v>
      </c>
    </row>
    <row r="5474" spans="1:4" x14ac:dyDescent="0.3">
      <c r="A5474" t="s">
        <v>595</v>
      </c>
      <c r="B5474" t="s">
        <v>12</v>
      </c>
      <c r="C5474" s="1">
        <f>HYPERLINK("https://cao.dolgi.msk.ru/account/1011328217/", 1011328217)</f>
        <v>1011328217</v>
      </c>
      <c r="D5474">
        <v>24940.55</v>
      </c>
    </row>
    <row r="5475" spans="1:4" hidden="1" x14ac:dyDescent="0.3">
      <c r="A5475" t="s">
        <v>595</v>
      </c>
      <c r="B5475" t="s">
        <v>23</v>
      </c>
      <c r="C5475" s="1">
        <f>HYPERLINK("https://cao.dolgi.msk.ru/account/1011328022/", 1011328022)</f>
        <v>1011328022</v>
      </c>
      <c r="D5475">
        <v>-22697.09</v>
      </c>
    </row>
    <row r="5476" spans="1:4" x14ac:dyDescent="0.3">
      <c r="A5476" t="s">
        <v>595</v>
      </c>
      <c r="B5476" t="s">
        <v>13</v>
      </c>
      <c r="C5476" s="1">
        <f>HYPERLINK("https://cao.dolgi.msk.ru/account/1011327978/", 1011327978)</f>
        <v>1011327978</v>
      </c>
      <c r="D5476">
        <v>18658.95</v>
      </c>
    </row>
    <row r="5477" spans="1:4" hidden="1" x14ac:dyDescent="0.3">
      <c r="A5477" t="s">
        <v>595</v>
      </c>
      <c r="B5477" t="s">
        <v>14</v>
      </c>
      <c r="C5477" s="1">
        <f>HYPERLINK("https://cao.dolgi.msk.ru/account/1011328188/", 1011328188)</f>
        <v>1011328188</v>
      </c>
      <c r="D5477">
        <v>-4732.53</v>
      </c>
    </row>
    <row r="5478" spans="1:4" hidden="1" x14ac:dyDescent="0.3">
      <c r="A5478" t="s">
        <v>595</v>
      </c>
      <c r="B5478" t="s">
        <v>16</v>
      </c>
      <c r="C5478" s="1">
        <f>HYPERLINK("https://cao.dolgi.msk.ru/account/1011328225/", 1011328225)</f>
        <v>1011328225</v>
      </c>
      <c r="D5478">
        <v>0</v>
      </c>
    </row>
    <row r="5479" spans="1:4" hidden="1" x14ac:dyDescent="0.3">
      <c r="A5479" t="s">
        <v>595</v>
      </c>
      <c r="B5479" t="s">
        <v>17</v>
      </c>
      <c r="C5479" s="1">
        <f>HYPERLINK("https://cao.dolgi.msk.ru/account/1011328209/", 1011328209)</f>
        <v>1011328209</v>
      </c>
      <c r="D5479">
        <v>0</v>
      </c>
    </row>
    <row r="5480" spans="1:4" hidden="1" x14ac:dyDescent="0.3">
      <c r="A5480" t="s">
        <v>595</v>
      </c>
      <c r="B5480" t="s">
        <v>18</v>
      </c>
      <c r="C5480" s="1">
        <f>HYPERLINK("https://cao.dolgi.msk.ru/account/1011328014/", 1011328014)</f>
        <v>1011328014</v>
      </c>
      <c r="D5480">
        <v>0</v>
      </c>
    </row>
    <row r="5481" spans="1:4" hidden="1" x14ac:dyDescent="0.3">
      <c r="A5481" t="s">
        <v>595</v>
      </c>
      <c r="B5481" t="s">
        <v>19</v>
      </c>
      <c r="C5481" s="1">
        <f>HYPERLINK("https://cao.dolgi.msk.ru/account/1011327951/", 1011327951)</f>
        <v>1011327951</v>
      </c>
      <c r="D5481">
        <v>0</v>
      </c>
    </row>
    <row r="5482" spans="1:4" hidden="1" x14ac:dyDescent="0.3">
      <c r="A5482" t="s">
        <v>595</v>
      </c>
      <c r="B5482" t="s">
        <v>20</v>
      </c>
      <c r="C5482" s="1">
        <f>HYPERLINK("https://cao.dolgi.msk.ru/account/1011328006/", 1011328006)</f>
        <v>1011328006</v>
      </c>
      <c r="D5482">
        <v>-8975.01</v>
      </c>
    </row>
    <row r="5483" spans="1:4" hidden="1" x14ac:dyDescent="0.3">
      <c r="A5483" t="s">
        <v>595</v>
      </c>
      <c r="B5483" t="s">
        <v>21</v>
      </c>
      <c r="C5483" s="1">
        <f>HYPERLINK("https://cao.dolgi.msk.ru/account/1011328081/", 1011328081)</f>
        <v>1011328081</v>
      </c>
      <c r="D5483">
        <v>0</v>
      </c>
    </row>
    <row r="5484" spans="1:4" hidden="1" x14ac:dyDescent="0.3">
      <c r="A5484" t="s">
        <v>595</v>
      </c>
      <c r="B5484" t="s">
        <v>123</v>
      </c>
      <c r="C5484" s="1">
        <f>HYPERLINK("https://cao.dolgi.msk.ru/account/1011327919/", 1011327919)</f>
        <v>1011327919</v>
      </c>
      <c r="D5484">
        <v>-5312.26</v>
      </c>
    </row>
    <row r="5485" spans="1:4" hidden="1" x14ac:dyDescent="0.3">
      <c r="A5485" t="s">
        <v>595</v>
      </c>
      <c r="B5485" t="s">
        <v>124</v>
      </c>
      <c r="C5485" s="1">
        <f>HYPERLINK("https://cao.dolgi.msk.ru/account/1011328241/", 1011328241)</f>
        <v>1011328241</v>
      </c>
      <c r="D5485">
        <v>-4822.5</v>
      </c>
    </row>
    <row r="5486" spans="1:4" hidden="1" x14ac:dyDescent="0.3">
      <c r="A5486" t="s">
        <v>595</v>
      </c>
      <c r="B5486" t="s">
        <v>125</v>
      </c>
      <c r="C5486" s="1">
        <f>HYPERLINK("https://cao.dolgi.msk.ru/account/1011327943/", 1011327943)</f>
        <v>1011327943</v>
      </c>
      <c r="D5486">
        <v>0</v>
      </c>
    </row>
    <row r="5487" spans="1:4" hidden="1" x14ac:dyDescent="0.3">
      <c r="A5487" t="s">
        <v>595</v>
      </c>
      <c r="B5487" t="s">
        <v>126</v>
      </c>
      <c r="C5487" s="1">
        <f>HYPERLINK("https://cao.dolgi.msk.ru/account/1011328233/", 1011328233)</f>
        <v>1011328233</v>
      </c>
      <c r="D5487">
        <v>0</v>
      </c>
    </row>
    <row r="5488" spans="1:4" hidden="1" x14ac:dyDescent="0.3">
      <c r="A5488" t="s">
        <v>595</v>
      </c>
      <c r="B5488" t="s">
        <v>127</v>
      </c>
      <c r="C5488" s="1">
        <f>HYPERLINK("https://cao.dolgi.msk.ru/account/1011327935/", 1011327935)</f>
        <v>1011327935</v>
      </c>
      <c r="D5488">
        <v>-5167.4399999999996</v>
      </c>
    </row>
    <row r="5489" spans="1:4" hidden="1" x14ac:dyDescent="0.3">
      <c r="A5489" t="s">
        <v>595</v>
      </c>
      <c r="B5489" t="s">
        <v>262</v>
      </c>
      <c r="C5489" s="1">
        <f>HYPERLINK("https://cao.dolgi.msk.ru/account/1011328057/", 1011328057)</f>
        <v>1011328057</v>
      </c>
      <c r="D5489">
        <v>0</v>
      </c>
    </row>
    <row r="5490" spans="1:4" x14ac:dyDescent="0.3">
      <c r="A5490" t="s">
        <v>595</v>
      </c>
      <c r="B5490" t="s">
        <v>128</v>
      </c>
      <c r="C5490" s="1">
        <f>HYPERLINK("https://cao.dolgi.msk.ru/account/1011327986/", 1011327986)</f>
        <v>1011327986</v>
      </c>
      <c r="D5490">
        <v>5483.89</v>
      </c>
    </row>
    <row r="5491" spans="1:4" hidden="1" x14ac:dyDescent="0.3">
      <c r="A5491" t="s">
        <v>595</v>
      </c>
      <c r="B5491" t="s">
        <v>129</v>
      </c>
      <c r="C5491" s="1">
        <f>HYPERLINK("https://cao.dolgi.msk.ru/account/1011328268/", 1011328268)</f>
        <v>1011328268</v>
      </c>
      <c r="D5491">
        <v>0</v>
      </c>
    </row>
    <row r="5492" spans="1:4" x14ac:dyDescent="0.3">
      <c r="A5492" t="s">
        <v>595</v>
      </c>
      <c r="B5492" t="s">
        <v>130</v>
      </c>
      <c r="C5492" s="1">
        <f>HYPERLINK("https://cao.dolgi.msk.ru/account/1011328049/", 1011328049)</f>
        <v>1011328049</v>
      </c>
      <c r="D5492">
        <v>11708.31</v>
      </c>
    </row>
    <row r="5493" spans="1:4" x14ac:dyDescent="0.3">
      <c r="A5493" t="s">
        <v>595</v>
      </c>
      <c r="B5493" t="s">
        <v>131</v>
      </c>
      <c r="C5493" s="1">
        <f>HYPERLINK("https://cao.dolgi.msk.ru/account/1011328284/", 1011328284)</f>
        <v>1011328284</v>
      </c>
      <c r="D5493">
        <v>22912.12</v>
      </c>
    </row>
    <row r="5494" spans="1:4" hidden="1" x14ac:dyDescent="0.3">
      <c r="A5494" t="s">
        <v>596</v>
      </c>
      <c r="B5494" t="s">
        <v>24</v>
      </c>
      <c r="C5494" s="1">
        <f>HYPERLINK("https://cao.dolgi.msk.ru/account/1011330595/", 1011330595)</f>
        <v>1011330595</v>
      </c>
      <c r="D5494">
        <v>0</v>
      </c>
    </row>
    <row r="5495" spans="1:4" hidden="1" x14ac:dyDescent="0.3">
      <c r="A5495" t="s">
        <v>596</v>
      </c>
      <c r="B5495" t="s">
        <v>25</v>
      </c>
      <c r="C5495" s="1">
        <f>HYPERLINK("https://cao.dolgi.msk.ru/account/1011330384/", 1011330384)</f>
        <v>1011330384</v>
      </c>
      <c r="D5495">
        <v>0</v>
      </c>
    </row>
    <row r="5496" spans="1:4" hidden="1" x14ac:dyDescent="0.3">
      <c r="A5496" t="s">
        <v>596</v>
      </c>
      <c r="B5496" t="s">
        <v>26</v>
      </c>
      <c r="C5496" s="1">
        <f>HYPERLINK("https://cao.dolgi.msk.ru/account/1011330456/", 1011330456)</f>
        <v>1011330456</v>
      </c>
      <c r="D5496">
        <v>0</v>
      </c>
    </row>
    <row r="5497" spans="1:4" hidden="1" x14ac:dyDescent="0.3">
      <c r="A5497" t="s">
        <v>596</v>
      </c>
      <c r="B5497" t="s">
        <v>27</v>
      </c>
      <c r="C5497" s="1">
        <f>HYPERLINK("https://cao.dolgi.msk.ru/account/1011330544/", 1011330544)</f>
        <v>1011330544</v>
      </c>
      <c r="D5497">
        <v>-614.63</v>
      </c>
    </row>
    <row r="5498" spans="1:4" hidden="1" x14ac:dyDescent="0.3">
      <c r="A5498" t="s">
        <v>596</v>
      </c>
      <c r="B5498" t="s">
        <v>29</v>
      </c>
      <c r="C5498" s="1">
        <f>HYPERLINK("https://cao.dolgi.msk.ru/account/1011330667/", 1011330667)</f>
        <v>1011330667</v>
      </c>
      <c r="D5498">
        <v>-807.42</v>
      </c>
    </row>
    <row r="5499" spans="1:4" hidden="1" x14ac:dyDescent="0.3">
      <c r="A5499" t="s">
        <v>596</v>
      </c>
      <c r="B5499" t="s">
        <v>38</v>
      </c>
      <c r="C5499" s="1">
        <f>HYPERLINK("https://cao.dolgi.msk.ru/account/1011330464/", 1011330464)</f>
        <v>1011330464</v>
      </c>
      <c r="D5499">
        <v>-154.49</v>
      </c>
    </row>
    <row r="5500" spans="1:4" hidden="1" x14ac:dyDescent="0.3">
      <c r="A5500" t="s">
        <v>596</v>
      </c>
      <c r="B5500" t="s">
        <v>39</v>
      </c>
      <c r="C5500" s="1">
        <f>HYPERLINK("https://cao.dolgi.msk.ru/account/1011330608/", 1011330608)</f>
        <v>1011330608</v>
      </c>
      <c r="D5500">
        <v>0</v>
      </c>
    </row>
    <row r="5501" spans="1:4" hidden="1" x14ac:dyDescent="0.3">
      <c r="A5501" t="s">
        <v>596</v>
      </c>
      <c r="B5501" t="s">
        <v>40</v>
      </c>
      <c r="C5501" s="1">
        <f>HYPERLINK("https://cao.dolgi.msk.ru/account/1011330675/", 1011330675)</f>
        <v>1011330675</v>
      </c>
      <c r="D5501">
        <v>0</v>
      </c>
    </row>
    <row r="5502" spans="1:4" x14ac:dyDescent="0.3">
      <c r="A5502" t="s">
        <v>596</v>
      </c>
      <c r="B5502" t="s">
        <v>41</v>
      </c>
      <c r="C5502" s="1">
        <f>HYPERLINK("https://cao.dolgi.msk.ru/account/1011330472/", 1011330472)</f>
        <v>1011330472</v>
      </c>
      <c r="D5502">
        <v>4760.6400000000003</v>
      </c>
    </row>
    <row r="5503" spans="1:4" x14ac:dyDescent="0.3">
      <c r="A5503" t="s">
        <v>596</v>
      </c>
      <c r="B5503" t="s">
        <v>51</v>
      </c>
      <c r="C5503" s="1">
        <f>HYPERLINK("https://cao.dolgi.msk.ru/account/1011330341/", 1011330341)</f>
        <v>1011330341</v>
      </c>
      <c r="D5503">
        <v>8164.9</v>
      </c>
    </row>
    <row r="5504" spans="1:4" x14ac:dyDescent="0.3">
      <c r="A5504" t="s">
        <v>596</v>
      </c>
      <c r="B5504" t="s">
        <v>52</v>
      </c>
      <c r="C5504" s="1">
        <f>HYPERLINK("https://cao.dolgi.msk.ru/account/1011330624/", 1011330624)</f>
        <v>1011330624</v>
      </c>
      <c r="D5504">
        <v>5221.76</v>
      </c>
    </row>
    <row r="5505" spans="1:4" hidden="1" x14ac:dyDescent="0.3">
      <c r="A5505" t="s">
        <v>596</v>
      </c>
      <c r="B5505" t="s">
        <v>53</v>
      </c>
      <c r="C5505" s="1">
        <f>HYPERLINK("https://cao.dolgi.msk.ru/account/1011330376/", 1011330376)</f>
        <v>1011330376</v>
      </c>
      <c r="D5505">
        <v>0</v>
      </c>
    </row>
    <row r="5506" spans="1:4" hidden="1" x14ac:dyDescent="0.3">
      <c r="A5506" t="s">
        <v>596</v>
      </c>
      <c r="B5506" t="s">
        <v>53</v>
      </c>
      <c r="C5506" s="1">
        <f>HYPERLINK("https://cao.dolgi.msk.ru/account/1011330499/", 1011330499)</f>
        <v>1011330499</v>
      </c>
      <c r="D5506">
        <v>0</v>
      </c>
    </row>
    <row r="5507" spans="1:4" x14ac:dyDescent="0.3">
      <c r="A5507" t="s">
        <v>596</v>
      </c>
      <c r="B5507" t="s">
        <v>54</v>
      </c>
      <c r="C5507" s="1">
        <f>HYPERLINK("https://cao.dolgi.msk.ru/account/1011330587/", 1011330587)</f>
        <v>1011330587</v>
      </c>
      <c r="D5507">
        <v>6338.42</v>
      </c>
    </row>
    <row r="5508" spans="1:4" x14ac:dyDescent="0.3">
      <c r="A5508" t="s">
        <v>596</v>
      </c>
      <c r="B5508" t="s">
        <v>55</v>
      </c>
      <c r="C5508" s="1">
        <f>HYPERLINK("https://cao.dolgi.msk.ru/account/1011330392/", 1011330392)</f>
        <v>1011330392</v>
      </c>
      <c r="D5508">
        <v>8419.2199999999993</v>
      </c>
    </row>
    <row r="5509" spans="1:4" hidden="1" x14ac:dyDescent="0.3">
      <c r="A5509" t="s">
        <v>596</v>
      </c>
      <c r="B5509" t="s">
        <v>56</v>
      </c>
      <c r="C5509" s="1">
        <f>HYPERLINK("https://cao.dolgi.msk.ru/account/1011330501/", 1011330501)</f>
        <v>1011330501</v>
      </c>
      <c r="D5509">
        <v>-28160.06</v>
      </c>
    </row>
    <row r="5510" spans="1:4" hidden="1" x14ac:dyDescent="0.3">
      <c r="A5510" t="s">
        <v>596</v>
      </c>
      <c r="B5510" t="s">
        <v>87</v>
      </c>
      <c r="C5510" s="1">
        <f>HYPERLINK("https://cao.dolgi.msk.ru/account/1011330405/", 1011330405)</f>
        <v>1011330405</v>
      </c>
      <c r="D5510">
        <v>0</v>
      </c>
    </row>
    <row r="5511" spans="1:4" hidden="1" x14ac:dyDescent="0.3">
      <c r="A5511" t="s">
        <v>596</v>
      </c>
      <c r="B5511" t="s">
        <v>88</v>
      </c>
      <c r="C5511" s="1">
        <f>HYPERLINK("https://cao.dolgi.msk.ru/account/1011330368/", 1011330368)</f>
        <v>1011330368</v>
      </c>
      <c r="D5511">
        <v>0</v>
      </c>
    </row>
    <row r="5512" spans="1:4" hidden="1" x14ac:dyDescent="0.3">
      <c r="A5512" t="s">
        <v>596</v>
      </c>
      <c r="B5512" t="s">
        <v>89</v>
      </c>
      <c r="C5512" s="1">
        <f>HYPERLINK("https://cao.dolgi.msk.ru/account/1011330528/", 1011330528)</f>
        <v>1011330528</v>
      </c>
      <c r="D5512">
        <v>0</v>
      </c>
    </row>
    <row r="5513" spans="1:4" hidden="1" x14ac:dyDescent="0.3">
      <c r="A5513" t="s">
        <v>596</v>
      </c>
      <c r="B5513" t="s">
        <v>90</v>
      </c>
      <c r="C5513" s="1">
        <f>HYPERLINK("https://cao.dolgi.msk.ru/account/1011330552/", 1011330552)</f>
        <v>1011330552</v>
      </c>
      <c r="D5513">
        <v>-297.29000000000002</v>
      </c>
    </row>
    <row r="5514" spans="1:4" hidden="1" x14ac:dyDescent="0.3">
      <c r="A5514" t="s">
        <v>596</v>
      </c>
      <c r="B5514" t="s">
        <v>96</v>
      </c>
      <c r="C5514" s="1">
        <f>HYPERLINK("https://cao.dolgi.msk.ru/account/1011330632/", 1011330632)</f>
        <v>1011330632</v>
      </c>
      <c r="D5514">
        <v>-443.79</v>
      </c>
    </row>
    <row r="5515" spans="1:4" hidden="1" x14ac:dyDescent="0.3">
      <c r="A5515" t="s">
        <v>596</v>
      </c>
      <c r="B5515" t="s">
        <v>97</v>
      </c>
      <c r="C5515" s="1">
        <f>HYPERLINK("https://cao.dolgi.msk.ru/account/1011330616/", 1011330616)</f>
        <v>1011330616</v>
      </c>
      <c r="D5515">
        <v>0</v>
      </c>
    </row>
    <row r="5516" spans="1:4" hidden="1" x14ac:dyDescent="0.3">
      <c r="A5516" t="s">
        <v>596</v>
      </c>
      <c r="B5516" t="s">
        <v>98</v>
      </c>
      <c r="C5516" s="1">
        <f>HYPERLINK("https://cao.dolgi.msk.ru/account/1011330413/", 1011330413)</f>
        <v>1011330413</v>
      </c>
      <c r="D5516">
        <v>-5443.46</v>
      </c>
    </row>
    <row r="5517" spans="1:4" hidden="1" x14ac:dyDescent="0.3">
      <c r="A5517" t="s">
        <v>596</v>
      </c>
      <c r="B5517" t="s">
        <v>58</v>
      </c>
      <c r="C5517" s="1">
        <f>HYPERLINK("https://cao.dolgi.msk.ru/account/1011330579/", 1011330579)</f>
        <v>1011330579</v>
      </c>
      <c r="D5517">
        <v>0</v>
      </c>
    </row>
    <row r="5518" spans="1:4" hidden="1" x14ac:dyDescent="0.3">
      <c r="A5518" t="s">
        <v>596</v>
      </c>
      <c r="B5518" t="s">
        <v>59</v>
      </c>
      <c r="C5518" s="1">
        <f>HYPERLINK("https://cao.dolgi.msk.ru/account/1011330421/", 1011330421)</f>
        <v>1011330421</v>
      </c>
      <c r="D5518">
        <v>-8349.91</v>
      </c>
    </row>
    <row r="5519" spans="1:4" hidden="1" x14ac:dyDescent="0.3">
      <c r="A5519" t="s">
        <v>596</v>
      </c>
      <c r="B5519" t="s">
        <v>60</v>
      </c>
      <c r="C5519" s="1">
        <f>HYPERLINK("https://cao.dolgi.msk.ru/account/1011330448/", 1011330448)</f>
        <v>1011330448</v>
      </c>
      <c r="D5519">
        <v>-1166.26</v>
      </c>
    </row>
    <row r="5520" spans="1:4" x14ac:dyDescent="0.3">
      <c r="A5520" t="s">
        <v>596</v>
      </c>
      <c r="B5520" t="s">
        <v>61</v>
      </c>
      <c r="C5520" s="1">
        <f>HYPERLINK("https://cao.dolgi.msk.ru/account/1011330536/", 1011330536)</f>
        <v>1011330536</v>
      </c>
      <c r="D5520">
        <v>2628.17</v>
      </c>
    </row>
    <row r="5521" spans="1:4" hidden="1" x14ac:dyDescent="0.3">
      <c r="A5521" t="s">
        <v>596</v>
      </c>
      <c r="B5521" t="s">
        <v>62</v>
      </c>
      <c r="C5521" s="1">
        <f>HYPERLINK("https://cao.dolgi.msk.ru/account/1011330659/", 1011330659)</f>
        <v>1011330659</v>
      </c>
      <c r="D5521">
        <v>-519.84</v>
      </c>
    </row>
    <row r="5522" spans="1:4" hidden="1" x14ac:dyDescent="0.3">
      <c r="A5522" t="s">
        <v>596</v>
      </c>
      <c r="B5522" t="s">
        <v>63</v>
      </c>
      <c r="C5522" s="1">
        <f>HYPERLINK("https://cao.dolgi.msk.ru/account/1011378484/", 1011378484)</f>
        <v>1011378484</v>
      </c>
      <c r="D5522">
        <v>-22213.22</v>
      </c>
    </row>
    <row r="5523" spans="1:4" hidden="1" x14ac:dyDescent="0.3">
      <c r="A5523" t="s">
        <v>596</v>
      </c>
      <c r="B5523" t="s">
        <v>64</v>
      </c>
      <c r="C5523" s="1">
        <f>HYPERLINK("https://cao.dolgi.msk.ru/account/1011378687/", 1011378687)</f>
        <v>1011378687</v>
      </c>
      <c r="D5523">
        <v>-10043.32</v>
      </c>
    </row>
    <row r="5524" spans="1:4" hidden="1" x14ac:dyDescent="0.3">
      <c r="A5524" t="s">
        <v>596</v>
      </c>
      <c r="B5524" t="s">
        <v>65</v>
      </c>
      <c r="C5524" s="1">
        <f>HYPERLINK("https://cao.dolgi.msk.ru/account/1011378695/", 1011378695)</f>
        <v>1011378695</v>
      </c>
      <c r="D5524">
        <v>-7048.79</v>
      </c>
    </row>
    <row r="5525" spans="1:4" hidden="1" x14ac:dyDescent="0.3">
      <c r="A5525" t="s">
        <v>596</v>
      </c>
      <c r="B5525" t="s">
        <v>66</v>
      </c>
      <c r="C5525" s="1">
        <f>HYPERLINK("https://cao.dolgi.msk.ru/account/1011378708/", 1011378708)</f>
        <v>1011378708</v>
      </c>
      <c r="D5525">
        <v>-16168.37</v>
      </c>
    </row>
    <row r="5526" spans="1:4" hidden="1" x14ac:dyDescent="0.3">
      <c r="A5526" t="s">
        <v>596</v>
      </c>
      <c r="B5526" t="s">
        <v>67</v>
      </c>
      <c r="C5526" s="1">
        <f>HYPERLINK("https://cao.dolgi.msk.ru/account/1011378329/", 1011378329)</f>
        <v>1011378329</v>
      </c>
      <c r="D5526">
        <v>-19124.419999999998</v>
      </c>
    </row>
    <row r="5527" spans="1:4" hidden="1" x14ac:dyDescent="0.3">
      <c r="A5527" t="s">
        <v>596</v>
      </c>
      <c r="B5527" t="s">
        <v>68</v>
      </c>
      <c r="C5527" s="1">
        <f>HYPERLINK("https://cao.dolgi.msk.ru/account/1011378441/", 1011378441)</f>
        <v>1011378441</v>
      </c>
      <c r="D5527">
        <v>-4112.41</v>
      </c>
    </row>
    <row r="5528" spans="1:4" hidden="1" x14ac:dyDescent="0.3">
      <c r="A5528" t="s">
        <v>596</v>
      </c>
      <c r="B5528" t="s">
        <v>69</v>
      </c>
      <c r="C5528" s="1">
        <f>HYPERLINK("https://cao.dolgi.msk.ru/account/1011378388/", 1011378388)</f>
        <v>1011378388</v>
      </c>
      <c r="D5528">
        <v>-8669.35</v>
      </c>
    </row>
    <row r="5529" spans="1:4" hidden="1" x14ac:dyDescent="0.3">
      <c r="A5529" t="s">
        <v>596</v>
      </c>
      <c r="B5529" t="s">
        <v>70</v>
      </c>
      <c r="C5529" s="1">
        <f>HYPERLINK("https://cao.dolgi.msk.ru/account/1011378185/", 1011378185)</f>
        <v>1011378185</v>
      </c>
      <c r="D5529">
        <v>-16234.4</v>
      </c>
    </row>
    <row r="5530" spans="1:4" hidden="1" x14ac:dyDescent="0.3">
      <c r="A5530" t="s">
        <v>596</v>
      </c>
      <c r="B5530" t="s">
        <v>259</v>
      </c>
      <c r="C5530" s="1">
        <f>HYPERLINK("https://cao.dolgi.msk.ru/account/1011378396/", 1011378396)</f>
        <v>1011378396</v>
      </c>
      <c r="D5530">
        <v>-9487.52</v>
      </c>
    </row>
    <row r="5531" spans="1:4" hidden="1" x14ac:dyDescent="0.3">
      <c r="A5531" t="s">
        <v>596</v>
      </c>
      <c r="B5531" t="s">
        <v>100</v>
      </c>
      <c r="C5531" s="1">
        <f>HYPERLINK("https://cao.dolgi.msk.ru/account/1011378409/", 1011378409)</f>
        <v>1011378409</v>
      </c>
      <c r="D5531">
        <v>-18496.8</v>
      </c>
    </row>
    <row r="5532" spans="1:4" x14ac:dyDescent="0.3">
      <c r="A5532" t="s">
        <v>596</v>
      </c>
      <c r="B5532" t="s">
        <v>72</v>
      </c>
      <c r="C5532" s="1">
        <f>HYPERLINK("https://cao.dolgi.msk.ru/account/1011530247/", 1011530247)</f>
        <v>1011530247</v>
      </c>
      <c r="D5532">
        <v>1203.58</v>
      </c>
    </row>
    <row r="5533" spans="1:4" hidden="1" x14ac:dyDescent="0.3">
      <c r="A5533" t="s">
        <v>596</v>
      </c>
      <c r="B5533" t="s">
        <v>73</v>
      </c>
      <c r="C5533" s="1">
        <f>HYPERLINK("https://cao.dolgi.msk.ru/account/1011378257/", 1011378257)</f>
        <v>1011378257</v>
      </c>
      <c r="D5533">
        <v>-16445.2</v>
      </c>
    </row>
    <row r="5534" spans="1:4" hidden="1" x14ac:dyDescent="0.3">
      <c r="A5534" t="s">
        <v>596</v>
      </c>
      <c r="B5534" t="s">
        <v>74</v>
      </c>
      <c r="C5534" s="1">
        <f>HYPERLINK("https://cao.dolgi.msk.ru/account/1011378337/", 1011378337)</f>
        <v>1011378337</v>
      </c>
      <c r="D5534">
        <v>-6489.1</v>
      </c>
    </row>
    <row r="5535" spans="1:4" hidden="1" x14ac:dyDescent="0.3">
      <c r="A5535" t="s">
        <v>596</v>
      </c>
      <c r="B5535" t="s">
        <v>75</v>
      </c>
      <c r="C5535" s="1">
        <f>HYPERLINK("https://cao.dolgi.msk.ru/account/1011378572/", 1011378572)</f>
        <v>1011378572</v>
      </c>
      <c r="D5535">
        <v>-5367.86</v>
      </c>
    </row>
    <row r="5536" spans="1:4" hidden="1" x14ac:dyDescent="0.3">
      <c r="A5536" t="s">
        <v>596</v>
      </c>
      <c r="B5536" t="s">
        <v>76</v>
      </c>
      <c r="C5536" s="1">
        <f>HYPERLINK("https://cao.dolgi.msk.ru/account/1011378353/", 1011378353)</f>
        <v>1011378353</v>
      </c>
      <c r="D5536">
        <v>-13014.34</v>
      </c>
    </row>
    <row r="5537" spans="1:4" hidden="1" x14ac:dyDescent="0.3">
      <c r="A5537" t="s">
        <v>596</v>
      </c>
      <c r="B5537" t="s">
        <v>77</v>
      </c>
      <c r="C5537" s="1">
        <f>HYPERLINK("https://cao.dolgi.msk.ru/account/1011378265/", 1011378265)</f>
        <v>1011378265</v>
      </c>
      <c r="D5537">
        <v>-20275.93</v>
      </c>
    </row>
    <row r="5538" spans="1:4" hidden="1" x14ac:dyDescent="0.3">
      <c r="A5538" t="s">
        <v>596</v>
      </c>
      <c r="B5538" t="s">
        <v>78</v>
      </c>
      <c r="C5538" s="1">
        <f>HYPERLINK("https://cao.dolgi.msk.ru/account/1011378193/", 1011378193)</f>
        <v>1011378193</v>
      </c>
      <c r="D5538">
        <v>-10402.58</v>
      </c>
    </row>
    <row r="5539" spans="1:4" hidden="1" x14ac:dyDescent="0.3">
      <c r="A5539" t="s">
        <v>596</v>
      </c>
      <c r="B5539" t="s">
        <v>79</v>
      </c>
      <c r="C5539" s="1">
        <f>HYPERLINK("https://cao.dolgi.msk.ru/account/1011378206/", 1011378206)</f>
        <v>1011378206</v>
      </c>
      <c r="D5539">
        <v>-6382.54</v>
      </c>
    </row>
    <row r="5540" spans="1:4" hidden="1" x14ac:dyDescent="0.3">
      <c r="A5540" t="s">
        <v>596</v>
      </c>
      <c r="B5540" t="s">
        <v>80</v>
      </c>
      <c r="C5540" s="1">
        <f>HYPERLINK("https://cao.dolgi.msk.ru/account/1011378492/", 1011378492)</f>
        <v>1011378492</v>
      </c>
      <c r="D5540">
        <v>-13608.5</v>
      </c>
    </row>
    <row r="5541" spans="1:4" hidden="1" x14ac:dyDescent="0.3">
      <c r="A5541" t="s">
        <v>596</v>
      </c>
      <c r="B5541" t="s">
        <v>81</v>
      </c>
      <c r="C5541" s="1">
        <f>HYPERLINK("https://cao.dolgi.msk.ru/account/1011378505/", 1011378505)</f>
        <v>1011378505</v>
      </c>
      <c r="D5541">
        <v>-12625.78</v>
      </c>
    </row>
    <row r="5542" spans="1:4" hidden="1" x14ac:dyDescent="0.3">
      <c r="A5542" t="s">
        <v>596</v>
      </c>
      <c r="B5542" t="s">
        <v>101</v>
      </c>
      <c r="C5542" s="1">
        <f>HYPERLINK("https://cao.dolgi.msk.ru/account/1011378214/", 1011378214)</f>
        <v>1011378214</v>
      </c>
      <c r="D5542">
        <v>-8970.08</v>
      </c>
    </row>
    <row r="5543" spans="1:4" hidden="1" x14ac:dyDescent="0.3">
      <c r="A5543" t="s">
        <v>596</v>
      </c>
      <c r="B5543" t="s">
        <v>82</v>
      </c>
      <c r="C5543" s="1">
        <f>HYPERLINK("https://cao.dolgi.msk.ru/account/1011378417/", 1011378417)</f>
        <v>1011378417</v>
      </c>
      <c r="D5543">
        <v>-9705.09</v>
      </c>
    </row>
    <row r="5544" spans="1:4" hidden="1" x14ac:dyDescent="0.3">
      <c r="A5544" t="s">
        <v>596</v>
      </c>
      <c r="B5544" t="s">
        <v>83</v>
      </c>
      <c r="C5544" s="1">
        <f>HYPERLINK("https://cao.dolgi.msk.ru/account/1011378222/", 1011378222)</f>
        <v>1011378222</v>
      </c>
      <c r="D5544">
        <v>-13682.46</v>
      </c>
    </row>
    <row r="5545" spans="1:4" hidden="1" x14ac:dyDescent="0.3">
      <c r="A5545" t="s">
        <v>596</v>
      </c>
      <c r="B5545" t="s">
        <v>84</v>
      </c>
      <c r="C5545" s="1">
        <f>HYPERLINK("https://cao.dolgi.msk.ru/account/1011378716/", 1011378716)</f>
        <v>1011378716</v>
      </c>
      <c r="D5545">
        <v>-13052.58</v>
      </c>
    </row>
    <row r="5546" spans="1:4" x14ac:dyDescent="0.3">
      <c r="A5546" t="s">
        <v>596</v>
      </c>
      <c r="B5546" t="s">
        <v>85</v>
      </c>
      <c r="C5546" s="1">
        <f>HYPERLINK("https://cao.dolgi.msk.ru/account/1011378724/", 1011378724)</f>
        <v>1011378724</v>
      </c>
      <c r="D5546">
        <v>16906.96</v>
      </c>
    </row>
    <row r="5547" spans="1:4" hidden="1" x14ac:dyDescent="0.3">
      <c r="A5547" t="s">
        <v>596</v>
      </c>
      <c r="B5547" t="s">
        <v>102</v>
      </c>
      <c r="C5547" s="1">
        <f>HYPERLINK("https://cao.dolgi.msk.ru/account/1011378513/", 1011378513)</f>
        <v>1011378513</v>
      </c>
      <c r="D5547">
        <v>-16023.48</v>
      </c>
    </row>
    <row r="5548" spans="1:4" hidden="1" x14ac:dyDescent="0.3">
      <c r="A5548" t="s">
        <v>596</v>
      </c>
      <c r="B5548" t="s">
        <v>103</v>
      </c>
      <c r="C5548" s="1">
        <f>HYPERLINK("https://cao.dolgi.msk.ru/account/1011378599/", 1011378599)</f>
        <v>1011378599</v>
      </c>
      <c r="D5548">
        <v>-7225.96</v>
      </c>
    </row>
    <row r="5549" spans="1:4" hidden="1" x14ac:dyDescent="0.3">
      <c r="A5549" t="s">
        <v>596</v>
      </c>
      <c r="B5549" t="s">
        <v>104</v>
      </c>
      <c r="C5549" s="1">
        <f>HYPERLINK("https://cao.dolgi.msk.ru/account/1011378601/", 1011378601)</f>
        <v>1011378601</v>
      </c>
      <c r="D5549">
        <v>-7915.96</v>
      </c>
    </row>
    <row r="5550" spans="1:4" hidden="1" x14ac:dyDescent="0.3">
      <c r="A5550" t="s">
        <v>596</v>
      </c>
      <c r="B5550" t="s">
        <v>105</v>
      </c>
      <c r="C5550" s="1">
        <f>HYPERLINK("https://cao.dolgi.msk.ru/account/1011378433/", 1011378433)</f>
        <v>1011378433</v>
      </c>
      <c r="D5550">
        <v>-24204.46</v>
      </c>
    </row>
    <row r="5551" spans="1:4" hidden="1" x14ac:dyDescent="0.3">
      <c r="A5551" t="s">
        <v>596</v>
      </c>
      <c r="B5551" t="s">
        <v>106</v>
      </c>
      <c r="C5551" s="1">
        <f>HYPERLINK("https://cao.dolgi.msk.ru/account/1011378628/", 1011378628)</f>
        <v>1011378628</v>
      </c>
      <c r="D5551">
        <v>-6127.73</v>
      </c>
    </row>
    <row r="5552" spans="1:4" hidden="1" x14ac:dyDescent="0.3">
      <c r="A5552" t="s">
        <v>596</v>
      </c>
      <c r="B5552" t="s">
        <v>107</v>
      </c>
      <c r="C5552" s="1">
        <f>HYPERLINK("https://cao.dolgi.msk.ru/account/1011378636/", 1011378636)</f>
        <v>1011378636</v>
      </c>
      <c r="D5552">
        <v>-10024.02</v>
      </c>
    </row>
    <row r="5553" spans="1:4" hidden="1" x14ac:dyDescent="0.3">
      <c r="A5553" t="s">
        <v>596</v>
      </c>
      <c r="B5553" t="s">
        <v>108</v>
      </c>
      <c r="C5553" s="1">
        <f>HYPERLINK("https://cao.dolgi.msk.ru/account/1011378361/", 1011378361)</f>
        <v>1011378361</v>
      </c>
      <c r="D5553">
        <v>-19449.48</v>
      </c>
    </row>
    <row r="5554" spans="1:4" hidden="1" x14ac:dyDescent="0.3">
      <c r="A5554" t="s">
        <v>596</v>
      </c>
      <c r="B5554" t="s">
        <v>108</v>
      </c>
      <c r="C5554" s="1">
        <f>HYPERLINK("https://cao.dolgi.msk.ru/account/1011378521/", 1011378521)</f>
        <v>1011378521</v>
      </c>
      <c r="D5554">
        <v>-6446.5</v>
      </c>
    </row>
    <row r="5555" spans="1:4" hidden="1" x14ac:dyDescent="0.3">
      <c r="A5555" t="s">
        <v>596</v>
      </c>
      <c r="B5555" t="s">
        <v>109</v>
      </c>
      <c r="C5555" s="1">
        <f>HYPERLINK("https://cao.dolgi.msk.ru/account/1011378732/", 1011378732)</f>
        <v>1011378732</v>
      </c>
      <c r="D5555">
        <v>-7283.44</v>
      </c>
    </row>
    <row r="5556" spans="1:4" hidden="1" x14ac:dyDescent="0.3">
      <c r="A5556" t="s">
        <v>596</v>
      </c>
      <c r="B5556" t="s">
        <v>110</v>
      </c>
      <c r="C5556" s="1">
        <f>HYPERLINK("https://cao.dolgi.msk.ru/account/1011378548/", 1011378548)</f>
        <v>1011378548</v>
      </c>
      <c r="D5556">
        <v>-8013.97</v>
      </c>
    </row>
    <row r="5557" spans="1:4" hidden="1" x14ac:dyDescent="0.3">
      <c r="A5557" t="s">
        <v>596</v>
      </c>
      <c r="B5557" t="s">
        <v>111</v>
      </c>
      <c r="C5557" s="1">
        <f>HYPERLINK("https://cao.dolgi.msk.ru/account/1011378273/", 1011378273)</f>
        <v>1011378273</v>
      </c>
      <c r="D5557">
        <v>-7785.64</v>
      </c>
    </row>
    <row r="5558" spans="1:4" x14ac:dyDescent="0.3">
      <c r="A5558" t="s">
        <v>596</v>
      </c>
      <c r="B5558" t="s">
        <v>111</v>
      </c>
      <c r="C5558" s="1">
        <f>HYPERLINK("https://cao.dolgi.msk.ru/account/1011378476/", 1011378476)</f>
        <v>1011378476</v>
      </c>
      <c r="D5558">
        <v>9190.0400000000009</v>
      </c>
    </row>
    <row r="5559" spans="1:4" hidden="1" x14ac:dyDescent="0.3">
      <c r="A5559" t="s">
        <v>596</v>
      </c>
      <c r="B5559" t="s">
        <v>112</v>
      </c>
      <c r="C5559" s="1">
        <f>HYPERLINK("https://cao.dolgi.msk.ru/account/1011378644/", 1011378644)</f>
        <v>1011378644</v>
      </c>
      <c r="D5559">
        <v>-11986.29</v>
      </c>
    </row>
    <row r="5560" spans="1:4" hidden="1" x14ac:dyDescent="0.3">
      <c r="A5560" t="s">
        <v>596</v>
      </c>
      <c r="B5560" t="s">
        <v>113</v>
      </c>
      <c r="C5560" s="1">
        <f>HYPERLINK("https://cao.dolgi.msk.ru/account/1011378281/", 1011378281)</f>
        <v>1011378281</v>
      </c>
      <c r="D5560">
        <v>-5558.44</v>
      </c>
    </row>
    <row r="5561" spans="1:4" hidden="1" x14ac:dyDescent="0.3">
      <c r="A5561" t="s">
        <v>596</v>
      </c>
      <c r="B5561" t="s">
        <v>114</v>
      </c>
      <c r="C5561" s="1">
        <f>HYPERLINK("https://cao.dolgi.msk.ru/account/1011378345/", 1011378345)</f>
        <v>1011378345</v>
      </c>
      <c r="D5561">
        <v>-10929.96</v>
      </c>
    </row>
    <row r="5562" spans="1:4" hidden="1" x14ac:dyDescent="0.3">
      <c r="A5562" t="s">
        <v>596</v>
      </c>
      <c r="B5562" t="s">
        <v>115</v>
      </c>
      <c r="C5562" s="1">
        <f>HYPERLINK("https://cao.dolgi.msk.ru/account/1011378556/", 1011378556)</f>
        <v>1011378556</v>
      </c>
      <c r="D5562">
        <v>-7302.56</v>
      </c>
    </row>
    <row r="5563" spans="1:4" hidden="1" x14ac:dyDescent="0.3">
      <c r="A5563" t="s">
        <v>596</v>
      </c>
      <c r="B5563" t="s">
        <v>116</v>
      </c>
      <c r="C5563" s="1">
        <f>HYPERLINK("https://cao.dolgi.msk.ru/account/1011378652/", 1011378652)</f>
        <v>1011378652</v>
      </c>
      <c r="D5563">
        <v>-9243.07</v>
      </c>
    </row>
    <row r="5564" spans="1:4" hidden="1" x14ac:dyDescent="0.3">
      <c r="A5564" t="s">
        <v>596</v>
      </c>
      <c r="B5564" t="s">
        <v>266</v>
      </c>
      <c r="C5564" s="1">
        <f>HYPERLINK("https://cao.dolgi.msk.ru/account/1011378302/", 1011378302)</f>
        <v>1011378302</v>
      </c>
      <c r="D5564">
        <v>-16925.96</v>
      </c>
    </row>
    <row r="5565" spans="1:4" hidden="1" x14ac:dyDescent="0.3">
      <c r="A5565" t="s">
        <v>596</v>
      </c>
      <c r="B5565" t="s">
        <v>117</v>
      </c>
      <c r="C5565" s="1">
        <f>HYPERLINK("https://cao.dolgi.msk.ru/account/1011378759/", 1011378759)</f>
        <v>1011378759</v>
      </c>
      <c r="D5565">
        <v>-7398.4</v>
      </c>
    </row>
    <row r="5566" spans="1:4" hidden="1" x14ac:dyDescent="0.3">
      <c r="A5566" t="s">
        <v>596</v>
      </c>
      <c r="B5566" t="s">
        <v>118</v>
      </c>
      <c r="C5566" s="1">
        <f>HYPERLINK("https://cao.dolgi.msk.ru/account/1011378425/", 1011378425)</f>
        <v>1011378425</v>
      </c>
      <c r="D5566">
        <v>-11231.86</v>
      </c>
    </row>
    <row r="5567" spans="1:4" hidden="1" x14ac:dyDescent="0.3">
      <c r="A5567" t="s">
        <v>596</v>
      </c>
      <c r="B5567" t="s">
        <v>119</v>
      </c>
      <c r="C5567" s="1">
        <f>HYPERLINK("https://cao.dolgi.msk.ru/account/1011378679/", 1011378679)</f>
        <v>1011378679</v>
      </c>
      <c r="D5567">
        <v>-16732.72</v>
      </c>
    </row>
    <row r="5568" spans="1:4" hidden="1" x14ac:dyDescent="0.3">
      <c r="A5568" t="s">
        <v>596</v>
      </c>
      <c r="B5568" t="s">
        <v>120</v>
      </c>
      <c r="C5568" s="1">
        <f>HYPERLINK("https://cao.dolgi.msk.ru/account/1011378564/", 1011378564)</f>
        <v>1011378564</v>
      </c>
      <c r="D5568">
        <v>-7321.8</v>
      </c>
    </row>
    <row r="5569" spans="1:4" hidden="1" x14ac:dyDescent="0.3">
      <c r="A5569" t="s">
        <v>596</v>
      </c>
      <c r="B5569" t="s">
        <v>122</v>
      </c>
      <c r="C5569" s="1">
        <f>HYPERLINK("https://cao.dolgi.msk.ru/account/1011378767/", 1011378767)</f>
        <v>1011378767</v>
      </c>
      <c r="D5569">
        <v>-11634.34</v>
      </c>
    </row>
    <row r="5570" spans="1:4" hidden="1" x14ac:dyDescent="0.3">
      <c r="A5570" t="s">
        <v>597</v>
      </c>
      <c r="B5570" t="s">
        <v>6</v>
      </c>
      <c r="C5570" s="1">
        <f>HYPERLINK("https://cao.dolgi.msk.ru/account/1011195127/", 1011195127)</f>
        <v>1011195127</v>
      </c>
      <c r="D5570">
        <v>0</v>
      </c>
    </row>
    <row r="5571" spans="1:4" hidden="1" x14ac:dyDescent="0.3">
      <c r="A5571" t="s">
        <v>597</v>
      </c>
      <c r="B5571" t="s">
        <v>28</v>
      </c>
      <c r="C5571" s="1">
        <f>HYPERLINK("https://cao.dolgi.msk.ru/account/1011194829/", 1011194829)</f>
        <v>1011194829</v>
      </c>
      <c r="D5571">
        <v>-8397.74</v>
      </c>
    </row>
    <row r="5572" spans="1:4" hidden="1" x14ac:dyDescent="0.3">
      <c r="A5572" t="s">
        <v>597</v>
      </c>
      <c r="B5572" t="s">
        <v>35</v>
      </c>
      <c r="C5572" s="1">
        <f>HYPERLINK("https://cao.dolgi.msk.ru/account/1011194351/", 1011194351)</f>
        <v>1011194351</v>
      </c>
      <c r="D5572">
        <v>0</v>
      </c>
    </row>
    <row r="5573" spans="1:4" hidden="1" x14ac:dyDescent="0.3">
      <c r="A5573" t="s">
        <v>597</v>
      </c>
      <c r="B5573" t="s">
        <v>5</v>
      </c>
      <c r="C5573" s="1">
        <f>HYPERLINK("https://cao.dolgi.msk.ru/account/1011514503/", 1011514503)</f>
        <v>1011514503</v>
      </c>
      <c r="D5573">
        <v>0</v>
      </c>
    </row>
    <row r="5574" spans="1:4" hidden="1" x14ac:dyDescent="0.3">
      <c r="A5574" t="s">
        <v>597</v>
      </c>
      <c r="B5574" t="s">
        <v>7</v>
      </c>
      <c r="C5574" s="1">
        <f>HYPERLINK("https://cao.dolgi.msk.ru/account/1011194271/", 1011194271)</f>
        <v>1011194271</v>
      </c>
      <c r="D5574">
        <v>-2824.14</v>
      </c>
    </row>
    <row r="5575" spans="1:4" hidden="1" x14ac:dyDescent="0.3">
      <c r="A5575" t="s">
        <v>597</v>
      </c>
      <c r="B5575" t="s">
        <v>8</v>
      </c>
      <c r="C5575" s="1">
        <f>HYPERLINK("https://cao.dolgi.msk.ru/account/1011194992/", 1011194992)</f>
        <v>1011194992</v>
      </c>
      <c r="D5575">
        <v>-1187.8399999999999</v>
      </c>
    </row>
    <row r="5576" spans="1:4" hidden="1" x14ac:dyDescent="0.3">
      <c r="A5576" t="s">
        <v>597</v>
      </c>
      <c r="B5576" t="s">
        <v>31</v>
      </c>
      <c r="C5576" s="1">
        <f>HYPERLINK("https://cao.dolgi.msk.ru/account/1011194618/", 1011194618)</f>
        <v>1011194618</v>
      </c>
      <c r="D5576">
        <v>-13314.95</v>
      </c>
    </row>
    <row r="5577" spans="1:4" hidden="1" x14ac:dyDescent="0.3">
      <c r="A5577" t="s">
        <v>597</v>
      </c>
      <c r="B5577" t="s">
        <v>9</v>
      </c>
      <c r="C5577" s="1">
        <f>HYPERLINK("https://cao.dolgi.msk.ru/account/1011194669/", 1011194669)</f>
        <v>1011194669</v>
      </c>
      <c r="D5577">
        <v>-450.16</v>
      </c>
    </row>
    <row r="5578" spans="1:4" hidden="1" x14ac:dyDescent="0.3">
      <c r="A5578" t="s">
        <v>597</v>
      </c>
      <c r="B5578" t="s">
        <v>10</v>
      </c>
      <c r="C5578" s="1">
        <f>HYPERLINK("https://cao.dolgi.msk.ru/account/1011194896/", 1011194896)</f>
        <v>1011194896</v>
      </c>
      <c r="D5578">
        <v>0</v>
      </c>
    </row>
    <row r="5579" spans="1:4" hidden="1" x14ac:dyDescent="0.3">
      <c r="A5579" t="s">
        <v>597</v>
      </c>
      <c r="B5579" t="s">
        <v>11</v>
      </c>
      <c r="C5579" s="1">
        <f>HYPERLINK("https://cao.dolgi.msk.ru/account/1011195274/", 1011195274)</f>
        <v>1011195274</v>
      </c>
      <c r="D5579">
        <v>-13077.38</v>
      </c>
    </row>
    <row r="5580" spans="1:4" hidden="1" x14ac:dyDescent="0.3">
      <c r="A5580" t="s">
        <v>597</v>
      </c>
      <c r="B5580" t="s">
        <v>12</v>
      </c>
      <c r="C5580" s="1">
        <f>HYPERLINK("https://cao.dolgi.msk.ru/account/1011195004/", 1011195004)</f>
        <v>1011195004</v>
      </c>
      <c r="D5580">
        <v>-138.13999999999999</v>
      </c>
    </row>
    <row r="5581" spans="1:4" hidden="1" x14ac:dyDescent="0.3">
      <c r="A5581" t="s">
        <v>597</v>
      </c>
      <c r="B5581" t="s">
        <v>23</v>
      </c>
      <c r="C5581" s="1">
        <f>HYPERLINK("https://cao.dolgi.msk.ru/account/1011194925/", 1011194925)</f>
        <v>1011194925</v>
      </c>
      <c r="D5581">
        <v>0</v>
      </c>
    </row>
    <row r="5582" spans="1:4" hidden="1" x14ac:dyDescent="0.3">
      <c r="A5582" t="s">
        <v>597</v>
      </c>
      <c r="B5582" t="s">
        <v>13</v>
      </c>
      <c r="C5582" s="1">
        <f>HYPERLINK("https://cao.dolgi.msk.ru/account/1011195573/", 1011195573)</f>
        <v>1011195573</v>
      </c>
      <c r="D5582">
        <v>-620.88</v>
      </c>
    </row>
    <row r="5583" spans="1:4" x14ac:dyDescent="0.3">
      <c r="A5583" t="s">
        <v>597</v>
      </c>
      <c r="B5583" t="s">
        <v>14</v>
      </c>
      <c r="C5583" s="1">
        <f>HYPERLINK("https://cao.dolgi.msk.ru/account/1011194546/", 1011194546)</f>
        <v>1011194546</v>
      </c>
      <c r="D5583">
        <v>19207.34</v>
      </c>
    </row>
    <row r="5584" spans="1:4" hidden="1" x14ac:dyDescent="0.3">
      <c r="A5584" t="s">
        <v>597</v>
      </c>
      <c r="B5584" t="s">
        <v>16</v>
      </c>
      <c r="C5584" s="1">
        <f>HYPERLINK("https://cao.dolgi.msk.ru/account/1011195477/", 1011195477)</f>
        <v>1011195477</v>
      </c>
      <c r="D5584">
        <v>0</v>
      </c>
    </row>
    <row r="5585" spans="1:4" x14ac:dyDescent="0.3">
      <c r="A5585" t="s">
        <v>597</v>
      </c>
      <c r="B5585" t="s">
        <v>17</v>
      </c>
      <c r="C5585" s="1">
        <f>HYPERLINK("https://cao.dolgi.msk.ru/account/1011195143/", 1011195143)</f>
        <v>1011195143</v>
      </c>
      <c r="D5585">
        <v>3626.47</v>
      </c>
    </row>
    <row r="5586" spans="1:4" hidden="1" x14ac:dyDescent="0.3">
      <c r="A5586" t="s">
        <v>597</v>
      </c>
      <c r="B5586" t="s">
        <v>18</v>
      </c>
      <c r="C5586" s="1">
        <f>HYPERLINK("https://cao.dolgi.msk.ru/account/1011194474/", 1011194474)</f>
        <v>1011194474</v>
      </c>
      <c r="D5586">
        <v>0</v>
      </c>
    </row>
    <row r="5587" spans="1:4" hidden="1" x14ac:dyDescent="0.3">
      <c r="A5587" t="s">
        <v>597</v>
      </c>
      <c r="B5587" t="s">
        <v>19</v>
      </c>
      <c r="C5587" s="1">
        <f>HYPERLINK("https://cao.dolgi.msk.ru/account/1011195186/", 1011195186)</f>
        <v>1011195186</v>
      </c>
      <c r="D5587">
        <v>0</v>
      </c>
    </row>
    <row r="5588" spans="1:4" hidden="1" x14ac:dyDescent="0.3">
      <c r="A5588" t="s">
        <v>597</v>
      </c>
      <c r="B5588" t="s">
        <v>20</v>
      </c>
      <c r="C5588" s="1">
        <f>HYPERLINK("https://cao.dolgi.msk.ru/account/1011194677/", 1011194677)</f>
        <v>1011194677</v>
      </c>
      <c r="D5588">
        <v>0</v>
      </c>
    </row>
    <row r="5589" spans="1:4" x14ac:dyDescent="0.3">
      <c r="A5589" t="s">
        <v>597</v>
      </c>
      <c r="B5589" t="s">
        <v>20</v>
      </c>
      <c r="C5589" s="1">
        <f>HYPERLINK("https://cao.dolgi.msk.ru/account/1011194976/", 1011194976)</f>
        <v>1011194976</v>
      </c>
      <c r="D5589">
        <v>90857.02</v>
      </c>
    </row>
    <row r="5590" spans="1:4" hidden="1" x14ac:dyDescent="0.3">
      <c r="A5590" t="s">
        <v>597</v>
      </c>
      <c r="B5590" t="s">
        <v>20</v>
      </c>
      <c r="C5590" s="1">
        <f>HYPERLINK("https://cao.dolgi.msk.ru/account/1011195055/", 1011195055)</f>
        <v>1011195055</v>
      </c>
      <c r="D5590">
        <v>-2874.05</v>
      </c>
    </row>
    <row r="5591" spans="1:4" hidden="1" x14ac:dyDescent="0.3">
      <c r="A5591" t="s">
        <v>597</v>
      </c>
      <c r="B5591" t="s">
        <v>21</v>
      </c>
      <c r="C5591" s="1">
        <f>HYPERLINK("https://cao.dolgi.msk.ru/account/1011195207/", 1011195207)</f>
        <v>1011195207</v>
      </c>
      <c r="D5591">
        <v>0</v>
      </c>
    </row>
    <row r="5592" spans="1:4" x14ac:dyDescent="0.3">
      <c r="A5592" t="s">
        <v>597</v>
      </c>
      <c r="B5592" t="s">
        <v>22</v>
      </c>
      <c r="C5592" s="1">
        <f>HYPERLINK("https://cao.dolgi.msk.ru/account/1011194837/", 1011194837)</f>
        <v>1011194837</v>
      </c>
      <c r="D5592">
        <v>5650.06</v>
      </c>
    </row>
    <row r="5593" spans="1:4" hidden="1" x14ac:dyDescent="0.3">
      <c r="A5593" t="s">
        <v>597</v>
      </c>
      <c r="B5593" t="s">
        <v>24</v>
      </c>
      <c r="C5593" s="1">
        <f>HYPERLINK("https://cao.dolgi.msk.ru/account/1011195282/", 1011195282)</f>
        <v>1011195282</v>
      </c>
      <c r="D5593">
        <v>0</v>
      </c>
    </row>
    <row r="5594" spans="1:4" x14ac:dyDescent="0.3">
      <c r="A5594" t="s">
        <v>597</v>
      </c>
      <c r="B5594" t="s">
        <v>25</v>
      </c>
      <c r="C5594" s="1">
        <f>HYPERLINK("https://cao.dolgi.msk.ru/account/1011195338/", 1011195338)</f>
        <v>1011195338</v>
      </c>
      <c r="D5594">
        <v>106757.75</v>
      </c>
    </row>
    <row r="5595" spans="1:4" x14ac:dyDescent="0.3">
      <c r="A5595" t="s">
        <v>597</v>
      </c>
      <c r="B5595" t="s">
        <v>26</v>
      </c>
      <c r="C5595" s="1">
        <f>HYPERLINK("https://cao.dolgi.msk.ru/account/1011534184/", 1011534184)</f>
        <v>1011534184</v>
      </c>
      <c r="D5595">
        <v>8804.4</v>
      </c>
    </row>
    <row r="5596" spans="1:4" x14ac:dyDescent="0.3">
      <c r="A5596" t="s">
        <v>597</v>
      </c>
      <c r="B5596" t="s">
        <v>27</v>
      </c>
      <c r="C5596" s="1">
        <f>HYPERLINK("https://cao.dolgi.msk.ru/account/1011194319/", 1011194319)</f>
        <v>1011194319</v>
      </c>
      <c r="D5596">
        <v>5373.4</v>
      </c>
    </row>
    <row r="5597" spans="1:4" hidden="1" x14ac:dyDescent="0.3">
      <c r="A5597" t="s">
        <v>597</v>
      </c>
      <c r="B5597" t="s">
        <v>27</v>
      </c>
      <c r="C5597" s="1">
        <f>HYPERLINK("https://cao.dolgi.msk.ru/account/1011194714/", 1011194714)</f>
        <v>1011194714</v>
      </c>
      <c r="D5597">
        <v>-6403.33</v>
      </c>
    </row>
    <row r="5598" spans="1:4" hidden="1" x14ac:dyDescent="0.3">
      <c r="A5598" t="s">
        <v>597</v>
      </c>
      <c r="B5598" t="s">
        <v>29</v>
      </c>
      <c r="C5598" s="1">
        <f>HYPERLINK("https://cao.dolgi.msk.ru/account/1011195012/", 1011195012)</f>
        <v>1011195012</v>
      </c>
      <c r="D5598">
        <v>0</v>
      </c>
    </row>
    <row r="5599" spans="1:4" hidden="1" x14ac:dyDescent="0.3">
      <c r="A5599" t="s">
        <v>597</v>
      </c>
      <c r="B5599" t="s">
        <v>38</v>
      </c>
      <c r="C5599" s="1">
        <f>HYPERLINK("https://cao.dolgi.msk.ru/account/1011194431/", 1011194431)</f>
        <v>1011194431</v>
      </c>
      <c r="D5599">
        <v>-882.59</v>
      </c>
    </row>
    <row r="5600" spans="1:4" hidden="1" x14ac:dyDescent="0.3">
      <c r="A5600" t="s">
        <v>597</v>
      </c>
      <c r="B5600" t="s">
        <v>39</v>
      </c>
      <c r="C5600" s="1">
        <f>HYPERLINK("https://cao.dolgi.msk.ru/account/1011195469/", 1011195469)</f>
        <v>1011195469</v>
      </c>
      <c r="D5600">
        <v>0</v>
      </c>
    </row>
    <row r="5601" spans="1:4" hidden="1" x14ac:dyDescent="0.3">
      <c r="A5601" t="s">
        <v>597</v>
      </c>
      <c r="B5601" t="s">
        <v>39</v>
      </c>
      <c r="C5601" s="1">
        <f>HYPERLINK("https://cao.dolgi.msk.ru/account/1011195522/", 1011195522)</f>
        <v>1011195522</v>
      </c>
      <c r="D5601">
        <v>0</v>
      </c>
    </row>
    <row r="5602" spans="1:4" hidden="1" x14ac:dyDescent="0.3">
      <c r="A5602" t="s">
        <v>597</v>
      </c>
      <c r="B5602" t="s">
        <v>40</v>
      </c>
      <c r="C5602" s="1">
        <f>HYPERLINK("https://cao.dolgi.msk.ru/account/1011194247/", 1011194247)</f>
        <v>1011194247</v>
      </c>
      <c r="D5602">
        <v>0</v>
      </c>
    </row>
    <row r="5603" spans="1:4" hidden="1" x14ac:dyDescent="0.3">
      <c r="A5603" t="s">
        <v>597</v>
      </c>
      <c r="B5603" t="s">
        <v>40</v>
      </c>
      <c r="C5603" s="1">
        <f>HYPERLINK("https://cao.dolgi.msk.ru/account/1011194781/", 1011194781)</f>
        <v>1011194781</v>
      </c>
      <c r="D5603">
        <v>0</v>
      </c>
    </row>
    <row r="5604" spans="1:4" x14ac:dyDescent="0.3">
      <c r="A5604" t="s">
        <v>597</v>
      </c>
      <c r="B5604" t="s">
        <v>40</v>
      </c>
      <c r="C5604" s="1">
        <f>HYPERLINK("https://cao.dolgi.msk.ru/account/1011195362/", 1011195362)</f>
        <v>1011195362</v>
      </c>
      <c r="D5604">
        <v>1808.31</v>
      </c>
    </row>
    <row r="5605" spans="1:4" x14ac:dyDescent="0.3">
      <c r="A5605" t="s">
        <v>597</v>
      </c>
      <c r="B5605" t="s">
        <v>41</v>
      </c>
      <c r="C5605" s="1">
        <f>HYPERLINK("https://cao.dolgi.msk.ru/account/1011194503/", 1011194503)</f>
        <v>1011194503</v>
      </c>
      <c r="D5605">
        <v>6040</v>
      </c>
    </row>
    <row r="5606" spans="1:4" hidden="1" x14ac:dyDescent="0.3">
      <c r="A5606" t="s">
        <v>597</v>
      </c>
      <c r="B5606" t="s">
        <v>41</v>
      </c>
      <c r="C5606" s="1">
        <f>HYPERLINK("https://cao.dolgi.msk.ru/account/1011194845/", 1011194845)</f>
        <v>1011194845</v>
      </c>
      <c r="D5606">
        <v>-3692.04</v>
      </c>
    </row>
    <row r="5607" spans="1:4" hidden="1" x14ac:dyDescent="0.3">
      <c r="A5607" t="s">
        <v>597</v>
      </c>
      <c r="B5607" t="s">
        <v>51</v>
      </c>
      <c r="C5607" s="1">
        <f>HYPERLINK("https://cao.dolgi.msk.ru/account/1011195346/", 1011195346)</f>
        <v>1011195346</v>
      </c>
      <c r="D5607">
        <v>0</v>
      </c>
    </row>
    <row r="5608" spans="1:4" hidden="1" x14ac:dyDescent="0.3">
      <c r="A5608" t="s">
        <v>597</v>
      </c>
      <c r="B5608" t="s">
        <v>52</v>
      </c>
      <c r="C5608" s="1">
        <f>HYPERLINK("https://cao.dolgi.msk.ru/account/1011194853/", 1011194853)</f>
        <v>1011194853</v>
      </c>
      <c r="D5608">
        <v>-5264.04</v>
      </c>
    </row>
    <row r="5609" spans="1:4" hidden="1" x14ac:dyDescent="0.3">
      <c r="A5609" t="s">
        <v>597</v>
      </c>
      <c r="B5609" t="s">
        <v>53</v>
      </c>
      <c r="C5609" s="1">
        <f>HYPERLINK("https://cao.dolgi.msk.ru/account/1011195231/", 1011195231)</f>
        <v>1011195231</v>
      </c>
      <c r="D5609">
        <v>0</v>
      </c>
    </row>
    <row r="5610" spans="1:4" hidden="1" x14ac:dyDescent="0.3">
      <c r="A5610" t="s">
        <v>597</v>
      </c>
      <c r="B5610" t="s">
        <v>54</v>
      </c>
      <c r="C5610" s="1">
        <f>HYPERLINK("https://cao.dolgi.msk.ru/account/1011194749/", 1011194749)</f>
        <v>1011194749</v>
      </c>
      <c r="D5610">
        <v>-1299.1500000000001</v>
      </c>
    </row>
    <row r="5611" spans="1:4" hidden="1" x14ac:dyDescent="0.3">
      <c r="A5611" t="s">
        <v>597</v>
      </c>
      <c r="B5611" t="s">
        <v>55</v>
      </c>
      <c r="C5611" s="1">
        <f>HYPERLINK("https://cao.dolgi.msk.ru/account/1011195258/", 1011195258)</f>
        <v>1011195258</v>
      </c>
      <c r="D5611">
        <v>-2136.81</v>
      </c>
    </row>
    <row r="5612" spans="1:4" hidden="1" x14ac:dyDescent="0.3">
      <c r="A5612" t="s">
        <v>597</v>
      </c>
      <c r="B5612" t="s">
        <v>56</v>
      </c>
      <c r="C5612" s="1">
        <f>HYPERLINK("https://cao.dolgi.msk.ru/account/1011195135/", 1011195135)</f>
        <v>1011195135</v>
      </c>
      <c r="D5612">
        <v>-658.62</v>
      </c>
    </row>
    <row r="5613" spans="1:4" hidden="1" x14ac:dyDescent="0.3">
      <c r="A5613" t="s">
        <v>597</v>
      </c>
      <c r="B5613" t="s">
        <v>87</v>
      </c>
      <c r="C5613" s="1">
        <f>HYPERLINK("https://cao.dolgi.msk.ru/account/1011194423/", 1011194423)</f>
        <v>1011194423</v>
      </c>
      <c r="D5613">
        <v>0</v>
      </c>
    </row>
    <row r="5614" spans="1:4" x14ac:dyDescent="0.3">
      <c r="A5614" t="s">
        <v>597</v>
      </c>
      <c r="B5614" t="s">
        <v>88</v>
      </c>
      <c r="C5614" s="1">
        <f>HYPERLINK("https://cao.dolgi.msk.ru/account/1011195389/", 1011195389)</f>
        <v>1011195389</v>
      </c>
      <c r="D5614">
        <v>10027.99</v>
      </c>
    </row>
    <row r="5615" spans="1:4" hidden="1" x14ac:dyDescent="0.3">
      <c r="A5615" t="s">
        <v>597</v>
      </c>
      <c r="B5615" t="s">
        <v>89</v>
      </c>
      <c r="C5615" s="1">
        <f>HYPERLINK("https://cao.dolgi.msk.ru/account/1011195151/", 1011195151)</f>
        <v>1011195151</v>
      </c>
      <c r="D5615">
        <v>-20559.8</v>
      </c>
    </row>
    <row r="5616" spans="1:4" x14ac:dyDescent="0.3">
      <c r="A5616" t="s">
        <v>597</v>
      </c>
      <c r="B5616" t="s">
        <v>90</v>
      </c>
      <c r="C5616" s="1">
        <f>HYPERLINK("https://cao.dolgi.msk.ru/account/1011194589/", 1011194589)</f>
        <v>1011194589</v>
      </c>
      <c r="D5616">
        <v>11695.63</v>
      </c>
    </row>
    <row r="5617" spans="1:4" x14ac:dyDescent="0.3">
      <c r="A5617" t="s">
        <v>597</v>
      </c>
      <c r="B5617" t="s">
        <v>96</v>
      </c>
      <c r="C5617" s="1">
        <f>HYPERLINK("https://cao.dolgi.msk.ru/account/1011195178/", 1011195178)</f>
        <v>1011195178</v>
      </c>
      <c r="D5617">
        <v>8978.51</v>
      </c>
    </row>
    <row r="5618" spans="1:4" hidden="1" x14ac:dyDescent="0.3">
      <c r="A5618" t="s">
        <v>597</v>
      </c>
      <c r="B5618" t="s">
        <v>97</v>
      </c>
      <c r="C5618" s="1">
        <f>HYPERLINK("https://cao.dolgi.msk.ru/account/1011195485/", 1011195485)</f>
        <v>1011195485</v>
      </c>
      <c r="D5618">
        <v>-314.49</v>
      </c>
    </row>
    <row r="5619" spans="1:4" hidden="1" x14ac:dyDescent="0.3">
      <c r="A5619" t="s">
        <v>597</v>
      </c>
      <c r="B5619" t="s">
        <v>98</v>
      </c>
      <c r="C5619" s="1">
        <f>HYPERLINK("https://cao.dolgi.msk.ru/account/1011194255/", 1011194255)</f>
        <v>1011194255</v>
      </c>
      <c r="D5619">
        <v>0</v>
      </c>
    </row>
    <row r="5620" spans="1:4" hidden="1" x14ac:dyDescent="0.3">
      <c r="A5620" t="s">
        <v>597</v>
      </c>
      <c r="B5620" t="s">
        <v>58</v>
      </c>
      <c r="C5620" s="1">
        <f>HYPERLINK("https://cao.dolgi.msk.ru/account/1011195266/", 1011195266)</f>
        <v>1011195266</v>
      </c>
      <c r="D5620">
        <v>-6896.85</v>
      </c>
    </row>
    <row r="5621" spans="1:4" hidden="1" x14ac:dyDescent="0.3">
      <c r="A5621" t="s">
        <v>597</v>
      </c>
      <c r="B5621" t="s">
        <v>59</v>
      </c>
      <c r="C5621" s="1">
        <f>HYPERLINK("https://cao.dolgi.msk.ru/account/1011195557/", 1011195557)</f>
        <v>1011195557</v>
      </c>
      <c r="D5621">
        <v>0</v>
      </c>
    </row>
    <row r="5622" spans="1:4" x14ac:dyDescent="0.3">
      <c r="A5622" t="s">
        <v>597</v>
      </c>
      <c r="B5622" t="s">
        <v>60</v>
      </c>
      <c r="C5622" s="1">
        <f>HYPERLINK("https://cao.dolgi.msk.ru/account/1011194554/", 1011194554)</f>
        <v>1011194554</v>
      </c>
      <c r="D5622">
        <v>29304.63</v>
      </c>
    </row>
    <row r="5623" spans="1:4" x14ac:dyDescent="0.3">
      <c r="A5623" t="s">
        <v>597</v>
      </c>
      <c r="B5623" t="s">
        <v>61</v>
      </c>
      <c r="C5623" s="1">
        <f>HYPERLINK("https://cao.dolgi.msk.ru/account/1011194458/", 1011194458)</f>
        <v>1011194458</v>
      </c>
      <c r="D5623">
        <v>8341.61</v>
      </c>
    </row>
    <row r="5624" spans="1:4" hidden="1" x14ac:dyDescent="0.3">
      <c r="A5624" t="s">
        <v>597</v>
      </c>
      <c r="B5624" t="s">
        <v>62</v>
      </c>
      <c r="C5624" s="1">
        <f>HYPERLINK("https://cao.dolgi.msk.ru/account/1011195303/", 1011195303)</f>
        <v>1011195303</v>
      </c>
      <c r="D5624">
        <v>0</v>
      </c>
    </row>
    <row r="5625" spans="1:4" hidden="1" x14ac:dyDescent="0.3">
      <c r="A5625" t="s">
        <v>597</v>
      </c>
      <c r="B5625" t="s">
        <v>63</v>
      </c>
      <c r="C5625" s="1">
        <f>HYPERLINK("https://cao.dolgi.msk.ru/account/1011195514/", 1011195514)</f>
        <v>1011195514</v>
      </c>
      <c r="D5625">
        <v>-5784.54</v>
      </c>
    </row>
    <row r="5626" spans="1:4" x14ac:dyDescent="0.3">
      <c r="A5626" t="s">
        <v>597</v>
      </c>
      <c r="B5626" t="s">
        <v>66</v>
      </c>
      <c r="C5626" s="1">
        <f>HYPERLINK("https://cao.dolgi.msk.ru/account/1011533931/", 1011533931)</f>
        <v>1011533931</v>
      </c>
      <c r="D5626">
        <v>9771.9599999999991</v>
      </c>
    </row>
    <row r="5627" spans="1:4" hidden="1" x14ac:dyDescent="0.3">
      <c r="A5627" t="s">
        <v>597</v>
      </c>
      <c r="B5627" t="s">
        <v>67</v>
      </c>
      <c r="C5627" s="1">
        <f>HYPERLINK("https://cao.dolgi.msk.ru/account/1011194706/", 1011194706)</f>
        <v>1011194706</v>
      </c>
      <c r="D5627">
        <v>-369.3</v>
      </c>
    </row>
    <row r="5628" spans="1:4" hidden="1" x14ac:dyDescent="0.3">
      <c r="A5628" t="s">
        <v>597</v>
      </c>
      <c r="B5628" t="s">
        <v>68</v>
      </c>
      <c r="C5628" s="1">
        <f>HYPERLINK("https://cao.dolgi.msk.ru/account/1011194909/", 1011194909)</f>
        <v>1011194909</v>
      </c>
      <c r="D5628">
        <v>0</v>
      </c>
    </row>
    <row r="5629" spans="1:4" hidden="1" x14ac:dyDescent="0.3">
      <c r="A5629" t="s">
        <v>597</v>
      </c>
      <c r="B5629" t="s">
        <v>69</v>
      </c>
      <c r="C5629" s="1">
        <f>HYPERLINK("https://cao.dolgi.msk.ru/account/1011195311/", 1011195311)</f>
        <v>1011195311</v>
      </c>
      <c r="D5629">
        <v>0</v>
      </c>
    </row>
    <row r="5630" spans="1:4" x14ac:dyDescent="0.3">
      <c r="A5630" t="s">
        <v>597</v>
      </c>
      <c r="B5630" t="s">
        <v>69</v>
      </c>
      <c r="C5630" s="1">
        <f>HYPERLINK("https://cao.dolgi.msk.ru/account/1011530773/", 1011530773)</f>
        <v>1011530773</v>
      </c>
      <c r="D5630">
        <v>10491.93</v>
      </c>
    </row>
    <row r="5631" spans="1:4" x14ac:dyDescent="0.3">
      <c r="A5631" t="s">
        <v>597</v>
      </c>
      <c r="B5631" t="s">
        <v>70</v>
      </c>
      <c r="C5631" s="1">
        <f>HYPERLINK("https://cao.dolgi.msk.ru/account/1011194562/", 1011194562)</f>
        <v>1011194562</v>
      </c>
      <c r="D5631">
        <v>3394.42</v>
      </c>
    </row>
    <row r="5632" spans="1:4" hidden="1" x14ac:dyDescent="0.3">
      <c r="A5632" t="s">
        <v>597</v>
      </c>
      <c r="B5632" t="s">
        <v>259</v>
      </c>
      <c r="C5632" s="1">
        <f>HYPERLINK("https://cao.dolgi.msk.ru/account/1011194378/", 1011194378)</f>
        <v>1011194378</v>
      </c>
      <c r="D5632">
        <v>0</v>
      </c>
    </row>
    <row r="5633" spans="1:4" hidden="1" x14ac:dyDescent="0.3">
      <c r="A5633" t="s">
        <v>597</v>
      </c>
      <c r="B5633" t="s">
        <v>100</v>
      </c>
      <c r="C5633" s="1">
        <f>HYPERLINK("https://cao.dolgi.msk.ru/account/1011194984/", 1011194984)</f>
        <v>1011194984</v>
      </c>
      <c r="D5633">
        <v>0</v>
      </c>
    </row>
    <row r="5634" spans="1:4" hidden="1" x14ac:dyDescent="0.3">
      <c r="A5634" t="s">
        <v>597</v>
      </c>
      <c r="B5634" t="s">
        <v>72</v>
      </c>
      <c r="C5634" s="1">
        <f>HYPERLINK("https://cao.dolgi.msk.ru/account/1011195039/", 1011195039)</f>
        <v>1011195039</v>
      </c>
      <c r="D5634">
        <v>-11025.59</v>
      </c>
    </row>
    <row r="5635" spans="1:4" x14ac:dyDescent="0.3">
      <c r="A5635" t="s">
        <v>597</v>
      </c>
      <c r="B5635" t="s">
        <v>73</v>
      </c>
      <c r="C5635" s="1">
        <f>HYPERLINK("https://cao.dolgi.msk.ru/account/1011194968/", 1011194968)</f>
        <v>1011194968</v>
      </c>
      <c r="D5635">
        <v>14053.01</v>
      </c>
    </row>
    <row r="5636" spans="1:4" hidden="1" x14ac:dyDescent="0.3">
      <c r="A5636" t="s">
        <v>597</v>
      </c>
      <c r="B5636" t="s">
        <v>74</v>
      </c>
      <c r="C5636" s="1">
        <f>HYPERLINK("https://cao.dolgi.msk.ru/account/1011194538/", 1011194538)</f>
        <v>1011194538</v>
      </c>
      <c r="D5636">
        <v>-277.2</v>
      </c>
    </row>
    <row r="5637" spans="1:4" x14ac:dyDescent="0.3">
      <c r="A5637" t="s">
        <v>597</v>
      </c>
      <c r="B5637" t="s">
        <v>75</v>
      </c>
      <c r="C5637" s="1">
        <f>HYPERLINK("https://cao.dolgi.msk.ru/account/1011194626/", 1011194626)</f>
        <v>1011194626</v>
      </c>
      <c r="D5637">
        <v>13504.82</v>
      </c>
    </row>
    <row r="5638" spans="1:4" hidden="1" x14ac:dyDescent="0.3">
      <c r="A5638" t="s">
        <v>597</v>
      </c>
      <c r="B5638" t="s">
        <v>76</v>
      </c>
      <c r="C5638" s="1">
        <f>HYPERLINK("https://cao.dolgi.msk.ru/account/1011194386/", 1011194386)</f>
        <v>1011194386</v>
      </c>
      <c r="D5638">
        <v>-11935.76</v>
      </c>
    </row>
    <row r="5639" spans="1:4" hidden="1" x14ac:dyDescent="0.3">
      <c r="A5639" t="s">
        <v>597</v>
      </c>
      <c r="B5639" t="s">
        <v>77</v>
      </c>
      <c r="C5639" s="1">
        <f>HYPERLINK("https://cao.dolgi.msk.ru/account/1011194888/", 1011194888)</f>
        <v>1011194888</v>
      </c>
      <c r="D5639">
        <v>0</v>
      </c>
    </row>
    <row r="5640" spans="1:4" hidden="1" x14ac:dyDescent="0.3">
      <c r="A5640" t="s">
        <v>597</v>
      </c>
      <c r="B5640" t="s">
        <v>78</v>
      </c>
      <c r="C5640" s="1">
        <f>HYPERLINK("https://cao.dolgi.msk.ru/account/1011194933/", 1011194933)</f>
        <v>1011194933</v>
      </c>
      <c r="D5640">
        <v>0</v>
      </c>
    </row>
    <row r="5641" spans="1:4" hidden="1" x14ac:dyDescent="0.3">
      <c r="A5641" t="s">
        <v>597</v>
      </c>
      <c r="B5641" t="s">
        <v>79</v>
      </c>
      <c r="C5641" s="1">
        <f>HYPERLINK("https://cao.dolgi.msk.ru/account/1011195442/", 1011195442)</f>
        <v>1011195442</v>
      </c>
      <c r="D5641">
        <v>-8585.06</v>
      </c>
    </row>
    <row r="5642" spans="1:4" hidden="1" x14ac:dyDescent="0.3">
      <c r="A5642" t="s">
        <v>597</v>
      </c>
      <c r="B5642" t="s">
        <v>80</v>
      </c>
      <c r="C5642" s="1">
        <f>HYPERLINK("https://cao.dolgi.msk.ru/account/1011195418/", 1011195418)</f>
        <v>1011195418</v>
      </c>
      <c r="D5642">
        <v>-159.19</v>
      </c>
    </row>
    <row r="5643" spans="1:4" hidden="1" x14ac:dyDescent="0.3">
      <c r="A5643" t="s">
        <v>597</v>
      </c>
      <c r="B5643" t="s">
        <v>81</v>
      </c>
      <c r="C5643" s="1">
        <f>HYPERLINK("https://cao.dolgi.msk.ru/account/1011195397/", 1011195397)</f>
        <v>1011195397</v>
      </c>
      <c r="D5643">
        <v>0</v>
      </c>
    </row>
    <row r="5644" spans="1:4" hidden="1" x14ac:dyDescent="0.3">
      <c r="A5644" t="s">
        <v>597</v>
      </c>
      <c r="B5644" t="s">
        <v>101</v>
      </c>
      <c r="C5644" s="1">
        <f>HYPERLINK("https://cao.dolgi.msk.ru/account/1011194597/", 1011194597)</f>
        <v>1011194597</v>
      </c>
      <c r="D5644">
        <v>-185.1</v>
      </c>
    </row>
    <row r="5645" spans="1:4" hidden="1" x14ac:dyDescent="0.3">
      <c r="A5645" t="s">
        <v>597</v>
      </c>
      <c r="B5645" t="s">
        <v>82</v>
      </c>
      <c r="C5645" s="1">
        <f>HYPERLINK("https://cao.dolgi.msk.ru/account/1011194407/", 1011194407)</f>
        <v>1011194407</v>
      </c>
      <c r="D5645">
        <v>0</v>
      </c>
    </row>
    <row r="5646" spans="1:4" hidden="1" x14ac:dyDescent="0.3">
      <c r="A5646" t="s">
        <v>597</v>
      </c>
      <c r="B5646" t="s">
        <v>83</v>
      </c>
      <c r="C5646" s="1">
        <f>HYPERLINK("https://cao.dolgi.msk.ru/account/1011194693/", 1011194693)</f>
        <v>1011194693</v>
      </c>
      <c r="D5646">
        <v>0</v>
      </c>
    </row>
    <row r="5647" spans="1:4" hidden="1" x14ac:dyDescent="0.3">
      <c r="A5647" t="s">
        <v>597</v>
      </c>
      <c r="B5647" t="s">
        <v>84</v>
      </c>
      <c r="C5647" s="1">
        <f>HYPERLINK("https://cao.dolgi.msk.ru/account/1011194466/", 1011194466)</f>
        <v>1011194466</v>
      </c>
      <c r="D5647">
        <v>0</v>
      </c>
    </row>
    <row r="5648" spans="1:4" x14ac:dyDescent="0.3">
      <c r="A5648" t="s">
        <v>597</v>
      </c>
      <c r="B5648" t="s">
        <v>85</v>
      </c>
      <c r="C5648" s="1">
        <f>HYPERLINK("https://cao.dolgi.msk.ru/account/1011194634/", 1011194634)</f>
        <v>1011194634</v>
      </c>
      <c r="D5648">
        <v>8861.2999999999993</v>
      </c>
    </row>
    <row r="5649" spans="1:4" hidden="1" x14ac:dyDescent="0.3">
      <c r="A5649" t="s">
        <v>597</v>
      </c>
      <c r="B5649" t="s">
        <v>102</v>
      </c>
      <c r="C5649" s="1">
        <f>HYPERLINK("https://cao.dolgi.msk.ru/account/1011194263/", 1011194263)</f>
        <v>1011194263</v>
      </c>
      <c r="D5649">
        <v>-7252.42</v>
      </c>
    </row>
    <row r="5650" spans="1:4" x14ac:dyDescent="0.3">
      <c r="A5650" t="s">
        <v>597</v>
      </c>
      <c r="B5650" t="s">
        <v>103</v>
      </c>
      <c r="C5650" s="1">
        <f>HYPERLINK("https://cao.dolgi.msk.ru/account/1011194917/", 1011194917)</f>
        <v>1011194917</v>
      </c>
      <c r="D5650">
        <v>7531.41</v>
      </c>
    </row>
    <row r="5651" spans="1:4" hidden="1" x14ac:dyDescent="0.3">
      <c r="A5651" t="s">
        <v>597</v>
      </c>
      <c r="B5651" t="s">
        <v>104</v>
      </c>
      <c r="C5651" s="1">
        <f>HYPERLINK("https://cao.dolgi.msk.ru/account/1011195426/", 1011195426)</f>
        <v>1011195426</v>
      </c>
      <c r="D5651">
        <v>-8937.0499999999993</v>
      </c>
    </row>
    <row r="5652" spans="1:4" hidden="1" x14ac:dyDescent="0.3">
      <c r="A5652" t="s">
        <v>597</v>
      </c>
      <c r="B5652" t="s">
        <v>105</v>
      </c>
      <c r="C5652" s="1">
        <f>HYPERLINK("https://cao.dolgi.msk.ru/account/1011195565/", 1011195565)</f>
        <v>1011195565</v>
      </c>
      <c r="D5652">
        <v>-10943.87</v>
      </c>
    </row>
    <row r="5653" spans="1:4" hidden="1" x14ac:dyDescent="0.3">
      <c r="A5653" t="s">
        <v>597</v>
      </c>
      <c r="B5653" t="s">
        <v>106</v>
      </c>
      <c r="C5653" s="1">
        <f>HYPERLINK("https://cao.dolgi.msk.ru/account/1011194941/", 1011194941)</f>
        <v>1011194941</v>
      </c>
      <c r="D5653">
        <v>-65291.25</v>
      </c>
    </row>
    <row r="5654" spans="1:4" hidden="1" x14ac:dyDescent="0.3">
      <c r="A5654" t="s">
        <v>597</v>
      </c>
      <c r="B5654" t="s">
        <v>107</v>
      </c>
      <c r="C5654" s="1">
        <f>HYPERLINK("https://cao.dolgi.msk.ru/account/1011194642/", 1011194642)</f>
        <v>1011194642</v>
      </c>
      <c r="D5654">
        <v>0</v>
      </c>
    </row>
    <row r="5655" spans="1:4" hidden="1" x14ac:dyDescent="0.3">
      <c r="A5655" t="s">
        <v>597</v>
      </c>
      <c r="B5655" t="s">
        <v>108</v>
      </c>
      <c r="C5655" s="1">
        <f>HYPERLINK("https://cao.dolgi.msk.ru/account/1011195098/", 1011195098)</f>
        <v>1011195098</v>
      </c>
      <c r="D5655">
        <v>0</v>
      </c>
    </row>
    <row r="5656" spans="1:4" hidden="1" x14ac:dyDescent="0.3">
      <c r="A5656" t="s">
        <v>597</v>
      </c>
      <c r="B5656" t="s">
        <v>109</v>
      </c>
      <c r="C5656" s="1">
        <f>HYPERLINK("https://cao.dolgi.msk.ru/account/1011194722/", 1011194722)</f>
        <v>1011194722</v>
      </c>
      <c r="D5656">
        <v>-371.54</v>
      </c>
    </row>
    <row r="5657" spans="1:4" hidden="1" x14ac:dyDescent="0.3">
      <c r="A5657" t="s">
        <v>597</v>
      </c>
      <c r="B5657" t="s">
        <v>110</v>
      </c>
      <c r="C5657" s="1">
        <f>HYPERLINK("https://cao.dolgi.msk.ru/account/1011194327/", 1011194327)</f>
        <v>1011194327</v>
      </c>
      <c r="D5657">
        <v>-11340.3</v>
      </c>
    </row>
    <row r="5658" spans="1:4" hidden="1" x14ac:dyDescent="0.3">
      <c r="A5658" t="s">
        <v>597</v>
      </c>
      <c r="B5658" t="s">
        <v>111</v>
      </c>
      <c r="C5658" s="1">
        <f>HYPERLINK("https://cao.dolgi.msk.ru/account/1011195119/", 1011195119)</f>
        <v>1011195119</v>
      </c>
      <c r="D5658">
        <v>-7712.53</v>
      </c>
    </row>
    <row r="5659" spans="1:4" hidden="1" x14ac:dyDescent="0.3">
      <c r="A5659" t="s">
        <v>597</v>
      </c>
      <c r="B5659" t="s">
        <v>112</v>
      </c>
      <c r="C5659" s="1">
        <f>HYPERLINK("https://cao.dolgi.msk.ru/account/1011194343/", 1011194343)</f>
        <v>1011194343</v>
      </c>
      <c r="D5659">
        <v>-1361.26</v>
      </c>
    </row>
    <row r="5660" spans="1:4" hidden="1" x14ac:dyDescent="0.3">
      <c r="A5660" t="s">
        <v>597</v>
      </c>
      <c r="B5660" t="s">
        <v>113</v>
      </c>
      <c r="C5660" s="1">
        <f>HYPERLINK("https://cao.dolgi.msk.ru/account/1011195434/", 1011195434)</f>
        <v>1011195434</v>
      </c>
      <c r="D5660">
        <v>0</v>
      </c>
    </row>
    <row r="5661" spans="1:4" hidden="1" x14ac:dyDescent="0.3">
      <c r="A5661" t="s">
        <v>597</v>
      </c>
      <c r="B5661" t="s">
        <v>114</v>
      </c>
      <c r="C5661" s="1">
        <f>HYPERLINK("https://cao.dolgi.msk.ru/account/1011194765/", 1011194765)</f>
        <v>1011194765</v>
      </c>
      <c r="D5661">
        <v>-1640.83</v>
      </c>
    </row>
    <row r="5662" spans="1:4" hidden="1" x14ac:dyDescent="0.3">
      <c r="A5662" t="s">
        <v>597</v>
      </c>
      <c r="B5662" t="s">
        <v>115</v>
      </c>
      <c r="C5662" s="1">
        <f>HYPERLINK("https://cao.dolgi.msk.ru/account/1011195194/", 1011195194)</f>
        <v>1011195194</v>
      </c>
      <c r="D5662">
        <v>-6789.08</v>
      </c>
    </row>
    <row r="5663" spans="1:4" hidden="1" x14ac:dyDescent="0.3">
      <c r="A5663" t="s">
        <v>597</v>
      </c>
      <c r="B5663" t="s">
        <v>116</v>
      </c>
      <c r="C5663" s="1">
        <f>HYPERLINK("https://cao.dolgi.msk.ru/account/1011194757/", 1011194757)</f>
        <v>1011194757</v>
      </c>
      <c r="D5663">
        <v>-5540.22</v>
      </c>
    </row>
    <row r="5664" spans="1:4" hidden="1" x14ac:dyDescent="0.3">
      <c r="A5664" t="s">
        <v>597</v>
      </c>
      <c r="B5664" t="s">
        <v>266</v>
      </c>
      <c r="C5664" s="1">
        <f>HYPERLINK("https://cao.dolgi.msk.ru/account/1011194511/", 1011194511)</f>
        <v>1011194511</v>
      </c>
      <c r="D5664">
        <v>-2719.34</v>
      </c>
    </row>
    <row r="5665" spans="1:4" hidden="1" x14ac:dyDescent="0.3">
      <c r="A5665" t="s">
        <v>597</v>
      </c>
      <c r="B5665" t="s">
        <v>117</v>
      </c>
      <c r="C5665" s="1">
        <f>HYPERLINK("https://cao.dolgi.msk.ru/account/1011194415/", 1011194415)</f>
        <v>1011194415</v>
      </c>
      <c r="D5665">
        <v>0</v>
      </c>
    </row>
    <row r="5666" spans="1:4" hidden="1" x14ac:dyDescent="0.3">
      <c r="A5666" t="s">
        <v>597</v>
      </c>
      <c r="B5666" t="s">
        <v>118</v>
      </c>
      <c r="C5666" s="1">
        <f>HYPERLINK("https://cao.dolgi.msk.ru/account/1011195354/", 1011195354)</f>
        <v>1011195354</v>
      </c>
      <c r="D5666">
        <v>0</v>
      </c>
    </row>
    <row r="5667" spans="1:4" hidden="1" x14ac:dyDescent="0.3">
      <c r="A5667" t="s">
        <v>597</v>
      </c>
      <c r="B5667" t="s">
        <v>119</v>
      </c>
      <c r="C5667" s="1">
        <f>HYPERLINK("https://cao.dolgi.msk.ru/account/1011195063/", 1011195063)</f>
        <v>1011195063</v>
      </c>
      <c r="D5667">
        <v>-3715.49</v>
      </c>
    </row>
    <row r="5668" spans="1:4" hidden="1" x14ac:dyDescent="0.3">
      <c r="A5668" t="s">
        <v>597</v>
      </c>
      <c r="B5668" t="s">
        <v>120</v>
      </c>
      <c r="C5668" s="1">
        <f>HYPERLINK("https://cao.dolgi.msk.ru/account/1011195493/", 1011195493)</f>
        <v>1011195493</v>
      </c>
      <c r="D5668">
        <v>0</v>
      </c>
    </row>
    <row r="5669" spans="1:4" hidden="1" x14ac:dyDescent="0.3">
      <c r="A5669" t="s">
        <v>597</v>
      </c>
      <c r="B5669" t="s">
        <v>121</v>
      </c>
      <c r="C5669" s="1">
        <f>HYPERLINK("https://cao.dolgi.msk.ru/account/1011194802/", 1011194802)</f>
        <v>1011194802</v>
      </c>
      <c r="D5669">
        <v>-3408.52</v>
      </c>
    </row>
    <row r="5670" spans="1:4" hidden="1" x14ac:dyDescent="0.3">
      <c r="A5670" t="s">
        <v>597</v>
      </c>
      <c r="B5670" t="s">
        <v>122</v>
      </c>
      <c r="C5670" s="1">
        <f>HYPERLINK("https://cao.dolgi.msk.ru/account/1011194335/", 1011194335)</f>
        <v>1011194335</v>
      </c>
      <c r="D5670">
        <v>-286.63</v>
      </c>
    </row>
    <row r="5671" spans="1:4" hidden="1" x14ac:dyDescent="0.3">
      <c r="A5671" t="s">
        <v>597</v>
      </c>
      <c r="B5671" t="s">
        <v>123</v>
      </c>
      <c r="C5671" s="1">
        <f>HYPERLINK("https://cao.dolgi.msk.ru/account/1011195506/", 1011195506)</f>
        <v>1011195506</v>
      </c>
      <c r="D5671">
        <v>-1752.58</v>
      </c>
    </row>
    <row r="5672" spans="1:4" hidden="1" x14ac:dyDescent="0.3">
      <c r="A5672" t="s">
        <v>597</v>
      </c>
      <c r="B5672" t="s">
        <v>124</v>
      </c>
      <c r="C5672" s="1">
        <f>HYPERLINK("https://cao.dolgi.msk.ru/account/1011194685/", 1011194685)</f>
        <v>1011194685</v>
      </c>
      <c r="D5672">
        <v>0</v>
      </c>
    </row>
    <row r="5673" spans="1:4" hidden="1" x14ac:dyDescent="0.3">
      <c r="A5673" t="s">
        <v>597</v>
      </c>
      <c r="B5673" t="s">
        <v>125</v>
      </c>
      <c r="C5673" s="1">
        <f>HYPERLINK("https://cao.dolgi.msk.ru/account/1011195215/", 1011195215)</f>
        <v>1011195215</v>
      </c>
      <c r="D5673">
        <v>0</v>
      </c>
    </row>
    <row r="5674" spans="1:4" x14ac:dyDescent="0.3">
      <c r="A5674" t="s">
        <v>597</v>
      </c>
      <c r="B5674" t="s">
        <v>126</v>
      </c>
      <c r="C5674" s="1">
        <f>HYPERLINK("https://cao.dolgi.msk.ru/account/1011195071/", 1011195071)</f>
        <v>1011195071</v>
      </c>
      <c r="D5674">
        <v>7270.3</v>
      </c>
    </row>
    <row r="5675" spans="1:4" x14ac:dyDescent="0.3">
      <c r="A5675" t="s">
        <v>597</v>
      </c>
      <c r="B5675" t="s">
        <v>127</v>
      </c>
      <c r="C5675" s="1">
        <f>HYPERLINK("https://cao.dolgi.msk.ru/account/1011526774/", 1011526774)</f>
        <v>1011526774</v>
      </c>
      <c r="D5675">
        <v>6373.94</v>
      </c>
    </row>
    <row r="5676" spans="1:4" hidden="1" x14ac:dyDescent="0.3">
      <c r="A5676" t="s">
        <v>597</v>
      </c>
      <c r="B5676" t="s">
        <v>262</v>
      </c>
      <c r="C5676" s="1">
        <f>HYPERLINK("https://cao.dolgi.msk.ru/account/1011195047/", 1011195047)</f>
        <v>1011195047</v>
      </c>
      <c r="D5676">
        <v>-5699.73</v>
      </c>
    </row>
    <row r="5677" spans="1:4" hidden="1" x14ac:dyDescent="0.3">
      <c r="A5677" t="s">
        <v>598</v>
      </c>
      <c r="B5677" t="s">
        <v>31</v>
      </c>
      <c r="C5677" s="1">
        <f>HYPERLINK("https://cao.dolgi.msk.ru/account/1011050307/", 1011050307)</f>
        <v>1011050307</v>
      </c>
      <c r="D5677">
        <v>0</v>
      </c>
    </row>
    <row r="5678" spans="1:4" hidden="1" x14ac:dyDescent="0.3">
      <c r="A5678" t="s">
        <v>598</v>
      </c>
      <c r="B5678" t="s">
        <v>9</v>
      </c>
      <c r="C5678" s="1">
        <f>HYPERLINK("https://cao.dolgi.msk.ru/account/1011050251/", 1011050251)</f>
        <v>1011050251</v>
      </c>
      <c r="D5678">
        <v>-6112.37</v>
      </c>
    </row>
    <row r="5679" spans="1:4" hidden="1" x14ac:dyDescent="0.3">
      <c r="A5679" t="s">
        <v>598</v>
      </c>
      <c r="B5679" t="s">
        <v>10</v>
      </c>
      <c r="C5679" s="1">
        <f>HYPERLINK("https://cao.dolgi.msk.ru/account/1011050366/", 1011050366)</f>
        <v>1011050366</v>
      </c>
      <c r="D5679">
        <v>0</v>
      </c>
    </row>
    <row r="5680" spans="1:4" hidden="1" x14ac:dyDescent="0.3">
      <c r="A5680" t="s">
        <v>598</v>
      </c>
      <c r="B5680" t="s">
        <v>12</v>
      </c>
      <c r="C5680" s="1">
        <f>HYPERLINK("https://cao.dolgi.msk.ru/account/1011050219/", 1011050219)</f>
        <v>1011050219</v>
      </c>
      <c r="D5680">
        <v>-19880.939999999999</v>
      </c>
    </row>
    <row r="5681" spans="1:4" hidden="1" x14ac:dyDescent="0.3">
      <c r="A5681" t="s">
        <v>598</v>
      </c>
      <c r="B5681" t="s">
        <v>23</v>
      </c>
      <c r="C5681" s="1">
        <f>HYPERLINK("https://cao.dolgi.msk.ru/account/1011050227/", 1011050227)</f>
        <v>1011050227</v>
      </c>
      <c r="D5681">
        <v>0</v>
      </c>
    </row>
    <row r="5682" spans="1:4" x14ac:dyDescent="0.3">
      <c r="A5682" t="s">
        <v>598</v>
      </c>
      <c r="B5682" t="s">
        <v>23</v>
      </c>
      <c r="C5682" s="1">
        <f>HYPERLINK("https://cao.dolgi.msk.ru/account/1011050235/", 1011050235)</f>
        <v>1011050235</v>
      </c>
      <c r="D5682">
        <v>2702.43</v>
      </c>
    </row>
    <row r="5683" spans="1:4" hidden="1" x14ac:dyDescent="0.3">
      <c r="A5683" t="s">
        <v>598</v>
      </c>
      <c r="B5683" t="s">
        <v>23</v>
      </c>
      <c r="C5683" s="1">
        <f>HYPERLINK("https://cao.dolgi.msk.ru/account/1011050243/", 1011050243)</f>
        <v>1011050243</v>
      </c>
      <c r="D5683">
        <v>-1315.05</v>
      </c>
    </row>
    <row r="5684" spans="1:4" hidden="1" x14ac:dyDescent="0.3">
      <c r="A5684" t="s">
        <v>598</v>
      </c>
      <c r="B5684" t="s">
        <v>14</v>
      </c>
      <c r="C5684" s="1">
        <f>HYPERLINK("https://cao.dolgi.msk.ru/account/1011050278/", 1011050278)</f>
        <v>1011050278</v>
      </c>
      <c r="D5684">
        <v>0</v>
      </c>
    </row>
    <row r="5685" spans="1:4" x14ac:dyDescent="0.3">
      <c r="A5685" t="s">
        <v>598</v>
      </c>
      <c r="B5685" t="s">
        <v>14</v>
      </c>
      <c r="C5685" s="1">
        <f>HYPERLINK("https://cao.dolgi.msk.ru/account/1011050286/", 1011050286)</f>
        <v>1011050286</v>
      </c>
      <c r="D5685">
        <v>7068.06</v>
      </c>
    </row>
    <row r="5686" spans="1:4" hidden="1" x14ac:dyDescent="0.3">
      <c r="A5686" t="s">
        <v>598</v>
      </c>
      <c r="B5686" t="s">
        <v>14</v>
      </c>
      <c r="C5686" s="1">
        <f>HYPERLINK("https://cao.dolgi.msk.ru/account/1011102111/", 1011102111)</f>
        <v>1011102111</v>
      </c>
      <c r="D5686">
        <v>0</v>
      </c>
    </row>
    <row r="5687" spans="1:4" hidden="1" x14ac:dyDescent="0.3">
      <c r="A5687" t="s">
        <v>598</v>
      </c>
      <c r="B5687" t="s">
        <v>16</v>
      </c>
      <c r="C5687" s="1">
        <f>HYPERLINK("https://cao.dolgi.msk.ru/account/1011050358/", 1011050358)</f>
        <v>1011050358</v>
      </c>
      <c r="D5687">
        <v>-590.24</v>
      </c>
    </row>
    <row r="5688" spans="1:4" x14ac:dyDescent="0.3">
      <c r="A5688" t="s">
        <v>598</v>
      </c>
      <c r="B5688" t="s">
        <v>16</v>
      </c>
      <c r="C5688" s="1">
        <f>HYPERLINK("https://cao.dolgi.msk.ru/account/1011130593/", 1011130593)</f>
        <v>1011130593</v>
      </c>
      <c r="D5688">
        <v>2812.14</v>
      </c>
    </row>
    <row r="5689" spans="1:4" hidden="1" x14ac:dyDescent="0.3">
      <c r="A5689" t="s">
        <v>598</v>
      </c>
      <c r="B5689" t="s">
        <v>17</v>
      </c>
      <c r="C5689" s="1">
        <f>HYPERLINK("https://cao.dolgi.msk.ru/account/1011533923/", 1011533923)</f>
        <v>1011533923</v>
      </c>
      <c r="D5689">
        <v>0</v>
      </c>
    </row>
    <row r="5690" spans="1:4" x14ac:dyDescent="0.3">
      <c r="A5690" t="s">
        <v>598</v>
      </c>
      <c r="B5690" t="s">
        <v>18</v>
      </c>
      <c r="C5690" s="1">
        <f>HYPERLINK("https://cao.dolgi.msk.ru/account/1011050294/", 1011050294)</f>
        <v>1011050294</v>
      </c>
      <c r="D5690">
        <v>22622.01</v>
      </c>
    </row>
    <row r="5691" spans="1:4" hidden="1" x14ac:dyDescent="0.3">
      <c r="A5691" t="s">
        <v>598</v>
      </c>
      <c r="B5691" t="s">
        <v>18</v>
      </c>
      <c r="C5691" s="1">
        <f>HYPERLINK("https://cao.dolgi.msk.ru/account/1011050315/", 1011050315)</f>
        <v>1011050315</v>
      </c>
      <c r="D5691">
        <v>0</v>
      </c>
    </row>
    <row r="5692" spans="1:4" hidden="1" x14ac:dyDescent="0.3">
      <c r="A5692" t="s">
        <v>598</v>
      </c>
      <c r="B5692" t="s">
        <v>19</v>
      </c>
      <c r="C5692" s="1">
        <f>HYPERLINK("https://cao.dolgi.msk.ru/account/1011050323/", 1011050323)</f>
        <v>1011050323</v>
      </c>
      <c r="D5692">
        <v>0</v>
      </c>
    </row>
    <row r="5693" spans="1:4" hidden="1" x14ac:dyDescent="0.3">
      <c r="A5693" t="s">
        <v>599</v>
      </c>
      <c r="B5693" t="s">
        <v>28</v>
      </c>
      <c r="C5693" s="1">
        <f>HYPERLINK("https://cao.dolgi.msk.ru/account/1011370191/", 1011370191)</f>
        <v>1011370191</v>
      </c>
      <c r="D5693">
        <v>-4774.76</v>
      </c>
    </row>
    <row r="5694" spans="1:4" hidden="1" x14ac:dyDescent="0.3">
      <c r="A5694" t="s">
        <v>599</v>
      </c>
      <c r="B5694" t="s">
        <v>35</v>
      </c>
      <c r="C5694" s="1">
        <f>HYPERLINK("https://cao.dolgi.msk.ru/account/1011370183/", 1011370183)</f>
        <v>1011370183</v>
      </c>
      <c r="D5694">
        <v>0</v>
      </c>
    </row>
    <row r="5695" spans="1:4" hidden="1" x14ac:dyDescent="0.3">
      <c r="A5695" t="s">
        <v>599</v>
      </c>
      <c r="B5695" t="s">
        <v>7</v>
      </c>
      <c r="C5695" s="1">
        <f>HYPERLINK("https://cao.dolgi.msk.ru/account/1011370212/", 1011370212)</f>
        <v>1011370212</v>
      </c>
      <c r="D5695">
        <v>-62.97</v>
      </c>
    </row>
    <row r="5696" spans="1:4" x14ac:dyDescent="0.3">
      <c r="A5696" t="s">
        <v>599</v>
      </c>
      <c r="B5696" t="s">
        <v>8</v>
      </c>
      <c r="C5696" s="1">
        <f>HYPERLINK("https://cao.dolgi.msk.ru/account/1011370204/", 1011370204)</f>
        <v>1011370204</v>
      </c>
      <c r="D5696">
        <v>16887.490000000002</v>
      </c>
    </row>
    <row r="5697" spans="1:4" hidden="1" x14ac:dyDescent="0.3">
      <c r="A5697" t="s">
        <v>599</v>
      </c>
      <c r="B5697" t="s">
        <v>25</v>
      </c>
      <c r="C5697" s="1">
        <f>HYPERLINK("https://cao.dolgi.msk.ru/account/1011370175/", 1011370175)</f>
        <v>1011370175</v>
      </c>
      <c r="D5697">
        <v>0</v>
      </c>
    </row>
    <row r="5698" spans="1:4" x14ac:dyDescent="0.3">
      <c r="A5698" t="s">
        <v>599</v>
      </c>
      <c r="B5698" t="s">
        <v>26</v>
      </c>
      <c r="C5698" s="1">
        <f>HYPERLINK("https://cao.dolgi.msk.ru/account/1011527398/", 1011527398)</f>
        <v>1011527398</v>
      </c>
      <c r="D5698">
        <v>40915.11</v>
      </c>
    </row>
    <row r="5699" spans="1:4" hidden="1" x14ac:dyDescent="0.3">
      <c r="A5699" t="s">
        <v>600</v>
      </c>
      <c r="B5699" t="s">
        <v>6</v>
      </c>
      <c r="C5699" s="1">
        <f>HYPERLINK("https://cao.dolgi.msk.ru/account/1011394548/", 1011394548)</f>
        <v>1011394548</v>
      </c>
      <c r="D5699">
        <v>0</v>
      </c>
    </row>
    <row r="5700" spans="1:4" x14ac:dyDescent="0.3">
      <c r="A5700" t="s">
        <v>600</v>
      </c>
      <c r="B5700" t="s">
        <v>28</v>
      </c>
      <c r="C5700" s="1">
        <f>HYPERLINK("https://cao.dolgi.msk.ru/account/1011394417/", 1011394417)</f>
        <v>1011394417</v>
      </c>
      <c r="D5700">
        <v>4881.54</v>
      </c>
    </row>
    <row r="5701" spans="1:4" x14ac:dyDescent="0.3">
      <c r="A5701" t="s">
        <v>600</v>
      </c>
      <c r="B5701" t="s">
        <v>28</v>
      </c>
      <c r="C5701" s="1">
        <f>HYPERLINK("https://cao.dolgi.msk.ru/account/1011394636/", 1011394636)</f>
        <v>1011394636</v>
      </c>
      <c r="D5701">
        <v>5981.54</v>
      </c>
    </row>
    <row r="5702" spans="1:4" x14ac:dyDescent="0.3">
      <c r="A5702" t="s">
        <v>600</v>
      </c>
      <c r="B5702" t="s">
        <v>35</v>
      </c>
      <c r="C5702" s="1">
        <f>HYPERLINK("https://cao.dolgi.msk.ru/account/1011394839/", 1011394839)</f>
        <v>1011394839</v>
      </c>
      <c r="D5702">
        <v>6932.17</v>
      </c>
    </row>
    <row r="5703" spans="1:4" x14ac:dyDescent="0.3">
      <c r="A5703" t="s">
        <v>600</v>
      </c>
      <c r="B5703" t="s">
        <v>5</v>
      </c>
      <c r="C5703" s="1">
        <f>HYPERLINK("https://cao.dolgi.msk.ru/account/1011394716/", 1011394716)</f>
        <v>1011394716</v>
      </c>
      <c r="D5703">
        <v>5816.78</v>
      </c>
    </row>
    <row r="5704" spans="1:4" x14ac:dyDescent="0.3">
      <c r="A5704" t="s">
        <v>600</v>
      </c>
      <c r="B5704" t="s">
        <v>7</v>
      </c>
      <c r="C5704" s="1">
        <f>HYPERLINK("https://cao.dolgi.msk.ru/account/1011394433/", 1011394433)</f>
        <v>1011394433</v>
      </c>
      <c r="D5704">
        <v>5168.8900000000003</v>
      </c>
    </row>
    <row r="5705" spans="1:4" hidden="1" x14ac:dyDescent="0.3">
      <c r="A5705" t="s">
        <v>600</v>
      </c>
      <c r="B5705" t="s">
        <v>8</v>
      </c>
      <c r="C5705" s="1">
        <f>HYPERLINK("https://cao.dolgi.msk.ru/account/1011394759/", 1011394759)</f>
        <v>1011394759</v>
      </c>
      <c r="D5705">
        <v>0</v>
      </c>
    </row>
    <row r="5706" spans="1:4" hidden="1" x14ac:dyDescent="0.3">
      <c r="A5706" t="s">
        <v>600</v>
      </c>
      <c r="B5706" t="s">
        <v>31</v>
      </c>
      <c r="C5706" s="1">
        <f>HYPERLINK("https://cao.dolgi.msk.ru/account/1011514634/", 1011514634)</f>
        <v>1011514634</v>
      </c>
      <c r="D5706">
        <v>-22661.52</v>
      </c>
    </row>
    <row r="5707" spans="1:4" x14ac:dyDescent="0.3">
      <c r="A5707" t="s">
        <v>600</v>
      </c>
      <c r="B5707" t="s">
        <v>9</v>
      </c>
      <c r="C5707" s="1">
        <f>HYPERLINK("https://cao.dolgi.msk.ru/account/1011394994/", 1011394994)</f>
        <v>1011394994</v>
      </c>
      <c r="D5707">
        <v>3502.46</v>
      </c>
    </row>
    <row r="5708" spans="1:4" x14ac:dyDescent="0.3">
      <c r="A5708" t="s">
        <v>600</v>
      </c>
      <c r="B5708" t="s">
        <v>10</v>
      </c>
      <c r="C5708" s="1">
        <f>HYPERLINK("https://cao.dolgi.msk.ru/account/1011394919/", 1011394919)</f>
        <v>1011394919</v>
      </c>
      <c r="D5708">
        <v>15197.83</v>
      </c>
    </row>
    <row r="5709" spans="1:4" x14ac:dyDescent="0.3">
      <c r="A5709" t="s">
        <v>600</v>
      </c>
      <c r="B5709" t="s">
        <v>11</v>
      </c>
      <c r="C5709" s="1">
        <f>HYPERLINK("https://cao.dolgi.msk.ru/account/1011394484/", 1011394484)</f>
        <v>1011394484</v>
      </c>
      <c r="D5709">
        <v>5332.32</v>
      </c>
    </row>
    <row r="5710" spans="1:4" x14ac:dyDescent="0.3">
      <c r="A5710" t="s">
        <v>600</v>
      </c>
      <c r="B5710" t="s">
        <v>12</v>
      </c>
      <c r="C5710" s="1">
        <f>HYPERLINK("https://cao.dolgi.msk.ru/account/1011394652/", 1011394652)</f>
        <v>1011394652</v>
      </c>
      <c r="D5710">
        <v>10345.27</v>
      </c>
    </row>
    <row r="5711" spans="1:4" hidden="1" x14ac:dyDescent="0.3">
      <c r="A5711" t="s">
        <v>600</v>
      </c>
      <c r="B5711" t="s">
        <v>23</v>
      </c>
      <c r="C5711" s="1">
        <f>HYPERLINK("https://cao.dolgi.msk.ru/account/1011394986/", 1011394986)</f>
        <v>1011394986</v>
      </c>
      <c r="D5711">
        <v>0</v>
      </c>
    </row>
    <row r="5712" spans="1:4" x14ac:dyDescent="0.3">
      <c r="A5712" t="s">
        <v>600</v>
      </c>
      <c r="B5712" t="s">
        <v>13</v>
      </c>
      <c r="C5712" s="1">
        <f>HYPERLINK("https://cao.dolgi.msk.ru/account/1011394775/", 1011394775)</f>
        <v>1011394775</v>
      </c>
      <c r="D5712">
        <v>7597.37</v>
      </c>
    </row>
    <row r="5713" spans="1:4" hidden="1" x14ac:dyDescent="0.3">
      <c r="A5713" t="s">
        <v>600</v>
      </c>
      <c r="B5713" t="s">
        <v>14</v>
      </c>
      <c r="C5713" s="1">
        <f>HYPERLINK("https://cao.dolgi.msk.ru/account/1011394943/", 1011394943)</f>
        <v>1011394943</v>
      </c>
      <c r="D5713">
        <v>0</v>
      </c>
    </row>
    <row r="5714" spans="1:4" x14ac:dyDescent="0.3">
      <c r="A5714" t="s">
        <v>600</v>
      </c>
      <c r="B5714" t="s">
        <v>16</v>
      </c>
      <c r="C5714" s="1">
        <f>HYPERLINK("https://cao.dolgi.msk.ru/account/1011394599/", 1011394599)</f>
        <v>1011394599</v>
      </c>
      <c r="D5714">
        <v>3194.89</v>
      </c>
    </row>
    <row r="5715" spans="1:4" hidden="1" x14ac:dyDescent="0.3">
      <c r="A5715" t="s">
        <v>600</v>
      </c>
      <c r="B5715" t="s">
        <v>17</v>
      </c>
      <c r="C5715" s="1">
        <f>HYPERLINK("https://cao.dolgi.msk.ru/account/1011394855/", 1011394855)</f>
        <v>1011394855</v>
      </c>
      <c r="D5715">
        <v>0</v>
      </c>
    </row>
    <row r="5716" spans="1:4" x14ac:dyDescent="0.3">
      <c r="A5716" t="s">
        <v>600</v>
      </c>
      <c r="B5716" t="s">
        <v>18</v>
      </c>
      <c r="C5716" s="1">
        <f>HYPERLINK("https://cao.dolgi.msk.ru/account/1011394572/", 1011394572)</f>
        <v>1011394572</v>
      </c>
      <c r="D5716">
        <v>17004.990000000002</v>
      </c>
    </row>
    <row r="5717" spans="1:4" x14ac:dyDescent="0.3">
      <c r="A5717" t="s">
        <v>600</v>
      </c>
      <c r="B5717" t="s">
        <v>19</v>
      </c>
      <c r="C5717" s="1">
        <f>HYPERLINK("https://cao.dolgi.msk.ru/account/1011394492/", 1011394492)</f>
        <v>1011394492</v>
      </c>
      <c r="D5717">
        <v>83237.94</v>
      </c>
    </row>
    <row r="5718" spans="1:4" x14ac:dyDescent="0.3">
      <c r="A5718" t="s">
        <v>600</v>
      </c>
      <c r="B5718" t="s">
        <v>20</v>
      </c>
      <c r="C5718" s="1">
        <f>HYPERLINK("https://cao.dolgi.msk.ru/account/1011394476/", 1011394476)</f>
        <v>1011394476</v>
      </c>
      <c r="D5718">
        <v>19417.490000000002</v>
      </c>
    </row>
    <row r="5719" spans="1:4" x14ac:dyDescent="0.3">
      <c r="A5719" t="s">
        <v>600</v>
      </c>
      <c r="B5719" t="s">
        <v>21</v>
      </c>
      <c r="C5719" s="1">
        <f>HYPERLINK("https://cao.dolgi.msk.ru/account/1011394441/", 1011394441)</f>
        <v>1011394441</v>
      </c>
      <c r="D5719">
        <v>4248.55</v>
      </c>
    </row>
    <row r="5720" spans="1:4" hidden="1" x14ac:dyDescent="0.3">
      <c r="A5720" t="s">
        <v>600</v>
      </c>
      <c r="B5720" t="s">
        <v>22</v>
      </c>
      <c r="C5720" s="1">
        <f>HYPERLINK("https://cao.dolgi.msk.ru/account/1011394863/", 1011394863)</f>
        <v>1011394863</v>
      </c>
      <c r="D5720">
        <v>-3984.54</v>
      </c>
    </row>
    <row r="5721" spans="1:4" hidden="1" x14ac:dyDescent="0.3">
      <c r="A5721" t="s">
        <v>600</v>
      </c>
      <c r="B5721" t="s">
        <v>24</v>
      </c>
      <c r="C5721" s="1">
        <f>HYPERLINK("https://cao.dolgi.msk.ru/account/1011394644/", 1011394644)</f>
        <v>1011394644</v>
      </c>
      <c r="D5721">
        <v>-0.01</v>
      </c>
    </row>
    <row r="5722" spans="1:4" x14ac:dyDescent="0.3">
      <c r="A5722" t="s">
        <v>600</v>
      </c>
      <c r="B5722" t="s">
        <v>25</v>
      </c>
      <c r="C5722" s="1">
        <f>HYPERLINK("https://cao.dolgi.msk.ru/account/1011394564/", 1011394564)</f>
        <v>1011394564</v>
      </c>
      <c r="D5722">
        <v>2643.17</v>
      </c>
    </row>
    <row r="5723" spans="1:4" hidden="1" x14ac:dyDescent="0.3">
      <c r="A5723" t="s">
        <v>600</v>
      </c>
      <c r="B5723" t="s">
        <v>26</v>
      </c>
      <c r="C5723" s="1">
        <f>HYPERLINK("https://cao.dolgi.msk.ru/account/1011394521/", 1011394521)</f>
        <v>1011394521</v>
      </c>
      <c r="D5723">
        <v>0</v>
      </c>
    </row>
    <row r="5724" spans="1:4" x14ac:dyDescent="0.3">
      <c r="A5724" t="s">
        <v>600</v>
      </c>
      <c r="B5724" t="s">
        <v>27</v>
      </c>
      <c r="C5724" s="1">
        <f>HYPERLINK("https://cao.dolgi.msk.ru/account/1011394951/", 1011394951)</f>
        <v>1011394951</v>
      </c>
      <c r="D5724">
        <v>13252.33</v>
      </c>
    </row>
    <row r="5725" spans="1:4" x14ac:dyDescent="0.3">
      <c r="A5725" t="s">
        <v>600</v>
      </c>
      <c r="B5725" t="s">
        <v>39</v>
      </c>
      <c r="C5725" s="1">
        <f>HYPERLINK("https://cao.dolgi.msk.ru/account/1011395014/", 1011395014)</f>
        <v>1011395014</v>
      </c>
      <c r="D5725">
        <v>3903.7</v>
      </c>
    </row>
    <row r="5726" spans="1:4" hidden="1" x14ac:dyDescent="0.3">
      <c r="A5726" t="s">
        <v>600</v>
      </c>
      <c r="B5726" t="s">
        <v>40</v>
      </c>
      <c r="C5726" s="1">
        <f>HYPERLINK("https://cao.dolgi.msk.ru/account/1011394783/", 1011394783)</f>
        <v>1011394783</v>
      </c>
      <c r="D5726">
        <v>-1380.94</v>
      </c>
    </row>
    <row r="5727" spans="1:4" hidden="1" x14ac:dyDescent="0.3">
      <c r="A5727" t="s">
        <v>600</v>
      </c>
      <c r="B5727" t="s">
        <v>41</v>
      </c>
      <c r="C5727" s="1">
        <f>HYPERLINK("https://cao.dolgi.msk.ru/account/1011394767/", 1011394767)</f>
        <v>1011394767</v>
      </c>
      <c r="D5727">
        <v>0</v>
      </c>
    </row>
    <row r="5728" spans="1:4" hidden="1" x14ac:dyDescent="0.3">
      <c r="A5728" t="s">
        <v>600</v>
      </c>
      <c r="B5728" t="s">
        <v>51</v>
      </c>
      <c r="C5728" s="1">
        <f>HYPERLINK("https://cao.dolgi.msk.ru/account/1011394687/", 1011394687)</f>
        <v>1011394687</v>
      </c>
      <c r="D5728">
        <v>-58.89</v>
      </c>
    </row>
    <row r="5729" spans="1:4" hidden="1" x14ac:dyDescent="0.3">
      <c r="A5729" t="s">
        <v>600</v>
      </c>
      <c r="B5729" t="s">
        <v>52</v>
      </c>
      <c r="C5729" s="1">
        <f>HYPERLINK("https://cao.dolgi.msk.ru/account/1011394732/", 1011394732)</f>
        <v>1011394732</v>
      </c>
      <c r="D5729">
        <v>0</v>
      </c>
    </row>
    <row r="5730" spans="1:4" hidden="1" x14ac:dyDescent="0.3">
      <c r="A5730" t="s">
        <v>600</v>
      </c>
      <c r="B5730" t="s">
        <v>53</v>
      </c>
      <c r="C5730" s="1">
        <f>HYPERLINK("https://cao.dolgi.msk.ru/account/1011394695/", 1011394695)</f>
        <v>1011394695</v>
      </c>
      <c r="D5730">
        <v>-2373.96</v>
      </c>
    </row>
    <row r="5731" spans="1:4" hidden="1" x14ac:dyDescent="0.3">
      <c r="A5731" t="s">
        <v>600</v>
      </c>
      <c r="B5731" t="s">
        <v>54</v>
      </c>
      <c r="C5731" s="1">
        <f>HYPERLINK("https://cao.dolgi.msk.ru/account/1011394804/", 1011394804)</f>
        <v>1011394804</v>
      </c>
      <c r="D5731">
        <v>-1281.17</v>
      </c>
    </row>
    <row r="5732" spans="1:4" x14ac:dyDescent="0.3">
      <c r="A5732" t="s">
        <v>600</v>
      </c>
      <c r="B5732" t="s">
        <v>55</v>
      </c>
      <c r="C5732" s="1">
        <f>HYPERLINK("https://cao.dolgi.msk.ru/account/1011394708/", 1011394708)</f>
        <v>1011394708</v>
      </c>
      <c r="D5732">
        <v>15976</v>
      </c>
    </row>
    <row r="5733" spans="1:4" hidden="1" x14ac:dyDescent="0.3">
      <c r="A5733" t="s">
        <v>600</v>
      </c>
      <c r="B5733" t="s">
        <v>56</v>
      </c>
      <c r="C5733" s="1">
        <f>HYPERLINK("https://cao.dolgi.msk.ru/account/1011394396/", 1011394396)</f>
        <v>1011394396</v>
      </c>
      <c r="D5733">
        <v>0</v>
      </c>
    </row>
    <row r="5734" spans="1:4" hidden="1" x14ac:dyDescent="0.3">
      <c r="A5734" t="s">
        <v>600</v>
      </c>
      <c r="B5734" t="s">
        <v>87</v>
      </c>
      <c r="C5734" s="1">
        <f>HYPERLINK("https://cao.dolgi.msk.ru/account/1011394812/", 1011394812)</f>
        <v>1011394812</v>
      </c>
      <c r="D5734">
        <v>0</v>
      </c>
    </row>
    <row r="5735" spans="1:4" x14ac:dyDescent="0.3">
      <c r="A5735" t="s">
        <v>600</v>
      </c>
      <c r="B5735" t="s">
        <v>87</v>
      </c>
      <c r="C5735" s="1">
        <f>HYPERLINK("https://cao.dolgi.msk.ru/account/1011394871/", 1011394871)</f>
        <v>1011394871</v>
      </c>
      <c r="D5735">
        <v>1694.71</v>
      </c>
    </row>
    <row r="5736" spans="1:4" x14ac:dyDescent="0.3">
      <c r="A5736" t="s">
        <v>600</v>
      </c>
      <c r="B5736" t="s">
        <v>88</v>
      </c>
      <c r="C5736" s="1">
        <f>HYPERLINK("https://cao.dolgi.msk.ru/account/1011394425/", 1011394425)</f>
        <v>1011394425</v>
      </c>
      <c r="D5736">
        <v>4519.43</v>
      </c>
    </row>
    <row r="5737" spans="1:4" x14ac:dyDescent="0.3">
      <c r="A5737" t="s">
        <v>600</v>
      </c>
      <c r="B5737" t="s">
        <v>89</v>
      </c>
      <c r="C5737" s="1">
        <f>HYPERLINK("https://cao.dolgi.msk.ru/account/1011394927/", 1011394927)</f>
        <v>1011394927</v>
      </c>
      <c r="D5737">
        <v>3328.35</v>
      </c>
    </row>
    <row r="5738" spans="1:4" x14ac:dyDescent="0.3">
      <c r="A5738" t="s">
        <v>600</v>
      </c>
      <c r="B5738" t="s">
        <v>90</v>
      </c>
      <c r="C5738" s="1">
        <f>HYPERLINK("https://cao.dolgi.msk.ru/account/1011394556/", 1011394556)</f>
        <v>1011394556</v>
      </c>
      <c r="D5738">
        <v>3076.19</v>
      </c>
    </row>
    <row r="5739" spans="1:4" x14ac:dyDescent="0.3">
      <c r="A5739" t="s">
        <v>600</v>
      </c>
      <c r="B5739" t="s">
        <v>96</v>
      </c>
      <c r="C5739" s="1">
        <f>HYPERLINK("https://cao.dolgi.msk.ru/account/1011394601/", 1011394601)</f>
        <v>1011394601</v>
      </c>
      <c r="D5739">
        <v>3368.27</v>
      </c>
    </row>
    <row r="5740" spans="1:4" hidden="1" x14ac:dyDescent="0.3">
      <c r="A5740" t="s">
        <v>600</v>
      </c>
      <c r="B5740" t="s">
        <v>97</v>
      </c>
      <c r="C5740" s="1">
        <f>HYPERLINK("https://cao.dolgi.msk.ru/account/1011394513/", 1011394513)</f>
        <v>1011394513</v>
      </c>
      <c r="D5740">
        <v>0</v>
      </c>
    </row>
    <row r="5741" spans="1:4" x14ac:dyDescent="0.3">
      <c r="A5741" t="s">
        <v>600</v>
      </c>
      <c r="B5741" t="s">
        <v>98</v>
      </c>
      <c r="C5741" s="1">
        <f>HYPERLINK("https://cao.dolgi.msk.ru/account/1011394468/", 1011394468)</f>
        <v>1011394468</v>
      </c>
      <c r="D5741">
        <v>38118.58</v>
      </c>
    </row>
    <row r="5742" spans="1:4" x14ac:dyDescent="0.3">
      <c r="A5742" t="s">
        <v>600</v>
      </c>
      <c r="B5742" t="s">
        <v>58</v>
      </c>
      <c r="C5742" s="1">
        <f>HYPERLINK("https://cao.dolgi.msk.ru/account/1011394505/", 1011394505)</f>
        <v>1011394505</v>
      </c>
      <c r="D5742">
        <v>25669.200000000001</v>
      </c>
    </row>
    <row r="5743" spans="1:4" x14ac:dyDescent="0.3">
      <c r="A5743" t="s">
        <v>600</v>
      </c>
      <c r="B5743" t="s">
        <v>59</v>
      </c>
      <c r="C5743" s="1">
        <f>HYPERLINK("https://cao.dolgi.msk.ru/account/1011394628/", 1011394628)</f>
        <v>1011394628</v>
      </c>
      <c r="D5743">
        <v>6969.26</v>
      </c>
    </row>
    <row r="5744" spans="1:4" x14ac:dyDescent="0.3">
      <c r="A5744" t="s">
        <v>600</v>
      </c>
      <c r="B5744" t="s">
        <v>60</v>
      </c>
      <c r="C5744" s="1">
        <f>HYPERLINK("https://cao.dolgi.msk.ru/account/1011395006/", 1011395006)</f>
        <v>1011395006</v>
      </c>
      <c r="D5744">
        <v>4655.59</v>
      </c>
    </row>
    <row r="5745" spans="1:4" x14ac:dyDescent="0.3">
      <c r="A5745" t="s">
        <v>600</v>
      </c>
      <c r="B5745" t="s">
        <v>61</v>
      </c>
      <c r="C5745" s="1">
        <f>HYPERLINK("https://cao.dolgi.msk.ru/account/1011394978/", 1011394978)</f>
        <v>1011394978</v>
      </c>
      <c r="D5745">
        <v>8689.73</v>
      </c>
    </row>
    <row r="5746" spans="1:4" x14ac:dyDescent="0.3">
      <c r="A5746" t="s">
        <v>600</v>
      </c>
      <c r="B5746" t="s">
        <v>62</v>
      </c>
      <c r="C5746" s="1">
        <f>HYPERLINK("https://cao.dolgi.msk.ru/account/1011394679/", 1011394679)</f>
        <v>1011394679</v>
      </c>
      <c r="D5746">
        <v>25537.83</v>
      </c>
    </row>
    <row r="5747" spans="1:4" x14ac:dyDescent="0.3">
      <c r="A5747" t="s">
        <v>600</v>
      </c>
      <c r="B5747" t="s">
        <v>63</v>
      </c>
      <c r="C5747" s="1">
        <f>HYPERLINK("https://cao.dolgi.msk.ru/account/1011394847/", 1011394847)</f>
        <v>1011394847</v>
      </c>
      <c r="D5747">
        <v>3424.81</v>
      </c>
    </row>
    <row r="5748" spans="1:4" hidden="1" x14ac:dyDescent="0.3">
      <c r="A5748" t="s">
        <v>600</v>
      </c>
      <c r="B5748" t="s">
        <v>64</v>
      </c>
      <c r="C5748" s="1">
        <f>HYPERLINK("https://cao.dolgi.msk.ru/account/1011394724/", 1011394724)</f>
        <v>1011394724</v>
      </c>
      <c r="D5748">
        <v>0</v>
      </c>
    </row>
    <row r="5749" spans="1:4" x14ac:dyDescent="0.3">
      <c r="A5749" t="s">
        <v>600</v>
      </c>
      <c r="B5749" t="s">
        <v>64</v>
      </c>
      <c r="C5749" s="1">
        <f>HYPERLINK("https://cao.dolgi.msk.ru/account/1011394898/", 1011394898)</f>
        <v>1011394898</v>
      </c>
      <c r="D5749">
        <v>2025.28</v>
      </c>
    </row>
    <row r="5750" spans="1:4" hidden="1" x14ac:dyDescent="0.3">
      <c r="A5750" t="s">
        <v>600</v>
      </c>
      <c r="B5750" t="s">
        <v>65</v>
      </c>
      <c r="C5750" s="1">
        <f>HYPERLINK("https://cao.dolgi.msk.ru/account/1011394935/", 1011394935)</f>
        <v>1011394935</v>
      </c>
      <c r="D5750">
        <v>0</v>
      </c>
    </row>
    <row r="5751" spans="1:4" hidden="1" x14ac:dyDescent="0.3">
      <c r="A5751" t="s">
        <v>601</v>
      </c>
      <c r="B5751" t="s">
        <v>6</v>
      </c>
      <c r="C5751" s="1">
        <f>HYPERLINK("https://cao.dolgi.msk.ru/account/1011068224/", 1011068224)</f>
        <v>1011068224</v>
      </c>
      <c r="D5751">
        <v>-10977.87</v>
      </c>
    </row>
    <row r="5752" spans="1:4" hidden="1" x14ac:dyDescent="0.3">
      <c r="A5752" t="s">
        <v>601</v>
      </c>
      <c r="B5752" t="s">
        <v>28</v>
      </c>
      <c r="C5752" s="1">
        <f>HYPERLINK("https://cao.dolgi.msk.ru/account/1011068531/", 1011068531)</f>
        <v>1011068531</v>
      </c>
      <c r="D5752">
        <v>-5413.04</v>
      </c>
    </row>
    <row r="5753" spans="1:4" x14ac:dyDescent="0.3">
      <c r="A5753" t="s">
        <v>601</v>
      </c>
      <c r="B5753" t="s">
        <v>35</v>
      </c>
      <c r="C5753" s="1">
        <f>HYPERLINK("https://cao.dolgi.msk.ru/account/1011068267/", 1011068267)</f>
        <v>1011068267</v>
      </c>
      <c r="D5753">
        <v>3586.63</v>
      </c>
    </row>
    <row r="5754" spans="1:4" hidden="1" x14ac:dyDescent="0.3">
      <c r="A5754" t="s">
        <v>601</v>
      </c>
      <c r="B5754" t="s">
        <v>35</v>
      </c>
      <c r="C5754" s="1">
        <f>HYPERLINK("https://cao.dolgi.msk.ru/account/1011068646/", 1011068646)</f>
        <v>1011068646</v>
      </c>
      <c r="D5754">
        <v>0</v>
      </c>
    </row>
    <row r="5755" spans="1:4" hidden="1" x14ac:dyDescent="0.3">
      <c r="A5755" t="s">
        <v>601</v>
      </c>
      <c r="B5755" t="s">
        <v>5</v>
      </c>
      <c r="C5755" s="1">
        <f>HYPERLINK("https://cao.dolgi.msk.ru/account/1011068275/", 1011068275)</f>
        <v>1011068275</v>
      </c>
      <c r="D5755">
        <v>0</v>
      </c>
    </row>
    <row r="5756" spans="1:4" hidden="1" x14ac:dyDescent="0.3">
      <c r="A5756" t="s">
        <v>601</v>
      </c>
      <c r="B5756" t="s">
        <v>7</v>
      </c>
      <c r="C5756" s="1">
        <f>HYPERLINK("https://cao.dolgi.msk.ru/account/1011068494/", 1011068494)</f>
        <v>1011068494</v>
      </c>
      <c r="D5756">
        <v>-201.38</v>
      </c>
    </row>
    <row r="5757" spans="1:4" x14ac:dyDescent="0.3">
      <c r="A5757" t="s">
        <v>601</v>
      </c>
      <c r="B5757" t="s">
        <v>8</v>
      </c>
      <c r="C5757" s="1">
        <f>HYPERLINK("https://cao.dolgi.msk.ru/account/1011068822/", 1011068822)</f>
        <v>1011068822</v>
      </c>
      <c r="D5757">
        <v>35069.79</v>
      </c>
    </row>
    <row r="5758" spans="1:4" hidden="1" x14ac:dyDescent="0.3">
      <c r="A5758" t="s">
        <v>601</v>
      </c>
      <c r="B5758" t="s">
        <v>31</v>
      </c>
      <c r="C5758" s="1">
        <f>HYPERLINK("https://cao.dolgi.msk.ru/account/1011068582/", 1011068582)</f>
        <v>1011068582</v>
      </c>
      <c r="D5758">
        <v>-10362.870000000001</v>
      </c>
    </row>
    <row r="5759" spans="1:4" hidden="1" x14ac:dyDescent="0.3">
      <c r="A5759" t="s">
        <v>601</v>
      </c>
      <c r="B5759" t="s">
        <v>9</v>
      </c>
      <c r="C5759" s="1">
        <f>HYPERLINK("https://cao.dolgi.msk.ru/account/1011068507/", 1011068507)</f>
        <v>1011068507</v>
      </c>
      <c r="D5759">
        <v>-6565.04</v>
      </c>
    </row>
    <row r="5760" spans="1:4" hidden="1" x14ac:dyDescent="0.3">
      <c r="A5760" t="s">
        <v>601</v>
      </c>
      <c r="B5760" t="s">
        <v>10</v>
      </c>
      <c r="C5760" s="1">
        <f>HYPERLINK("https://cao.dolgi.msk.ru/account/1011068849/", 1011068849)</f>
        <v>1011068849</v>
      </c>
      <c r="D5760">
        <v>-12486.81</v>
      </c>
    </row>
    <row r="5761" spans="1:4" hidden="1" x14ac:dyDescent="0.3">
      <c r="A5761" t="s">
        <v>601</v>
      </c>
      <c r="B5761" t="s">
        <v>11</v>
      </c>
      <c r="C5761" s="1">
        <f>HYPERLINK("https://cao.dolgi.msk.ru/account/1011068515/", 1011068515)</f>
        <v>1011068515</v>
      </c>
      <c r="D5761">
        <v>-2627.7</v>
      </c>
    </row>
    <row r="5762" spans="1:4" x14ac:dyDescent="0.3">
      <c r="A5762" t="s">
        <v>601</v>
      </c>
      <c r="B5762" t="s">
        <v>12</v>
      </c>
      <c r="C5762" s="1">
        <f>HYPERLINK("https://cao.dolgi.msk.ru/account/1011068777/", 1011068777)</f>
        <v>1011068777</v>
      </c>
      <c r="D5762">
        <v>149491.59</v>
      </c>
    </row>
    <row r="5763" spans="1:4" hidden="1" x14ac:dyDescent="0.3">
      <c r="A5763" t="s">
        <v>601</v>
      </c>
      <c r="B5763" t="s">
        <v>23</v>
      </c>
      <c r="C5763" s="1">
        <f>HYPERLINK("https://cao.dolgi.msk.ru/account/1011068785/", 1011068785)</f>
        <v>1011068785</v>
      </c>
      <c r="D5763">
        <v>-5662.23</v>
      </c>
    </row>
    <row r="5764" spans="1:4" hidden="1" x14ac:dyDescent="0.3">
      <c r="A5764" t="s">
        <v>601</v>
      </c>
      <c r="B5764" t="s">
        <v>13</v>
      </c>
      <c r="C5764" s="1">
        <f>HYPERLINK("https://cao.dolgi.msk.ru/account/1011068603/", 1011068603)</f>
        <v>1011068603</v>
      </c>
      <c r="D5764">
        <v>0</v>
      </c>
    </row>
    <row r="5765" spans="1:4" hidden="1" x14ac:dyDescent="0.3">
      <c r="A5765" t="s">
        <v>601</v>
      </c>
      <c r="B5765" t="s">
        <v>14</v>
      </c>
      <c r="C5765" s="1">
        <f>HYPERLINK("https://cao.dolgi.msk.ru/account/1011068611/", 1011068611)</f>
        <v>1011068611</v>
      </c>
      <c r="D5765">
        <v>0</v>
      </c>
    </row>
    <row r="5766" spans="1:4" hidden="1" x14ac:dyDescent="0.3">
      <c r="A5766" t="s">
        <v>601</v>
      </c>
      <c r="B5766" t="s">
        <v>16</v>
      </c>
      <c r="C5766" s="1">
        <f>HYPERLINK("https://cao.dolgi.msk.ru/account/1011068304/", 1011068304)</f>
        <v>1011068304</v>
      </c>
      <c r="D5766">
        <v>-1175.83</v>
      </c>
    </row>
    <row r="5767" spans="1:4" x14ac:dyDescent="0.3">
      <c r="A5767" t="s">
        <v>601</v>
      </c>
      <c r="B5767" t="s">
        <v>17</v>
      </c>
      <c r="C5767" s="1">
        <f>HYPERLINK("https://cao.dolgi.msk.ru/account/1011068523/", 1011068523)</f>
        <v>1011068523</v>
      </c>
      <c r="D5767">
        <v>44897.86</v>
      </c>
    </row>
    <row r="5768" spans="1:4" hidden="1" x14ac:dyDescent="0.3">
      <c r="A5768" t="s">
        <v>601</v>
      </c>
      <c r="B5768" t="s">
        <v>18</v>
      </c>
      <c r="C5768" s="1">
        <f>HYPERLINK("https://cao.dolgi.msk.ru/account/1011068793/", 1011068793)</f>
        <v>1011068793</v>
      </c>
      <c r="D5768">
        <v>0</v>
      </c>
    </row>
    <row r="5769" spans="1:4" hidden="1" x14ac:dyDescent="0.3">
      <c r="A5769" t="s">
        <v>601</v>
      </c>
      <c r="B5769" t="s">
        <v>19</v>
      </c>
      <c r="C5769" s="1">
        <f>HYPERLINK("https://cao.dolgi.msk.ru/account/1011068697/", 1011068697)</f>
        <v>1011068697</v>
      </c>
      <c r="D5769">
        <v>-3473.73</v>
      </c>
    </row>
    <row r="5770" spans="1:4" hidden="1" x14ac:dyDescent="0.3">
      <c r="A5770" t="s">
        <v>601</v>
      </c>
      <c r="B5770" t="s">
        <v>19</v>
      </c>
      <c r="C5770" s="1">
        <f>HYPERLINK("https://cao.dolgi.msk.ru/account/1011068806/", 1011068806)</f>
        <v>1011068806</v>
      </c>
      <c r="D5770">
        <v>0</v>
      </c>
    </row>
    <row r="5771" spans="1:4" x14ac:dyDescent="0.3">
      <c r="A5771" t="s">
        <v>601</v>
      </c>
      <c r="B5771" t="s">
        <v>20</v>
      </c>
      <c r="C5771" s="1">
        <f>HYPERLINK("https://cao.dolgi.msk.ru/account/1011068718/", 1011068718)</f>
        <v>1011068718</v>
      </c>
      <c r="D5771">
        <v>53485</v>
      </c>
    </row>
    <row r="5772" spans="1:4" hidden="1" x14ac:dyDescent="0.3">
      <c r="A5772" t="s">
        <v>601</v>
      </c>
      <c r="B5772" t="s">
        <v>21</v>
      </c>
      <c r="C5772" s="1">
        <f>HYPERLINK("https://cao.dolgi.msk.ru/account/1011068259/", 1011068259)</f>
        <v>1011068259</v>
      </c>
      <c r="D5772">
        <v>0</v>
      </c>
    </row>
    <row r="5773" spans="1:4" hidden="1" x14ac:dyDescent="0.3">
      <c r="A5773" t="s">
        <v>601</v>
      </c>
      <c r="B5773" t="s">
        <v>22</v>
      </c>
      <c r="C5773" s="1">
        <f>HYPERLINK("https://cao.dolgi.msk.ru/account/1011068312/", 1011068312)</f>
        <v>1011068312</v>
      </c>
      <c r="D5773">
        <v>0</v>
      </c>
    </row>
    <row r="5774" spans="1:4" hidden="1" x14ac:dyDescent="0.3">
      <c r="A5774" t="s">
        <v>601</v>
      </c>
      <c r="B5774" t="s">
        <v>24</v>
      </c>
      <c r="C5774" s="1">
        <f>HYPERLINK("https://cao.dolgi.msk.ru/account/1011068726/", 1011068726)</f>
        <v>1011068726</v>
      </c>
      <c r="D5774">
        <v>0</v>
      </c>
    </row>
    <row r="5775" spans="1:4" hidden="1" x14ac:dyDescent="0.3">
      <c r="A5775" t="s">
        <v>601</v>
      </c>
      <c r="B5775" t="s">
        <v>25</v>
      </c>
      <c r="C5775" s="1">
        <f>HYPERLINK("https://cao.dolgi.msk.ru/account/1011068558/", 1011068558)</f>
        <v>1011068558</v>
      </c>
      <c r="D5775">
        <v>-10740.12</v>
      </c>
    </row>
    <row r="5776" spans="1:4" hidden="1" x14ac:dyDescent="0.3">
      <c r="A5776" t="s">
        <v>601</v>
      </c>
      <c r="B5776" t="s">
        <v>26</v>
      </c>
      <c r="C5776" s="1">
        <f>HYPERLINK("https://cao.dolgi.msk.ru/account/1011068339/", 1011068339)</f>
        <v>1011068339</v>
      </c>
      <c r="D5776">
        <v>-8965.23</v>
      </c>
    </row>
    <row r="5777" spans="1:4" hidden="1" x14ac:dyDescent="0.3">
      <c r="A5777" t="s">
        <v>601</v>
      </c>
      <c r="B5777" t="s">
        <v>27</v>
      </c>
      <c r="C5777" s="1">
        <f>HYPERLINK("https://cao.dolgi.msk.ru/account/1011068347/", 1011068347)</f>
        <v>1011068347</v>
      </c>
      <c r="D5777">
        <v>-64</v>
      </c>
    </row>
    <row r="5778" spans="1:4" hidden="1" x14ac:dyDescent="0.3">
      <c r="A5778" t="s">
        <v>601</v>
      </c>
      <c r="B5778" t="s">
        <v>29</v>
      </c>
      <c r="C5778" s="1">
        <f>HYPERLINK("https://cao.dolgi.msk.ru/account/1011068451/", 1011068451)</f>
        <v>1011068451</v>
      </c>
      <c r="D5778">
        <v>-7876.64</v>
      </c>
    </row>
    <row r="5779" spans="1:4" x14ac:dyDescent="0.3">
      <c r="A5779" t="s">
        <v>601</v>
      </c>
      <c r="B5779" t="s">
        <v>38</v>
      </c>
      <c r="C5779" s="1">
        <f>HYPERLINK("https://cao.dolgi.msk.ru/account/1011068355/", 1011068355)</f>
        <v>1011068355</v>
      </c>
      <c r="D5779">
        <v>178179.76</v>
      </c>
    </row>
    <row r="5780" spans="1:4" hidden="1" x14ac:dyDescent="0.3">
      <c r="A5780" t="s">
        <v>601</v>
      </c>
      <c r="B5780" t="s">
        <v>39</v>
      </c>
      <c r="C5780" s="1">
        <f>HYPERLINK("https://cao.dolgi.msk.ru/account/1011068734/", 1011068734)</f>
        <v>1011068734</v>
      </c>
      <c r="D5780">
        <v>-8121.63</v>
      </c>
    </row>
    <row r="5781" spans="1:4" hidden="1" x14ac:dyDescent="0.3">
      <c r="A5781" t="s">
        <v>601</v>
      </c>
      <c r="B5781" t="s">
        <v>40</v>
      </c>
      <c r="C5781" s="1">
        <f>HYPERLINK("https://cao.dolgi.msk.ru/account/1011068638/", 1011068638)</f>
        <v>1011068638</v>
      </c>
      <c r="D5781">
        <v>0</v>
      </c>
    </row>
    <row r="5782" spans="1:4" hidden="1" x14ac:dyDescent="0.3">
      <c r="A5782" t="s">
        <v>601</v>
      </c>
      <c r="B5782" t="s">
        <v>41</v>
      </c>
      <c r="C5782" s="1">
        <f>HYPERLINK("https://cao.dolgi.msk.ru/account/1011068654/", 1011068654)</f>
        <v>1011068654</v>
      </c>
      <c r="D5782">
        <v>-64</v>
      </c>
    </row>
    <row r="5783" spans="1:4" hidden="1" x14ac:dyDescent="0.3">
      <c r="A5783" t="s">
        <v>601</v>
      </c>
      <c r="B5783" t="s">
        <v>51</v>
      </c>
      <c r="C5783" s="1">
        <f>HYPERLINK("https://cao.dolgi.msk.ru/account/1011068363/", 1011068363)</f>
        <v>1011068363</v>
      </c>
      <c r="D5783">
        <v>-64</v>
      </c>
    </row>
    <row r="5784" spans="1:4" hidden="1" x14ac:dyDescent="0.3">
      <c r="A5784" t="s">
        <v>601</v>
      </c>
      <c r="B5784" t="s">
        <v>52</v>
      </c>
      <c r="C5784" s="1">
        <f>HYPERLINK("https://cao.dolgi.msk.ru/account/1011068566/", 1011068566)</f>
        <v>1011068566</v>
      </c>
      <c r="D5784">
        <v>-64</v>
      </c>
    </row>
    <row r="5785" spans="1:4" hidden="1" x14ac:dyDescent="0.3">
      <c r="A5785" t="s">
        <v>601</v>
      </c>
      <c r="B5785" t="s">
        <v>53</v>
      </c>
      <c r="C5785" s="1">
        <f>HYPERLINK("https://cao.dolgi.msk.ru/account/1011068574/", 1011068574)</f>
        <v>1011068574</v>
      </c>
      <c r="D5785">
        <v>-25518.52</v>
      </c>
    </row>
    <row r="5786" spans="1:4" hidden="1" x14ac:dyDescent="0.3">
      <c r="A5786" t="s">
        <v>601</v>
      </c>
      <c r="B5786" t="s">
        <v>54</v>
      </c>
      <c r="C5786" s="1">
        <f>HYPERLINK("https://cao.dolgi.msk.ru/account/1011068371/", 1011068371)</f>
        <v>1011068371</v>
      </c>
      <c r="D5786">
        <v>-918.11</v>
      </c>
    </row>
    <row r="5787" spans="1:4" hidden="1" x14ac:dyDescent="0.3">
      <c r="A5787" t="s">
        <v>601</v>
      </c>
      <c r="B5787" t="s">
        <v>55</v>
      </c>
      <c r="C5787" s="1">
        <f>HYPERLINK("https://cao.dolgi.msk.ru/account/1011068662/", 1011068662)</f>
        <v>1011068662</v>
      </c>
      <c r="D5787">
        <v>-8598.4</v>
      </c>
    </row>
    <row r="5788" spans="1:4" x14ac:dyDescent="0.3">
      <c r="A5788" t="s">
        <v>601</v>
      </c>
      <c r="B5788" t="s">
        <v>56</v>
      </c>
      <c r="C5788" s="1">
        <f>HYPERLINK("https://cao.dolgi.msk.ru/account/1011068742/", 1011068742)</f>
        <v>1011068742</v>
      </c>
      <c r="D5788">
        <v>6789.77</v>
      </c>
    </row>
    <row r="5789" spans="1:4" hidden="1" x14ac:dyDescent="0.3">
      <c r="A5789" t="s">
        <v>601</v>
      </c>
      <c r="B5789" t="s">
        <v>87</v>
      </c>
      <c r="C5789" s="1">
        <f>HYPERLINK("https://cao.dolgi.msk.ru/account/1011068398/", 1011068398)</f>
        <v>1011068398</v>
      </c>
      <c r="D5789">
        <v>0</v>
      </c>
    </row>
    <row r="5790" spans="1:4" hidden="1" x14ac:dyDescent="0.3">
      <c r="A5790" t="s">
        <v>601</v>
      </c>
      <c r="B5790" t="s">
        <v>88</v>
      </c>
      <c r="C5790" s="1">
        <f>HYPERLINK("https://cao.dolgi.msk.ru/account/1011495904/", 1011495904)</f>
        <v>1011495904</v>
      </c>
      <c r="D5790">
        <v>-21211.83</v>
      </c>
    </row>
    <row r="5791" spans="1:4" hidden="1" x14ac:dyDescent="0.3">
      <c r="A5791" t="s">
        <v>601</v>
      </c>
      <c r="B5791" t="s">
        <v>89</v>
      </c>
      <c r="C5791" s="1">
        <f>HYPERLINK("https://cao.dolgi.msk.ru/account/1011068419/", 1011068419)</f>
        <v>1011068419</v>
      </c>
      <c r="D5791">
        <v>-5931.39</v>
      </c>
    </row>
    <row r="5792" spans="1:4" hidden="1" x14ac:dyDescent="0.3">
      <c r="A5792" t="s">
        <v>601</v>
      </c>
      <c r="B5792" t="s">
        <v>90</v>
      </c>
      <c r="C5792" s="1">
        <f>HYPERLINK("https://cao.dolgi.msk.ru/account/1011068689/", 1011068689)</f>
        <v>1011068689</v>
      </c>
      <c r="D5792">
        <v>-146.08000000000001</v>
      </c>
    </row>
    <row r="5793" spans="1:4" hidden="1" x14ac:dyDescent="0.3">
      <c r="A5793" t="s">
        <v>601</v>
      </c>
      <c r="B5793" t="s">
        <v>96</v>
      </c>
      <c r="C5793" s="1">
        <f>HYPERLINK("https://cao.dolgi.msk.ru/account/1011068769/", 1011068769)</f>
        <v>1011068769</v>
      </c>
      <c r="D5793">
        <v>0</v>
      </c>
    </row>
    <row r="5794" spans="1:4" hidden="1" x14ac:dyDescent="0.3">
      <c r="A5794" t="s">
        <v>601</v>
      </c>
      <c r="B5794" t="s">
        <v>97</v>
      </c>
      <c r="C5794" s="1">
        <f>HYPERLINK("https://cao.dolgi.msk.ru/account/1011068486/", 1011068486)</f>
        <v>1011068486</v>
      </c>
      <c r="D5794">
        <v>-58.43</v>
      </c>
    </row>
    <row r="5795" spans="1:4" hidden="1" x14ac:dyDescent="0.3">
      <c r="A5795" t="s">
        <v>601</v>
      </c>
      <c r="B5795" t="s">
        <v>98</v>
      </c>
      <c r="C5795" s="1">
        <f>HYPERLINK("https://cao.dolgi.msk.ru/account/1011068814/", 1011068814)</f>
        <v>1011068814</v>
      </c>
      <c r="D5795">
        <v>-9320.77</v>
      </c>
    </row>
    <row r="5796" spans="1:4" hidden="1" x14ac:dyDescent="0.3">
      <c r="A5796" t="s">
        <v>601</v>
      </c>
      <c r="B5796" t="s">
        <v>58</v>
      </c>
      <c r="C5796" s="1">
        <f>HYPERLINK("https://cao.dolgi.msk.ru/account/1011068283/", 1011068283)</f>
        <v>1011068283</v>
      </c>
      <c r="D5796">
        <v>-230</v>
      </c>
    </row>
    <row r="5797" spans="1:4" hidden="1" x14ac:dyDescent="0.3">
      <c r="A5797" t="s">
        <v>601</v>
      </c>
      <c r="B5797" t="s">
        <v>59</v>
      </c>
      <c r="C5797" s="1">
        <f>HYPERLINK("https://cao.dolgi.msk.ru/account/1011068435/", 1011068435)</f>
        <v>1011068435</v>
      </c>
      <c r="D5797">
        <v>0</v>
      </c>
    </row>
    <row r="5798" spans="1:4" hidden="1" x14ac:dyDescent="0.3">
      <c r="A5798" t="s">
        <v>601</v>
      </c>
      <c r="B5798" t="s">
        <v>60</v>
      </c>
      <c r="C5798" s="1">
        <f>HYPERLINK("https://cao.dolgi.msk.ru/account/1011068443/", 1011068443)</f>
        <v>1011068443</v>
      </c>
      <c r="D5798">
        <v>0</v>
      </c>
    </row>
    <row r="5799" spans="1:4" hidden="1" x14ac:dyDescent="0.3">
      <c r="A5799" t="s">
        <v>601</v>
      </c>
      <c r="B5799" t="s">
        <v>61</v>
      </c>
      <c r="C5799" s="1">
        <f>HYPERLINK("https://cao.dolgi.msk.ru/account/1011068427/", 1011068427)</f>
        <v>1011068427</v>
      </c>
      <c r="D5799">
        <v>-204.51</v>
      </c>
    </row>
    <row r="5800" spans="1:4" hidden="1" x14ac:dyDescent="0.3">
      <c r="A5800" t="s">
        <v>601</v>
      </c>
      <c r="B5800" t="s">
        <v>62</v>
      </c>
      <c r="C5800" s="1">
        <f>HYPERLINK("https://cao.dolgi.msk.ru/account/1011068291/", 1011068291)</f>
        <v>1011068291</v>
      </c>
      <c r="D5800">
        <v>0</v>
      </c>
    </row>
    <row r="5801" spans="1:4" x14ac:dyDescent="0.3">
      <c r="A5801" t="s">
        <v>602</v>
      </c>
      <c r="B5801" t="s">
        <v>63</v>
      </c>
      <c r="C5801" s="1">
        <f>HYPERLINK("https://cao.dolgi.msk.ru/account/1011070391/", 1011070391)</f>
        <v>1011070391</v>
      </c>
      <c r="D5801">
        <v>5058.67</v>
      </c>
    </row>
    <row r="5802" spans="1:4" hidden="1" x14ac:dyDescent="0.3">
      <c r="A5802" t="s">
        <v>602</v>
      </c>
      <c r="B5802" t="s">
        <v>64</v>
      </c>
      <c r="C5802" s="1">
        <f>HYPERLINK("https://cao.dolgi.msk.ru/account/1011070551/", 1011070551)</f>
        <v>1011070551</v>
      </c>
      <c r="D5802">
        <v>0</v>
      </c>
    </row>
    <row r="5803" spans="1:4" hidden="1" x14ac:dyDescent="0.3">
      <c r="A5803" t="s">
        <v>602</v>
      </c>
      <c r="B5803" t="s">
        <v>65</v>
      </c>
      <c r="C5803" s="1">
        <f>HYPERLINK("https://cao.dolgi.msk.ru/account/1011070375/", 1011070375)</f>
        <v>1011070375</v>
      </c>
      <c r="D5803">
        <v>0</v>
      </c>
    </row>
    <row r="5804" spans="1:4" x14ac:dyDescent="0.3">
      <c r="A5804" t="s">
        <v>602</v>
      </c>
      <c r="B5804" t="s">
        <v>66</v>
      </c>
      <c r="C5804" s="1">
        <f>HYPERLINK("https://cao.dolgi.msk.ru/account/1011070279/", 1011070279)</f>
        <v>1011070279</v>
      </c>
      <c r="D5804">
        <v>9606.23</v>
      </c>
    </row>
    <row r="5805" spans="1:4" x14ac:dyDescent="0.3">
      <c r="A5805" t="s">
        <v>602</v>
      </c>
      <c r="B5805" t="s">
        <v>66</v>
      </c>
      <c r="C5805" s="1">
        <f>HYPERLINK("https://cao.dolgi.msk.ru/account/1011070404/", 1011070404)</f>
        <v>1011070404</v>
      </c>
      <c r="D5805">
        <v>217984.99</v>
      </c>
    </row>
    <row r="5806" spans="1:4" hidden="1" x14ac:dyDescent="0.3">
      <c r="A5806" t="s">
        <v>602</v>
      </c>
      <c r="B5806" t="s">
        <v>67</v>
      </c>
      <c r="C5806" s="1">
        <f>HYPERLINK("https://cao.dolgi.msk.ru/account/1011070199/", 1011070199)</f>
        <v>1011070199</v>
      </c>
      <c r="D5806">
        <v>0</v>
      </c>
    </row>
    <row r="5807" spans="1:4" hidden="1" x14ac:dyDescent="0.3">
      <c r="A5807" t="s">
        <v>602</v>
      </c>
      <c r="B5807" t="s">
        <v>68</v>
      </c>
      <c r="C5807" s="1">
        <f>HYPERLINK("https://cao.dolgi.msk.ru/account/1011070412/", 1011070412)</f>
        <v>1011070412</v>
      </c>
      <c r="D5807">
        <v>-17493.09</v>
      </c>
    </row>
    <row r="5808" spans="1:4" hidden="1" x14ac:dyDescent="0.3">
      <c r="A5808" t="s">
        <v>602</v>
      </c>
      <c r="B5808" t="s">
        <v>69</v>
      </c>
      <c r="C5808" s="1">
        <f>HYPERLINK("https://cao.dolgi.msk.ru/account/1011070367/", 1011070367)</f>
        <v>1011070367</v>
      </c>
      <c r="D5808">
        <v>0</v>
      </c>
    </row>
    <row r="5809" spans="1:4" hidden="1" x14ac:dyDescent="0.3">
      <c r="A5809" t="s">
        <v>602</v>
      </c>
      <c r="B5809" t="s">
        <v>70</v>
      </c>
      <c r="C5809" s="1">
        <f>HYPERLINK("https://cao.dolgi.msk.ru/account/1011070201/", 1011070201)</f>
        <v>1011070201</v>
      </c>
      <c r="D5809">
        <v>0</v>
      </c>
    </row>
    <row r="5810" spans="1:4" hidden="1" x14ac:dyDescent="0.3">
      <c r="A5810" t="s">
        <v>602</v>
      </c>
      <c r="B5810" t="s">
        <v>259</v>
      </c>
      <c r="C5810" s="1">
        <f>HYPERLINK("https://cao.dolgi.msk.ru/account/1011070498/", 1011070498)</f>
        <v>1011070498</v>
      </c>
      <c r="D5810">
        <v>0</v>
      </c>
    </row>
    <row r="5811" spans="1:4" hidden="1" x14ac:dyDescent="0.3">
      <c r="A5811" t="s">
        <v>602</v>
      </c>
      <c r="B5811" t="s">
        <v>100</v>
      </c>
      <c r="C5811" s="1">
        <f>HYPERLINK("https://cao.dolgi.msk.ru/account/1011070463/", 1011070463)</f>
        <v>1011070463</v>
      </c>
      <c r="D5811">
        <v>0</v>
      </c>
    </row>
    <row r="5812" spans="1:4" hidden="1" x14ac:dyDescent="0.3">
      <c r="A5812" t="s">
        <v>602</v>
      </c>
      <c r="B5812" t="s">
        <v>72</v>
      </c>
      <c r="C5812" s="1">
        <f>HYPERLINK("https://cao.dolgi.msk.ru/account/1011070519/", 1011070519)</f>
        <v>1011070519</v>
      </c>
      <c r="D5812">
        <v>-4779.16</v>
      </c>
    </row>
    <row r="5813" spans="1:4" x14ac:dyDescent="0.3">
      <c r="A5813" t="s">
        <v>602</v>
      </c>
      <c r="B5813" t="s">
        <v>73</v>
      </c>
      <c r="C5813" s="1">
        <f>HYPERLINK("https://cao.dolgi.msk.ru/account/1011516357/", 1011516357)</f>
        <v>1011516357</v>
      </c>
      <c r="D5813">
        <v>17777.099999999999</v>
      </c>
    </row>
    <row r="5814" spans="1:4" x14ac:dyDescent="0.3">
      <c r="A5814" t="s">
        <v>602</v>
      </c>
      <c r="B5814" t="s">
        <v>74</v>
      </c>
      <c r="C5814" s="1">
        <f>HYPERLINK("https://cao.dolgi.msk.ru/account/1011070316/", 1011070316)</f>
        <v>1011070316</v>
      </c>
      <c r="D5814">
        <v>499439.15</v>
      </c>
    </row>
    <row r="5815" spans="1:4" x14ac:dyDescent="0.3">
      <c r="A5815" t="s">
        <v>602</v>
      </c>
      <c r="B5815" t="s">
        <v>74</v>
      </c>
      <c r="C5815" s="1">
        <f>HYPERLINK("https://cao.dolgi.msk.ru/account/1011070332/", 1011070332)</f>
        <v>1011070332</v>
      </c>
      <c r="D5815">
        <v>172159.94</v>
      </c>
    </row>
    <row r="5816" spans="1:4" x14ac:dyDescent="0.3">
      <c r="A5816" t="s">
        <v>602</v>
      </c>
      <c r="B5816" t="s">
        <v>74</v>
      </c>
      <c r="C5816" s="1">
        <f>HYPERLINK("https://cao.dolgi.msk.ru/account/1011514116/", 1011514116)</f>
        <v>1011514116</v>
      </c>
      <c r="D5816">
        <v>118043.2</v>
      </c>
    </row>
    <row r="5817" spans="1:4" hidden="1" x14ac:dyDescent="0.3">
      <c r="A5817" t="s">
        <v>602</v>
      </c>
      <c r="B5817" t="s">
        <v>75</v>
      </c>
      <c r="C5817" s="1">
        <f>HYPERLINK("https://cao.dolgi.msk.ru/account/1011070105/", 1011070105)</f>
        <v>1011070105</v>
      </c>
      <c r="D5817">
        <v>-3797.99</v>
      </c>
    </row>
    <row r="5818" spans="1:4" hidden="1" x14ac:dyDescent="0.3">
      <c r="A5818" t="s">
        <v>602</v>
      </c>
      <c r="B5818" t="s">
        <v>76</v>
      </c>
      <c r="C5818" s="1">
        <f>HYPERLINK("https://cao.dolgi.msk.ru/account/1011070447/", 1011070447)</f>
        <v>1011070447</v>
      </c>
      <c r="D5818">
        <v>-4824.59</v>
      </c>
    </row>
    <row r="5819" spans="1:4" x14ac:dyDescent="0.3">
      <c r="A5819" t="s">
        <v>602</v>
      </c>
      <c r="B5819" t="s">
        <v>77</v>
      </c>
      <c r="C5819" s="1">
        <f>HYPERLINK("https://cao.dolgi.msk.ru/account/1011070308/", 1011070308)</f>
        <v>1011070308</v>
      </c>
      <c r="D5819">
        <v>5980.38</v>
      </c>
    </row>
    <row r="5820" spans="1:4" hidden="1" x14ac:dyDescent="0.3">
      <c r="A5820" t="s">
        <v>602</v>
      </c>
      <c r="B5820" t="s">
        <v>78</v>
      </c>
      <c r="C5820" s="1">
        <f>HYPERLINK("https://cao.dolgi.msk.ru/account/1011070471/", 1011070471)</f>
        <v>1011070471</v>
      </c>
      <c r="D5820">
        <v>0</v>
      </c>
    </row>
    <row r="5821" spans="1:4" hidden="1" x14ac:dyDescent="0.3">
      <c r="A5821" t="s">
        <v>602</v>
      </c>
      <c r="B5821" t="s">
        <v>79</v>
      </c>
      <c r="C5821" s="1">
        <f>HYPERLINK("https://cao.dolgi.msk.ru/account/1011070535/", 1011070535)</f>
        <v>1011070535</v>
      </c>
      <c r="D5821">
        <v>-10968.13</v>
      </c>
    </row>
    <row r="5822" spans="1:4" hidden="1" x14ac:dyDescent="0.3">
      <c r="A5822" t="s">
        <v>602</v>
      </c>
      <c r="B5822" t="s">
        <v>80</v>
      </c>
      <c r="C5822" s="1">
        <f>HYPERLINK("https://cao.dolgi.msk.ru/account/1011070383/", 1011070383)</f>
        <v>1011070383</v>
      </c>
      <c r="D5822">
        <v>0</v>
      </c>
    </row>
    <row r="5823" spans="1:4" hidden="1" x14ac:dyDescent="0.3">
      <c r="A5823" t="s">
        <v>602</v>
      </c>
      <c r="B5823" t="s">
        <v>81</v>
      </c>
      <c r="C5823" s="1">
        <f>HYPERLINK("https://cao.dolgi.msk.ru/account/1011070172/", 1011070172)</f>
        <v>1011070172</v>
      </c>
      <c r="D5823">
        <v>-8618.9699999999993</v>
      </c>
    </row>
    <row r="5824" spans="1:4" hidden="1" x14ac:dyDescent="0.3">
      <c r="A5824" t="s">
        <v>602</v>
      </c>
      <c r="B5824" t="s">
        <v>101</v>
      </c>
      <c r="C5824" s="1">
        <f>HYPERLINK("https://cao.dolgi.msk.ru/account/1011070359/", 1011070359)</f>
        <v>1011070359</v>
      </c>
      <c r="D5824">
        <v>0</v>
      </c>
    </row>
    <row r="5825" spans="1:4" hidden="1" x14ac:dyDescent="0.3">
      <c r="A5825" t="s">
        <v>602</v>
      </c>
      <c r="B5825" t="s">
        <v>82</v>
      </c>
      <c r="C5825" s="1">
        <f>HYPERLINK("https://cao.dolgi.msk.ru/account/1011070324/", 1011070324)</f>
        <v>1011070324</v>
      </c>
      <c r="D5825">
        <v>-5497.59</v>
      </c>
    </row>
    <row r="5826" spans="1:4" x14ac:dyDescent="0.3">
      <c r="A5826" t="s">
        <v>602</v>
      </c>
      <c r="B5826" t="s">
        <v>83</v>
      </c>
      <c r="C5826" s="1">
        <f>HYPERLINK("https://cao.dolgi.msk.ru/account/1011070244/", 1011070244)</f>
        <v>1011070244</v>
      </c>
      <c r="D5826">
        <v>16837.64</v>
      </c>
    </row>
    <row r="5827" spans="1:4" hidden="1" x14ac:dyDescent="0.3">
      <c r="A5827" t="s">
        <v>602</v>
      </c>
      <c r="B5827" t="s">
        <v>84</v>
      </c>
      <c r="C5827" s="1">
        <f>HYPERLINK("https://cao.dolgi.msk.ru/account/1011070092/", 1011070092)</f>
        <v>1011070092</v>
      </c>
      <c r="D5827">
        <v>0</v>
      </c>
    </row>
    <row r="5828" spans="1:4" hidden="1" x14ac:dyDescent="0.3">
      <c r="A5828" t="s">
        <v>602</v>
      </c>
      <c r="B5828" t="s">
        <v>85</v>
      </c>
      <c r="C5828" s="1">
        <f>HYPERLINK("https://cao.dolgi.msk.ru/account/1011070164/", 1011070164)</f>
        <v>1011070164</v>
      </c>
      <c r="D5828">
        <v>-2877.63</v>
      </c>
    </row>
    <row r="5829" spans="1:4" hidden="1" x14ac:dyDescent="0.3">
      <c r="A5829" t="s">
        <v>602</v>
      </c>
      <c r="B5829" t="s">
        <v>85</v>
      </c>
      <c r="C5829" s="1">
        <f>HYPERLINK("https://cao.dolgi.msk.ru/account/1011070287/", 1011070287)</f>
        <v>1011070287</v>
      </c>
      <c r="D5829">
        <v>0</v>
      </c>
    </row>
    <row r="5830" spans="1:4" hidden="1" x14ac:dyDescent="0.3">
      <c r="A5830" t="s">
        <v>602</v>
      </c>
      <c r="B5830" t="s">
        <v>85</v>
      </c>
      <c r="C5830" s="1">
        <f>HYPERLINK("https://cao.dolgi.msk.ru/account/1011070295/", 1011070295)</f>
        <v>1011070295</v>
      </c>
      <c r="D5830">
        <v>-1723.05</v>
      </c>
    </row>
    <row r="5831" spans="1:4" hidden="1" x14ac:dyDescent="0.3">
      <c r="A5831" t="s">
        <v>602</v>
      </c>
      <c r="B5831" t="s">
        <v>102</v>
      </c>
      <c r="C5831" s="1">
        <f>HYPERLINK("https://cao.dolgi.msk.ru/account/1011070236/", 1011070236)</f>
        <v>1011070236</v>
      </c>
      <c r="D5831">
        <v>-7734.39</v>
      </c>
    </row>
    <row r="5832" spans="1:4" hidden="1" x14ac:dyDescent="0.3">
      <c r="A5832" t="s">
        <v>602</v>
      </c>
      <c r="B5832" t="s">
        <v>103</v>
      </c>
      <c r="C5832" s="1">
        <f>HYPERLINK("https://cao.dolgi.msk.ru/account/1011070527/", 1011070527)</f>
        <v>1011070527</v>
      </c>
      <c r="D5832">
        <v>0</v>
      </c>
    </row>
    <row r="5833" spans="1:4" hidden="1" x14ac:dyDescent="0.3">
      <c r="A5833" t="s">
        <v>602</v>
      </c>
      <c r="B5833" t="s">
        <v>104</v>
      </c>
      <c r="C5833" s="1">
        <f>HYPERLINK("https://cao.dolgi.msk.ru/account/1011070121/", 1011070121)</f>
        <v>1011070121</v>
      </c>
      <c r="D5833">
        <v>-1181.24</v>
      </c>
    </row>
    <row r="5834" spans="1:4" hidden="1" x14ac:dyDescent="0.3">
      <c r="A5834" t="s">
        <v>602</v>
      </c>
      <c r="B5834" t="s">
        <v>104</v>
      </c>
      <c r="C5834" s="1">
        <f>HYPERLINK("https://cao.dolgi.msk.ru/account/1011070148/", 1011070148)</f>
        <v>1011070148</v>
      </c>
      <c r="D5834">
        <v>-3727.19</v>
      </c>
    </row>
    <row r="5835" spans="1:4" hidden="1" x14ac:dyDescent="0.3">
      <c r="A5835" t="s">
        <v>602</v>
      </c>
      <c r="B5835" t="s">
        <v>105</v>
      </c>
      <c r="C5835" s="1">
        <f>HYPERLINK("https://cao.dolgi.msk.ru/account/1011070113/", 1011070113)</f>
        <v>1011070113</v>
      </c>
      <c r="D5835">
        <v>0</v>
      </c>
    </row>
    <row r="5836" spans="1:4" hidden="1" x14ac:dyDescent="0.3">
      <c r="A5836" t="s">
        <v>602</v>
      </c>
      <c r="B5836" t="s">
        <v>105</v>
      </c>
      <c r="C5836" s="1">
        <f>HYPERLINK("https://cao.dolgi.msk.ru/account/1011070228/", 1011070228)</f>
        <v>1011070228</v>
      </c>
      <c r="D5836">
        <v>0</v>
      </c>
    </row>
    <row r="5837" spans="1:4" hidden="1" x14ac:dyDescent="0.3">
      <c r="A5837" t="s">
        <v>602</v>
      </c>
      <c r="B5837" t="s">
        <v>106</v>
      </c>
      <c r="C5837" s="1">
        <f>HYPERLINK("https://cao.dolgi.msk.ru/account/1011070252/", 1011070252)</f>
        <v>1011070252</v>
      </c>
      <c r="D5837">
        <v>-5396.09</v>
      </c>
    </row>
    <row r="5838" spans="1:4" hidden="1" x14ac:dyDescent="0.3">
      <c r="A5838" t="s">
        <v>602</v>
      </c>
      <c r="B5838" t="s">
        <v>107</v>
      </c>
      <c r="C5838" s="1">
        <f>HYPERLINK("https://cao.dolgi.msk.ru/account/1011070543/", 1011070543)</f>
        <v>1011070543</v>
      </c>
      <c r="D5838">
        <v>0</v>
      </c>
    </row>
    <row r="5839" spans="1:4" hidden="1" x14ac:dyDescent="0.3">
      <c r="A5839" t="s">
        <v>602</v>
      </c>
      <c r="B5839" t="s">
        <v>108</v>
      </c>
      <c r="C5839" s="1">
        <f>HYPERLINK("https://cao.dolgi.msk.ru/account/1011070156/", 1011070156)</f>
        <v>1011070156</v>
      </c>
      <c r="D5839">
        <v>0</v>
      </c>
    </row>
    <row r="5840" spans="1:4" hidden="1" x14ac:dyDescent="0.3">
      <c r="A5840" t="s">
        <v>602</v>
      </c>
      <c r="B5840" t="s">
        <v>109</v>
      </c>
      <c r="C5840" s="1">
        <f>HYPERLINK("https://cao.dolgi.msk.ru/account/1011515215/", 1011515215)</f>
        <v>1011515215</v>
      </c>
      <c r="D5840">
        <v>0</v>
      </c>
    </row>
    <row r="5841" spans="1:4" hidden="1" x14ac:dyDescent="0.3">
      <c r="A5841" t="s">
        <v>603</v>
      </c>
      <c r="B5841" t="s">
        <v>6</v>
      </c>
      <c r="C5841" s="1">
        <f>HYPERLINK("https://cao.dolgi.msk.ru/account/1011396957/", 1011396957)</f>
        <v>1011396957</v>
      </c>
      <c r="D5841">
        <v>-4692.6899999999996</v>
      </c>
    </row>
    <row r="5842" spans="1:4" hidden="1" x14ac:dyDescent="0.3">
      <c r="A5842" t="s">
        <v>603</v>
      </c>
      <c r="B5842" t="s">
        <v>604</v>
      </c>
      <c r="C5842" s="1">
        <f>HYPERLINK("https://cao.dolgi.msk.ru/account/1011397175/", 1011397175)</f>
        <v>1011397175</v>
      </c>
      <c r="D5842">
        <v>-227.28</v>
      </c>
    </row>
    <row r="5843" spans="1:4" hidden="1" x14ac:dyDescent="0.3">
      <c r="A5843" t="s">
        <v>603</v>
      </c>
      <c r="B5843" t="s">
        <v>605</v>
      </c>
      <c r="C5843" s="1">
        <f>HYPERLINK("https://cao.dolgi.msk.ru/account/1011396228/", 1011396228)</f>
        <v>1011396228</v>
      </c>
      <c r="D5843">
        <v>0</v>
      </c>
    </row>
    <row r="5844" spans="1:4" hidden="1" x14ac:dyDescent="0.3">
      <c r="A5844" t="s">
        <v>603</v>
      </c>
      <c r="B5844" t="s">
        <v>28</v>
      </c>
      <c r="C5844" s="1">
        <f>HYPERLINK("https://cao.dolgi.msk.ru/account/1011395954/", 1011395954)</f>
        <v>1011395954</v>
      </c>
      <c r="D5844">
        <v>0</v>
      </c>
    </row>
    <row r="5845" spans="1:4" hidden="1" x14ac:dyDescent="0.3">
      <c r="A5845" t="s">
        <v>603</v>
      </c>
      <c r="B5845" t="s">
        <v>606</v>
      </c>
      <c r="C5845" s="1">
        <f>HYPERLINK("https://cao.dolgi.msk.ru/account/1011397669/", 1011397669)</f>
        <v>1011397669</v>
      </c>
      <c r="D5845">
        <v>0</v>
      </c>
    </row>
    <row r="5846" spans="1:4" x14ac:dyDescent="0.3">
      <c r="A5846" t="s">
        <v>603</v>
      </c>
      <c r="B5846" t="s">
        <v>607</v>
      </c>
      <c r="C5846" s="1">
        <f>HYPERLINK("https://cao.dolgi.msk.ru/account/1011396949/", 1011396949)</f>
        <v>1011396949</v>
      </c>
      <c r="D5846">
        <v>5605.32</v>
      </c>
    </row>
    <row r="5847" spans="1:4" x14ac:dyDescent="0.3">
      <c r="A5847" t="s">
        <v>603</v>
      </c>
      <c r="B5847" t="s">
        <v>608</v>
      </c>
      <c r="C5847" s="1">
        <f>HYPERLINK("https://cao.dolgi.msk.ru/account/1011395479/", 1011395479)</f>
        <v>1011395479</v>
      </c>
      <c r="D5847">
        <v>2616.69</v>
      </c>
    </row>
    <row r="5848" spans="1:4" hidden="1" x14ac:dyDescent="0.3">
      <c r="A5848" t="s">
        <v>603</v>
      </c>
      <c r="B5848" t="s">
        <v>35</v>
      </c>
      <c r="C5848" s="1">
        <f>HYPERLINK("https://cao.dolgi.msk.ru/account/1011396674/", 1011396674)</f>
        <v>1011396674</v>
      </c>
      <c r="D5848">
        <v>0</v>
      </c>
    </row>
    <row r="5849" spans="1:4" hidden="1" x14ac:dyDescent="0.3">
      <c r="A5849" t="s">
        <v>603</v>
      </c>
      <c r="B5849" t="s">
        <v>5</v>
      </c>
      <c r="C5849" s="1">
        <f>HYPERLINK("https://cao.dolgi.msk.ru/account/1011396447/", 1011396447)</f>
        <v>1011396447</v>
      </c>
      <c r="D5849">
        <v>0</v>
      </c>
    </row>
    <row r="5850" spans="1:4" x14ac:dyDescent="0.3">
      <c r="A5850" t="s">
        <v>603</v>
      </c>
      <c r="B5850" t="s">
        <v>7</v>
      </c>
      <c r="C5850" s="1">
        <f>HYPERLINK("https://cao.dolgi.msk.ru/account/1011397108/", 1011397108)</f>
        <v>1011397108</v>
      </c>
      <c r="D5850">
        <v>78072.92</v>
      </c>
    </row>
    <row r="5851" spans="1:4" hidden="1" x14ac:dyDescent="0.3">
      <c r="A5851" t="s">
        <v>603</v>
      </c>
      <c r="B5851" t="s">
        <v>8</v>
      </c>
      <c r="C5851" s="1">
        <f>HYPERLINK("https://cao.dolgi.msk.ru/account/1011397829/", 1011397829)</f>
        <v>1011397829</v>
      </c>
      <c r="D5851">
        <v>0</v>
      </c>
    </row>
    <row r="5852" spans="1:4" hidden="1" x14ac:dyDescent="0.3">
      <c r="A5852" t="s">
        <v>603</v>
      </c>
      <c r="B5852" t="s">
        <v>31</v>
      </c>
      <c r="C5852" s="1">
        <f>HYPERLINK("https://cao.dolgi.msk.ru/account/1011397204/", 1011397204)</f>
        <v>1011397204</v>
      </c>
      <c r="D5852">
        <v>-6823.03</v>
      </c>
    </row>
    <row r="5853" spans="1:4" hidden="1" x14ac:dyDescent="0.3">
      <c r="A5853" t="s">
        <v>603</v>
      </c>
      <c r="B5853" t="s">
        <v>9</v>
      </c>
      <c r="C5853" s="1">
        <f>HYPERLINK("https://cao.dolgi.msk.ru/account/1011396682/", 1011396682)</f>
        <v>1011396682</v>
      </c>
      <c r="D5853">
        <v>0</v>
      </c>
    </row>
    <row r="5854" spans="1:4" hidden="1" x14ac:dyDescent="0.3">
      <c r="A5854" t="s">
        <v>603</v>
      </c>
      <c r="B5854" t="s">
        <v>10</v>
      </c>
      <c r="C5854" s="1">
        <f>HYPERLINK("https://cao.dolgi.msk.ru/account/1011397212/", 1011397212)</f>
        <v>1011397212</v>
      </c>
      <c r="D5854">
        <v>0</v>
      </c>
    </row>
    <row r="5855" spans="1:4" hidden="1" x14ac:dyDescent="0.3">
      <c r="A5855" t="s">
        <v>603</v>
      </c>
      <c r="B5855" t="s">
        <v>11</v>
      </c>
      <c r="C5855" s="1">
        <f>HYPERLINK("https://cao.dolgi.msk.ru/account/1011397749/", 1011397749)</f>
        <v>1011397749</v>
      </c>
      <c r="D5855">
        <v>-3676.32</v>
      </c>
    </row>
    <row r="5856" spans="1:4" hidden="1" x14ac:dyDescent="0.3">
      <c r="A5856" t="s">
        <v>603</v>
      </c>
      <c r="B5856" t="s">
        <v>12</v>
      </c>
      <c r="C5856" s="1">
        <f>HYPERLINK("https://cao.dolgi.msk.ru/account/1011397351/", 1011397351)</f>
        <v>1011397351</v>
      </c>
      <c r="D5856">
        <v>0</v>
      </c>
    </row>
    <row r="5857" spans="1:4" hidden="1" x14ac:dyDescent="0.3">
      <c r="A5857" t="s">
        <v>603</v>
      </c>
      <c r="B5857" t="s">
        <v>23</v>
      </c>
      <c r="C5857" s="1">
        <f>HYPERLINK("https://cao.dolgi.msk.ru/account/1011395874/", 1011395874)</f>
        <v>1011395874</v>
      </c>
      <c r="D5857">
        <v>-3.7</v>
      </c>
    </row>
    <row r="5858" spans="1:4" hidden="1" x14ac:dyDescent="0.3">
      <c r="A5858" t="s">
        <v>603</v>
      </c>
      <c r="B5858" t="s">
        <v>13</v>
      </c>
      <c r="C5858" s="1">
        <f>HYPERLINK("https://cao.dolgi.msk.ru/account/1011398039/", 1011398039)</f>
        <v>1011398039</v>
      </c>
      <c r="D5858">
        <v>0</v>
      </c>
    </row>
    <row r="5859" spans="1:4" hidden="1" x14ac:dyDescent="0.3">
      <c r="A5859" t="s">
        <v>603</v>
      </c>
      <c r="B5859" t="s">
        <v>14</v>
      </c>
      <c r="C5859" s="1">
        <f>HYPERLINK("https://cao.dolgi.msk.ru/account/1011397378/", 1011397378)</f>
        <v>1011397378</v>
      </c>
      <c r="D5859">
        <v>0</v>
      </c>
    </row>
    <row r="5860" spans="1:4" x14ac:dyDescent="0.3">
      <c r="A5860" t="s">
        <v>603</v>
      </c>
      <c r="B5860" t="s">
        <v>16</v>
      </c>
      <c r="C5860" s="1">
        <f>HYPERLINK("https://cao.dolgi.msk.ru/account/1011396965/", 1011396965)</f>
        <v>1011396965</v>
      </c>
      <c r="D5860">
        <v>8672.98</v>
      </c>
    </row>
    <row r="5861" spans="1:4" hidden="1" x14ac:dyDescent="0.3">
      <c r="A5861" t="s">
        <v>603</v>
      </c>
      <c r="B5861" t="s">
        <v>17</v>
      </c>
      <c r="C5861" s="1">
        <f>HYPERLINK("https://cao.dolgi.msk.ru/account/1011395663/", 1011395663)</f>
        <v>1011395663</v>
      </c>
      <c r="D5861">
        <v>-4584.42</v>
      </c>
    </row>
    <row r="5862" spans="1:4" hidden="1" x14ac:dyDescent="0.3">
      <c r="A5862" t="s">
        <v>603</v>
      </c>
      <c r="B5862" t="s">
        <v>18</v>
      </c>
      <c r="C5862" s="1">
        <f>HYPERLINK("https://cao.dolgi.msk.ru/account/1011397124/", 1011397124)</f>
        <v>1011397124</v>
      </c>
      <c r="D5862">
        <v>-50.43</v>
      </c>
    </row>
    <row r="5863" spans="1:4" hidden="1" x14ac:dyDescent="0.3">
      <c r="A5863" t="s">
        <v>603</v>
      </c>
      <c r="B5863" t="s">
        <v>19</v>
      </c>
      <c r="C5863" s="1">
        <f>HYPERLINK("https://cao.dolgi.msk.ru/account/1011395962/", 1011395962)</f>
        <v>1011395962</v>
      </c>
      <c r="D5863">
        <v>-8740.6299999999992</v>
      </c>
    </row>
    <row r="5864" spans="1:4" x14ac:dyDescent="0.3">
      <c r="A5864" t="s">
        <v>603</v>
      </c>
      <c r="B5864" t="s">
        <v>20</v>
      </c>
      <c r="C5864" s="1">
        <f>HYPERLINK("https://cao.dolgi.msk.ru/account/1011397298/", 1011397298)</f>
        <v>1011397298</v>
      </c>
      <c r="D5864">
        <v>12258.2</v>
      </c>
    </row>
    <row r="5865" spans="1:4" hidden="1" x14ac:dyDescent="0.3">
      <c r="A5865" t="s">
        <v>603</v>
      </c>
      <c r="B5865" t="s">
        <v>21</v>
      </c>
      <c r="C5865" s="1">
        <f>HYPERLINK("https://cao.dolgi.msk.ru/account/1011395137/", 1011395137)</f>
        <v>1011395137</v>
      </c>
      <c r="D5865">
        <v>0</v>
      </c>
    </row>
    <row r="5866" spans="1:4" hidden="1" x14ac:dyDescent="0.3">
      <c r="A5866" t="s">
        <v>603</v>
      </c>
      <c r="B5866" t="s">
        <v>22</v>
      </c>
      <c r="C5866" s="1">
        <f>HYPERLINK("https://cao.dolgi.msk.ru/account/1011397984/", 1011397984)</f>
        <v>1011397984</v>
      </c>
      <c r="D5866">
        <v>0</v>
      </c>
    </row>
    <row r="5867" spans="1:4" hidden="1" x14ac:dyDescent="0.3">
      <c r="A5867" t="s">
        <v>603</v>
      </c>
      <c r="B5867" t="s">
        <v>24</v>
      </c>
      <c r="C5867" s="1">
        <f>HYPERLINK("https://cao.dolgi.msk.ru/account/1011397642/", 1011397642)</f>
        <v>1011397642</v>
      </c>
      <c r="D5867">
        <v>0</v>
      </c>
    </row>
    <row r="5868" spans="1:4" hidden="1" x14ac:dyDescent="0.3">
      <c r="A5868" t="s">
        <v>603</v>
      </c>
      <c r="B5868" t="s">
        <v>25</v>
      </c>
      <c r="C5868" s="1">
        <f>HYPERLINK("https://cao.dolgi.msk.ru/account/1011397511/", 1011397511)</f>
        <v>1011397511</v>
      </c>
      <c r="D5868">
        <v>0</v>
      </c>
    </row>
    <row r="5869" spans="1:4" hidden="1" x14ac:dyDescent="0.3">
      <c r="A5869" t="s">
        <v>603</v>
      </c>
      <c r="B5869" t="s">
        <v>26</v>
      </c>
      <c r="C5869" s="1">
        <f>HYPERLINK("https://cao.dolgi.msk.ru/account/1011396455/", 1011396455)</f>
        <v>1011396455</v>
      </c>
      <c r="D5869">
        <v>0</v>
      </c>
    </row>
    <row r="5870" spans="1:4" hidden="1" x14ac:dyDescent="0.3">
      <c r="A5870" t="s">
        <v>603</v>
      </c>
      <c r="B5870" t="s">
        <v>27</v>
      </c>
      <c r="C5870" s="1">
        <f>HYPERLINK("https://cao.dolgi.msk.ru/account/1011396279/", 1011396279)</f>
        <v>1011396279</v>
      </c>
      <c r="D5870">
        <v>-620.16</v>
      </c>
    </row>
    <row r="5871" spans="1:4" hidden="1" x14ac:dyDescent="0.3">
      <c r="A5871" t="s">
        <v>603</v>
      </c>
      <c r="B5871" t="s">
        <v>29</v>
      </c>
      <c r="C5871" s="1">
        <f>HYPERLINK("https://cao.dolgi.msk.ru/account/1011395751/", 1011395751)</f>
        <v>1011395751</v>
      </c>
      <c r="D5871">
        <v>-9076.19</v>
      </c>
    </row>
    <row r="5872" spans="1:4" hidden="1" x14ac:dyDescent="0.3">
      <c r="A5872" t="s">
        <v>603</v>
      </c>
      <c r="B5872" t="s">
        <v>38</v>
      </c>
      <c r="C5872" s="1">
        <f>HYPERLINK("https://cao.dolgi.msk.ru/account/1011397466/", 1011397466)</f>
        <v>1011397466</v>
      </c>
      <c r="D5872">
        <v>-156.99</v>
      </c>
    </row>
    <row r="5873" spans="1:4" x14ac:dyDescent="0.3">
      <c r="A5873" t="s">
        <v>603</v>
      </c>
      <c r="B5873" t="s">
        <v>39</v>
      </c>
      <c r="C5873" s="1">
        <f>HYPERLINK("https://cao.dolgi.msk.ru/account/1011396578/", 1011396578)</f>
        <v>1011396578</v>
      </c>
      <c r="D5873">
        <v>4138.92</v>
      </c>
    </row>
    <row r="5874" spans="1:4" hidden="1" x14ac:dyDescent="0.3">
      <c r="A5874" t="s">
        <v>603</v>
      </c>
      <c r="B5874" t="s">
        <v>609</v>
      </c>
      <c r="C5874" s="1">
        <f>HYPERLINK("https://cao.dolgi.msk.ru/account/1011396551/", 1011396551)</f>
        <v>1011396551</v>
      </c>
      <c r="D5874">
        <v>-727.95</v>
      </c>
    </row>
    <row r="5875" spans="1:4" hidden="1" x14ac:dyDescent="0.3">
      <c r="A5875" t="s">
        <v>603</v>
      </c>
      <c r="B5875" t="s">
        <v>610</v>
      </c>
      <c r="C5875" s="1">
        <f>HYPERLINK("https://cao.dolgi.msk.ru/account/1011395057/", 1011395057)</f>
        <v>1011395057</v>
      </c>
      <c r="D5875">
        <v>0</v>
      </c>
    </row>
    <row r="5876" spans="1:4" hidden="1" x14ac:dyDescent="0.3">
      <c r="A5876" t="s">
        <v>603</v>
      </c>
      <c r="B5876" t="s">
        <v>40</v>
      </c>
      <c r="C5876" s="1">
        <f>HYPERLINK("https://cao.dolgi.msk.ru/account/1011396519/", 1011396519)</f>
        <v>1011396519</v>
      </c>
      <c r="D5876">
        <v>-4154.45</v>
      </c>
    </row>
    <row r="5877" spans="1:4" hidden="1" x14ac:dyDescent="0.3">
      <c r="A5877" t="s">
        <v>603</v>
      </c>
      <c r="B5877" t="s">
        <v>41</v>
      </c>
      <c r="C5877" s="1">
        <f>HYPERLINK("https://cao.dolgi.msk.ru/account/1011395145/", 1011395145)</f>
        <v>1011395145</v>
      </c>
      <c r="D5877">
        <v>-6829.84</v>
      </c>
    </row>
    <row r="5878" spans="1:4" hidden="1" x14ac:dyDescent="0.3">
      <c r="A5878" t="s">
        <v>603</v>
      </c>
      <c r="B5878" t="s">
        <v>611</v>
      </c>
      <c r="C5878" s="1">
        <f>HYPERLINK("https://cao.dolgi.msk.ru/account/1011395743/", 1011395743)</f>
        <v>1011395743</v>
      </c>
      <c r="D5878">
        <v>0</v>
      </c>
    </row>
    <row r="5879" spans="1:4" x14ac:dyDescent="0.3">
      <c r="A5879" t="s">
        <v>603</v>
      </c>
      <c r="B5879" t="s">
        <v>51</v>
      </c>
      <c r="C5879" s="1">
        <f>HYPERLINK("https://cao.dolgi.msk.ru/account/1011395575/", 1011395575)</f>
        <v>1011395575</v>
      </c>
      <c r="D5879">
        <v>0.9</v>
      </c>
    </row>
    <row r="5880" spans="1:4" hidden="1" x14ac:dyDescent="0.3">
      <c r="A5880" t="s">
        <v>603</v>
      </c>
      <c r="B5880" t="s">
        <v>52</v>
      </c>
      <c r="C5880" s="1">
        <f>HYPERLINK("https://cao.dolgi.msk.ru/account/1011396527/", 1011396527)</f>
        <v>1011396527</v>
      </c>
      <c r="D5880">
        <v>0</v>
      </c>
    </row>
    <row r="5881" spans="1:4" hidden="1" x14ac:dyDescent="0.3">
      <c r="A5881" t="s">
        <v>603</v>
      </c>
      <c r="B5881" t="s">
        <v>53</v>
      </c>
      <c r="C5881" s="1">
        <f>HYPERLINK("https://cao.dolgi.msk.ru/account/1011397386/", 1011397386)</f>
        <v>1011397386</v>
      </c>
      <c r="D5881">
        <v>0</v>
      </c>
    </row>
    <row r="5882" spans="1:4" hidden="1" x14ac:dyDescent="0.3">
      <c r="A5882" t="s">
        <v>603</v>
      </c>
      <c r="B5882" t="s">
        <v>54</v>
      </c>
      <c r="C5882" s="1">
        <f>HYPERLINK("https://cao.dolgi.msk.ru/account/1011397394/", 1011397394)</f>
        <v>1011397394</v>
      </c>
      <c r="D5882">
        <v>-4721.3900000000003</v>
      </c>
    </row>
    <row r="5883" spans="1:4" hidden="1" x14ac:dyDescent="0.3">
      <c r="A5883" t="s">
        <v>603</v>
      </c>
      <c r="B5883" t="s">
        <v>55</v>
      </c>
      <c r="C5883" s="1">
        <f>HYPERLINK("https://cao.dolgi.msk.ru/account/1011396631/", 1011396631)</f>
        <v>1011396631</v>
      </c>
      <c r="D5883">
        <v>-9562.6</v>
      </c>
    </row>
    <row r="5884" spans="1:4" hidden="1" x14ac:dyDescent="0.3">
      <c r="A5884" t="s">
        <v>603</v>
      </c>
      <c r="B5884" t="s">
        <v>56</v>
      </c>
      <c r="C5884" s="1">
        <f>HYPERLINK("https://cao.dolgi.msk.ru/account/1011397861/", 1011397861)</f>
        <v>1011397861</v>
      </c>
      <c r="D5884">
        <v>0</v>
      </c>
    </row>
    <row r="5885" spans="1:4" x14ac:dyDescent="0.3">
      <c r="A5885" t="s">
        <v>603</v>
      </c>
      <c r="B5885" t="s">
        <v>87</v>
      </c>
      <c r="C5885" s="1">
        <f>HYPERLINK("https://cao.dolgi.msk.ru/account/1011396754/", 1011396754)</f>
        <v>1011396754</v>
      </c>
      <c r="D5885">
        <v>3991.45</v>
      </c>
    </row>
    <row r="5886" spans="1:4" hidden="1" x14ac:dyDescent="0.3">
      <c r="A5886" t="s">
        <v>603</v>
      </c>
      <c r="B5886" t="s">
        <v>88</v>
      </c>
      <c r="C5886" s="1">
        <f>HYPERLINK("https://cao.dolgi.msk.ru/account/1011397407/", 1011397407)</f>
        <v>1011397407</v>
      </c>
      <c r="D5886">
        <v>-5279.21</v>
      </c>
    </row>
    <row r="5887" spans="1:4" hidden="1" x14ac:dyDescent="0.3">
      <c r="A5887" t="s">
        <v>603</v>
      </c>
      <c r="B5887" t="s">
        <v>89</v>
      </c>
      <c r="C5887" s="1">
        <f>HYPERLINK("https://cao.dolgi.msk.ru/account/1011396762/", 1011396762)</f>
        <v>1011396762</v>
      </c>
      <c r="D5887">
        <v>0</v>
      </c>
    </row>
    <row r="5888" spans="1:4" hidden="1" x14ac:dyDescent="0.3">
      <c r="A5888" t="s">
        <v>603</v>
      </c>
      <c r="B5888" t="s">
        <v>90</v>
      </c>
      <c r="C5888" s="1">
        <f>HYPERLINK("https://cao.dolgi.msk.ru/account/1011395778/", 1011395778)</f>
        <v>1011395778</v>
      </c>
      <c r="D5888">
        <v>0</v>
      </c>
    </row>
    <row r="5889" spans="1:4" hidden="1" x14ac:dyDescent="0.3">
      <c r="A5889" t="s">
        <v>603</v>
      </c>
      <c r="B5889" t="s">
        <v>96</v>
      </c>
      <c r="C5889" s="1">
        <f>HYPERLINK("https://cao.dolgi.msk.ru/account/1011396287/", 1011396287)</f>
        <v>1011396287</v>
      </c>
      <c r="D5889">
        <v>-4648.95</v>
      </c>
    </row>
    <row r="5890" spans="1:4" hidden="1" x14ac:dyDescent="0.3">
      <c r="A5890" t="s">
        <v>603</v>
      </c>
      <c r="B5890" t="s">
        <v>97</v>
      </c>
      <c r="C5890" s="1">
        <f>HYPERLINK("https://cao.dolgi.msk.ru/account/1011396025/", 1011396025)</f>
        <v>1011396025</v>
      </c>
      <c r="D5890">
        <v>0</v>
      </c>
    </row>
    <row r="5891" spans="1:4" x14ac:dyDescent="0.3">
      <c r="A5891" t="s">
        <v>603</v>
      </c>
      <c r="B5891" t="s">
        <v>98</v>
      </c>
      <c r="C5891" s="1">
        <f>HYPERLINK("https://cao.dolgi.msk.ru/account/1011397132/", 1011397132)</f>
        <v>1011397132</v>
      </c>
      <c r="D5891">
        <v>14445.75</v>
      </c>
    </row>
    <row r="5892" spans="1:4" x14ac:dyDescent="0.3">
      <c r="A5892" t="s">
        <v>603</v>
      </c>
      <c r="B5892" t="s">
        <v>98</v>
      </c>
      <c r="C5892" s="1">
        <f>HYPERLINK("https://cao.dolgi.msk.ru/account/1011397917/", 1011397917)</f>
        <v>1011397917</v>
      </c>
      <c r="D5892">
        <v>25402.639999999999</v>
      </c>
    </row>
    <row r="5893" spans="1:4" hidden="1" x14ac:dyDescent="0.3">
      <c r="A5893" t="s">
        <v>603</v>
      </c>
      <c r="B5893" t="s">
        <v>58</v>
      </c>
      <c r="C5893" s="1">
        <f>HYPERLINK("https://cao.dolgi.msk.ru/account/1011397263/", 1011397263)</f>
        <v>1011397263</v>
      </c>
      <c r="D5893">
        <v>0</v>
      </c>
    </row>
    <row r="5894" spans="1:4" x14ac:dyDescent="0.3">
      <c r="A5894" t="s">
        <v>603</v>
      </c>
      <c r="B5894" t="s">
        <v>59</v>
      </c>
      <c r="C5894" s="1">
        <f>HYPERLINK("https://cao.dolgi.msk.ru/account/1011395022/", 1011395022)</f>
        <v>1011395022</v>
      </c>
      <c r="D5894">
        <v>80974.12</v>
      </c>
    </row>
    <row r="5895" spans="1:4" hidden="1" x14ac:dyDescent="0.3">
      <c r="A5895" t="s">
        <v>603</v>
      </c>
      <c r="B5895" t="s">
        <v>60</v>
      </c>
      <c r="C5895" s="1">
        <f>HYPERLINK("https://cao.dolgi.msk.ru/account/1011395284/", 1011395284)</f>
        <v>1011395284</v>
      </c>
      <c r="D5895">
        <v>-5811.64</v>
      </c>
    </row>
    <row r="5896" spans="1:4" x14ac:dyDescent="0.3">
      <c r="A5896" t="s">
        <v>603</v>
      </c>
      <c r="B5896" t="s">
        <v>61</v>
      </c>
      <c r="C5896" s="1">
        <f>HYPERLINK("https://cao.dolgi.msk.ru/account/1011397474/", 1011397474)</f>
        <v>1011397474</v>
      </c>
      <c r="D5896">
        <v>6375.36</v>
      </c>
    </row>
    <row r="5897" spans="1:4" hidden="1" x14ac:dyDescent="0.3">
      <c r="A5897" t="s">
        <v>603</v>
      </c>
      <c r="B5897" t="s">
        <v>62</v>
      </c>
      <c r="C5897" s="1">
        <f>HYPERLINK("https://cao.dolgi.msk.ru/account/1011395807/", 1011395807)</f>
        <v>1011395807</v>
      </c>
      <c r="D5897">
        <v>-770.47</v>
      </c>
    </row>
    <row r="5898" spans="1:4" x14ac:dyDescent="0.3">
      <c r="A5898" t="s">
        <v>603</v>
      </c>
      <c r="B5898" t="s">
        <v>63</v>
      </c>
      <c r="C5898" s="1">
        <f>HYPERLINK("https://cao.dolgi.msk.ru/account/1011396148/", 1011396148)</f>
        <v>1011396148</v>
      </c>
      <c r="D5898">
        <v>176627.22</v>
      </c>
    </row>
    <row r="5899" spans="1:4" hidden="1" x14ac:dyDescent="0.3">
      <c r="A5899" t="s">
        <v>603</v>
      </c>
      <c r="B5899" t="s">
        <v>64</v>
      </c>
      <c r="C5899" s="1">
        <f>HYPERLINK("https://cao.dolgi.msk.ru/account/1011397159/", 1011397159)</f>
        <v>1011397159</v>
      </c>
      <c r="D5899">
        <v>-6274.62</v>
      </c>
    </row>
    <row r="5900" spans="1:4" hidden="1" x14ac:dyDescent="0.3">
      <c r="A5900" t="s">
        <v>603</v>
      </c>
      <c r="B5900" t="s">
        <v>65</v>
      </c>
      <c r="C5900" s="1">
        <f>HYPERLINK("https://cao.dolgi.msk.ru/account/1011397415/", 1011397415)</f>
        <v>1011397415</v>
      </c>
      <c r="D5900">
        <v>0</v>
      </c>
    </row>
    <row r="5901" spans="1:4" hidden="1" x14ac:dyDescent="0.3">
      <c r="A5901" t="s">
        <v>603</v>
      </c>
      <c r="B5901" t="s">
        <v>66</v>
      </c>
      <c r="C5901" s="1">
        <f>HYPERLINK("https://cao.dolgi.msk.ru/account/1011396068/", 1011396068)</f>
        <v>1011396068</v>
      </c>
      <c r="D5901">
        <v>-586.34</v>
      </c>
    </row>
    <row r="5902" spans="1:4" hidden="1" x14ac:dyDescent="0.3">
      <c r="A5902" t="s">
        <v>603</v>
      </c>
      <c r="B5902" t="s">
        <v>67</v>
      </c>
      <c r="C5902" s="1">
        <f>HYPERLINK("https://cao.dolgi.msk.ru/account/1011397677/", 1011397677)</f>
        <v>1011397677</v>
      </c>
      <c r="D5902">
        <v>-5822.5</v>
      </c>
    </row>
    <row r="5903" spans="1:4" hidden="1" x14ac:dyDescent="0.3">
      <c r="A5903" t="s">
        <v>603</v>
      </c>
      <c r="B5903" t="s">
        <v>68</v>
      </c>
      <c r="C5903" s="1">
        <f>HYPERLINK("https://cao.dolgi.msk.ru/account/1011395153/", 1011395153)</f>
        <v>1011395153</v>
      </c>
      <c r="D5903">
        <v>-113.37</v>
      </c>
    </row>
    <row r="5904" spans="1:4" hidden="1" x14ac:dyDescent="0.3">
      <c r="A5904" t="s">
        <v>603</v>
      </c>
      <c r="B5904" t="s">
        <v>69</v>
      </c>
      <c r="C5904" s="1">
        <f>HYPERLINK("https://cao.dolgi.msk.ru/account/1011397589/", 1011397589)</f>
        <v>1011397589</v>
      </c>
      <c r="D5904">
        <v>0</v>
      </c>
    </row>
    <row r="5905" spans="1:4" hidden="1" x14ac:dyDescent="0.3">
      <c r="A5905" t="s">
        <v>603</v>
      </c>
      <c r="B5905" t="s">
        <v>259</v>
      </c>
      <c r="C5905" s="1">
        <f>HYPERLINK("https://cao.dolgi.msk.ru/account/1011397597/", 1011397597)</f>
        <v>1011397597</v>
      </c>
      <c r="D5905">
        <v>0</v>
      </c>
    </row>
    <row r="5906" spans="1:4" hidden="1" x14ac:dyDescent="0.3">
      <c r="A5906" t="s">
        <v>603</v>
      </c>
      <c r="B5906" t="s">
        <v>100</v>
      </c>
      <c r="C5906" s="1">
        <f>HYPERLINK("https://cao.dolgi.msk.ru/account/1011395233/", 1011395233)</f>
        <v>1011395233</v>
      </c>
      <c r="D5906">
        <v>-1691.97</v>
      </c>
    </row>
    <row r="5907" spans="1:4" x14ac:dyDescent="0.3">
      <c r="A5907" t="s">
        <v>603</v>
      </c>
      <c r="B5907" t="s">
        <v>72</v>
      </c>
      <c r="C5907" s="1">
        <f>HYPERLINK("https://cao.dolgi.msk.ru/account/1011397618/", 1011397618)</f>
        <v>1011397618</v>
      </c>
      <c r="D5907">
        <v>4806.08</v>
      </c>
    </row>
    <row r="5908" spans="1:4" hidden="1" x14ac:dyDescent="0.3">
      <c r="A5908" t="s">
        <v>603</v>
      </c>
      <c r="B5908" t="s">
        <v>73</v>
      </c>
      <c r="C5908" s="1">
        <f>HYPERLINK("https://cao.dolgi.msk.ru/account/1011397319/", 1011397319)</f>
        <v>1011397319</v>
      </c>
      <c r="D5908">
        <v>0</v>
      </c>
    </row>
    <row r="5909" spans="1:4" x14ac:dyDescent="0.3">
      <c r="A5909" t="s">
        <v>603</v>
      </c>
      <c r="B5909" t="s">
        <v>74</v>
      </c>
      <c r="C5909" s="1">
        <f>HYPERLINK("https://cao.dolgi.msk.ru/account/1011396973/", 1011396973)</f>
        <v>1011396973</v>
      </c>
      <c r="D5909">
        <v>80600.479999999996</v>
      </c>
    </row>
    <row r="5910" spans="1:4" hidden="1" x14ac:dyDescent="0.3">
      <c r="A5910" t="s">
        <v>603</v>
      </c>
      <c r="B5910" t="s">
        <v>75</v>
      </c>
      <c r="C5910" s="1">
        <f>HYPERLINK("https://cao.dolgi.msk.ru/account/1011397167/", 1011397167)</f>
        <v>1011397167</v>
      </c>
      <c r="D5910">
        <v>-817.05</v>
      </c>
    </row>
    <row r="5911" spans="1:4" hidden="1" x14ac:dyDescent="0.3">
      <c r="A5911" t="s">
        <v>603</v>
      </c>
      <c r="B5911" t="s">
        <v>76</v>
      </c>
      <c r="C5911" s="1">
        <f>HYPERLINK("https://cao.dolgi.msk.ru/account/1011396033/", 1011396033)</f>
        <v>1011396033</v>
      </c>
      <c r="D5911">
        <v>-133.85</v>
      </c>
    </row>
    <row r="5912" spans="1:4" hidden="1" x14ac:dyDescent="0.3">
      <c r="A5912" t="s">
        <v>603</v>
      </c>
      <c r="B5912" t="s">
        <v>77</v>
      </c>
      <c r="C5912" s="1">
        <f>HYPERLINK("https://cao.dolgi.msk.ru/account/1011397837/", 1011397837)</f>
        <v>1011397837</v>
      </c>
      <c r="D5912">
        <v>-6699.32</v>
      </c>
    </row>
    <row r="5913" spans="1:4" hidden="1" x14ac:dyDescent="0.3">
      <c r="A5913" t="s">
        <v>603</v>
      </c>
      <c r="B5913" t="s">
        <v>78</v>
      </c>
      <c r="C5913" s="1">
        <f>HYPERLINK("https://cao.dolgi.msk.ru/account/1011395508/", 1011395508)</f>
        <v>1011395508</v>
      </c>
      <c r="D5913">
        <v>0</v>
      </c>
    </row>
    <row r="5914" spans="1:4" hidden="1" x14ac:dyDescent="0.3">
      <c r="A5914" t="s">
        <v>603</v>
      </c>
      <c r="B5914" t="s">
        <v>79</v>
      </c>
      <c r="C5914" s="1">
        <f>HYPERLINK("https://cao.dolgi.msk.ru/account/1011397052/", 1011397052)</f>
        <v>1011397052</v>
      </c>
      <c r="D5914">
        <v>0</v>
      </c>
    </row>
    <row r="5915" spans="1:4" x14ac:dyDescent="0.3">
      <c r="A5915" t="s">
        <v>603</v>
      </c>
      <c r="B5915" t="s">
        <v>80</v>
      </c>
      <c r="C5915" s="1">
        <f>HYPERLINK("https://cao.dolgi.msk.ru/account/1011395882/", 1011395882)</f>
        <v>1011395882</v>
      </c>
      <c r="D5915">
        <v>6995.6</v>
      </c>
    </row>
    <row r="5916" spans="1:4" hidden="1" x14ac:dyDescent="0.3">
      <c r="A5916" t="s">
        <v>603</v>
      </c>
      <c r="B5916" t="s">
        <v>81</v>
      </c>
      <c r="C5916" s="1">
        <f>HYPERLINK("https://cao.dolgi.msk.ru/account/1011397765/", 1011397765)</f>
        <v>1011397765</v>
      </c>
      <c r="D5916">
        <v>-182.35</v>
      </c>
    </row>
    <row r="5917" spans="1:4" hidden="1" x14ac:dyDescent="0.3">
      <c r="A5917" t="s">
        <v>603</v>
      </c>
      <c r="B5917" t="s">
        <v>101</v>
      </c>
      <c r="C5917" s="1">
        <f>HYPERLINK("https://cao.dolgi.msk.ru/account/1011395209/", 1011395209)</f>
        <v>1011395209</v>
      </c>
      <c r="D5917">
        <v>0</v>
      </c>
    </row>
    <row r="5918" spans="1:4" hidden="1" x14ac:dyDescent="0.3">
      <c r="A5918" t="s">
        <v>603</v>
      </c>
      <c r="B5918" t="s">
        <v>82</v>
      </c>
      <c r="C5918" s="1">
        <f>HYPERLINK("https://cao.dolgi.msk.ru/account/1011397685/", 1011397685)</f>
        <v>1011397685</v>
      </c>
      <c r="D5918">
        <v>-4139.37</v>
      </c>
    </row>
    <row r="5919" spans="1:4" hidden="1" x14ac:dyDescent="0.3">
      <c r="A5919" t="s">
        <v>603</v>
      </c>
      <c r="B5919" t="s">
        <v>83</v>
      </c>
      <c r="C5919" s="1">
        <f>HYPERLINK("https://cao.dolgi.msk.ru/account/1011396463/", 1011396463)</f>
        <v>1011396463</v>
      </c>
      <c r="D5919">
        <v>-5600.97</v>
      </c>
    </row>
    <row r="5920" spans="1:4" hidden="1" x14ac:dyDescent="0.3">
      <c r="A5920" t="s">
        <v>603</v>
      </c>
      <c r="B5920" t="s">
        <v>84</v>
      </c>
      <c r="C5920" s="1">
        <f>HYPERLINK("https://cao.dolgi.msk.ru/account/1011395639/", 1011395639)</f>
        <v>1011395639</v>
      </c>
      <c r="D5920">
        <v>0</v>
      </c>
    </row>
    <row r="5921" spans="1:4" x14ac:dyDescent="0.3">
      <c r="A5921" t="s">
        <v>603</v>
      </c>
      <c r="B5921" t="s">
        <v>85</v>
      </c>
      <c r="C5921" s="1">
        <f>HYPERLINK("https://cao.dolgi.msk.ru/account/1011396607/", 1011396607)</f>
        <v>1011396607</v>
      </c>
      <c r="D5921">
        <v>3458.84</v>
      </c>
    </row>
    <row r="5922" spans="1:4" hidden="1" x14ac:dyDescent="0.3">
      <c r="A5922" t="s">
        <v>603</v>
      </c>
      <c r="B5922" t="s">
        <v>102</v>
      </c>
      <c r="C5922" s="1">
        <f>HYPERLINK("https://cao.dolgi.msk.ru/account/1011395989/", 1011395989)</f>
        <v>1011395989</v>
      </c>
      <c r="D5922">
        <v>0</v>
      </c>
    </row>
    <row r="5923" spans="1:4" hidden="1" x14ac:dyDescent="0.3">
      <c r="A5923" t="s">
        <v>603</v>
      </c>
      <c r="B5923" t="s">
        <v>103</v>
      </c>
      <c r="C5923" s="1">
        <f>HYPERLINK("https://cao.dolgi.msk.ru/account/1011396981/", 1011396981)</f>
        <v>1011396981</v>
      </c>
      <c r="D5923">
        <v>0</v>
      </c>
    </row>
    <row r="5924" spans="1:4" x14ac:dyDescent="0.3">
      <c r="A5924" t="s">
        <v>603</v>
      </c>
      <c r="B5924" t="s">
        <v>104</v>
      </c>
      <c r="C5924" s="1">
        <f>HYPERLINK("https://cao.dolgi.msk.ru/account/1011395217/", 1011395217)</f>
        <v>1011395217</v>
      </c>
      <c r="D5924">
        <v>9449.36</v>
      </c>
    </row>
    <row r="5925" spans="1:4" hidden="1" x14ac:dyDescent="0.3">
      <c r="A5925" t="s">
        <v>603</v>
      </c>
      <c r="B5925" t="s">
        <v>105</v>
      </c>
      <c r="C5925" s="1">
        <f>HYPERLINK("https://cao.dolgi.msk.ru/account/1011396367/", 1011396367)</f>
        <v>1011396367</v>
      </c>
      <c r="D5925">
        <v>-5130.42</v>
      </c>
    </row>
    <row r="5926" spans="1:4" hidden="1" x14ac:dyDescent="0.3">
      <c r="A5926" t="s">
        <v>603</v>
      </c>
      <c r="B5926" t="s">
        <v>106</v>
      </c>
      <c r="C5926" s="1">
        <f>HYPERLINK("https://cao.dolgi.msk.ru/account/1011397116/", 1011397116)</f>
        <v>1011397116</v>
      </c>
      <c r="D5926">
        <v>0</v>
      </c>
    </row>
    <row r="5927" spans="1:4" x14ac:dyDescent="0.3">
      <c r="A5927" t="s">
        <v>603</v>
      </c>
      <c r="B5927" t="s">
        <v>107</v>
      </c>
      <c r="C5927" s="1">
        <f>HYPERLINK("https://cao.dolgi.msk.ru/account/1011396041/", 1011396041)</f>
        <v>1011396041</v>
      </c>
      <c r="D5927">
        <v>10326.92</v>
      </c>
    </row>
    <row r="5928" spans="1:4" hidden="1" x14ac:dyDescent="0.3">
      <c r="A5928" t="s">
        <v>603</v>
      </c>
      <c r="B5928" t="s">
        <v>108</v>
      </c>
      <c r="C5928" s="1">
        <f>HYPERLINK("https://cao.dolgi.msk.ru/account/1011398127/", 1011398127)</f>
        <v>1011398127</v>
      </c>
      <c r="D5928">
        <v>0</v>
      </c>
    </row>
    <row r="5929" spans="1:4" hidden="1" x14ac:dyDescent="0.3">
      <c r="A5929" t="s">
        <v>603</v>
      </c>
      <c r="B5929" t="s">
        <v>109</v>
      </c>
      <c r="C5929" s="1">
        <f>HYPERLINK("https://cao.dolgi.msk.ru/account/1011395292/", 1011395292)</f>
        <v>1011395292</v>
      </c>
      <c r="D5929">
        <v>0</v>
      </c>
    </row>
    <row r="5930" spans="1:4" hidden="1" x14ac:dyDescent="0.3">
      <c r="A5930" t="s">
        <v>603</v>
      </c>
      <c r="B5930" t="s">
        <v>110</v>
      </c>
      <c r="C5930" s="1">
        <f>HYPERLINK("https://cao.dolgi.msk.ru/account/1011395647/", 1011395647)</f>
        <v>1011395647</v>
      </c>
      <c r="D5930">
        <v>0</v>
      </c>
    </row>
    <row r="5931" spans="1:4" x14ac:dyDescent="0.3">
      <c r="A5931" t="s">
        <v>603</v>
      </c>
      <c r="B5931" t="s">
        <v>111</v>
      </c>
      <c r="C5931" s="1">
        <f>HYPERLINK("https://cao.dolgi.msk.ru/account/1011397327/", 1011397327)</f>
        <v>1011397327</v>
      </c>
      <c r="D5931">
        <v>27794.76</v>
      </c>
    </row>
    <row r="5932" spans="1:4" hidden="1" x14ac:dyDescent="0.3">
      <c r="A5932" t="s">
        <v>603</v>
      </c>
      <c r="B5932" t="s">
        <v>112</v>
      </c>
      <c r="C5932" s="1">
        <f>HYPERLINK("https://cao.dolgi.msk.ru/account/1011397001/", 1011397001)</f>
        <v>1011397001</v>
      </c>
      <c r="D5932">
        <v>0</v>
      </c>
    </row>
    <row r="5933" spans="1:4" x14ac:dyDescent="0.3">
      <c r="A5933" t="s">
        <v>603</v>
      </c>
      <c r="B5933" t="s">
        <v>113</v>
      </c>
      <c r="C5933" s="1">
        <f>HYPERLINK("https://cao.dolgi.msk.ru/account/1011397992/", 1011397992)</f>
        <v>1011397992</v>
      </c>
      <c r="D5933">
        <v>10225.18</v>
      </c>
    </row>
    <row r="5934" spans="1:4" hidden="1" x14ac:dyDescent="0.3">
      <c r="A5934" t="s">
        <v>603</v>
      </c>
      <c r="B5934" t="s">
        <v>114</v>
      </c>
      <c r="C5934" s="1">
        <f>HYPERLINK("https://cao.dolgi.msk.ru/account/1011395241/", 1011395241)</f>
        <v>1011395241</v>
      </c>
      <c r="D5934">
        <v>0</v>
      </c>
    </row>
    <row r="5935" spans="1:4" hidden="1" x14ac:dyDescent="0.3">
      <c r="A5935" t="s">
        <v>603</v>
      </c>
      <c r="B5935" t="s">
        <v>115</v>
      </c>
      <c r="C5935" s="1">
        <f>HYPERLINK("https://cao.dolgi.msk.ru/account/1011395938/", 1011395938)</f>
        <v>1011395938</v>
      </c>
      <c r="D5935">
        <v>-4343.54</v>
      </c>
    </row>
    <row r="5936" spans="1:4" hidden="1" x14ac:dyDescent="0.3">
      <c r="A5936" t="s">
        <v>603</v>
      </c>
      <c r="B5936" t="s">
        <v>115</v>
      </c>
      <c r="C5936" s="1">
        <f>HYPERLINK("https://cao.dolgi.msk.ru/account/1011396156/", 1011396156)</f>
        <v>1011396156</v>
      </c>
      <c r="D5936">
        <v>-2332.81</v>
      </c>
    </row>
    <row r="5937" spans="1:4" x14ac:dyDescent="0.3">
      <c r="A5937" t="s">
        <v>603</v>
      </c>
      <c r="B5937" t="s">
        <v>115</v>
      </c>
      <c r="C5937" s="1">
        <f>HYPERLINK("https://cao.dolgi.msk.ru/account/1011396623/", 1011396623)</f>
        <v>1011396623</v>
      </c>
      <c r="D5937">
        <v>1419.85</v>
      </c>
    </row>
    <row r="5938" spans="1:4" hidden="1" x14ac:dyDescent="0.3">
      <c r="A5938" t="s">
        <v>603</v>
      </c>
      <c r="B5938" t="s">
        <v>116</v>
      </c>
      <c r="C5938" s="1">
        <f>HYPERLINK("https://cao.dolgi.msk.ru/account/1011395719/", 1011395719)</f>
        <v>1011395719</v>
      </c>
      <c r="D5938">
        <v>0</v>
      </c>
    </row>
    <row r="5939" spans="1:4" hidden="1" x14ac:dyDescent="0.3">
      <c r="A5939" t="s">
        <v>603</v>
      </c>
      <c r="B5939" t="s">
        <v>266</v>
      </c>
      <c r="C5939" s="1">
        <f>HYPERLINK("https://cao.dolgi.msk.ru/account/1011395671/", 1011395671)</f>
        <v>1011395671</v>
      </c>
      <c r="D5939">
        <v>0</v>
      </c>
    </row>
    <row r="5940" spans="1:4" hidden="1" x14ac:dyDescent="0.3">
      <c r="A5940" t="s">
        <v>603</v>
      </c>
      <c r="B5940" t="s">
        <v>117</v>
      </c>
      <c r="C5940" s="1">
        <f>HYPERLINK("https://cao.dolgi.msk.ru/account/1011396295/", 1011396295)</f>
        <v>1011396295</v>
      </c>
      <c r="D5940">
        <v>0</v>
      </c>
    </row>
    <row r="5941" spans="1:4" hidden="1" x14ac:dyDescent="0.3">
      <c r="A5941" t="s">
        <v>603</v>
      </c>
      <c r="B5941" t="s">
        <v>118</v>
      </c>
      <c r="C5941" s="1">
        <f>HYPERLINK("https://cao.dolgi.msk.ru/account/1011397028/", 1011397028)</f>
        <v>1011397028</v>
      </c>
      <c r="D5941">
        <v>-4410.6000000000004</v>
      </c>
    </row>
    <row r="5942" spans="1:4" hidden="1" x14ac:dyDescent="0.3">
      <c r="A5942" t="s">
        <v>603</v>
      </c>
      <c r="B5942" t="s">
        <v>119</v>
      </c>
      <c r="C5942" s="1">
        <f>HYPERLINK("https://cao.dolgi.msk.ru/account/1011398098/", 1011398098)</f>
        <v>1011398098</v>
      </c>
      <c r="D5942">
        <v>0</v>
      </c>
    </row>
    <row r="5943" spans="1:4" hidden="1" x14ac:dyDescent="0.3">
      <c r="A5943" t="s">
        <v>603</v>
      </c>
      <c r="B5943" t="s">
        <v>120</v>
      </c>
      <c r="C5943" s="1">
        <f>HYPERLINK("https://cao.dolgi.msk.ru/account/1011396535/", 1011396535)</f>
        <v>1011396535</v>
      </c>
      <c r="D5943">
        <v>0</v>
      </c>
    </row>
    <row r="5944" spans="1:4" hidden="1" x14ac:dyDescent="0.3">
      <c r="A5944" t="s">
        <v>603</v>
      </c>
      <c r="B5944" t="s">
        <v>121</v>
      </c>
      <c r="C5944" s="1">
        <f>HYPERLINK("https://cao.dolgi.msk.ru/account/1011396586/", 1011396586)</f>
        <v>1011396586</v>
      </c>
      <c r="D5944">
        <v>0</v>
      </c>
    </row>
    <row r="5945" spans="1:4" hidden="1" x14ac:dyDescent="0.3">
      <c r="A5945" t="s">
        <v>603</v>
      </c>
      <c r="B5945" t="s">
        <v>122</v>
      </c>
      <c r="C5945" s="1">
        <f>HYPERLINK("https://cao.dolgi.msk.ru/account/1011396789/", 1011396789)</f>
        <v>1011396789</v>
      </c>
      <c r="D5945">
        <v>0</v>
      </c>
    </row>
    <row r="5946" spans="1:4" hidden="1" x14ac:dyDescent="0.3">
      <c r="A5946" t="s">
        <v>603</v>
      </c>
      <c r="B5946" t="s">
        <v>122</v>
      </c>
      <c r="C5946" s="1">
        <f>HYPERLINK("https://cao.dolgi.msk.ru/account/1011397335/", 1011397335)</f>
        <v>1011397335</v>
      </c>
      <c r="D5946">
        <v>0</v>
      </c>
    </row>
    <row r="5947" spans="1:4" hidden="1" x14ac:dyDescent="0.3">
      <c r="A5947" t="s">
        <v>603</v>
      </c>
      <c r="B5947" t="s">
        <v>123</v>
      </c>
      <c r="C5947" s="1">
        <f>HYPERLINK("https://cao.dolgi.msk.ru/account/1011395401/", 1011395401)</f>
        <v>1011395401</v>
      </c>
      <c r="D5947">
        <v>0</v>
      </c>
    </row>
    <row r="5948" spans="1:4" hidden="1" x14ac:dyDescent="0.3">
      <c r="A5948" t="s">
        <v>603</v>
      </c>
      <c r="B5948" t="s">
        <v>124</v>
      </c>
      <c r="C5948" s="1">
        <f>HYPERLINK("https://cao.dolgi.msk.ru/account/1011395487/", 1011395487)</f>
        <v>1011395487</v>
      </c>
      <c r="D5948">
        <v>0</v>
      </c>
    </row>
    <row r="5949" spans="1:4" hidden="1" x14ac:dyDescent="0.3">
      <c r="A5949" t="s">
        <v>603</v>
      </c>
      <c r="B5949" t="s">
        <v>125</v>
      </c>
      <c r="C5949" s="1">
        <f>HYPERLINK("https://cao.dolgi.msk.ru/account/1011395161/", 1011395161)</f>
        <v>1011395161</v>
      </c>
      <c r="D5949">
        <v>-189.64</v>
      </c>
    </row>
    <row r="5950" spans="1:4" hidden="1" x14ac:dyDescent="0.3">
      <c r="A5950" t="s">
        <v>603</v>
      </c>
      <c r="B5950" t="s">
        <v>126</v>
      </c>
      <c r="C5950" s="1">
        <f>HYPERLINK("https://cao.dolgi.msk.ru/account/1011396877/", 1011396877)</f>
        <v>1011396877</v>
      </c>
      <c r="D5950">
        <v>0</v>
      </c>
    </row>
    <row r="5951" spans="1:4" hidden="1" x14ac:dyDescent="0.3">
      <c r="A5951" t="s">
        <v>603</v>
      </c>
      <c r="B5951" t="s">
        <v>127</v>
      </c>
      <c r="C5951" s="1">
        <f>HYPERLINK("https://cao.dolgi.msk.ru/account/1011397845/", 1011397845)</f>
        <v>1011397845</v>
      </c>
      <c r="D5951">
        <v>0</v>
      </c>
    </row>
    <row r="5952" spans="1:4" hidden="1" x14ac:dyDescent="0.3">
      <c r="A5952" t="s">
        <v>603</v>
      </c>
      <c r="B5952" t="s">
        <v>262</v>
      </c>
      <c r="C5952" s="1">
        <f>HYPERLINK("https://cao.dolgi.msk.ru/account/1011395305/", 1011395305)</f>
        <v>1011395305</v>
      </c>
      <c r="D5952">
        <v>0</v>
      </c>
    </row>
    <row r="5953" spans="1:4" hidden="1" x14ac:dyDescent="0.3">
      <c r="A5953" t="s">
        <v>603</v>
      </c>
      <c r="B5953" t="s">
        <v>128</v>
      </c>
      <c r="C5953" s="1">
        <f>HYPERLINK("https://cao.dolgi.msk.ru/account/1011396797/", 1011396797)</f>
        <v>1011396797</v>
      </c>
      <c r="D5953">
        <v>-6369.06</v>
      </c>
    </row>
    <row r="5954" spans="1:4" hidden="1" x14ac:dyDescent="0.3">
      <c r="A5954" t="s">
        <v>603</v>
      </c>
      <c r="B5954" t="s">
        <v>129</v>
      </c>
      <c r="C5954" s="1">
        <f>HYPERLINK("https://cao.dolgi.msk.ru/account/1011395313/", 1011395313)</f>
        <v>1011395313</v>
      </c>
      <c r="D5954">
        <v>-8412.26</v>
      </c>
    </row>
    <row r="5955" spans="1:4" hidden="1" x14ac:dyDescent="0.3">
      <c r="A5955" t="s">
        <v>603</v>
      </c>
      <c r="B5955" t="s">
        <v>130</v>
      </c>
      <c r="C5955" s="1">
        <f>HYPERLINK("https://cao.dolgi.msk.ru/account/1011396703/", 1011396703)</f>
        <v>1011396703</v>
      </c>
      <c r="D5955">
        <v>0</v>
      </c>
    </row>
    <row r="5956" spans="1:4" x14ac:dyDescent="0.3">
      <c r="A5956" t="s">
        <v>603</v>
      </c>
      <c r="B5956" t="s">
        <v>131</v>
      </c>
      <c r="C5956" s="1">
        <f>HYPERLINK("https://cao.dolgi.msk.ru/account/1011395428/", 1011395428)</f>
        <v>1011395428</v>
      </c>
      <c r="D5956">
        <v>5210.75</v>
      </c>
    </row>
    <row r="5957" spans="1:4" x14ac:dyDescent="0.3">
      <c r="A5957" t="s">
        <v>603</v>
      </c>
      <c r="B5957" t="s">
        <v>132</v>
      </c>
      <c r="C5957" s="1">
        <f>HYPERLINK("https://cao.dolgi.msk.ru/account/1011397271/", 1011397271)</f>
        <v>1011397271</v>
      </c>
      <c r="D5957">
        <v>11530.64</v>
      </c>
    </row>
    <row r="5958" spans="1:4" x14ac:dyDescent="0.3">
      <c r="A5958" t="s">
        <v>603</v>
      </c>
      <c r="B5958" t="s">
        <v>133</v>
      </c>
      <c r="C5958" s="1">
        <f>HYPERLINK("https://cao.dolgi.msk.ru/account/1011396658/", 1011396658)</f>
        <v>1011396658</v>
      </c>
      <c r="D5958">
        <v>6312.65</v>
      </c>
    </row>
    <row r="5959" spans="1:4" hidden="1" x14ac:dyDescent="0.3">
      <c r="A5959" t="s">
        <v>603</v>
      </c>
      <c r="B5959" t="s">
        <v>133</v>
      </c>
      <c r="C5959" s="1">
        <f>HYPERLINK("https://cao.dolgi.msk.ru/account/1011396711/", 1011396711)</f>
        <v>1011396711</v>
      </c>
      <c r="D5959">
        <v>-13238.28</v>
      </c>
    </row>
    <row r="5960" spans="1:4" hidden="1" x14ac:dyDescent="0.3">
      <c r="A5960" t="s">
        <v>603</v>
      </c>
      <c r="B5960" t="s">
        <v>134</v>
      </c>
      <c r="C5960" s="1">
        <f>HYPERLINK("https://cao.dolgi.msk.ru/account/1011396375/", 1011396375)</f>
        <v>1011396375</v>
      </c>
      <c r="D5960">
        <v>0</v>
      </c>
    </row>
    <row r="5961" spans="1:4" hidden="1" x14ac:dyDescent="0.3">
      <c r="A5961" t="s">
        <v>603</v>
      </c>
      <c r="B5961" t="s">
        <v>135</v>
      </c>
      <c r="C5961" s="1">
        <f>HYPERLINK("https://cao.dolgi.msk.ru/account/1011397925/", 1011397925)</f>
        <v>1011397925</v>
      </c>
      <c r="D5961">
        <v>0</v>
      </c>
    </row>
    <row r="5962" spans="1:4" hidden="1" x14ac:dyDescent="0.3">
      <c r="A5962" t="s">
        <v>603</v>
      </c>
      <c r="B5962" t="s">
        <v>264</v>
      </c>
      <c r="C5962" s="1">
        <f>HYPERLINK("https://cao.dolgi.msk.ru/account/1011395583/", 1011395583)</f>
        <v>1011395583</v>
      </c>
      <c r="D5962">
        <v>0</v>
      </c>
    </row>
    <row r="5963" spans="1:4" hidden="1" x14ac:dyDescent="0.3">
      <c r="A5963" t="s">
        <v>603</v>
      </c>
      <c r="B5963" t="s">
        <v>136</v>
      </c>
      <c r="C5963" s="1">
        <f>HYPERLINK("https://cao.dolgi.msk.ru/account/1011395364/", 1011395364)</f>
        <v>1011395364</v>
      </c>
      <c r="D5963">
        <v>0</v>
      </c>
    </row>
    <row r="5964" spans="1:4" hidden="1" x14ac:dyDescent="0.3">
      <c r="A5964" t="s">
        <v>603</v>
      </c>
      <c r="B5964" t="s">
        <v>138</v>
      </c>
      <c r="C5964" s="1">
        <f>HYPERLINK("https://cao.dolgi.msk.ru/account/1011396594/", 1011396594)</f>
        <v>1011396594</v>
      </c>
      <c r="D5964">
        <v>0</v>
      </c>
    </row>
    <row r="5965" spans="1:4" x14ac:dyDescent="0.3">
      <c r="A5965" t="s">
        <v>603</v>
      </c>
      <c r="B5965" t="s">
        <v>139</v>
      </c>
      <c r="C5965" s="1">
        <f>HYPERLINK("https://cao.dolgi.msk.ru/account/1011398135/", 1011398135)</f>
        <v>1011398135</v>
      </c>
      <c r="D5965">
        <v>9073.5400000000009</v>
      </c>
    </row>
    <row r="5966" spans="1:4" hidden="1" x14ac:dyDescent="0.3">
      <c r="A5966" t="s">
        <v>603</v>
      </c>
      <c r="B5966" t="s">
        <v>140</v>
      </c>
      <c r="C5966" s="1">
        <f>HYPERLINK("https://cao.dolgi.msk.ru/account/1011396906/", 1011396906)</f>
        <v>1011396906</v>
      </c>
      <c r="D5966">
        <v>-11551.92</v>
      </c>
    </row>
    <row r="5967" spans="1:4" hidden="1" x14ac:dyDescent="0.3">
      <c r="A5967" t="s">
        <v>603</v>
      </c>
      <c r="B5967" t="s">
        <v>143</v>
      </c>
      <c r="C5967" s="1">
        <f>HYPERLINK("https://cao.dolgi.msk.ru/account/1011397933/", 1011397933)</f>
        <v>1011397933</v>
      </c>
      <c r="D5967">
        <v>-5826.31</v>
      </c>
    </row>
    <row r="5968" spans="1:4" hidden="1" x14ac:dyDescent="0.3">
      <c r="A5968" t="s">
        <v>603</v>
      </c>
      <c r="B5968" t="s">
        <v>144</v>
      </c>
      <c r="C5968" s="1">
        <f>HYPERLINK("https://cao.dolgi.msk.ru/account/1011396885/", 1011396885)</f>
        <v>1011396885</v>
      </c>
      <c r="D5968">
        <v>-7932.97</v>
      </c>
    </row>
    <row r="5969" spans="1:4" hidden="1" x14ac:dyDescent="0.3">
      <c r="A5969" t="s">
        <v>603</v>
      </c>
      <c r="B5969" t="s">
        <v>145</v>
      </c>
      <c r="C5969" s="1">
        <f>HYPERLINK("https://cao.dolgi.msk.ru/account/1011396164/", 1011396164)</f>
        <v>1011396164</v>
      </c>
      <c r="D5969">
        <v>-383.98</v>
      </c>
    </row>
    <row r="5970" spans="1:4" hidden="1" x14ac:dyDescent="0.3">
      <c r="A5970" t="s">
        <v>603</v>
      </c>
      <c r="B5970" t="s">
        <v>146</v>
      </c>
      <c r="C5970" s="1">
        <f>HYPERLINK("https://cao.dolgi.msk.ru/account/1011395188/", 1011395188)</f>
        <v>1011395188</v>
      </c>
      <c r="D5970">
        <v>-587.66999999999996</v>
      </c>
    </row>
    <row r="5971" spans="1:4" hidden="1" x14ac:dyDescent="0.3">
      <c r="A5971" t="s">
        <v>603</v>
      </c>
      <c r="B5971" t="s">
        <v>147</v>
      </c>
      <c r="C5971" s="1">
        <f>HYPERLINK("https://cao.dolgi.msk.ru/account/1011398047/", 1011398047)</f>
        <v>1011398047</v>
      </c>
      <c r="D5971">
        <v>0</v>
      </c>
    </row>
    <row r="5972" spans="1:4" hidden="1" x14ac:dyDescent="0.3">
      <c r="A5972" t="s">
        <v>603</v>
      </c>
      <c r="B5972" t="s">
        <v>148</v>
      </c>
      <c r="C5972" s="1">
        <f>HYPERLINK("https://cao.dolgi.msk.ru/account/1011395532/", 1011395532)</f>
        <v>1011395532</v>
      </c>
      <c r="D5972">
        <v>-88.16</v>
      </c>
    </row>
    <row r="5973" spans="1:4" hidden="1" x14ac:dyDescent="0.3">
      <c r="A5973" t="s">
        <v>603</v>
      </c>
      <c r="B5973" t="s">
        <v>148</v>
      </c>
      <c r="C5973" s="1">
        <f>HYPERLINK("https://cao.dolgi.msk.ru/account/1011397482/", 1011397482)</f>
        <v>1011397482</v>
      </c>
      <c r="D5973">
        <v>-88.16</v>
      </c>
    </row>
    <row r="5974" spans="1:4" hidden="1" x14ac:dyDescent="0.3">
      <c r="A5974" t="s">
        <v>603</v>
      </c>
      <c r="B5974" t="s">
        <v>149</v>
      </c>
      <c r="C5974" s="1">
        <f>HYPERLINK("https://cao.dolgi.msk.ru/account/1011395065/", 1011395065)</f>
        <v>1011395065</v>
      </c>
      <c r="D5974">
        <v>0</v>
      </c>
    </row>
    <row r="5975" spans="1:4" hidden="1" x14ac:dyDescent="0.3">
      <c r="A5975" t="s">
        <v>603</v>
      </c>
      <c r="B5975" t="s">
        <v>150</v>
      </c>
      <c r="C5975" s="1">
        <f>HYPERLINK("https://cao.dolgi.msk.ru/account/1011397079/", 1011397079)</f>
        <v>1011397079</v>
      </c>
      <c r="D5975">
        <v>-23289.68</v>
      </c>
    </row>
    <row r="5976" spans="1:4" hidden="1" x14ac:dyDescent="0.3">
      <c r="A5976" t="s">
        <v>603</v>
      </c>
      <c r="B5976" t="s">
        <v>151</v>
      </c>
      <c r="C5976" s="1">
        <f>HYPERLINK("https://cao.dolgi.msk.ru/account/1011397423/", 1011397423)</f>
        <v>1011397423</v>
      </c>
      <c r="D5976">
        <v>0</v>
      </c>
    </row>
    <row r="5977" spans="1:4" hidden="1" x14ac:dyDescent="0.3">
      <c r="A5977" t="s">
        <v>603</v>
      </c>
      <c r="B5977" t="s">
        <v>152</v>
      </c>
      <c r="C5977" s="1">
        <f>HYPERLINK("https://cao.dolgi.msk.ru/account/1011396746/", 1011396746)</f>
        <v>1011396746</v>
      </c>
      <c r="D5977">
        <v>-0.44</v>
      </c>
    </row>
    <row r="5978" spans="1:4" hidden="1" x14ac:dyDescent="0.3">
      <c r="A5978" t="s">
        <v>603</v>
      </c>
      <c r="B5978" t="s">
        <v>153</v>
      </c>
      <c r="C5978" s="1">
        <f>HYPERLINK("https://cao.dolgi.msk.ru/account/1011397036/", 1011397036)</f>
        <v>1011397036</v>
      </c>
      <c r="D5978">
        <v>-6068.5</v>
      </c>
    </row>
    <row r="5979" spans="1:4" x14ac:dyDescent="0.3">
      <c r="A5979" t="s">
        <v>603</v>
      </c>
      <c r="B5979" t="s">
        <v>154</v>
      </c>
      <c r="C5979" s="1">
        <f>HYPERLINK("https://cao.dolgi.msk.ru/account/1011397239/", 1011397239)</f>
        <v>1011397239</v>
      </c>
      <c r="D5979">
        <v>5775.11</v>
      </c>
    </row>
    <row r="5980" spans="1:4" hidden="1" x14ac:dyDescent="0.3">
      <c r="A5980" t="s">
        <v>603</v>
      </c>
      <c r="B5980" t="s">
        <v>155</v>
      </c>
      <c r="C5980" s="1">
        <f>HYPERLINK("https://cao.dolgi.msk.ru/account/1011396914/", 1011396914)</f>
        <v>1011396914</v>
      </c>
      <c r="D5980">
        <v>-3828.62</v>
      </c>
    </row>
    <row r="5981" spans="1:4" hidden="1" x14ac:dyDescent="0.3">
      <c r="A5981" t="s">
        <v>603</v>
      </c>
      <c r="B5981" t="s">
        <v>156</v>
      </c>
      <c r="C5981" s="1">
        <f>HYPERLINK("https://cao.dolgi.msk.ru/account/1011397538/", 1011397538)</f>
        <v>1011397538</v>
      </c>
      <c r="D5981">
        <v>0</v>
      </c>
    </row>
    <row r="5982" spans="1:4" hidden="1" x14ac:dyDescent="0.3">
      <c r="A5982" t="s">
        <v>603</v>
      </c>
      <c r="B5982" t="s">
        <v>157</v>
      </c>
      <c r="C5982" s="1">
        <f>HYPERLINK("https://cao.dolgi.msk.ru/account/1011396308/", 1011396308)</f>
        <v>1011396308</v>
      </c>
      <c r="D5982">
        <v>0</v>
      </c>
    </row>
    <row r="5983" spans="1:4" hidden="1" x14ac:dyDescent="0.3">
      <c r="A5983" t="s">
        <v>603</v>
      </c>
      <c r="B5983" t="s">
        <v>158</v>
      </c>
      <c r="C5983" s="1">
        <f>HYPERLINK("https://cao.dolgi.msk.ru/account/1011395516/", 1011395516)</f>
        <v>1011395516</v>
      </c>
      <c r="D5983">
        <v>-4435.17</v>
      </c>
    </row>
    <row r="5984" spans="1:4" hidden="1" x14ac:dyDescent="0.3">
      <c r="A5984" t="s">
        <v>603</v>
      </c>
      <c r="B5984" t="s">
        <v>159</v>
      </c>
      <c r="C5984" s="1">
        <f>HYPERLINK("https://cao.dolgi.msk.ru/account/1011395321/", 1011395321)</f>
        <v>1011395321</v>
      </c>
      <c r="D5984">
        <v>-2551.27</v>
      </c>
    </row>
    <row r="5985" spans="1:4" hidden="1" x14ac:dyDescent="0.3">
      <c r="A5985" t="s">
        <v>603</v>
      </c>
      <c r="B5985" t="s">
        <v>160</v>
      </c>
      <c r="C5985" s="1">
        <f>HYPERLINK("https://cao.dolgi.msk.ru/account/1011395073/", 1011395073)</f>
        <v>1011395073</v>
      </c>
      <c r="D5985">
        <v>0</v>
      </c>
    </row>
    <row r="5986" spans="1:4" hidden="1" x14ac:dyDescent="0.3">
      <c r="A5986" t="s">
        <v>603</v>
      </c>
      <c r="B5986" t="s">
        <v>160</v>
      </c>
      <c r="C5986" s="1">
        <f>HYPERLINK("https://cao.dolgi.msk.ru/account/1011395348/", 1011395348)</f>
        <v>1011395348</v>
      </c>
      <c r="D5986">
        <v>0</v>
      </c>
    </row>
    <row r="5987" spans="1:4" hidden="1" x14ac:dyDescent="0.3">
      <c r="A5987" t="s">
        <v>603</v>
      </c>
      <c r="B5987" t="s">
        <v>161</v>
      </c>
      <c r="C5987" s="1">
        <f>HYPERLINK("https://cao.dolgi.msk.ru/account/1011395698/", 1011395698)</f>
        <v>1011395698</v>
      </c>
      <c r="D5987">
        <v>-4956.8900000000003</v>
      </c>
    </row>
    <row r="5988" spans="1:4" hidden="1" x14ac:dyDescent="0.3">
      <c r="A5988" t="s">
        <v>603</v>
      </c>
      <c r="B5988" t="s">
        <v>162</v>
      </c>
      <c r="C5988" s="1">
        <f>HYPERLINK("https://cao.dolgi.msk.ru/account/1011398119/", 1011398119)</f>
        <v>1011398119</v>
      </c>
      <c r="D5988">
        <v>0</v>
      </c>
    </row>
    <row r="5989" spans="1:4" hidden="1" x14ac:dyDescent="0.3">
      <c r="A5989" t="s">
        <v>603</v>
      </c>
      <c r="B5989" t="s">
        <v>163</v>
      </c>
      <c r="C5989" s="1">
        <f>HYPERLINK("https://cao.dolgi.msk.ru/account/1011397247/", 1011397247)</f>
        <v>1011397247</v>
      </c>
      <c r="D5989">
        <v>0</v>
      </c>
    </row>
    <row r="5990" spans="1:4" hidden="1" x14ac:dyDescent="0.3">
      <c r="A5990" t="s">
        <v>603</v>
      </c>
      <c r="B5990" t="s">
        <v>164</v>
      </c>
      <c r="C5990" s="1">
        <f>HYPERLINK("https://cao.dolgi.msk.ru/account/1011397087/", 1011397087)</f>
        <v>1011397087</v>
      </c>
      <c r="D5990">
        <v>-3277.92</v>
      </c>
    </row>
    <row r="5991" spans="1:4" hidden="1" x14ac:dyDescent="0.3">
      <c r="A5991" t="s">
        <v>603</v>
      </c>
      <c r="B5991" t="s">
        <v>165</v>
      </c>
      <c r="C5991" s="1">
        <f>HYPERLINK("https://cao.dolgi.msk.ru/account/1011397693/", 1011397693)</f>
        <v>1011397693</v>
      </c>
      <c r="D5991">
        <v>-7165.28</v>
      </c>
    </row>
    <row r="5992" spans="1:4" hidden="1" x14ac:dyDescent="0.3">
      <c r="A5992" t="s">
        <v>603</v>
      </c>
      <c r="B5992" t="s">
        <v>166</v>
      </c>
      <c r="C5992" s="1">
        <f>HYPERLINK("https://cao.dolgi.msk.ru/account/1011395727/", 1011395727)</f>
        <v>1011395727</v>
      </c>
      <c r="D5992">
        <v>-10528.71</v>
      </c>
    </row>
    <row r="5993" spans="1:4" hidden="1" x14ac:dyDescent="0.3">
      <c r="A5993" t="s">
        <v>603</v>
      </c>
      <c r="B5993" t="s">
        <v>167</v>
      </c>
      <c r="C5993" s="1">
        <f>HYPERLINK("https://cao.dolgi.msk.ru/account/1011395049/", 1011395049)</f>
        <v>1011395049</v>
      </c>
      <c r="D5993">
        <v>0</v>
      </c>
    </row>
    <row r="5994" spans="1:4" hidden="1" x14ac:dyDescent="0.3">
      <c r="A5994" t="s">
        <v>603</v>
      </c>
      <c r="B5994" t="s">
        <v>168</v>
      </c>
      <c r="C5994" s="1">
        <f>HYPERLINK("https://cao.dolgi.msk.ru/account/1011396893/", 1011396893)</f>
        <v>1011396893</v>
      </c>
      <c r="D5994">
        <v>0</v>
      </c>
    </row>
    <row r="5995" spans="1:4" hidden="1" x14ac:dyDescent="0.3">
      <c r="A5995" t="s">
        <v>603</v>
      </c>
      <c r="B5995" t="s">
        <v>169</v>
      </c>
      <c r="C5995" s="1">
        <f>HYPERLINK("https://cao.dolgi.msk.ru/account/1011396236/", 1011396236)</f>
        <v>1011396236</v>
      </c>
      <c r="D5995">
        <v>0</v>
      </c>
    </row>
    <row r="5996" spans="1:4" hidden="1" x14ac:dyDescent="0.3">
      <c r="A5996" t="s">
        <v>603</v>
      </c>
      <c r="B5996" t="s">
        <v>170</v>
      </c>
      <c r="C5996" s="1">
        <f>HYPERLINK("https://cao.dolgi.msk.ru/account/1011397255/", 1011397255)</f>
        <v>1011397255</v>
      </c>
      <c r="D5996">
        <v>0</v>
      </c>
    </row>
    <row r="5997" spans="1:4" hidden="1" x14ac:dyDescent="0.3">
      <c r="A5997" t="s">
        <v>603</v>
      </c>
      <c r="B5997" t="s">
        <v>171</v>
      </c>
      <c r="C5997" s="1">
        <f>HYPERLINK("https://cao.dolgi.msk.ru/account/1011395196/", 1011395196)</f>
        <v>1011395196</v>
      </c>
      <c r="D5997">
        <v>-745.24</v>
      </c>
    </row>
    <row r="5998" spans="1:4" hidden="1" x14ac:dyDescent="0.3">
      <c r="A5998" t="s">
        <v>603</v>
      </c>
      <c r="B5998" t="s">
        <v>172</v>
      </c>
      <c r="C5998" s="1">
        <f>HYPERLINK("https://cao.dolgi.msk.ru/account/1011396076/", 1011396076)</f>
        <v>1011396076</v>
      </c>
      <c r="D5998">
        <v>0</v>
      </c>
    </row>
    <row r="5999" spans="1:4" hidden="1" x14ac:dyDescent="0.3">
      <c r="A5999" t="s">
        <v>603</v>
      </c>
      <c r="B5999" t="s">
        <v>173</v>
      </c>
      <c r="C5999" s="1">
        <f>HYPERLINK("https://cao.dolgi.msk.ru/account/1011397941/", 1011397941)</f>
        <v>1011397941</v>
      </c>
      <c r="D5999">
        <v>-7000</v>
      </c>
    </row>
    <row r="6000" spans="1:4" hidden="1" x14ac:dyDescent="0.3">
      <c r="A6000" t="s">
        <v>603</v>
      </c>
      <c r="B6000" t="s">
        <v>174</v>
      </c>
      <c r="C6000" s="1">
        <f>HYPERLINK("https://cao.dolgi.msk.ru/account/1011396869/", 1011396869)</f>
        <v>1011396869</v>
      </c>
      <c r="D6000">
        <v>-5802.77</v>
      </c>
    </row>
    <row r="6001" spans="1:4" hidden="1" x14ac:dyDescent="0.3">
      <c r="A6001" t="s">
        <v>603</v>
      </c>
      <c r="B6001" t="s">
        <v>175</v>
      </c>
      <c r="C6001" s="1">
        <f>HYPERLINK("https://cao.dolgi.msk.ru/account/1011397343/", 1011397343)</f>
        <v>1011397343</v>
      </c>
      <c r="D6001">
        <v>0</v>
      </c>
    </row>
    <row r="6002" spans="1:4" hidden="1" x14ac:dyDescent="0.3">
      <c r="A6002" t="s">
        <v>603</v>
      </c>
      <c r="B6002" t="s">
        <v>176</v>
      </c>
      <c r="C6002" s="1">
        <f>HYPERLINK("https://cao.dolgi.msk.ru/account/1011395815/", 1011395815)</f>
        <v>1011395815</v>
      </c>
      <c r="D6002">
        <v>0</v>
      </c>
    </row>
    <row r="6003" spans="1:4" hidden="1" x14ac:dyDescent="0.3">
      <c r="A6003" t="s">
        <v>603</v>
      </c>
      <c r="B6003" t="s">
        <v>273</v>
      </c>
      <c r="C6003" s="1">
        <f>HYPERLINK("https://cao.dolgi.msk.ru/account/1011397431/", 1011397431)</f>
        <v>1011397431</v>
      </c>
      <c r="D6003">
        <v>-43654.25</v>
      </c>
    </row>
    <row r="6004" spans="1:4" hidden="1" x14ac:dyDescent="0.3">
      <c r="A6004" t="s">
        <v>603</v>
      </c>
      <c r="B6004" t="s">
        <v>180</v>
      </c>
      <c r="C6004" s="1">
        <f>HYPERLINK("https://cao.dolgi.msk.ru/account/1011397546/", 1011397546)</f>
        <v>1011397546</v>
      </c>
      <c r="D6004">
        <v>-5497.96</v>
      </c>
    </row>
    <row r="6005" spans="1:4" hidden="1" x14ac:dyDescent="0.3">
      <c r="A6005" t="s">
        <v>603</v>
      </c>
      <c r="B6005" t="s">
        <v>181</v>
      </c>
      <c r="C6005" s="1">
        <f>HYPERLINK("https://cao.dolgi.msk.ru/account/1011396172/", 1011396172)</f>
        <v>1011396172</v>
      </c>
      <c r="D6005">
        <v>-4097.0600000000004</v>
      </c>
    </row>
    <row r="6006" spans="1:4" hidden="1" x14ac:dyDescent="0.3">
      <c r="A6006" t="s">
        <v>603</v>
      </c>
      <c r="B6006" t="s">
        <v>181</v>
      </c>
      <c r="C6006" s="1">
        <f>HYPERLINK("https://cao.dolgi.msk.ru/account/1011397888/", 1011397888)</f>
        <v>1011397888</v>
      </c>
      <c r="D6006">
        <v>-3925.83</v>
      </c>
    </row>
    <row r="6007" spans="1:4" hidden="1" x14ac:dyDescent="0.3">
      <c r="A6007" t="s">
        <v>603</v>
      </c>
      <c r="B6007" t="s">
        <v>182</v>
      </c>
      <c r="C6007" s="1">
        <f>HYPERLINK("https://cao.dolgi.msk.ru/account/1011395591/", 1011395591)</f>
        <v>1011395591</v>
      </c>
      <c r="D6007">
        <v>-6086.13</v>
      </c>
    </row>
    <row r="6008" spans="1:4" hidden="1" x14ac:dyDescent="0.3">
      <c r="A6008" t="s">
        <v>603</v>
      </c>
      <c r="B6008" t="s">
        <v>183</v>
      </c>
      <c r="C6008" s="1">
        <f>HYPERLINK("https://cao.dolgi.msk.ru/account/1011395823/", 1011395823)</f>
        <v>1011395823</v>
      </c>
      <c r="D6008">
        <v>0</v>
      </c>
    </row>
    <row r="6009" spans="1:4" hidden="1" x14ac:dyDescent="0.3">
      <c r="A6009" t="s">
        <v>603</v>
      </c>
      <c r="B6009" t="s">
        <v>184</v>
      </c>
      <c r="C6009" s="1">
        <f>HYPERLINK("https://cao.dolgi.msk.ru/account/1011396818/", 1011396818)</f>
        <v>1011396818</v>
      </c>
      <c r="D6009">
        <v>0</v>
      </c>
    </row>
    <row r="6010" spans="1:4" hidden="1" x14ac:dyDescent="0.3">
      <c r="A6010" t="s">
        <v>603</v>
      </c>
      <c r="B6010" t="s">
        <v>185</v>
      </c>
      <c r="C6010" s="1">
        <f>HYPERLINK("https://cao.dolgi.msk.ru/account/1011397853/", 1011397853)</f>
        <v>1011397853</v>
      </c>
      <c r="D6010">
        <v>0</v>
      </c>
    </row>
    <row r="6011" spans="1:4" hidden="1" x14ac:dyDescent="0.3">
      <c r="A6011" t="s">
        <v>603</v>
      </c>
      <c r="B6011" t="s">
        <v>274</v>
      </c>
      <c r="C6011" s="1">
        <f>HYPERLINK("https://cao.dolgi.msk.ru/account/1011395268/", 1011395268)</f>
        <v>1011395268</v>
      </c>
      <c r="D6011">
        <v>0</v>
      </c>
    </row>
    <row r="6012" spans="1:4" hidden="1" x14ac:dyDescent="0.3">
      <c r="A6012" t="s">
        <v>603</v>
      </c>
      <c r="B6012" t="s">
        <v>186</v>
      </c>
      <c r="C6012" s="1">
        <f>HYPERLINK("https://cao.dolgi.msk.ru/account/1011395524/", 1011395524)</f>
        <v>1011395524</v>
      </c>
      <c r="D6012">
        <v>0</v>
      </c>
    </row>
    <row r="6013" spans="1:4" x14ac:dyDescent="0.3">
      <c r="A6013" t="s">
        <v>603</v>
      </c>
      <c r="B6013" t="s">
        <v>187</v>
      </c>
      <c r="C6013" s="1">
        <f>HYPERLINK("https://cao.dolgi.msk.ru/account/1011396383/", 1011396383)</f>
        <v>1011396383</v>
      </c>
      <c r="D6013">
        <v>4540.75</v>
      </c>
    </row>
    <row r="6014" spans="1:4" hidden="1" x14ac:dyDescent="0.3">
      <c r="A6014" t="s">
        <v>603</v>
      </c>
      <c r="B6014" t="s">
        <v>188</v>
      </c>
      <c r="C6014" s="1">
        <f>HYPERLINK("https://cao.dolgi.msk.ru/account/1011396324/", 1011396324)</f>
        <v>1011396324</v>
      </c>
      <c r="D6014">
        <v>0</v>
      </c>
    </row>
    <row r="6015" spans="1:4" x14ac:dyDescent="0.3">
      <c r="A6015" t="s">
        <v>603</v>
      </c>
      <c r="B6015" t="s">
        <v>189</v>
      </c>
      <c r="C6015" s="1">
        <f>HYPERLINK("https://cao.dolgi.msk.ru/account/1011395831/", 1011395831)</f>
        <v>1011395831</v>
      </c>
      <c r="D6015">
        <v>17815.62</v>
      </c>
    </row>
    <row r="6016" spans="1:4" x14ac:dyDescent="0.3">
      <c r="A6016" t="s">
        <v>603</v>
      </c>
      <c r="B6016" t="s">
        <v>189</v>
      </c>
      <c r="C6016" s="1">
        <f>HYPERLINK("https://cao.dolgi.msk.ru/account/1011395946/", 1011395946)</f>
        <v>1011395946</v>
      </c>
      <c r="D6016">
        <v>6622.16</v>
      </c>
    </row>
    <row r="6017" spans="1:4" hidden="1" x14ac:dyDescent="0.3">
      <c r="A6017" t="s">
        <v>603</v>
      </c>
      <c r="B6017" t="s">
        <v>190</v>
      </c>
      <c r="C6017" s="1">
        <f>HYPERLINK("https://cao.dolgi.msk.ru/account/1011395858/", 1011395858)</f>
        <v>1011395858</v>
      </c>
      <c r="D6017">
        <v>0</v>
      </c>
    </row>
    <row r="6018" spans="1:4" hidden="1" x14ac:dyDescent="0.3">
      <c r="A6018" t="s">
        <v>603</v>
      </c>
      <c r="B6018" t="s">
        <v>191</v>
      </c>
      <c r="C6018" s="1">
        <f>HYPERLINK("https://cao.dolgi.msk.ru/account/1011397095/", 1011397095)</f>
        <v>1011397095</v>
      </c>
      <c r="D6018">
        <v>0</v>
      </c>
    </row>
    <row r="6019" spans="1:4" hidden="1" x14ac:dyDescent="0.3">
      <c r="A6019" t="s">
        <v>603</v>
      </c>
      <c r="B6019" t="s">
        <v>192</v>
      </c>
      <c r="C6019" s="1">
        <f>HYPERLINK("https://cao.dolgi.msk.ru/account/1011395786/", 1011395786)</f>
        <v>1011395786</v>
      </c>
      <c r="D6019">
        <v>-5768.44</v>
      </c>
    </row>
    <row r="6020" spans="1:4" hidden="1" x14ac:dyDescent="0.3">
      <c r="A6020" t="s">
        <v>603</v>
      </c>
      <c r="B6020" t="s">
        <v>325</v>
      </c>
      <c r="C6020" s="1">
        <f>HYPERLINK("https://cao.dolgi.msk.ru/account/1011396391/", 1011396391)</f>
        <v>1011396391</v>
      </c>
      <c r="D6020">
        <v>0</v>
      </c>
    </row>
    <row r="6021" spans="1:4" hidden="1" x14ac:dyDescent="0.3">
      <c r="A6021" t="s">
        <v>603</v>
      </c>
      <c r="B6021" t="s">
        <v>193</v>
      </c>
      <c r="C6021" s="1">
        <f>HYPERLINK("https://cao.dolgi.msk.ru/account/1011398143/", 1011398143)</f>
        <v>1011398143</v>
      </c>
      <c r="D6021">
        <v>0</v>
      </c>
    </row>
    <row r="6022" spans="1:4" hidden="1" x14ac:dyDescent="0.3">
      <c r="A6022" t="s">
        <v>603</v>
      </c>
      <c r="B6022" t="s">
        <v>194</v>
      </c>
      <c r="C6022" s="1">
        <f>HYPERLINK("https://cao.dolgi.msk.ru/account/1011396404/", 1011396404)</f>
        <v>1011396404</v>
      </c>
      <c r="D6022">
        <v>0</v>
      </c>
    </row>
    <row r="6023" spans="1:4" hidden="1" x14ac:dyDescent="0.3">
      <c r="A6023" t="s">
        <v>603</v>
      </c>
      <c r="B6023" t="s">
        <v>195</v>
      </c>
      <c r="C6023" s="1">
        <f>HYPERLINK("https://cao.dolgi.msk.ru/account/1011397458/", 1011397458)</f>
        <v>1011397458</v>
      </c>
      <c r="D6023">
        <v>-1264.3699999999999</v>
      </c>
    </row>
    <row r="6024" spans="1:4" hidden="1" x14ac:dyDescent="0.3">
      <c r="A6024" t="s">
        <v>603</v>
      </c>
      <c r="B6024" t="s">
        <v>196</v>
      </c>
      <c r="C6024" s="1">
        <f>HYPERLINK("https://cao.dolgi.msk.ru/account/1011396199/", 1011396199)</f>
        <v>1011396199</v>
      </c>
      <c r="D6024">
        <v>-121.59</v>
      </c>
    </row>
    <row r="6025" spans="1:4" x14ac:dyDescent="0.3">
      <c r="A6025" t="s">
        <v>603</v>
      </c>
      <c r="B6025" t="s">
        <v>197</v>
      </c>
      <c r="C6025" s="1">
        <f>HYPERLINK("https://cao.dolgi.msk.ru/account/1011395276/", 1011395276)</f>
        <v>1011395276</v>
      </c>
      <c r="D6025">
        <v>25119.95</v>
      </c>
    </row>
    <row r="6026" spans="1:4" x14ac:dyDescent="0.3">
      <c r="A6026" t="s">
        <v>603</v>
      </c>
      <c r="B6026" t="s">
        <v>198</v>
      </c>
      <c r="C6026" s="1">
        <f>HYPERLINK("https://cao.dolgi.msk.ru/account/1011398151/", 1011398151)</f>
        <v>1011398151</v>
      </c>
      <c r="D6026">
        <v>31872.7</v>
      </c>
    </row>
    <row r="6027" spans="1:4" hidden="1" x14ac:dyDescent="0.3">
      <c r="A6027" t="s">
        <v>603</v>
      </c>
      <c r="B6027" t="s">
        <v>199</v>
      </c>
      <c r="C6027" s="1">
        <f>HYPERLINK("https://cao.dolgi.msk.ru/account/1011396666/", 1011396666)</f>
        <v>1011396666</v>
      </c>
      <c r="D6027">
        <v>-5248.51</v>
      </c>
    </row>
    <row r="6028" spans="1:4" hidden="1" x14ac:dyDescent="0.3">
      <c r="A6028" t="s">
        <v>603</v>
      </c>
      <c r="B6028" t="s">
        <v>200</v>
      </c>
      <c r="C6028" s="1">
        <f>HYPERLINK("https://cao.dolgi.msk.ru/account/1011396826/", 1011396826)</f>
        <v>1011396826</v>
      </c>
      <c r="D6028">
        <v>-9364.86</v>
      </c>
    </row>
    <row r="6029" spans="1:4" hidden="1" x14ac:dyDescent="0.3">
      <c r="A6029" t="s">
        <v>603</v>
      </c>
      <c r="B6029" t="s">
        <v>201</v>
      </c>
      <c r="C6029" s="1">
        <f>HYPERLINK("https://cao.dolgi.msk.ru/account/1011395495/", 1011395495)</f>
        <v>1011395495</v>
      </c>
      <c r="D6029">
        <v>0</v>
      </c>
    </row>
    <row r="6030" spans="1:4" hidden="1" x14ac:dyDescent="0.3">
      <c r="A6030" t="s">
        <v>603</v>
      </c>
      <c r="B6030" t="s">
        <v>202</v>
      </c>
      <c r="C6030" s="1">
        <f>HYPERLINK("https://cao.dolgi.msk.ru/account/1011396615/", 1011396615)</f>
        <v>1011396615</v>
      </c>
      <c r="D6030">
        <v>-3087.98</v>
      </c>
    </row>
    <row r="6031" spans="1:4" hidden="1" x14ac:dyDescent="0.3">
      <c r="A6031" t="s">
        <v>603</v>
      </c>
      <c r="B6031" t="s">
        <v>202</v>
      </c>
      <c r="C6031" s="1">
        <f>HYPERLINK("https://cao.dolgi.msk.ru/account/1011397554/", 1011397554)</f>
        <v>1011397554</v>
      </c>
      <c r="D6031">
        <v>-3389.77</v>
      </c>
    </row>
    <row r="6032" spans="1:4" hidden="1" x14ac:dyDescent="0.3">
      <c r="A6032" t="s">
        <v>603</v>
      </c>
      <c r="B6032" t="s">
        <v>203</v>
      </c>
      <c r="C6032" s="1">
        <f>HYPERLINK("https://cao.dolgi.msk.ru/account/1011395452/", 1011395452)</f>
        <v>1011395452</v>
      </c>
      <c r="D6032">
        <v>0</v>
      </c>
    </row>
    <row r="6033" spans="1:4" hidden="1" x14ac:dyDescent="0.3">
      <c r="A6033" t="s">
        <v>603</v>
      </c>
      <c r="B6033" t="s">
        <v>203</v>
      </c>
      <c r="C6033" s="1">
        <f>HYPERLINK("https://cao.dolgi.msk.ru/account/1011397968/", 1011397968)</f>
        <v>1011397968</v>
      </c>
      <c r="D6033">
        <v>0</v>
      </c>
    </row>
    <row r="6034" spans="1:4" hidden="1" x14ac:dyDescent="0.3">
      <c r="A6034" t="s">
        <v>603</v>
      </c>
      <c r="B6034" t="s">
        <v>326</v>
      </c>
      <c r="C6034" s="1">
        <f>HYPERLINK("https://cao.dolgi.msk.ru/account/1011395081/", 1011395081)</f>
        <v>1011395081</v>
      </c>
      <c r="D6034">
        <v>-7899.07</v>
      </c>
    </row>
    <row r="6035" spans="1:4" hidden="1" x14ac:dyDescent="0.3">
      <c r="A6035" t="s">
        <v>603</v>
      </c>
      <c r="B6035" t="s">
        <v>204</v>
      </c>
      <c r="C6035" s="1">
        <f>HYPERLINK("https://cao.dolgi.msk.ru/account/1011396084/", 1011396084)</f>
        <v>1011396084</v>
      </c>
      <c r="D6035">
        <v>0</v>
      </c>
    </row>
    <row r="6036" spans="1:4" hidden="1" x14ac:dyDescent="0.3">
      <c r="A6036" t="s">
        <v>603</v>
      </c>
      <c r="B6036" t="s">
        <v>205</v>
      </c>
      <c r="C6036" s="1">
        <f>HYPERLINK("https://cao.dolgi.msk.ru/account/1011396922/", 1011396922)</f>
        <v>1011396922</v>
      </c>
      <c r="D6036">
        <v>0</v>
      </c>
    </row>
    <row r="6037" spans="1:4" hidden="1" x14ac:dyDescent="0.3">
      <c r="A6037" t="s">
        <v>603</v>
      </c>
      <c r="B6037" t="s">
        <v>206</v>
      </c>
      <c r="C6037" s="1">
        <f>HYPERLINK("https://cao.dolgi.msk.ru/account/1011397757/", 1011397757)</f>
        <v>1011397757</v>
      </c>
      <c r="D6037">
        <v>0</v>
      </c>
    </row>
    <row r="6038" spans="1:4" hidden="1" x14ac:dyDescent="0.3">
      <c r="A6038" t="s">
        <v>603</v>
      </c>
      <c r="B6038" t="s">
        <v>206</v>
      </c>
      <c r="C6038" s="1">
        <f>HYPERLINK("https://cao.dolgi.msk.ru/account/1011397773/", 1011397773)</f>
        <v>1011397773</v>
      </c>
      <c r="D6038">
        <v>0</v>
      </c>
    </row>
    <row r="6039" spans="1:4" hidden="1" x14ac:dyDescent="0.3">
      <c r="A6039" t="s">
        <v>603</v>
      </c>
      <c r="B6039" t="s">
        <v>207</v>
      </c>
      <c r="C6039" s="1">
        <f>HYPERLINK("https://cao.dolgi.msk.ru/account/1011397706/", 1011397706)</f>
        <v>1011397706</v>
      </c>
      <c r="D6039">
        <v>-99.39</v>
      </c>
    </row>
    <row r="6040" spans="1:4" hidden="1" x14ac:dyDescent="0.3">
      <c r="A6040" t="s">
        <v>603</v>
      </c>
      <c r="B6040" t="s">
        <v>208</v>
      </c>
      <c r="C6040" s="1">
        <f>HYPERLINK("https://cao.dolgi.msk.ru/account/1011396412/", 1011396412)</f>
        <v>1011396412</v>
      </c>
      <c r="D6040">
        <v>0</v>
      </c>
    </row>
    <row r="6041" spans="1:4" hidden="1" x14ac:dyDescent="0.3">
      <c r="A6041" t="s">
        <v>603</v>
      </c>
      <c r="B6041" t="s">
        <v>327</v>
      </c>
      <c r="C6041" s="1">
        <f>HYPERLINK("https://cao.dolgi.msk.ru/account/1011396092/", 1011396092)</f>
        <v>1011396092</v>
      </c>
      <c r="D6041">
        <v>-3681.7</v>
      </c>
    </row>
    <row r="6042" spans="1:4" hidden="1" x14ac:dyDescent="0.3">
      <c r="A6042" t="s">
        <v>603</v>
      </c>
      <c r="B6042" t="s">
        <v>209</v>
      </c>
      <c r="C6042" s="1">
        <f>HYPERLINK("https://cao.dolgi.msk.ru/account/1011395997/", 1011395997)</f>
        <v>1011395997</v>
      </c>
      <c r="D6042">
        <v>0</v>
      </c>
    </row>
    <row r="6043" spans="1:4" hidden="1" x14ac:dyDescent="0.3">
      <c r="A6043" t="s">
        <v>603</v>
      </c>
      <c r="B6043" t="s">
        <v>210</v>
      </c>
      <c r="C6043" s="1">
        <f>HYPERLINK("https://cao.dolgi.msk.ru/account/1011396834/", 1011396834)</f>
        <v>1011396834</v>
      </c>
      <c r="D6043">
        <v>-566.14</v>
      </c>
    </row>
    <row r="6044" spans="1:4" hidden="1" x14ac:dyDescent="0.3">
      <c r="A6044" t="s">
        <v>603</v>
      </c>
      <c r="B6044" t="s">
        <v>211</v>
      </c>
      <c r="C6044" s="1">
        <f>HYPERLINK("https://cao.dolgi.msk.ru/account/1011395436/", 1011395436)</f>
        <v>1011395436</v>
      </c>
      <c r="D6044">
        <v>0</v>
      </c>
    </row>
    <row r="6045" spans="1:4" hidden="1" x14ac:dyDescent="0.3">
      <c r="A6045" t="s">
        <v>603</v>
      </c>
      <c r="B6045" t="s">
        <v>212</v>
      </c>
      <c r="C6045" s="1">
        <f>HYPERLINK("https://cao.dolgi.msk.ru/account/1011396009/", 1011396009)</f>
        <v>1011396009</v>
      </c>
      <c r="D6045">
        <v>-7.7</v>
      </c>
    </row>
    <row r="6046" spans="1:4" hidden="1" x14ac:dyDescent="0.3">
      <c r="A6046" t="s">
        <v>603</v>
      </c>
      <c r="B6046" t="s">
        <v>213</v>
      </c>
      <c r="C6046" s="1">
        <f>HYPERLINK("https://cao.dolgi.msk.ru/account/1011397183/", 1011397183)</f>
        <v>1011397183</v>
      </c>
      <c r="D6046">
        <v>0</v>
      </c>
    </row>
    <row r="6047" spans="1:4" hidden="1" x14ac:dyDescent="0.3">
      <c r="A6047" t="s">
        <v>603</v>
      </c>
      <c r="B6047" t="s">
        <v>214</v>
      </c>
      <c r="C6047" s="1">
        <f>HYPERLINK("https://cao.dolgi.msk.ru/account/1011397896/", 1011397896)</f>
        <v>1011397896</v>
      </c>
      <c r="D6047">
        <v>0</v>
      </c>
    </row>
    <row r="6048" spans="1:4" hidden="1" x14ac:dyDescent="0.3">
      <c r="A6048" t="s">
        <v>603</v>
      </c>
      <c r="B6048" t="s">
        <v>215</v>
      </c>
      <c r="C6048" s="1">
        <f>HYPERLINK("https://cao.dolgi.msk.ru/account/1011396332/", 1011396332)</f>
        <v>1011396332</v>
      </c>
      <c r="D6048">
        <v>0</v>
      </c>
    </row>
    <row r="6049" spans="1:4" x14ac:dyDescent="0.3">
      <c r="A6049" t="s">
        <v>603</v>
      </c>
      <c r="B6049" t="s">
        <v>216</v>
      </c>
      <c r="C6049" s="1">
        <f>HYPERLINK("https://cao.dolgi.msk.ru/account/1011397562/", 1011397562)</f>
        <v>1011397562</v>
      </c>
      <c r="D6049">
        <v>364.01</v>
      </c>
    </row>
    <row r="6050" spans="1:4" hidden="1" x14ac:dyDescent="0.3">
      <c r="A6050" t="s">
        <v>603</v>
      </c>
      <c r="B6050" t="s">
        <v>286</v>
      </c>
      <c r="C6050" s="1">
        <f>HYPERLINK("https://cao.dolgi.msk.ru/account/1011397714/", 1011397714)</f>
        <v>1011397714</v>
      </c>
      <c r="D6050">
        <v>-6674.08</v>
      </c>
    </row>
    <row r="6051" spans="1:4" hidden="1" x14ac:dyDescent="0.3">
      <c r="A6051" t="s">
        <v>603</v>
      </c>
      <c r="B6051" t="s">
        <v>287</v>
      </c>
      <c r="C6051" s="1">
        <f>HYPERLINK("https://cao.dolgi.msk.ru/account/1011397626/", 1011397626)</f>
        <v>1011397626</v>
      </c>
      <c r="D6051">
        <v>0</v>
      </c>
    </row>
    <row r="6052" spans="1:4" hidden="1" x14ac:dyDescent="0.3">
      <c r="A6052" t="s">
        <v>603</v>
      </c>
      <c r="B6052" t="s">
        <v>217</v>
      </c>
      <c r="C6052" s="1">
        <f>HYPERLINK("https://cao.dolgi.msk.ru/account/1011398055/", 1011398055)</f>
        <v>1011398055</v>
      </c>
      <c r="D6052">
        <v>0</v>
      </c>
    </row>
    <row r="6053" spans="1:4" hidden="1" x14ac:dyDescent="0.3">
      <c r="A6053" t="s">
        <v>603</v>
      </c>
      <c r="B6053" t="s">
        <v>218</v>
      </c>
      <c r="C6053" s="1">
        <f>HYPERLINK("https://cao.dolgi.msk.ru/account/1011396105/", 1011396105)</f>
        <v>1011396105</v>
      </c>
      <c r="D6053">
        <v>-4264.76</v>
      </c>
    </row>
    <row r="6054" spans="1:4" x14ac:dyDescent="0.3">
      <c r="A6054" t="s">
        <v>603</v>
      </c>
      <c r="B6054" t="s">
        <v>219</v>
      </c>
      <c r="C6054" s="1">
        <f>HYPERLINK("https://cao.dolgi.msk.ru/account/1011395655/", 1011395655)</f>
        <v>1011395655</v>
      </c>
      <c r="D6054">
        <v>21886.21</v>
      </c>
    </row>
    <row r="6055" spans="1:4" hidden="1" x14ac:dyDescent="0.3">
      <c r="A6055" t="s">
        <v>603</v>
      </c>
      <c r="B6055" t="s">
        <v>220</v>
      </c>
      <c r="C6055" s="1">
        <f>HYPERLINK("https://cao.dolgi.msk.ru/account/1011395604/", 1011395604)</f>
        <v>1011395604</v>
      </c>
      <c r="D6055">
        <v>-668.3</v>
      </c>
    </row>
    <row r="6056" spans="1:4" hidden="1" x14ac:dyDescent="0.3">
      <c r="A6056" t="s">
        <v>603</v>
      </c>
      <c r="B6056" t="s">
        <v>221</v>
      </c>
      <c r="C6056" s="1">
        <f>HYPERLINK("https://cao.dolgi.msk.ru/account/1011395356/", 1011395356)</f>
        <v>1011395356</v>
      </c>
      <c r="D6056">
        <v>0</v>
      </c>
    </row>
    <row r="6057" spans="1:4" x14ac:dyDescent="0.3">
      <c r="A6057" t="s">
        <v>603</v>
      </c>
      <c r="B6057" t="s">
        <v>222</v>
      </c>
      <c r="C6057" s="1">
        <f>HYPERLINK("https://cao.dolgi.msk.ru/account/1011395903/", 1011395903)</f>
        <v>1011395903</v>
      </c>
      <c r="D6057">
        <v>28320.09</v>
      </c>
    </row>
    <row r="6058" spans="1:4" x14ac:dyDescent="0.3">
      <c r="A6058" t="s">
        <v>603</v>
      </c>
      <c r="B6058" t="s">
        <v>223</v>
      </c>
      <c r="C6058" s="1">
        <f>HYPERLINK("https://cao.dolgi.msk.ru/account/1011395225/", 1011395225)</f>
        <v>1011395225</v>
      </c>
      <c r="D6058">
        <v>2044.05</v>
      </c>
    </row>
    <row r="6059" spans="1:4" hidden="1" x14ac:dyDescent="0.3">
      <c r="A6059" t="s">
        <v>603</v>
      </c>
      <c r="B6059" t="s">
        <v>224</v>
      </c>
      <c r="C6059" s="1">
        <f>HYPERLINK("https://cao.dolgi.msk.ru/account/1011395866/", 1011395866)</f>
        <v>1011395866</v>
      </c>
      <c r="D6059">
        <v>0</v>
      </c>
    </row>
    <row r="6060" spans="1:4" hidden="1" x14ac:dyDescent="0.3">
      <c r="A6060" t="s">
        <v>603</v>
      </c>
      <c r="B6060" t="s">
        <v>225</v>
      </c>
      <c r="C6060" s="1">
        <f>HYPERLINK("https://cao.dolgi.msk.ru/account/1011395612/", 1011395612)</f>
        <v>1011395612</v>
      </c>
      <c r="D6060">
        <v>0</v>
      </c>
    </row>
    <row r="6061" spans="1:4" hidden="1" x14ac:dyDescent="0.3">
      <c r="A6061" t="s">
        <v>603</v>
      </c>
      <c r="B6061" t="s">
        <v>226</v>
      </c>
      <c r="C6061" s="1">
        <f>HYPERLINK("https://cao.dolgi.msk.ru/account/1011397503/", 1011397503)</f>
        <v>1011397503</v>
      </c>
      <c r="D6061">
        <v>0</v>
      </c>
    </row>
    <row r="6062" spans="1:4" hidden="1" x14ac:dyDescent="0.3">
      <c r="A6062" t="s">
        <v>603</v>
      </c>
      <c r="B6062" t="s">
        <v>227</v>
      </c>
      <c r="C6062" s="1">
        <f>HYPERLINK("https://cao.dolgi.msk.ru/account/1011396113/", 1011396113)</f>
        <v>1011396113</v>
      </c>
      <c r="D6062">
        <v>-8712.58</v>
      </c>
    </row>
    <row r="6063" spans="1:4" hidden="1" x14ac:dyDescent="0.3">
      <c r="A6063" t="s">
        <v>603</v>
      </c>
      <c r="B6063" t="s">
        <v>228</v>
      </c>
      <c r="C6063" s="1">
        <f>HYPERLINK("https://cao.dolgi.msk.ru/account/1011395102/", 1011395102)</f>
        <v>1011395102</v>
      </c>
      <c r="D6063">
        <v>-6795.83</v>
      </c>
    </row>
    <row r="6064" spans="1:4" hidden="1" x14ac:dyDescent="0.3">
      <c r="A6064" t="s">
        <v>603</v>
      </c>
      <c r="B6064" t="s">
        <v>229</v>
      </c>
      <c r="C6064" s="1">
        <f>HYPERLINK("https://cao.dolgi.msk.ru/account/1011396842/", 1011396842)</f>
        <v>1011396842</v>
      </c>
      <c r="D6064">
        <v>0</v>
      </c>
    </row>
    <row r="6065" spans="1:4" hidden="1" x14ac:dyDescent="0.3">
      <c r="A6065" t="s">
        <v>603</v>
      </c>
      <c r="B6065" t="s">
        <v>230</v>
      </c>
      <c r="C6065" s="1">
        <f>HYPERLINK("https://cao.dolgi.msk.ru/account/1011396359/", 1011396359)</f>
        <v>1011396359</v>
      </c>
      <c r="D6065">
        <v>0</v>
      </c>
    </row>
    <row r="6066" spans="1:4" hidden="1" x14ac:dyDescent="0.3">
      <c r="A6066" t="s">
        <v>603</v>
      </c>
      <c r="B6066" t="s">
        <v>231</v>
      </c>
      <c r="C6066" s="1">
        <f>HYPERLINK("https://cao.dolgi.msk.ru/account/1011395794/", 1011395794)</f>
        <v>1011395794</v>
      </c>
      <c r="D6066">
        <v>-4351.13</v>
      </c>
    </row>
    <row r="6067" spans="1:4" hidden="1" x14ac:dyDescent="0.3">
      <c r="A6067" t="s">
        <v>603</v>
      </c>
      <c r="B6067" t="s">
        <v>232</v>
      </c>
      <c r="C6067" s="1">
        <f>HYPERLINK("https://cao.dolgi.msk.ru/account/1011398004/", 1011398004)</f>
        <v>1011398004</v>
      </c>
      <c r="D6067">
        <v>0</v>
      </c>
    </row>
    <row r="6068" spans="1:4" hidden="1" x14ac:dyDescent="0.3">
      <c r="A6068" t="s">
        <v>603</v>
      </c>
      <c r="B6068" t="s">
        <v>234</v>
      </c>
      <c r="C6068" s="1">
        <f>HYPERLINK("https://cao.dolgi.msk.ru/account/1011395559/", 1011395559)</f>
        <v>1011395559</v>
      </c>
      <c r="D6068">
        <v>0</v>
      </c>
    </row>
    <row r="6069" spans="1:4" hidden="1" x14ac:dyDescent="0.3">
      <c r="A6069" t="s">
        <v>603</v>
      </c>
      <c r="B6069" t="s">
        <v>235</v>
      </c>
      <c r="C6069" s="1">
        <f>HYPERLINK("https://cao.dolgi.msk.ru/account/1011397044/", 1011397044)</f>
        <v>1011397044</v>
      </c>
      <c r="D6069">
        <v>0</v>
      </c>
    </row>
    <row r="6070" spans="1:4" hidden="1" x14ac:dyDescent="0.3">
      <c r="A6070" t="s">
        <v>603</v>
      </c>
      <c r="B6070" t="s">
        <v>288</v>
      </c>
      <c r="C6070" s="1">
        <f>HYPERLINK("https://cao.dolgi.msk.ru/account/1011396316/", 1011396316)</f>
        <v>1011396316</v>
      </c>
      <c r="D6070">
        <v>-537.55999999999995</v>
      </c>
    </row>
    <row r="6071" spans="1:4" hidden="1" x14ac:dyDescent="0.3">
      <c r="A6071" t="s">
        <v>603</v>
      </c>
      <c r="B6071" t="s">
        <v>236</v>
      </c>
      <c r="C6071" s="1">
        <f>HYPERLINK("https://cao.dolgi.msk.ru/account/1011395911/", 1011395911)</f>
        <v>1011395911</v>
      </c>
      <c r="D6071">
        <v>-5587.43</v>
      </c>
    </row>
    <row r="6072" spans="1:4" hidden="1" x14ac:dyDescent="0.3">
      <c r="A6072" t="s">
        <v>603</v>
      </c>
      <c r="B6072" t="s">
        <v>237</v>
      </c>
      <c r="C6072" s="1">
        <f>HYPERLINK("https://cao.dolgi.msk.ru/account/1011396244/", 1011396244)</f>
        <v>1011396244</v>
      </c>
      <c r="D6072">
        <v>-15085.43</v>
      </c>
    </row>
    <row r="6073" spans="1:4" hidden="1" x14ac:dyDescent="0.3">
      <c r="A6073" t="s">
        <v>603</v>
      </c>
      <c r="B6073" t="s">
        <v>238</v>
      </c>
      <c r="C6073" s="1">
        <f>HYPERLINK("https://cao.dolgi.msk.ru/account/1011396201/", 1011396201)</f>
        <v>1011396201</v>
      </c>
      <c r="D6073">
        <v>0</v>
      </c>
    </row>
    <row r="6074" spans="1:4" hidden="1" x14ac:dyDescent="0.3">
      <c r="A6074" t="s">
        <v>603</v>
      </c>
      <c r="B6074" t="s">
        <v>239</v>
      </c>
      <c r="C6074" s="1">
        <f>HYPERLINK("https://cao.dolgi.msk.ru/account/1011396017/", 1011396017)</f>
        <v>1011396017</v>
      </c>
      <c r="D6074">
        <v>-1997.33</v>
      </c>
    </row>
    <row r="6075" spans="1:4" hidden="1" x14ac:dyDescent="0.3">
      <c r="A6075" t="s">
        <v>603</v>
      </c>
      <c r="B6075" t="s">
        <v>240</v>
      </c>
      <c r="C6075" s="1">
        <f>HYPERLINK("https://cao.dolgi.msk.ru/account/1011395372/", 1011395372)</f>
        <v>1011395372</v>
      </c>
      <c r="D6075">
        <v>0</v>
      </c>
    </row>
    <row r="6076" spans="1:4" hidden="1" x14ac:dyDescent="0.3">
      <c r="A6076" t="s">
        <v>603</v>
      </c>
      <c r="B6076" t="s">
        <v>241</v>
      </c>
      <c r="C6076" s="1">
        <f>HYPERLINK("https://cao.dolgi.msk.ru/account/1011398071/", 1011398071)</f>
        <v>1011398071</v>
      </c>
      <c r="D6076">
        <v>0</v>
      </c>
    </row>
    <row r="6077" spans="1:4" hidden="1" x14ac:dyDescent="0.3">
      <c r="A6077" t="s">
        <v>603</v>
      </c>
      <c r="B6077" t="s">
        <v>242</v>
      </c>
      <c r="C6077" s="1">
        <f>HYPERLINK("https://cao.dolgi.msk.ru/account/1011397976/", 1011397976)</f>
        <v>1011397976</v>
      </c>
      <c r="D6077">
        <v>0</v>
      </c>
    </row>
    <row r="6078" spans="1:4" hidden="1" x14ac:dyDescent="0.3">
      <c r="A6078" t="s">
        <v>603</v>
      </c>
      <c r="B6078" t="s">
        <v>289</v>
      </c>
      <c r="C6078" s="1">
        <f>HYPERLINK("https://cao.dolgi.msk.ru/account/1011396471/", 1011396471)</f>
        <v>1011396471</v>
      </c>
      <c r="D6078">
        <v>0</v>
      </c>
    </row>
    <row r="6079" spans="1:4" hidden="1" x14ac:dyDescent="0.3">
      <c r="A6079" t="s">
        <v>603</v>
      </c>
      <c r="B6079" t="s">
        <v>243</v>
      </c>
      <c r="C6079" s="1">
        <f>HYPERLINK("https://cao.dolgi.msk.ru/account/1011395735/", 1011395735)</f>
        <v>1011395735</v>
      </c>
      <c r="D6079">
        <v>0</v>
      </c>
    </row>
    <row r="6080" spans="1:4" hidden="1" x14ac:dyDescent="0.3">
      <c r="A6080" t="s">
        <v>603</v>
      </c>
      <c r="B6080" t="s">
        <v>244</v>
      </c>
      <c r="C6080" s="1">
        <f>HYPERLINK("https://cao.dolgi.msk.ru/account/1011395399/", 1011395399)</f>
        <v>1011395399</v>
      </c>
      <c r="D6080">
        <v>-6866.66</v>
      </c>
    </row>
    <row r="6081" spans="1:4" hidden="1" x14ac:dyDescent="0.3">
      <c r="A6081" t="s">
        <v>603</v>
      </c>
      <c r="B6081" t="s">
        <v>245</v>
      </c>
      <c r="C6081" s="1">
        <f>HYPERLINK("https://cao.dolgi.msk.ru/account/1011397191/", 1011397191)</f>
        <v>1011397191</v>
      </c>
      <c r="D6081">
        <v>-50.92</v>
      </c>
    </row>
    <row r="6082" spans="1:4" hidden="1" x14ac:dyDescent="0.3">
      <c r="A6082" t="s">
        <v>603</v>
      </c>
      <c r="B6082" t="s">
        <v>246</v>
      </c>
      <c r="C6082" s="1">
        <f>HYPERLINK("https://cao.dolgi.msk.ru/account/1011397781/", 1011397781)</f>
        <v>1011397781</v>
      </c>
      <c r="D6082">
        <v>-7928.18</v>
      </c>
    </row>
    <row r="6083" spans="1:4" x14ac:dyDescent="0.3">
      <c r="A6083" t="s">
        <v>603</v>
      </c>
      <c r="B6083" t="s">
        <v>247</v>
      </c>
      <c r="C6083" s="1">
        <f>HYPERLINK("https://cao.dolgi.msk.ru/account/1011398178/", 1011398178)</f>
        <v>1011398178</v>
      </c>
      <c r="D6083">
        <v>10676.98</v>
      </c>
    </row>
    <row r="6084" spans="1:4" hidden="1" x14ac:dyDescent="0.3">
      <c r="A6084" t="s">
        <v>603</v>
      </c>
      <c r="B6084" t="s">
        <v>248</v>
      </c>
      <c r="C6084" s="1">
        <f>HYPERLINK("https://cao.dolgi.msk.ru/account/1011395444/", 1011395444)</f>
        <v>1011395444</v>
      </c>
      <c r="D6084">
        <v>0</v>
      </c>
    </row>
    <row r="6085" spans="1:4" hidden="1" x14ac:dyDescent="0.3">
      <c r="A6085" t="s">
        <v>603</v>
      </c>
      <c r="B6085" t="s">
        <v>290</v>
      </c>
      <c r="C6085" s="1">
        <f>HYPERLINK("https://cao.dolgi.msk.ru/account/1011398063/", 1011398063)</f>
        <v>1011398063</v>
      </c>
      <c r="D6085">
        <v>0</v>
      </c>
    </row>
    <row r="6086" spans="1:4" hidden="1" x14ac:dyDescent="0.3">
      <c r="A6086" t="s">
        <v>603</v>
      </c>
      <c r="B6086" t="s">
        <v>249</v>
      </c>
      <c r="C6086" s="1">
        <f>HYPERLINK("https://cao.dolgi.msk.ru/account/1011396543/", 1011396543)</f>
        <v>1011396543</v>
      </c>
      <c r="D6086">
        <v>0</v>
      </c>
    </row>
    <row r="6087" spans="1:4" hidden="1" x14ac:dyDescent="0.3">
      <c r="A6087" t="s">
        <v>603</v>
      </c>
      <c r="B6087" t="s">
        <v>250</v>
      </c>
      <c r="C6087" s="1">
        <f>HYPERLINK("https://cao.dolgi.msk.ru/account/1011396439/", 1011396439)</f>
        <v>1011396439</v>
      </c>
      <c r="D6087">
        <v>0</v>
      </c>
    </row>
    <row r="6088" spans="1:4" hidden="1" x14ac:dyDescent="0.3">
      <c r="A6088" t="s">
        <v>603</v>
      </c>
      <c r="B6088" t="s">
        <v>251</v>
      </c>
      <c r="C6088" s="1">
        <f>HYPERLINK("https://cao.dolgi.msk.ru/account/1011396738/", 1011396738)</f>
        <v>1011396738</v>
      </c>
      <c r="D6088">
        <v>0</v>
      </c>
    </row>
    <row r="6089" spans="1:4" hidden="1" x14ac:dyDescent="0.3">
      <c r="A6089" t="s">
        <v>603</v>
      </c>
      <c r="B6089" t="s">
        <v>252</v>
      </c>
      <c r="C6089" s="1">
        <f>HYPERLINK("https://cao.dolgi.msk.ru/account/1011395567/", 1011395567)</f>
        <v>1011395567</v>
      </c>
      <c r="D6089">
        <v>0</v>
      </c>
    </row>
    <row r="6090" spans="1:4" x14ac:dyDescent="0.3">
      <c r="A6090" t="s">
        <v>603</v>
      </c>
      <c r="B6090" t="s">
        <v>253</v>
      </c>
      <c r="C6090" s="1">
        <f>HYPERLINK("https://cao.dolgi.msk.ru/account/1011397909/", 1011397909)</f>
        <v>1011397909</v>
      </c>
      <c r="D6090">
        <v>7259.2</v>
      </c>
    </row>
    <row r="6091" spans="1:4" hidden="1" x14ac:dyDescent="0.3">
      <c r="A6091" t="s">
        <v>603</v>
      </c>
      <c r="B6091" t="s">
        <v>254</v>
      </c>
      <c r="C6091" s="1">
        <f>HYPERLINK("https://cao.dolgi.msk.ru/account/1011397722/", 1011397722)</f>
        <v>1011397722</v>
      </c>
      <c r="D6091">
        <v>0</v>
      </c>
    </row>
    <row r="6092" spans="1:4" hidden="1" x14ac:dyDescent="0.3">
      <c r="A6092" t="s">
        <v>603</v>
      </c>
      <c r="B6092" t="s">
        <v>255</v>
      </c>
      <c r="C6092" s="1">
        <f>HYPERLINK("https://cao.dolgi.msk.ru/account/1011396252/", 1011396252)</f>
        <v>1011396252</v>
      </c>
      <c r="D6092">
        <v>0</v>
      </c>
    </row>
    <row r="6093" spans="1:4" x14ac:dyDescent="0.3">
      <c r="A6093" t="s">
        <v>603</v>
      </c>
      <c r="B6093" t="s">
        <v>256</v>
      </c>
      <c r="C6093" s="1">
        <f>HYPERLINK("https://cao.dolgi.msk.ru/account/1011396121/", 1011396121)</f>
        <v>1011396121</v>
      </c>
      <c r="D6093">
        <v>9946.27</v>
      </c>
    </row>
    <row r="6094" spans="1:4" hidden="1" x14ac:dyDescent="0.3">
      <c r="A6094" t="s">
        <v>603</v>
      </c>
      <c r="B6094" t="s">
        <v>257</v>
      </c>
      <c r="C6094" s="1">
        <f>HYPERLINK("https://cao.dolgi.msk.ru/account/1011396498/", 1011396498)</f>
        <v>1011396498</v>
      </c>
      <c r="D6094">
        <v>0</v>
      </c>
    </row>
    <row r="6095" spans="1:4" hidden="1" x14ac:dyDescent="0.3">
      <c r="A6095" t="s">
        <v>603</v>
      </c>
      <c r="B6095" t="s">
        <v>291</v>
      </c>
      <c r="C6095" s="1">
        <f>HYPERLINK("https://cao.dolgi.msk.ru/account/1011397634/", 1011397634)</f>
        <v>1011397634</v>
      </c>
      <c r="D6095">
        <v>0</v>
      </c>
    </row>
    <row r="6096" spans="1:4" hidden="1" x14ac:dyDescent="0.3">
      <c r="A6096" t="s">
        <v>603</v>
      </c>
      <c r="B6096" t="s">
        <v>292</v>
      </c>
      <c r="C6096" s="1">
        <f>HYPERLINK("https://cao.dolgi.msk.ru/account/1011395129/", 1011395129)</f>
        <v>1011395129</v>
      </c>
      <c r="D6096">
        <v>-16034.52</v>
      </c>
    </row>
    <row r="6097" spans="1:4" x14ac:dyDescent="0.3">
      <c r="A6097" t="s">
        <v>603</v>
      </c>
      <c r="B6097" t="s">
        <v>293</v>
      </c>
      <c r="C6097" s="1">
        <f>HYPERLINK("https://cao.dolgi.msk.ru/account/1011397802/", 1011397802)</f>
        <v>1011397802</v>
      </c>
      <c r="D6097">
        <v>91007.72</v>
      </c>
    </row>
    <row r="6098" spans="1:4" hidden="1" x14ac:dyDescent="0.3">
      <c r="A6098" t="s">
        <v>603</v>
      </c>
      <c r="B6098" t="s">
        <v>294</v>
      </c>
      <c r="C6098" s="1">
        <f>HYPERLINK("https://cao.dolgi.msk.ru/account/1011398012/", 1011398012)</f>
        <v>1011398012</v>
      </c>
      <c r="D6098">
        <v>0</v>
      </c>
    </row>
    <row r="6099" spans="1:4" hidden="1" x14ac:dyDescent="0.3">
      <c r="A6099" t="s">
        <v>613</v>
      </c>
      <c r="B6099" t="s">
        <v>35</v>
      </c>
      <c r="C6099" s="1">
        <f>HYPERLINK("https://cao.dolgi.msk.ru/account/1011341796/", 1011341796)</f>
        <v>1011341796</v>
      </c>
      <c r="D6099">
        <v>0</v>
      </c>
    </row>
    <row r="6100" spans="1:4" hidden="1" x14ac:dyDescent="0.3">
      <c r="A6100" t="s">
        <v>613</v>
      </c>
      <c r="B6100" t="s">
        <v>5</v>
      </c>
      <c r="C6100" s="1">
        <f>HYPERLINK("https://cao.dolgi.msk.ru/account/1011341964/", 1011341964)</f>
        <v>1011341964</v>
      </c>
      <c r="D6100">
        <v>0</v>
      </c>
    </row>
    <row r="6101" spans="1:4" x14ac:dyDescent="0.3">
      <c r="A6101" t="s">
        <v>613</v>
      </c>
      <c r="B6101" t="s">
        <v>7</v>
      </c>
      <c r="C6101" s="1">
        <f>HYPERLINK("https://cao.dolgi.msk.ru/account/1011342035/", 1011342035)</f>
        <v>1011342035</v>
      </c>
      <c r="D6101">
        <v>49703.15</v>
      </c>
    </row>
    <row r="6102" spans="1:4" hidden="1" x14ac:dyDescent="0.3">
      <c r="A6102" t="s">
        <v>613</v>
      </c>
      <c r="B6102" t="s">
        <v>8</v>
      </c>
      <c r="C6102" s="1">
        <f>HYPERLINK("https://cao.dolgi.msk.ru/account/1011342254/", 1011342254)</f>
        <v>1011342254</v>
      </c>
      <c r="D6102">
        <v>0</v>
      </c>
    </row>
    <row r="6103" spans="1:4" x14ac:dyDescent="0.3">
      <c r="A6103" t="s">
        <v>613</v>
      </c>
      <c r="B6103" t="s">
        <v>31</v>
      </c>
      <c r="C6103" s="1">
        <f>HYPERLINK("https://cao.dolgi.msk.ru/account/1011342078/", 1011342078)</f>
        <v>1011342078</v>
      </c>
      <c r="D6103">
        <v>12694.09</v>
      </c>
    </row>
    <row r="6104" spans="1:4" x14ac:dyDescent="0.3">
      <c r="A6104" t="s">
        <v>613</v>
      </c>
      <c r="B6104" t="s">
        <v>9</v>
      </c>
      <c r="C6104" s="1">
        <f>HYPERLINK("https://cao.dolgi.msk.ru/account/1011342027/", 1011342027)</f>
        <v>1011342027</v>
      </c>
      <c r="D6104">
        <v>1110.06</v>
      </c>
    </row>
    <row r="6105" spans="1:4" hidden="1" x14ac:dyDescent="0.3">
      <c r="A6105" t="s">
        <v>613</v>
      </c>
      <c r="B6105" t="s">
        <v>10</v>
      </c>
      <c r="C6105" s="1">
        <f>HYPERLINK("https://cao.dolgi.msk.ru/account/1011341905/", 1011341905)</f>
        <v>1011341905</v>
      </c>
      <c r="D6105">
        <v>0</v>
      </c>
    </row>
    <row r="6106" spans="1:4" hidden="1" x14ac:dyDescent="0.3">
      <c r="A6106" t="s">
        <v>613</v>
      </c>
      <c r="B6106" t="s">
        <v>11</v>
      </c>
      <c r="C6106" s="1">
        <f>HYPERLINK("https://cao.dolgi.msk.ru/account/1011341745/", 1011341745)</f>
        <v>1011341745</v>
      </c>
      <c r="D6106">
        <v>-3409.92</v>
      </c>
    </row>
    <row r="6107" spans="1:4" x14ac:dyDescent="0.3">
      <c r="A6107" t="s">
        <v>613</v>
      </c>
      <c r="B6107" t="s">
        <v>11</v>
      </c>
      <c r="C6107" s="1">
        <f>HYPERLINK("https://cao.dolgi.msk.ru/account/1011341788/", 1011341788)</f>
        <v>1011341788</v>
      </c>
      <c r="D6107">
        <v>10046.1</v>
      </c>
    </row>
    <row r="6108" spans="1:4" hidden="1" x14ac:dyDescent="0.3">
      <c r="A6108" t="s">
        <v>613</v>
      </c>
      <c r="B6108" t="s">
        <v>11</v>
      </c>
      <c r="C6108" s="1">
        <f>HYPERLINK("https://cao.dolgi.msk.ru/account/1011342289/", 1011342289)</f>
        <v>1011342289</v>
      </c>
      <c r="D6108">
        <v>-1291.08</v>
      </c>
    </row>
    <row r="6109" spans="1:4" hidden="1" x14ac:dyDescent="0.3">
      <c r="A6109" t="s">
        <v>613</v>
      </c>
      <c r="B6109" t="s">
        <v>12</v>
      </c>
      <c r="C6109" s="1">
        <f>HYPERLINK("https://cao.dolgi.msk.ru/account/1011341913/", 1011341913)</f>
        <v>1011341913</v>
      </c>
      <c r="D6109">
        <v>0</v>
      </c>
    </row>
    <row r="6110" spans="1:4" x14ac:dyDescent="0.3">
      <c r="A6110" t="s">
        <v>613</v>
      </c>
      <c r="B6110" t="s">
        <v>23</v>
      </c>
      <c r="C6110" s="1">
        <f>HYPERLINK("https://cao.dolgi.msk.ru/account/1011341809/", 1011341809)</f>
        <v>1011341809</v>
      </c>
      <c r="D6110">
        <v>6198.99</v>
      </c>
    </row>
    <row r="6111" spans="1:4" hidden="1" x14ac:dyDescent="0.3">
      <c r="A6111" t="s">
        <v>613</v>
      </c>
      <c r="B6111" t="s">
        <v>13</v>
      </c>
      <c r="C6111" s="1">
        <f>HYPERLINK("https://cao.dolgi.msk.ru/account/1011341649/", 1011341649)</f>
        <v>1011341649</v>
      </c>
      <c r="D6111">
        <v>0</v>
      </c>
    </row>
    <row r="6112" spans="1:4" hidden="1" x14ac:dyDescent="0.3">
      <c r="A6112" t="s">
        <v>613</v>
      </c>
      <c r="B6112" t="s">
        <v>14</v>
      </c>
      <c r="C6112" s="1">
        <f>HYPERLINK("https://cao.dolgi.msk.ru/account/1011341999/", 1011341999)</f>
        <v>1011341999</v>
      </c>
      <c r="D6112">
        <v>0</v>
      </c>
    </row>
    <row r="6113" spans="1:4" hidden="1" x14ac:dyDescent="0.3">
      <c r="A6113" t="s">
        <v>613</v>
      </c>
      <c r="B6113" t="s">
        <v>16</v>
      </c>
      <c r="C6113" s="1">
        <f>HYPERLINK("https://cao.dolgi.msk.ru/account/1011342086/", 1011342086)</f>
        <v>1011342086</v>
      </c>
      <c r="D6113">
        <v>0</v>
      </c>
    </row>
    <row r="6114" spans="1:4" hidden="1" x14ac:dyDescent="0.3">
      <c r="A6114" t="s">
        <v>613</v>
      </c>
      <c r="B6114" t="s">
        <v>18</v>
      </c>
      <c r="C6114" s="1">
        <f>HYPERLINK("https://cao.dolgi.msk.ru/account/1011342246/", 1011342246)</f>
        <v>1011342246</v>
      </c>
      <c r="D6114">
        <v>-9092.9</v>
      </c>
    </row>
    <row r="6115" spans="1:4" hidden="1" x14ac:dyDescent="0.3">
      <c r="A6115" t="s">
        <v>613</v>
      </c>
      <c r="B6115" t="s">
        <v>19</v>
      </c>
      <c r="C6115" s="1">
        <f>HYPERLINK("https://cao.dolgi.msk.ru/account/1011341921/", 1011341921)</f>
        <v>1011341921</v>
      </c>
      <c r="D6115">
        <v>-13656.69</v>
      </c>
    </row>
    <row r="6116" spans="1:4" hidden="1" x14ac:dyDescent="0.3">
      <c r="A6116" t="s">
        <v>613</v>
      </c>
      <c r="B6116" t="s">
        <v>20</v>
      </c>
      <c r="C6116" s="1">
        <f>HYPERLINK("https://cao.dolgi.msk.ru/account/1011342094/", 1011342094)</f>
        <v>1011342094</v>
      </c>
      <c r="D6116">
        <v>-463.1</v>
      </c>
    </row>
    <row r="6117" spans="1:4" hidden="1" x14ac:dyDescent="0.3">
      <c r="A6117" t="s">
        <v>613</v>
      </c>
      <c r="B6117" t="s">
        <v>21</v>
      </c>
      <c r="C6117" s="1">
        <f>HYPERLINK("https://cao.dolgi.msk.ru/account/1011341753/", 1011341753)</f>
        <v>1011341753</v>
      </c>
      <c r="D6117">
        <v>-10972.01</v>
      </c>
    </row>
    <row r="6118" spans="1:4" hidden="1" x14ac:dyDescent="0.3">
      <c r="A6118" t="s">
        <v>613</v>
      </c>
      <c r="B6118" t="s">
        <v>22</v>
      </c>
      <c r="C6118" s="1">
        <f>HYPERLINK("https://cao.dolgi.msk.ru/account/1011342107/", 1011342107)</f>
        <v>1011342107</v>
      </c>
      <c r="D6118">
        <v>-10352.709999999999</v>
      </c>
    </row>
    <row r="6119" spans="1:4" hidden="1" x14ac:dyDescent="0.3">
      <c r="A6119" t="s">
        <v>613</v>
      </c>
      <c r="B6119" t="s">
        <v>24</v>
      </c>
      <c r="C6119" s="1">
        <f>HYPERLINK("https://cao.dolgi.msk.ru/account/1011342211/", 1011342211)</f>
        <v>1011342211</v>
      </c>
      <c r="D6119">
        <v>0</v>
      </c>
    </row>
    <row r="6120" spans="1:4" hidden="1" x14ac:dyDescent="0.3">
      <c r="A6120" t="s">
        <v>613</v>
      </c>
      <c r="B6120" t="s">
        <v>25</v>
      </c>
      <c r="C6120" s="1">
        <f>HYPERLINK("https://cao.dolgi.msk.ru/account/1011341761/", 1011341761)</f>
        <v>1011341761</v>
      </c>
      <c r="D6120">
        <v>-189.89</v>
      </c>
    </row>
    <row r="6121" spans="1:4" hidden="1" x14ac:dyDescent="0.3">
      <c r="A6121" t="s">
        <v>613</v>
      </c>
      <c r="B6121" t="s">
        <v>26</v>
      </c>
      <c r="C6121" s="1">
        <f>HYPERLINK("https://cao.dolgi.msk.ru/account/1011342043/", 1011342043)</f>
        <v>1011342043</v>
      </c>
      <c r="D6121">
        <v>-62.34</v>
      </c>
    </row>
    <row r="6122" spans="1:4" hidden="1" x14ac:dyDescent="0.3">
      <c r="A6122" t="s">
        <v>613</v>
      </c>
      <c r="B6122" t="s">
        <v>27</v>
      </c>
      <c r="C6122" s="1">
        <f>HYPERLINK("https://cao.dolgi.msk.ru/account/1011341729/", 1011341729)</f>
        <v>1011341729</v>
      </c>
      <c r="D6122">
        <v>0</v>
      </c>
    </row>
    <row r="6123" spans="1:4" hidden="1" x14ac:dyDescent="0.3">
      <c r="A6123" t="s">
        <v>613</v>
      </c>
      <c r="B6123" t="s">
        <v>29</v>
      </c>
      <c r="C6123" s="1">
        <f>HYPERLINK("https://cao.dolgi.msk.ru/account/1011341956/", 1011341956)</f>
        <v>1011341956</v>
      </c>
      <c r="D6123">
        <v>0</v>
      </c>
    </row>
    <row r="6124" spans="1:4" hidden="1" x14ac:dyDescent="0.3">
      <c r="A6124" t="s">
        <v>613</v>
      </c>
      <c r="B6124" t="s">
        <v>38</v>
      </c>
      <c r="C6124" s="1">
        <f>HYPERLINK("https://cao.dolgi.msk.ru/account/1011342174/", 1011342174)</f>
        <v>1011342174</v>
      </c>
      <c r="D6124">
        <v>-46288.45</v>
      </c>
    </row>
    <row r="6125" spans="1:4" hidden="1" x14ac:dyDescent="0.3">
      <c r="A6125" t="s">
        <v>613</v>
      </c>
      <c r="B6125" t="s">
        <v>39</v>
      </c>
      <c r="C6125" s="1">
        <f>HYPERLINK("https://cao.dolgi.msk.ru/account/1011341673/", 1011341673)</f>
        <v>1011341673</v>
      </c>
      <c r="D6125">
        <v>-206.45</v>
      </c>
    </row>
    <row r="6126" spans="1:4" x14ac:dyDescent="0.3">
      <c r="A6126" t="s">
        <v>613</v>
      </c>
      <c r="B6126" t="s">
        <v>40</v>
      </c>
      <c r="C6126" s="1">
        <f>HYPERLINK("https://cao.dolgi.msk.ru/account/1011342115/", 1011342115)</f>
        <v>1011342115</v>
      </c>
      <c r="D6126">
        <v>15211.34</v>
      </c>
    </row>
    <row r="6127" spans="1:4" hidden="1" x14ac:dyDescent="0.3">
      <c r="A6127" t="s">
        <v>613</v>
      </c>
      <c r="B6127" t="s">
        <v>51</v>
      </c>
      <c r="C6127" s="1">
        <f>HYPERLINK("https://cao.dolgi.msk.ru/account/1011341817/", 1011341817)</f>
        <v>1011341817</v>
      </c>
      <c r="D6127">
        <v>0</v>
      </c>
    </row>
    <row r="6128" spans="1:4" hidden="1" x14ac:dyDescent="0.3">
      <c r="A6128" t="s">
        <v>613</v>
      </c>
      <c r="B6128" t="s">
        <v>52</v>
      </c>
      <c r="C6128" s="1">
        <f>HYPERLINK("https://cao.dolgi.msk.ru/account/1011342238/", 1011342238)</f>
        <v>1011342238</v>
      </c>
      <c r="D6128">
        <v>-148.02000000000001</v>
      </c>
    </row>
    <row r="6129" spans="1:4" hidden="1" x14ac:dyDescent="0.3">
      <c r="A6129" t="s">
        <v>613</v>
      </c>
      <c r="B6129" t="s">
        <v>53</v>
      </c>
      <c r="C6129" s="1">
        <f>HYPERLINK("https://cao.dolgi.msk.ru/account/1011341665/", 1011341665)</f>
        <v>1011341665</v>
      </c>
      <c r="D6129">
        <v>0</v>
      </c>
    </row>
    <row r="6130" spans="1:4" hidden="1" x14ac:dyDescent="0.3">
      <c r="A6130" t="s">
        <v>613</v>
      </c>
      <c r="B6130" t="s">
        <v>54</v>
      </c>
      <c r="C6130" s="1">
        <f>HYPERLINK("https://cao.dolgi.msk.ru/account/1011341868/", 1011341868)</f>
        <v>1011341868</v>
      </c>
      <c r="D6130">
        <v>0</v>
      </c>
    </row>
    <row r="6131" spans="1:4" hidden="1" x14ac:dyDescent="0.3">
      <c r="A6131" t="s">
        <v>613</v>
      </c>
      <c r="B6131" t="s">
        <v>55</v>
      </c>
      <c r="C6131" s="1">
        <f>HYPERLINK("https://cao.dolgi.msk.ru/account/1011341833/", 1011341833)</f>
        <v>1011341833</v>
      </c>
      <c r="D6131">
        <v>-886.28</v>
      </c>
    </row>
    <row r="6132" spans="1:4" hidden="1" x14ac:dyDescent="0.3">
      <c r="A6132" t="s">
        <v>613</v>
      </c>
      <c r="B6132" t="s">
        <v>56</v>
      </c>
      <c r="C6132" s="1">
        <f>HYPERLINK("https://cao.dolgi.msk.ru/account/1011342123/", 1011342123)</f>
        <v>1011342123</v>
      </c>
      <c r="D6132">
        <v>0</v>
      </c>
    </row>
    <row r="6133" spans="1:4" hidden="1" x14ac:dyDescent="0.3">
      <c r="A6133" t="s">
        <v>613</v>
      </c>
      <c r="B6133" t="s">
        <v>87</v>
      </c>
      <c r="C6133" s="1">
        <f>HYPERLINK("https://cao.dolgi.msk.ru/account/1011385676/", 1011385676)</f>
        <v>1011385676</v>
      </c>
      <c r="D6133">
        <v>0</v>
      </c>
    </row>
    <row r="6134" spans="1:4" hidden="1" x14ac:dyDescent="0.3">
      <c r="A6134" t="s">
        <v>613</v>
      </c>
      <c r="B6134" t="s">
        <v>88</v>
      </c>
      <c r="C6134" s="1">
        <f>HYPERLINK("https://cao.dolgi.msk.ru/account/1011341657/", 1011341657)</f>
        <v>1011341657</v>
      </c>
      <c r="D6134">
        <v>0</v>
      </c>
    </row>
    <row r="6135" spans="1:4" hidden="1" x14ac:dyDescent="0.3">
      <c r="A6135" t="s">
        <v>613</v>
      </c>
      <c r="B6135" t="s">
        <v>89</v>
      </c>
      <c r="C6135" s="1">
        <f>HYPERLINK("https://cao.dolgi.msk.ru/account/1011342131/", 1011342131)</f>
        <v>1011342131</v>
      </c>
      <c r="D6135">
        <v>0</v>
      </c>
    </row>
    <row r="6136" spans="1:4" hidden="1" x14ac:dyDescent="0.3">
      <c r="A6136" t="s">
        <v>613</v>
      </c>
      <c r="B6136" t="s">
        <v>90</v>
      </c>
      <c r="C6136" s="1">
        <f>HYPERLINK("https://cao.dolgi.msk.ru/account/1011341972/", 1011341972)</f>
        <v>1011341972</v>
      </c>
      <c r="D6136">
        <v>0</v>
      </c>
    </row>
    <row r="6137" spans="1:4" hidden="1" x14ac:dyDescent="0.3">
      <c r="A6137" t="s">
        <v>613</v>
      </c>
      <c r="B6137" t="s">
        <v>96</v>
      </c>
      <c r="C6137" s="1">
        <f>HYPERLINK("https://cao.dolgi.msk.ru/account/1011342158/", 1011342158)</f>
        <v>1011342158</v>
      </c>
      <c r="D6137">
        <v>0</v>
      </c>
    </row>
    <row r="6138" spans="1:4" hidden="1" x14ac:dyDescent="0.3">
      <c r="A6138" t="s">
        <v>613</v>
      </c>
      <c r="B6138" t="s">
        <v>97</v>
      </c>
      <c r="C6138" s="1">
        <f>HYPERLINK("https://cao.dolgi.msk.ru/account/1011341681/", 1011341681)</f>
        <v>1011341681</v>
      </c>
      <c r="D6138">
        <v>0</v>
      </c>
    </row>
    <row r="6139" spans="1:4" hidden="1" x14ac:dyDescent="0.3">
      <c r="A6139" t="s">
        <v>613</v>
      </c>
      <c r="B6139" t="s">
        <v>98</v>
      </c>
      <c r="C6139" s="1">
        <f>HYPERLINK("https://cao.dolgi.msk.ru/account/1011341948/", 1011341948)</f>
        <v>1011341948</v>
      </c>
      <c r="D6139">
        <v>0</v>
      </c>
    </row>
    <row r="6140" spans="1:4" hidden="1" x14ac:dyDescent="0.3">
      <c r="A6140" t="s">
        <v>613</v>
      </c>
      <c r="B6140" t="s">
        <v>58</v>
      </c>
      <c r="C6140" s="1">
        <f>HYPERLINK("https://cao.dolgi.msk.ru/account/1011341622/", 1011341622)</f>
        <v>1011341622</v>
      </c>
      <c r="D6140">
        <v>0</v>
      </c>
    </row>
    <row r="6141" spans="1:4" x14ac:dyDescent="0.3">
      <c r="A6141" t="s">
        <v>613</v>
      </c>
      <c r="B6141" t="s">
        <v>59</v>
      </c>
      <c r="C6141" s="1">
        <f>HYPERLINK("https://cao.dolgi.msk.ru/account/1011342051/", 1011342051)</f>
        <v>1011342051</v>
      </c>
      <c r="D6141">
        <v>6339.53</v>
      </c>
    </row>
    <row r="6142" spans="1:4" x14ac:dyDescent="0.3">
      <c r="A6142" t="s">
        <v>613</v>
      </c>
      <c r="B6142" t="s">
        <v>60</v>
      </c>
      <c r="C6142" s="1">
        <f>HYPERLINK("https://cao.dolgi.msk.ru/account/1011341825/", 1011341825)</f>
        <v>1011341825</v>
      </c>
      <c r="D6142">
        <v>26007.89</v>
      </c>
    </row>
    <row r="6143" spans="1:4" hidden="1" x14ac:dyDescent="0.3">
      <c r="A6143" t="s">
        <v>613</v>
      </c>
      <c r="B6143" t="s">
        <v>61</v>
      </c>
      <c r="C6143" s="1">
        <f>HYPERLINK("https://cao.dolgi.msk.ru/account/1011341892/", 1011341892)</f>
        <v>1011341892</v>
      </c>
      <c r="D6143">
        <v>-42058.720000000001</v>
      </c>
    </row>
    <row r="6144" spans="1:4" x14ac:dyDescent="0.3">
      <c r="A6144" t="s">
        <v>613</v>
      </c>
      <c r="B6144" t="s">
        <v>62</v>
      </c>
      <c r="C6144" s="1">
        <f>HYPERLINK("https://cao.dolgi.msk.ru/account/1011342182/", 1011342182)</f>
        <v>1011342182</v>
      </c>
      <c r="D6144">
        <v>7830.54</v>
      </c>
    </row>
    <row r="6145" spans="1:4" hidden="1" x14ac:dyDescent="0.3">
      <c r="A6145" t="s">
        <v>613</v>
      </c>
      <c r="B6145" t="s">
        <v>62</v>
      </c>
      <c r="C6145" s="1">
        <f>HYPERLINK("https://cao.dolgi.msk.ru/account/1011342203/", 1011342203)</f>
        <v>1011342203</v>
      </c>
      <c r="D6145">
        <v>0</v>
      </c>
    </row>
    <row r="6146" spans="1:4" hidden="1" x14ac:dyDescent="0.3">
      <c r="A6146" t="s">
        <v>613</v>
      </c>
      <c r="B6146" t="s">
        <v>63</v>
      </c>
      <c r="C6146" s="1">
        <f>HYPERLINK("https://cao.dolgi.msk.ru/account/1011342262/", 1011342262)</f>
        <v>1011342262</v>
      </c>
      <c r="D6146">
        <v>-5213.8599999999997</v>
      </c>
    </row>
    <row r="6147" spans="1:4" hidden="1" x14ac:dyDescent="0.3">
      <c r="A6147" t="s">
        <v>613</v>
      </c>
      <c r="B6147" t="s">
        <v>64</v>
      </c>
      <c r="C6147" s="1">
        <f>HYPERLINK("https://cao.dolgi.msk.ru/account/1011342019/", 1011342019)</f>
        <v>1011342019</v>
      </c>
      <c r="D6147">
        <v>0</v>
      </c>
    </row>
    <row r="6148" spans="1:4" x14ac:dyDescent="0.3">
      <c r="A6148" t="s">
        <v>613</v>
      </c>
      <c r="B6148" t="s">
        <v>65</v>
      </c>
      <c r="C6148" s="1">
        <f>HYPERLINK("https://cao.dolgi.msk.ru/account/1011342166/", 1011342166)</f>
        <v>1011342166</v>
      </c>
      <c r="D6148">
        <v>5652.7</v>
      </c>
    </row>
    <row r="6149" spans="1:4" hidden="1" x14ac:dyDescent="0.3">
      <c r="A6149" t="s">
        <v>613</v>
      </c>
      <c r="B6149" t="s">
        <v>66</v>
      </c>
      <c r="C6149" s="1">
        <f>HYPERLINK("https://cao.dolgi.msk.ru/account/1011341841/", 1011341841)</f>
        <v>1011341841</v>
      </c>
      <c r="D6149">
        <v>0</v>
      </c>
    </row>
    <row r="6150" spans="1:4" x14ac:dyDescent="0.3">
      <c r="A6150" t="s">
        <v>613</v>
      </c>
      <c r="B6150" t="s">
        <v>67</v>
      </c>
      <c r="C6150" s="1">
        <f>HYPERLINK("https://cao.dolgi.msk.ru/account/1011341884/", 1011341884)</f>
        <v>1011341884</v>
      </c>
      <c r="D6150">
        <v>12743.92</v>
      </c>
    </row>
    <row r="6151" spans="1:4" x14ac:dyDescent="0.3">
      <c r="A6151" t="s">
        <v>614</v>
      </c>
      <c r="B6151" t="s">
        <v>6</v>
      </c>
      <c r="C6151" s="1">
        <f>HYPERLINK("https://cao.dolgi.msk.ru/account/1011468826/", 1011468826)</f>
        <v>1011468826</v>
      </c>
      <c r="D6151">
        <v>15537.86</v>
      </c>
    </row>
    <row r="6152" spans="1:4" hidden="1" x14ac:dyDescent="0.3">
      <c r="A6152" t="s">
        <v>614</v>
      </c>
      <c r="B6152" t="s">
        <v>28</v>
      </c>
      <c r="C6152" s="1">
        <f>HYPERLINK("https://cao.dolgi.msk.ru/account/1011468754/", 1011468754)</f>
        <v>1011468754</v>
      </c>
      <c r="D6152">
        <v>-8686.1</v>
      </c>
    </row>
    <row r="6153" spans="1:4" x14ac:dyDescent="0.3">
      <c r="A6153" t="s">
        <v>614</v>
      </c>
      <c r="B6153" t="s">
        <v>35</v>
      </c>
      <c r="C6153" s="1">
        <f>HYPERLINK("https://cao.dolgi.msk.ru/account/1011468623/", 1011468623)</f>
        <v>1011468623</v>
      </c>
      <c r="D6153">
        <v>15209.96</v>
      </c>
    </row>
    <row r="6154" spans="1:4" hidden="1" x14ac:dyDescent="0.3">
      <c r="A6154" t="s">
        <v>614</v>
      </c>
      <c r="B6154" t="s">
        <v>5</v>
      </c>
      <c r="C6154" s="1">
        <f>HYPERLINK("https://cao.dolgi.msk.ru/account/1011468906/", 1011468906)</f>
        <v>1011468906</v>
      </c>
      <c r="D6154">
        <v>0</v>
      </c>
    </row>
    <row r="6155" spans="1:4" hidden="1" x14ac:dyDescent="0.3">
      <c r="A6155" t="s">
        <v>614</v>
      </c>
      <c r="B6155" t="s">
        <v>7</v>
      </c>
      <c r="C6155" s="1">
        <f>HYPERLINK("https://cao.dolgi.msk.ru/account/1011468295/", 1011468295)</f>
        <v>1011468295</v>
      </c>
      <c r="D6155">
        <v>0</v>
      </c>
    </row>
    <row r="6156" spans="1:4" hidden="1" x14ac:dyDescent="0.3">
      <c r="A6156" t="s">
        <v>614</v>
      </c>
      <c r="B6156" t="s">
        <v>8</v>
      </c>
      <c r="C6156" s="1">
        <f>HYPERLINK("https://cao.dolgi.msk.ru/account/1011468332/", 1011468332)</f>
        <v>1011468332</v>
      </c>
      <c r="D6156">
        <v>0</v>
      </c>
    </row>
    <row r="6157" spans="1:4" hidden="1" x14ac:dyDescent="0.3">
      <c r="A6157" t="s">
        <v>614</v>
      </c>
      <c r="B6157" t="s">
        <v>31</v>
      </c>
      <c r="C6157" s="1">
        <f>HYPERLINK("https://cao.dolgi.msk.ru/account/1011468762/", 1011468762)</f>
        <v>1011468762</v>
      </c>
      <c r="D6157">
        <v>0</v>
      </c>
    </row>
    <row r="6158" spans="1:4" x14ac:dyDescent="0.3">
      <c r="A6158" t="s">
        <v>614</v>
      </c>
      <c r="B6158" t="s">
        <v>9</v>
      </c>
      <c r="C6158" s="1">
        <f>HYPERLINK("https://cao.dolgi.msk.ru/account/1011468404/", 1011468404)</f>
        <v>1011468404</v>
      </c>
      <c r="D6158">
        <v>11793.14</v>
      </c>
    </row>
    <row r="6159" spans="1:4" hidden="1" x14ac:dyDescent="0.3">
      <c r="A6159" t="s">
        <v>614</v>
      </c>
      <c r="B6159" t="s">
        <v>10</v>
      </c>
      <c r="C6159" s="1">
        <f>HYPERLINK("https://cao.dolgi.msk.ru/account/1011468316/", 1011468316)</f>
        <v>1011468316</v>
      </c>
      <c r="D6159">
        <v>0</v>
      </c>
    </row>
    <row r="6160" spans="1:4" hidden="1" x14ac:dyDescent="0.3">
      <c r="A6160" t="s">
        <v>614</v>
      </c>
      <c r="B6160" t="s">
        <v>11</v>
      </c>
      <c r="C6160" s="1">
        <f>HYPERLINK("https://cao.dolgi.msk.ru/account/1011468244/", 1011468244)</f>
        <v>1011468244</v>
      </c>
      <c r="D6160">
        <v>0</v>
      </c>
    </row>
    <row r="6161" spans="1:4" hidden="1" x14ac:dyDescent="0.3">
      <c r="A6161" t="s">
        <v>614</v>
      </c>
      <c r="B6161" t="s">
        <v>12</v>
      </c>
      <c r="C6161" s="1">
        <f>HYPERLINK("https://cao.dolgi.msk.ru/account/1011467903/", 1011467903)</f>
        <v>1011467903</v>
      </c>
      <c r="D6161">
        <v>0</v>
      </c>
    </row>
    <row r="6162" spans="1:4" hidden="1" x14ac:dyDescent="0.3">
      <c r="A6162" t="s">
        <v>614</v>
      </c>
      <c r="B6162" t="s">
        <v>12</v>
      </c>
      <c r="C6162" s="1">
        <f>HYPERLINK("https://cao.dolgi.msk.ru/account/1011468869/", 1011468869)</f>
        <v>1011468869</v>
      </c>
      <c r="D6162">
        <v>-62.3</v>
      </c>
    </row>
    <row r="6163" spans="1:4" hidden="1" x14ac:dyDescent="0.3">
      <c r="A6163" t="s">
        <v>614</v>
      </c>
      <c r="B6163" t="s">
        <v>23</v>
      </c>
      <c r="C6163" s="1">
        <f>HYPERLINK("https://cao.dolgi.msk.ru/account/1011468121/", 1011468121)</f>
        <v>1011468121</v>
      </c>
      <c r="D6163">
        <v>-10391.040000000001</v>
      </c>
    </row>
    <row r="6164" spans="1:4" hidden="1" x14ac:dyDescent="0.3">
      <c r="A6164" t="s">
        <v>614</v>
      </c>
      <c r="B6164" t="s">
        <v>23</v>
      </c>
      <c r="C6164" s="1">
        <f>HYPERLINK("https://cao.dolgi.msk.ru/account/1011468201/", 1011468201)</f>
        <v>1011468201</v>
      </c>
      <c r="D6164">
        <v>0</v>
      </c>
    </row>
    <row r="6165" spans="1:4" x14ac:dyDescent="0.3">
      <c r="A6165" t="s">
        <v>614</v>
      </c>
      <c r="B6165" t="s">
        <v>13</v>
      </c>
      <c r="C6165" s="1">
        <f>HYPERLINK("https://cao.dolgi.msk.ru/account/1011468412/", 1011468412)</f>
        <v>1011468412</v>
      </c>
      <c r="D6165">
        <v>34046.86</v>
      </c>
    </row>
    <row r="6166" spans="1:4" hidden="1" x14ac:dyDescent="0.3">
      <c r="A6166" t="s">
        <v>614</v>
      </c>
      <c r="B6166" t="s">
        <v>14</v>
      </c>
      <c r="C6166" s="1">
        <f>HYPERLINK("https://cao.dolgi.msk.ru/account/1011468279/", 1011468279)</f>
        <v>1011468279</v>
      </c>
      <c r="D6166">
        <v>0</v>
      </c>
    </row>
    <row r="6167" spans="1:4" x14ac:dyDescent="0.3">
      <c r="A6167" t="s">
        <v>614</v>
      </c>
      <c r="B6167" t="s">
        <v>14</v>
      </c>
      <c r="C6167" s="1">
        <f>HYPERLINK("https://cao.dolgi.msk.ru/account/1011468359/", 1011468359)</f>
        <v>1011468359</v>
      </c>
      <c r="D6167">
        <v>60875.37</v>
      </c>
    </row>
    <row r="6168" spans="1:4" hidden="1" x14ac:dyDescent="0.3">
      <c r="A6168" t="s">
        <v>614</v>
      </c>
      <c r="B6168" t="s">
        <v>16</v>
      </c>
      <c r="C6168" s="1">
        <f>HYPERLINK("https://cao.dolgi.msk.ru/account/1011468025/", 1011468025)</f>
        <v>1011468025</v>
      </c>
      <c r="D6168">
        <v>0</v>
      </c>
    </row>
    <row r="6169" spans="1:4" hidden="1" x14ac:dyDescent="0.3">
      <c r="A6169" t="s">
        <v>614</v>
      </c>
      <c r="B6169" t="s">
        <v>17</v>
      </c>
      <c r="C6169" s="1">
        <f>HYPERLINK("https://cao.dolgi.msk.ru/account/1011468594/", 1011468594)</f>
        <v>1011468594</v>
      </c>
      <c r="D6169">
        <v>-256.67</v>
      </c>
    </row>
    <row r="6170" spans="1:4" x14ac:dyDescent="0.3">
      <c r="A6170" t="s">
        <v>614</v>
      </c>
      <c r="B6170" t="s">
        <v>18</v>
      </c>
      <c r="C6170" s="1">
        <f>HYPERLINK("https://cao.dolgi.msk.ru/account/1011468236/", 1011468236)</f>
        <v>1011468236</v>
      </c>
      <c r="D6170">
        <v>10347.530000000001</v>
      </c>
    </row>
    <row r="6171" spans="1:4" hidden="1" x14ac:dyDescent="0.3">
      <c r="A6171" t="s">
        <v>614</v>
      </c>
      <c r="B6171" t="s">
        <v>19</v>
      </c>
      <c r="C6171" s="1">
        <f>HYPERLINK("https://cao.dolgi.msk.ru/account/1011467954/", 1011467954)</f>
        <v>1011467954</v>
      </c>
      <c r="D6171">
        <v>0</v>
      </c>
    </row>
    <row r="6172" spans="1:4" hidden="1" x14ac:dyDescent="0.3">
      <c r="A6172" t="s">
        <v>614</v>
      </c>
      <c r="B6172" t="s">
        <v>20</v>
      </c>
      <c r="C6172" s="1">
        <f>HYPERLINK("https://cao.dolgi.msk.ru/account/1011468885/", 1011468885)</f>
        <v>1011468885</v>
      </c>
      <c r="D6172">
        <v>0</v>
      </c>
    </row>
    <row r="6173" spans="1:4" x14ac:dyDescent="0.3">
      <c r="A6173" t="s">
        <v>614</v>
      </c>
      <c r="B6173" t="s">
        <v>21</v>
      </c>
      <c r="C6173" s="1">
        <f>HYPERLINK("https://cao.dolgi.msk.ru/account/1011468738/", 1011468738)</f>
        <v>1011468738</v>
      </c>
      <c r="D6173">
        <v>18112.240000000002</v>
      </c>
    </row>
    <row r="6174" spans="1:4" hidden="1" x14ac:dyDescent="0.3">
      <c r="A6174" t="s">
        <v>614</v>
      </c>
      <c r="B6174" t="s">
        <v>22</v>
      </c>
      <c r="C6174" s="1">
        <f>HYPERLINK("https://cao.dolgi.msk.ru/account/1011468834/", 1011468834)</f>
        <v>1011468834</v>
      </c>
      <c r="D6174">
        <v>0</v>
      </c>
    </row>
    <row r="6175" spans="1:4" x14ac:dyDescent="0.3">
      <c r="A6175" t="s">
        <v>614</v>
      </c>
      <c r="B6175" t="s">
        <v>24</v>
      </c>
      <c r="C6175" s="1">
        <f>HYPERLINK("https://cao.dolgi.msk.ru/account/1011467997/", 1011467997)</f>
        <v>1011467997</v>
      </c>
      <c r="D6175">
        <v>5438.91</v>
      </c>
    </row>
    <row r="6176" spans="1:4" hidden="1" x14ac:dyDescent="0.3">
      <c r="A6176" t="s">
        <v>614</v>
      </c>
      <c r="B6176" t="s">
        <v>25</v>
      </c>
      <c r="C6176" s="1">
        <f>HYPERLINK("https://cao.dolgi.msk.ru/account/1011468017/", 1011468017)</f>
        <v>1011468017</v>
      </c>
      <c r="D6176">
        <v>-8826.41</v>
      </c>
    </row>
    <row r="6177" spans="1:4" hidden="1" x14ac:dyDescent="0.3">
      <c r="A6177" t="s">
        <v>614</v>
      </c>
      <c r="B6177" t="s">
        <v>26</v>
      </c>
      <c r="C6177" s="1">
        <f>HYPERLINK("https://cao.dolgi.msk.ru/account/1011468148/", 1011468148)</f>
        <v>1011468148</v>
      </c>
      <c r="D6177">
        <v>0</v>
      </c>
    </row>
    <row r="6178" spans="1:4" hidden="1" x14ac:dyDescent="0.3">
      <c r="A6178" t="s">
        <v>614</v>
      </c>
      <c r="B6178" t="s">
        <v>26</v>
      </c>
      <c r="C6178" s="1">
        <f>HYPERLINK("https://cao.dolgi.msk.ru/account/1011468607/", 1011468607)</f>
        <v>1011468607</v>
      </c>
      <c r="D6178">
        <v>0</v>
      </c>
    </row>
    <row r="6179" spans="1:4" hidden="1" x14ac:dyDescent="0.3">
      <c r="A6179" t="s">
        <v>614</v>
      </c>
      <c r="B6179" t="s">
        <v>27</v>
      </c>
      <c r="C6179" s="1">
        <f>HYPERLINK("https://cao.dolgi.msk.ru/account/1011468041/", 1011468041)</f>
        <v>1011468041</v>
      </c>
      <c r="D6179">
        <v>0</v>
      </c>
    </row>
    <row r="6180" spans="1:4" hidden="1" x14ac:dyDescent="0.3">
      <c r="A6180" t="s">
        <v>614</v>
      </c>
      <c r="B6180" t="s">
        <v>29</v>
      </c>
      <c r="C6180" s="1">
        <f>HYPERLINK("https://cao.dolgi.msk.ru/account/1011468156/", 1011468156)</f>
        <v>1011468156</v>
      </c>
      <c r="D6180">
        <v>-31.21</v>
      </c>
    </row>
    <row r="6181" spans="1:4" hidden="1" x14ac:dyDescent="0.3">
      <c r="A6181" t="s">
        <v>614</v>
      </c>
      <c r="B6181" t="s">
        <v>38</v>
      </c>
      <c r="C6181" s="1">
        <f>HYPERLINK("https://cao.dolgi.msk.ru/account/1011468578/", 1011468578)</f>
        <v>1011468578</v>
      </c>
      <c r="D6181">
        <v>-65963.67</v>
      </c>
    </row>
    <row r="6182" spans="1:4" hidden="1" x14ac:dyDescent="0.3">
      <c r="A6182" t="s">
        <v>614</v>
      </c>
      <c r="B6182" t="s">
        <v>39</v>
      </c>
      <c r="C6182" s="1">
        <f>HYPERLINK("https://cao.dolgi.msk.ru/account/1011468658/", 1011468658)</f>
        <v>1011468658</v>
      </c>
      <c r="D6182">
        <v>0</v>
      </c>
    </row>
    <row r="6183" spans="1:4" hidden="1" x14ac:dyDescent="0.3">
      <c r="A6183" t="s">
        <v>614</v>
      </c>
      <c r="B6183" t="s">
        <v>40</v>
      </c>
      <c r="C6183" s="1">
        <f>HYPERLINK("https://cao.dolgi.msk.ru/account/1011468455/", 1011468455)</f>
        <v>1011468455</v>
      </c>
      <c r="D6183">
        <v>0</v>
      </c>
    </row>
    <row r="6184" spans="1:4" hidden="1" x14ac:dyDescent="0.3">
      <c r="A6184" t="s">
        <v>614</v>
      </c>
      <c r="B6184" t="s">
        <v>40</v>
      </c>
      <c r="C6184" s="1">
        <f>HYPERLINK("https://cao.dolgi.msk.ru/account/1011468471/", 1011468471)</f>
        <v>1011468471</v>
      </c>
      <c r="D6184">
        <v>0</v>
      </c>
    </row>
    <row r="6185" spans="1:4" hidden="1" x14ac:dyDescent="0.3">
      <c r="A6185" t="s">
        <v>614</v>
      </c>
      <c r="B6185" t="s">
        <v>41</v>
      </c>
      <c r="C6185" s="1">
        <f>HYPERLINK("https://cao.dolgi.msk.ru/account/1011468631/", 1011468631)</f>
        <v>1011468631</v>
      </c>
      <c r="D6185">
        <v>0</v>
      </c>
    </row>
    <row r="6186" spans="1:4" hidden="1" x14ac:dyDescent="0.3">
      <c r="A6186" t="s">
        <v>614</v>
      </c>
      <c r="B6186" t="s">
        <v>51</v>
      </c>
      <c r="C6186" s="1">
        <f>HYPERLINK("https://cao.dolgi.msk.ru/account/1011468375/", 1011468375)</f>
        <v>1011468375</v>
      </c>
      <c r="D6186">
        <v>0</v>
      </c>
    </row>
    <row r="6187" spans="1:4" x14ac:dyDescent="0.3">
      <c r="A6187" t="s">
        <v>614</v>
      </c>
      <c r="B6187" t="s">
        <v>52</v>
      </c>
      <c r="C6187" s="1">
        <f>HYPERLINK("https://cao.dolgi.msk.ru/account/1011467989/", 1011467989)</f>
        <v>1011467989</v>
      </c>
      <c r="D6187">
        <v>10854.54</v>
      </c>
    </row>
    <row r="6188" spans="1:4" hidden="1" x14ac:dyDescent="0.3">
      <c r="A6188" t="s">
        <v>614</v>
      </c>
      <c r="B6188" t="s">
        <v>53</v>
      </c>
      <c r="C6188" s="1">
        <f>HYPERLINK("https://cao.dolgi.msk.ru/account/1011467962/", 1011467962)</f>
        <v>1011467962</v>
      </c>
      <c r="D6188">
        <v>0</v>
      </c>
    </row>
    <row r="6189" spans="1:4" hidden="1" x14ac:dyDescent="0.3">
      <c r="A6189" t="s">
        <v>614</v>
      </c>
      <c r="B6189" t="s">
        <v>54</v>
      </c>
      <c r="C6189" s="1">
        <f>HYPERLINK("https://cao.dolgi.msk.ru/account/1011467882/", 1011467882)</f>
        <v>1011467882</v>
      </c>
      <c r="D6189">
        <v>-16419.240000000002</v>
      </c>
    </row>
    <row r="6190" spans="1:4" hidden="1" x14ac:dyDescent="0.3">
      <c r="A6190" t="s">
        <v>614</v>
      </c>
      <c r="B6190" t="s">
        <v>55</v>
      </c>
      <c r="C6190" s="1">
        <f>HYPERLINK("https://cao.dolgi.msk.ru/account/1011468666/", 1011468666)</f>
        <v>1011468666</v>
      </c>
      <c r="D6190">
        <v>0</v>
      </c>
    </row>
    <row r="6191" spans="1:4" hidden="1" x14ac:dyDescent="0.3">
      <c r="A6191" t="s">
        <v>614</v>
      </c>
      <c r="B6191" t="s">
        <v>56</v>
      </c>
      <c r="C6191" s="1">
        <f>HYPERLINK("https://cao.dolgi.msk.ru/account/1011467911/", 1011467911)</f>
        <v>1011467911</v>
      </c>
      <c r="D6191">
        <v>-2858.59</v>
      </c>
    </row>
    <row r="6192" spans="1:4" hidden="1" x14ac:dyDescent="0.3">
      <c r="A6192" t="s">
        <v>614</v>
      </c>
      <c r="B6192" t="s">
        <v>56</v>
      </c>
      <c r="C6192" s="1">
        <f>HYPERLINK("https://cao.dolgi.msk.ru/account/1011468551/", 1011468551)</f>
        <v>1011468551</v>
      </c>
      <c r="D6192">
        <v>-1429.27</v>
      </c>
    </row>
    <row r="6193" spans="1:4" hidden="1" x14ac:dyDescent="0.3">
      <c r="A6193" t="s">
        <v>614</v>
      </c>
      <c r="B6193" t="s">
        <v>56</v>
      </c>
      <c r="C6193" s="1">
        <f>HYPERLINK("https://cao.dolgi.msk.ru/account/1011468703/", 1011468703)</f>
        <v>1011468703</v>
      </c>
      <c r="D6193">
        <v>0</v>
      </c>
    </row>
    <row r="6194" spans="1:4" hidden="1" x14ac:dyDescent="0.3">
      <c r="A6194" t="s">
        <v>614</v>
      </c>
      <c r="B6194" t="s">
        <v>87</v>
      </c>
      <c r="C6194" s="1">
        <f>HYPERLINK("https://cao.dolgi.msk.ru/account/1011468797/", 1011468797)</f>
        <v>1011468797</v>
      </c>
      <c r="D6194">
        <v>0</v>
      </c>
    </row>
    <row r="6195" spans="1:4" x14ac:dyDescent="0.3">
      <c r="A6195" t="s">
        <v>614</v>
      </c>
      <c r="B6195" t="s">
        <v>88</v>
      </c>
      <c r="C6195" s="1">
        <f>HYPERLINK("https://cao.dolgi.msk.ru/account/1011468287/", 1011468287)</f>
        <v>1011468287</v>
      </c>
      <c r="D6195">
        <v>16641.63</v>
      </c>
    </row>
    <row r="6196" spans="1:4" x14ac:dyDescent="0.3">
      <c r="A6196" t="s">
        <v>614</v>
      </c>
      <c r="B6196" t="s">
        <v>89</v>
      </c>
      <c r="C6196" s="1">
        <f>HYPERLINK("https://cao.dolgi.msk.ru/account/1011468172/", 1011468172)</f>
        <v>1011468172</v>
      </c>
      <c r="D6196">
        <v>95332.21</v>
      </c>
    </row>
    <row r="6197" spans="1:4" hidden="1" x14ac:dyDescent="0.3">
      <c r="A6197" t="s">
        <v>614</v>
      </c>
      <c r="B6197" t="s">
        <v>90</v>
      </c>
      <c r="C6197" s="1">
        <f>HYPERLINK("https://cao.dolgi.msk.ru/account/1011468615/", 1011468615)</f>
        <v>1011468615</v>
      </c>
      <c r="D6197">
        <v>0</v>
      </c>
    </row>
    <row r="6198" spans="1:4" hidden="1" x14ac:dyDescent="0.3">
      <c r="A6198" t="s">
        <v>614</v>
      </c>
      <c r="B6198" t="s">
        <v>96</v>
      </c>
      <c r="C6198" s="1">
        <f>HYPERLINK("https://cao.dolgi.msk.ru/account/1011467946/", 1011467946)</f>
        <v>1011467946</v>
      </c>
      <c r="D6198">
        <v>-5354.93</v>
      </c>
    </row>
    <row r="6199" spans="1:4" x14ac:dyDescent="0.3">
      <c r="A6199" t="s">
        <v>614</v>
      </c>
      <c r="B6199" t="s">
        <v>96</v>
      </c>
      <c r="C6199" s="1">
        <f>HYPERLINK("https://cao.dolgi.msk.ru/account/1011468711/", 1011468711)</f>
        <v>1011468711</v>
      </c>
      <c r="D6199">
        <v>991825.89</v>
      </c>
    </row>
    <row r="6200" spans="1:4" hidden="1" x14ac:dyDescent="0.3">
      <c r="A6200" t="s">
        <v>614</v>
      </c>
      <c r="B6200" t="s">
        <v>96</v>
      </c>
      <c r="C6200" s="1">
        <f>HYPERLINK("https://cao.dolgi.msk.ru/account/1011468818/", 1011468818)</f>
        <v>1011468818</v>
      </c>
      <c r="D6200">
        <v>0</v>
      </c>
    </row>
    <row r="6201" spans="1:4" x14ac:dyDescent="0.3">
      <c r="A6201" t="s">
        <v>614</v>
      </c>
      <c r="B6201" t="s">
        <v>96</v>
      </c>
      <c r="C6201" s="1">
        <f>HYPERLINK("https://cao.dolgi.msk.ru/account/1011468914/", 1011468914)</f>
        <v>1011468914</v>
      </c>
      <c r="D6201">
        <v>64040.38</v>
      </c>
    </row>
    <row r="6202" spans="1:4" hidden="1" x14ac:dyDescent="0.3">
      <c r="A6202" t="s">
        <v>614</v>
      </c>
      <c r="B6202" t="s">
        <v>97</v>
      </c>
      <c r="C6202" s="1">
        <f>HYPERLINK("https://cao.dolgi.msk.ru/account/1011468922/", 1011468922)</f>
        <v>1011468922</v>
      </c>
      <c r="D6202">
        <v>-2593.02</v>
      </c>
    </row>
    <row r="6203" spans="1:4" hidden="1" x14ac:dyDescent="0.3">
      <c r="A6203" t="s">
        <v>614</v>
      </c>
      <c r="B6203" t="s">
        <v>98</v>
      </c>
      <c r="C6203" s="1">
        <f>HYPERLINK("https://cao.dolgi.msk.ru/account/1011468068/", 1011468068)</f>
        <v>1011468068</v>
      </c>
      <c r="D6203">
        <v>0</v>
      </c>
    </row>
    <row r="6204" spans="1:4" hidden="1" x14ac:dyDescent="0.3">
      <c r="A6204" t="s">
        <v>614</v>
      </c>
      <c r="B6204" t="s">
        <v>98</v>
      </c>
      <c r="C6204" s="1">
        <f>HYPERLINK("https://cao.dolgi.msk.ru/account/1011468367/", 1011468367)</f>
        <v>1011468367</v>
      </c>
      <c r="D6204">
        <v>-3725.74</v>
      </c>
    </row>
    <row r="6205" spans="1:4" x14ac:dyDescent="0.3">
      <c r="A6205" t="s">
        <v>614</v>
      </c>
      <c r="B6205" t="s">
        <v>98</v>
      </c>
      <c r="C6205" s="1">
        <f>HYPERLINK("https://cao.dolgi.msk.ru/account/1011468463/", 1011468463)</f>
        <v>1011468463</v>
      </c>
      <c r="D6205">
        <v>27346.94</v>
      </c>
    </row>
    <row r="6206" spans="1:4" hidden="1" x14ac:dyDescent="0.3">
      <c r="A6206" t="s">
        <v>614</v>
      </c>
      <c r="B6206" t="s">
        <v>58</v>
      </c>
      <c r="C6206" s="1">
        <f>HYPERLINK("https://cao.dolgi.msk.ru/account/1011468113/", 1011468113)</f>
        <v>1011468113</v>
      </c>
      <c r="D6206">
        <v>0</v>
      </c>
    </row>
    <row r="6207" spans="1:4" hidden="1" x14ac:dyDescent="0.3">
      <c r="A6207" t="s">
        <v>614</v>
      </c>
      <c r="B6207" t="s">
        <v>59</v>
      </c>
      <c r="C6207" s="1">
        <f>HYPERLINK("https://cao.dolgi.msk.ru/account/1011468439/", 1011468439)</f>
        <v>1011468439</v>
      </c>
      <c r="D6207">
        <v>0</v>
      </c>
    </row>
    <row r="6208" spans="1:4" x14ac:dyDescent="0.3">
      <c r="A6208" t="s">
        <v>614</v>
      </c>
      <c r="B6208" t="s">
        <v>60</v>
      </c>
      <c r="C6208" s="1">
        <f>HYPERLINK("https://cao.dolgi.msk.ru/account/1011468228/", 1011468228)</f>
        <v>1011468228</v>
      </c>
      <c r="D6208">
        <v>1988.51</v>
      </c>
    </row>
    <row r="6209" spans="1:4" hidden="1" x14ac:dyDescent="0.3">
      <c r="A6209" t="s">
        <v>614</v>
      </c>
      <c r="B6209" t="s">
        <v>61</v>
      </c>
      <c r="C6209" s="1">
        <f>HYPERLINK("https://cao.dolgi.msk.ru/account/1011468199/", 1011468199)</f>
        <v>1011468199</v>
      </c>
      <c r="D6209">
        <v>-998.32</v>
      </c>
    </row>
    <row r="6210" spans="1:4" x14ac:dyDescent="0.3">
      <c r="A6210" t="s">
        <v>614</v>
      </c>
      <c r="B6210" t="s">
        <v>62</v>
      </c>
      <c r="C6210" s="1">
        <f>HYPERLINK("https://cao.dolgi.msk.ru/account/1011468252/", 1011468252)</f>
        <v>1011468252</v>
      </c>
      <c r="D6210">
        <v>6612.96</v>
      </c>
    </row>
    <row r="6211" spans="1:4" hidden="1" x14ac:dyDescent="0.3">
      <c r="A6211" t="s">
        <v>614</v>
      </c>
      <c r="B6211" t="s">
        <v>62</v>
      </c>
      <c r="C6211" s="1">
        <f>HYPERLINK("https://cao.dolgi.msk.ru/account/1011468447/", 1011468447)</f>
        <v>1011468447</v>
      </c>
      <c r="D6211">
        <v>0</v>
      </c>
    </row>
    <row r="6212" spans="1:4" hidden="1" x14ac:dyDescent="0.3">
      <c r="A6212" t="s">
        <v>614</v>
      </c>
      <c r="B6212" t="s">
        <v>62</v>
      </c>
      <c r="C6212" s="1">
        <f>HYPERLINK("https://cao.dolgi.msk.ru/account/1011468842/", 1011468842)</f>
        <v>1011468842</v>
      </c>
      <c r="D6212">
        <v>0</v>
      </c>
    </row>
    <row r="6213" spans="1:4" hidden="1" x14ac:dyDescent="0.3">
      <c r="A6213" t="s">
        <v>614</v>
      </c>
      <c r="B6213" t="s">
        <v>63</v>
      </c>
      <c r="C6213" s="1">
        <f>HYPERLINK("https://cao.dolgi.msk.ru/account/1011468105/", 1011468105)</f>
        <v>1011468105</v>
      </c>
      <c r="D6213">
        <v>0</v>
      </c>
    </row>
    <row r="6214" spans="1:4" hidden="1" x14ac:dyDescent="0.3">
      <c r="A6214" t="s">
        <v>614</v>
      </c>
      <c r="B6214" t="s">
        <v>64</v>
      </c>
      <c r="C6214" s="1">
        <f>HYPERLINK("https://cao.dolgi.msk.ru/account/1011468383/", 1011468383)</f>
        <v>1011468383</v>
      </c>
      <c r="D6214">
        <v>0</v>
      </c>
    </row>
    <row r="6215" spans="1:4" x14ac:dyDescent="0.3">
      <c r="A6215" t="s">
        <v>614</v>
      </c>
      <c r="B6215" t="s">
        <v>65</v>
      </c>
      <c r="C6215" s="1">
        <f>HYPERLINK("https://cao.dolgi.msk.ru/account/1011467938/", 1011467938)</f>
        <v>1011467938</v>
      </c>
      <c r="D6215">
        <v>8224.4599999999991</v>
      </c>
    </row>
    <row r="6216" spans="1:4" x14ac:dyDescent="0.3">
      <c r="A6216" t="s">
        <v>614</v>
      </c>
      <c r="B6216" t="s">
        <v>66</v>
      </c>
      <c r="C6216" s="1">
        <f>HYPERLINK("https://cao.dolgi.msk.ru/account/1011468674/", 1011468674)</f>
        <v>1011468674</v>
      </c>
      <c r="D6216">
        <v>12274.92</v>
      </c>
    </row>
    <row r="6217" spans="1:4" hidden="1" x14ac:dyDescent="0.3">
      <c r="A6217" t="s">
        <v>614</v>
      </c>
      <c r="B6217" t="s">
        <v>67</v>
      </c>
      <c r="C6217" s="1">
        <f>HYPERLINK("https://cao.dolgi.msk.ru/account/1011468308/", 1011468308)</f>
        <v>1011468308</v>
      </c>
      <c r="D6217">
        <v>0</v>
      </c>
    </row>
    <row r="6218" spans="1:4" hidden="1" x14ac:dyDescent="0.3">
      <c r="A6218" t="s">
        <v>614</v>
      </c>
      <c r="B6218" t="s">
        <v>68</v>
      </c>
      <c r="C6218" s="1">
        <f>HYPERLINK("https://cao.dolgi.msk.ru/account/1011468498/", 1011468498)</f>
        <v>1011468498</v>
      </c>
      <c r="D6218">
        <v>0</v>
      </c>
    </row>
    <row r="6219" spans="1:4" hidden="1" x14ac:dyDescent="0.3">
      <c r="A6219" t="s">
        <v>614</v>
      </c>
      <c r="B6219" t="s">
        <v>69</v>
      </c>
      <c r="C6219" s="1">
        <f>HYPERLINK("https://cao.dolgi.msk.ru/account/1011468076/", 1011468076)</f>
        <v>1011468076</v>
      </c>
      <c r="D6219">
        <v>0</v>
      </c>
    </row>
    <row r="6220" spans="1:4" x14ac:dyDescent="0.3">
      <c r="A6220" t="s">
        <v>614</v>
      </c>
      <c r="B6220" t="s">
        <v>70</v>
      </c>
      <c r="C6220" s="1">
        <f>HYPERLINK("https://cao.dolgi.msk.ru/account/1011468391/", 1011468391)</f>
        <v>1011468391</v>
      </c>
      <c r="D6220">
        <v>11711.01</v>
      </c>
    </row>
    <row r="6221" spans="1:4" hidden="1" x14ac:dyDescent="0.3">
      <c r="A6221" t="s">
        <v>614</v>
      </c>
      <c r="B6221" t="s">
        <v>259</v>
      </c>
      <c r="C6221" s="1">
        <f>HYPERLINK("https://cao.dolgi.msk.ru/account/1011468535/", 1011468535)</f>
        <v>1011468535</v>
      </c>
      <c r="D6221">
        <v>-819.51</v>
      </c>
    </row>
    <row r="6222" spans="1:4" hidden="1" x14ac:dyDescent="0.3">
      <c r="A6222" t="s">
        <v>614</v>
      </c>
      <c r="B6222" t="s">
        <v>615</v>
      </c>
      <c r="C6222" s="1">
        <f>HYPERLINK("https://cao.dolgi.msk.ru/account/1011468543/", 1011468543)</f>
        <v>1011468543</v>
      </c>
      <c r="D6222">
        <v>0</v>
      </c>
    </row>
    <row r="6223" spans="1:4" hidden="1" x14ac:dyDescent="0.3">
      <c r="A6223" t="s">
        <v>614</v>
      </c>
      <c r="B6223" t="s">
        <v>616</v>
      </c>
      <c r="C6223" s="1">
        <f>HYPERLINK("https://cao.dolgi.msk.ru/account/1011468789/", 1011468789)</f>
        <v>1011468789</v>
      </c>
      <c r="D6223">
        <v>-8319.35</v>
      </c>
    </row>
    <row r="6224" spans="1:4" hidden="1" x14ac:dyDescent="0.3">
      <c r="A6224" t="s">
        <v>614</v>
      </c>
      <c r="B6224" t="s">
        <v>100</v>
      </c>
      <c r="C6224" s="1">
        <f>HYPERLINK("https://cao.dolgi.msk.ru/account/1011468746/", 1011468746)</f>
        <v>1011468746</v>
      </c>
      <c r="D6224">
        <v>0</v>
      </c>
    </row>
    <row r="6225" spans="1:4" x14ac:dyDescent="0.3">
      <c r="A6225" t="s">
        <v>614</v>
      </c>
      <c r="B6225" t="s">
        <v>617</v>
      </c>
      <c r="C6225" s="1">
        <f>HYPERLINK("https://cao.dolgi.msk.ru/account/1011468092/", 1011468092)</f>
        <v>1011468092</v>
      </c>
      <c r="D6225">
        <v>30226.98</v>
      </c>
    </row>
    <row r="6226" spans="1:4" hidden="1" x14ac:dyDescent="0.3">
      <c r="A6226" t="s">
        <v>614</v>
      </c>
      <c r="B6226" t="s">
        <v>618</v>
      </c>
      <c r="C6226" s="1">
        <f>HYPERLINK("https://cao.dolgi.msk.ru/account/1011468084/", 1011468084)</f>
        <v>1011468084</v>
      </c>
      <c r="D6226">
        <v>0</v>
      </c>
    </row>
    <row r="6227" spans="1:4" x14ac:dyDescent="0.3">
      <c r="A6227" t="s">
        <v>614</v>
      </c>
      <c r="B6227" t="s">
        <v>72</v>
      </c>
      <c r="C6227" s="1">
        <f>HYPERLINK("https://cao.dolgi.msk.ru/account/1011468519/", 1011468519)</f>
        <v>1011468519</v>
      </c>
      <c r="D6227">
        <v>12362.72</v>
      </c>
    </row>
    <row r="6228" spans="1:4" hidden="1" x14ac:dyDescent="0.3">
      <c r="A6228" t="s">
        <v>614</v>
      </c>
      <c r="B6228" t="s">
        <v>619</v>
      </c>
      <c r="C6228" s="1">
        <f>HYPERLINK("https://cao.dolgi.msk.ru/account/1011468877/", 1011468877)</f>
        <v>1011468877</v>
      </c>
      <c r="D6228">
        <v>0</v>
      </c>
    </row>
    <row r="6229" spans="1:4" hidden="1" x14ac:dyDescent="0.3">
      <c r="A6229" t="s">
        <v>614</v>
      </c>
      <c r="B6229" t="s">
        <v>620</v>
      </c>
      <c r="C6229" s="1">
        <f>HYPERLINK("https://cao.dolgi.msk.ru/account/1011468033/", 1011468033)</f>
        <v>1011468033</v>
      </c>
      <c r="D6229">
        <v>0</v>
      </c>
    </row>
    <row r="6230" spans="1:4" hidden="1" x14ac:dyDescent="0.3">
      <c r="A6230" t="s">
        <v>614</v>
      </c>
      <c r="B6230" t="s">
        <v>73</v>
      </c>
      <c r="C6230" s="1">
        <f>HYPERLINK("https://cao.dolgi.msk.ru/account/1011468164/", 1011468164)</f>
        <v>1011468164</v>
      </c>
      <c r="D6230">
        <v>0</v>
      </c>
    </row>
    <row r="6231" spans="1:4" x14ac:dyDescent="0.3">
      <c r="A6231" t="s">
        <v>614</v>
      </c>
      <c r="B6231" t="s">
        <v>621</v>
      </c>
      <c r="C6231" s="1">
        <f>HYPERLINK("https://cao.dolgi.msk.ru/account/1011468324/", 1011468324)</f>
        <v>1011468324</v>
      </c>
      <c r="D6231">
        <v>7737.69</v>
      </c>
    </row>
    <row r="6232" spans="1:4" hidden="1" x14ac:dyDescent="0.3">
      <c r="A6232" t="s">
        <v>614</v>
      </c>
      <c r="B6232" t="s">
        <v>622</v>
      </c>
      <c r="C6232" s="1">
        <f>HYPERLINK("https://cao.dolgi.msk.ru/account/1011468682/", 1011468682)</f>
        <v>1011468682</v>
      </c>
      <c r="D6232">
        <v>-6415.96</v>
      </c>
    </row>
    <row r="6233" spans="1:4" x14ac:dyDescent="0.3">
      <c r="A6233" t="s">
        <v>614</v>
      </c>
      <c r="B6233" t="s">
        <v>74</v>
      </c>
      <c r="C6233" s="1">
        <f>HYPERLINK("https://cao.dolgi.msk.ru/account/1011468009/", 1011468009)</f>
        <v>1011468009</v>
      </c>
      <c r="D6233">
        <v>8508.4500000000007</v>
      </c>
    </row>
    <row r="6234" spans="1:4" hidden="1" x14ac:dyDescent="0.3">
      <c r="A6234" t="s">
        <v>614</v>
      </c>
      <c r="B6234" t="s">
        <v>75</v>
      </c>
      <c r="C6234" s="1">
        <f>HYPERLINK("https://cao.dolgi.msk.ru/account/1011468586/", 1011468586)</f>
        <v>1011468586</v>
      </c>
      <c r="D6234">
        <v>0</v>
      </c>
    </row>
    <row r="6235" spans="1:4" hidden="1" x14ac:dyDescent="0.3">
      <c r="A6235" t="s">
        <v>614</v>
      </c>
      <c r="B6235" t="s">
        <v>76</v>
      </c>
      <c r="C6235" s="1">
        <f>HYPERLINK("https://cao.dolgi.msk.ru/account/1011468893/", 1011468893)</f>
        <v>1011468893</v>
      </c>
      <c r="D6235">
        <v>-6466.69</v>
      </c>
    </row>
    <row r="6236" spans="1:4" x14ac:dyDescent="0.3">
      <c r="A6236" t="s">
        <v>623</v>
      </c>
      <c r="B6236" t="s">
        <v>103</v>
      </c>
      <c r="C6236" s="1">
        <f>HYPERLINK("https://cao.dolgi.msk.ru/account/1011014541/", 1011014541)</f>
        <v>1011014541</v>
      </c>
      <c r="D6236">
        <v>15078.15</v>
      </c>
    </row>
    <row r="6237" spans="1:4" x14ac:dyDescent="0.3">
      <c r="A6237" t="s">
        <v>623</v>
      </c>
      <c r="B6237" t="s">
        <v>106</v>
      </c>
      <c r="C6237" s="1">
        <f>HYPERLINK("https://cao.dolgi.msk.ru/account/1010254834/", 1010254834)</f>
        <v>1010254834</v>
      </c>
      <c r="D6237">
        <v>234.8</v>
      </c>
    </row>
    <row r="6238" spans="1:4" x14ac:dyDescent="0.3">
      <c r="A6238" t="s">
        <v>623</v>
      </c>
      <c r="B6238" t="s">
        <v>108</v>
      </c>
      <c r="C6238" s="1">
        <f>HYPERLINK("https://cao.dolgi.msk.ru/account/1011014568/", 1011014568)</f>
        <v>1011014568</v>
      </c>
      <c r="D6238">
        <v>18703.62</v>
      </c>
    </row>
    <row r="6239" spans="1:4" hidden="1" x14ac:dyDescent="0.3">
      <c r="A6239" t="s">
        <v>623</v>
      </c>
      <c r="B6239" t="s">
        <v>109</v>
      </c>
      <c r="C6239" s="1">
        <f>HYPERLINK("https://cao.dolgi.msk.ru/account/1010274093/", 1010274093)</f>
        <v>1010274093</v>
      </c>
      <c r="D6239">
        <v>0</v>
      </c>
    </row>
    <row r="6240" spans="1:4" x14ac:dyDescent="0.3">
      <c r="A6240" t="s">
        <v>623</v>
      </c>
      <c r="B6240" t="s">
        <v>118</v>
      </c>
      <c r="C6240" s="1">
        <f>HYPERLINK("https://cao.dolgi.msk.ru/account/1011014584/", 1011014584)</f>
        <v>1011014584</v>
      </c>
      <c r="D6240">
        <v>14069.79</v>
      </c>
    </row>
    <row r="6241" spans="1:4" hidden="1" x14ac:dyDescent="0.3">
      <c r="A6241" t="s">
        <v>623</v>
      </c>
      <c r="B6241" t="s">
        <v>122</v>
      </c>
      <c r="C6241" s="1">
        <f>HYPERLINK("https://cao.dolgi.msk.ru/account/1010254869/", 1010254869)</f>
        <v>1010254869</v>
      </c>
      <c r="D6241">
        <v>0</v>
      </c>
    </row>
    <row r="6242" spans="1:4" hidden="1" x14ac:dyDescent="0.3">
      <c r="A6242" t="s">
        <v>624</v>
      </c>
      <c r="B6242" t="s">
        <v>6</v>
      </c>
      <c r="C6242" s="1">
        <f>HYPERLINK("https://cao.dolgi.msk.ru/account/1011328364/", 1011328364)</f>
        <v>1011328364</v>
      </c>
      <c r="D6242">
        <v>0</v>
      </c>
    </row>
    <row r="6243" spans="1:4" hidden="1" x14ac:dyDescent="0.3">
      <c r="A6243" t="s">
        <v>624</v>
      </c>
      <c r="B6243" t="s">
        <v>28</v>
      </c>
      <c r="C6243" s="1">
        <f>HYPERLINK("https://cao.dolgi.msk.ru/account/1011328305/", 1011328305)</f>
        <v>1011328305</v>
      </c>
      <c r="D6243">
        <v>-671.31</v>
      </c>
    </row>
    <row r="6244" spans="1:4" hidden="1" x14ac:dyDescent="0.3">
      <c r="A6244" t="s">
        <v>624</v>
      </c>
      <c r="B6244" t="s">
        <v>35</v>
      </c>
      <c r="C6244" s="1">
        <f>HYPERLINK("https://cao.dolgi.msk.ru/account/1011328524/", 1011328524)</f>
        <v>1011328524</v>
      </c>
      <c r="D6244">
        <v>0</v>
      </c>
    </row>
    <row r="6245" spans="1:4" hidden="1" x14ac:dyDescent="0.3">
      <c r="A6245" t="s">
        <v>624</v>
      </c>
      <c r="B6245" t="s">
        <v>5</v>
      </c>
      <c r="C6245" s="1">
        <f>HYPERLINK("https://cao.dolgi.msk.ru/account/1011328436/", 1011328436)</f>
        <v>1011328436</v>
      </c>
      <c r="D6245">
        <v>-8465.5499999999993</v>
      </c>
    </row>
    <row r="6246" spans="1:4" hidden="1" x14ac:dyDescent="0.3">
      <c r="A6246" t="s">
        <v>624</v>
      </c>
      <c r="B6246" t="s">
        <v>7</v>
      </c>
      <c r="C6246" s="1">
        <f>HYPERLINK("https://cao.dolgi.msk.ru/account/1011328671/", 1011328671)</f>
        <v>1011328671</v>
      </c>
      <c r="D6246">
        <v>-360</v>
      </c>
    </row>
    <row r="6247" spans="1:4" x14ac:dyDescent="0.3">
      <c r="A6247" t="s">
        <v>624</v>
      </c>
      <c r="B6247" t="s">
        <v>8</v>
      </c>
      <c r="C6247" s="1">
        <f>HYPERLINK("https://cao.dolgi.msk.ru/account/1011328428/", 1011328428)</f>
        <v>1011328428</v>
      </c>
      <c r="D6247">
        <v>18974</v>
      </c>
    </row>
    <row r="6248" spans="1:4" hidden="1" x14ac:dyDescent="0.3">
      <c r="A6248" t="s">
        <v>624</v>
      </c>
      <c r="B6248" t="s">
        <v>31</v>
      </c>
      <c r="C6248" s="1">
        <f>HYPERLINK("https://cao.dolgi.msk.ru/account/1011328321/", 1011328321)</f>
        <v>1011328321</v>
      </c>
      <c r="D6248">
        <v>0</v>
      </c>
    </row>
    <row r="6249" spans="1:4" hidden="1" x14ac:dyDescent="0.3">
      <c r="A6249" t="s">
        <v>624</v>
      </c>
      <c r="B6249" t="s">
        <v>9</v>
      </c>
      <c r="C6249" s="1">
        <f>HYPERLINK("https://cao.dolgi.msk.ru/account/1011328487/", 1011328487)</f>
        <v>1011328487</v>
      </c>
      <c r="D6249">
        <v>-14313.75</v>
      </c>
    </row>
    <row r="6250" spans="1:4" hidden="1" x14ac:dyDescent="0.3">
      <c r="A6250" t="s">
        <v>624</v>
      </c>
      <c r="B6250" t="s">
        <v>10</v>
      </c>
      <c r="C6250" s="1">
        <f>HYPERLINK("https://cao.dolgi.msk.ru/account/1011328575/", 1011328575)</f>
        <v>1011328575</v>
      </c>
      <c r="D6250">
        <v>0</v>
      </c>
    </row>
    <row r="6251" spans="1:4" hidden="1" x14ac:dyDescent="0.3">
      <c r="A6251" t="s">
        <v>624</v>
      </c>
      <c r="B6251" t="s">
        <v>11</v>
      </c>
      <c r="C6251" s="1">
        <f>HYPERLINK("https://cao.dolgi.msk.ru/account/1011328583/", 1011328583)</f>
        <v>1011328583</v>
      </c>
      <c r="D6251">
        <v>0</v>
      </c>
    </row>
    <row r="6252" spans="1:4" hidden="1" x14ac:dyDescent="0.3">
      <c r="A6252" t="s">
        <v>624</v>
      </c>
      <c r="B6252" t="s">
        <v>13</v>
      </c>
      <c r="C6252" s="1">
        <f>HYPERLINK("https://cao.dolgi.msk.ru/account/1011328313/", 1011328313)</f>
        <v>1011328313</v>
      </c>
      <c r="D6252">
        <v>0</v>
      </c>
    </row>
    <row r="6253" spans="1:4" hidden="1" x14ac:dyDescent="0.3">
      <c r="A6253" t="s">
        <v>624</v>
      </c>
      <c r="B6253" t="s">
        <v>17</v>
      </c>
      <c r="C6253" s="1">
        <f>HYPERLINK("https://cao.dolgi.msk.ru/account/1011328604/", 1011328604)</f>
        <v>1011328604</v>
      </c>
      <c r="D6253">
        <v>0</v>
      </c>
    </row>
    <row r="6254" spans="1:4" hidden="1" x14ac:dyDescent="0.3">
      <c r="A6254" t="s">
        <v>624</v>
      </c>
      <c r="B6254" t="s">
        <v>18</v>
      </c>
      <c r="C6254" s="1">
        <f>HYPERLINK("https://cao.dolgi.msk.ru/account/1011328639/", 1011328639)</f>
        <v>1011328639</v>
      </c>
      <c r="D6254">
        <v>0</v>
      </c>
    </row>
    <row r="6255" spans="1:4" hidden="1" x14ac:dyDescent="0.3">
      <c r="A6255" t="s">
        <v>624</v>
      </c>
      <c r="B6255" t="s">
        <v>19</v>
      </c>
      <c r="C6255" s="1">
        <f>HYPERLINK("https://cao.dolgi.msk.ru/account/1011328655/", 1011328655)</f>
        <v>1011328655</v>
      </c>
      <c r="D6255">
        <v>-540.89</v>
      </c>
    </row>
    <row r="6256" spans="1:4" x14ac:dyDescent="0.3">
      <c r="A6256" t="s">
        <v>624</v>
      </c>
      <c r="B6256" t="s">
        <v>20</v>
      </c>
      <c r="C6256" s="1">
        <f>HYPERLINK("https://cao.dolgi.msk.ru/account/1011328532/", 1011328532)</f>
        <v>1011328532</v>
      </c>
      <c r="D6256">
        <v>58166.18</v>
      </c>
    </row>
    <row r="6257" spans="1:4" hidden="1" x14ac:dyDescent="0.3">
      <c r="A6257" t="s">
        <v>624</v>
      </c>
      <c r="B6257" t="s">
        <v>21</v>
      </c>
      <c r="C6257" s="1">
        <f>HYPERLINK("https://cao.dolgi.msk.ru/account/1011328559/", 1011328559)</f>
        <v>1011328559</v>
      </c>
      <c r="D6257">
        <v>0</v>
      </c>
    </row>
    <row r="6258" spans="1:4" hidden="1" x14ac:dyDescent="0.3">
      <c r="A6258" t="s">
        <v>624</v>
      </c>
      <c r="B6258" t="s">
        <v>22</v>
      </c>
      <c r="C6258" s="1">
        <f>HYPERLINK("https://cao.dolgi.msk.ru/account/1011328516/", 1011328516)</f>
        <v>1011328516</v>
      </c>
      <c r="D6258">
        <v>0</v>
      </c>
    </row>
    <row r="6259" spans="1:4" hidden="1" x14ac:dyDescent="0.3">
      <c r="A6259" t="s">
        <v>624</v>
      </c>
      <c r="B6259" t="s">
        <v>24</v>
      </c>
      <c r="C6259" s="1">
        <f>HYPERLINK("https://cao.dolgi.msk.ru/account/1011328612/", 1011328612)</f>
        <v>1011328612</v>
      </c>
      <c r="D6259">
        <v>0</v>
      </c>
    </row>
    <row r="6260" spans="1:4" hidden="1" x14ac:dyDescent="0.3">
      <c r="A6260" t="s">
        <v>624</v>
      </c>
      <c r="B6260" t="s">
        <v>25</v>
      </c>
      <c r="C6260" s="1">
        <f>HYPERLINK("https://cao.dolgi.msk.ru/account/1011328567/", 1011328567)</f>
        <v>1011328567</v>
      </c>
      <c r="D6260">
        <v>0</v>
      </c>
    </row>
    <row r="6261" spans="1:4" hidden="1" x14ac:dyDescent="0.3">
      <c r="A6261" t="s">
        <v>624</v>
      </c>
      <c r="B6261" t="s">
        <v>26</v>
      </c>
      <c r="C6261" s="1">
        <f>HYPERLINK("https://cao.dolgi.msk.ru/account/1011328698/", 1011328698)</f>
        <v>1011328698</v>
      </c>
      <c r="D6261">
        <v>0</v>
      </c>
    </row>
    <row r="6262" spans="1:4" hidden="1" x14ac:dyDescent="0.3">
      <c r="A6262" t="s">
        <v>624</v>
      </c>
      <c r="B6262" t="s">
        <v>27</v>
      </c>
      <c r="C6262" s="1">
        <f>HYPERLINK("https://cao.dolgi.msk.ru/account/1011328444/", 1011328444)</f>
        <v>1011328444</v>
      </c>
      <c r="D6262">
        <v>0</v>
      </c>
    </row>
    <row r="6263" spans="1:4" hidden="1" x14ac:dyDescent="0.3">
      <c r="A6263" t="s">
        <v>624</v>
      </c>
      <c r="B6263" t="s">
        <v>27</v>
      </c>
      <c r="C6263" s="1">
        <f>HYPERLINK("https://cao.dolgi.msk.ru/account/1011328663/", 1011328663)</f>
        <v>1011328663</v>
      </c>
      <c r="D6263">
        <v>-3820.67</v>
      </c>
    </row>
    <row r="6264" spans="1:4" hidden="1" x14ac:dyDescent="0.3">
      <c r="A6264" t="s">
        <v>624</v>
      </c>
      <c r="B6264" t="s">
        <v>27</v>
      </c>
      <c r="C6264" s="1">
        <f>HYPERLINK("https://cao.dolgi.msk.ru/account/1011527216/", 1011527216)</f>
        <v>1011527216</v>
      </c>
      <c r="D6264">
        <v>-3179.96</v>
      </c>
    </row>
    <row r="6265" spans="1:4" hidden="1" x14ac:dyDescent="0.3">
      <c r="A6265" t="s">
        <v>624</v>
      </c>
      <c r="B6265" t="s">
        <v>29</v>
      </c>
      <c r="C6265" s="1">
        <f>HYPERLINK("https://cao.dolgi.msk.ru/account/1011328399/", 1011328399)</f>
        <v>1011328399</v>
      </c>
      <c r="D6265">
        <v>0</v>
      </c>
    </row>
    <row r="6266" spans="1:4" x14ac:dyDescent="0.3">
      <c r="A6266" t="s">
        <v>624</v>
      </c>
      <c r="B6266" t="s">
        <v>38</v>
      </c>
      <c r="C6266" s="1">
        <f>HYPERLINK("https://cao.dolgi.msk.ru/account/1011328372/", 1011328372)</f>
        <v>1011328372</v>
      </c>
      <c r="D6266">
        <v>9759.74</v>
      </c>
    </row>
    <row r="6267" spans="1:4" x14ac:dyDescent="0.3">
      <c r="A6267" t="s">
        <v>624</v>
      </c>
      <c r="B6267" t="s">
        <v>41</v>
      </c>
      <c r="C6267" s="1">
        <f>HYPERLINK("https://cao.dolgi.msk.ru/account/1011328348/", 1011328348)</f>
        <v>1011328348</v>
      </c>
      <c r="D6267">
        <v>576.89</v>
      </c>
    </row>
    <row r="6268" spans="1:4" hidden="1" x14ac:dyDescent="0.3">
      <c r="A6268" t="s">
        <v>624</v>
      </c>
      <c r="B6268" t="s">
        <v>51</v>
      </c>
      <c r="C6268" s="1">
        <f>HYPERLINK("https://cao.dolgi.msk.ru/account/1011328647/", 1011328647)</f>
        <v>1011328647</v>
      </c>
      <c r="D6268">
        <v>-10841.01</v>
      </c>
    </row>
    <row r="6269" spans="1:4" hidden="1" x14ac:dyDescent="0.3">
      <c r="A6269" t="s">
        <v>624</v>
      </c>
      <c r="B6269" t="s">
        <v>52</v>
      </c>
      <c r="C6269" s="1">
        <f>HYPERLINK("https://cao.dolgi.msk.ru/account/1011328508/", 1011328508)</f>
        <v>1011328508</v>
      </c>
      <c r="D6269">
        <v>0</v>
      </c>
    </row>
    <row r="6270" spans="1:4" hidden="1" x14ac:dyDescent="0.3">
      <c r="A6270" t="s">
        <v>624</v>
      </c>
      <c r="B6270" t="s">
        <v>53</v>
      </c>
      <c r="C6270" s="1">
        <f>HYPERLINK("https://cao.dolgi.msk.ru/account/1011328356/", 1011328356)</f>
        <v>1011328356</v>
      </c>
      <c r="D6270">
        <v>-410.2</v>
      </c>
    </row>
    <row r="6271" spans="1:4" x14ac:dyDescent="0.3">
      <c r="A6271" t="s">
        <v>624</v>
      </c>
      <c r="B6271" t="s">
        <v>53</v>
      </c>
      <c r="C6271" s="1">
        <f>HYPERLINK("https://cao.dolgi.msk.ru/account/1011328401/", 1011328401)</f>
        <v>1011328401</v>
      </c>
      <c r="D6271">
        <v>21478.37</v>
      </c>
    </row>
    <row r="6272" spans="1:4" x14ac:dyDescent="0.3">
      <c r="A6272" t="s">
        <v>624</v>
      </c>
      <c r="B6272" t="s">
        <v>53</v>
      </c>
      <c r="C6272" s="1">
        <f>HYPERLINK("https://cao.dolgi.msk.ru/account/1011328452/", 1011328452)</f>
        <v>1011328452</v>
      </c>
      <c r="D6272">
        <v>2504.69</v>
      </c>
    </row>
    <row r="6273" spans="1:4" hidden="1" x14ac:dyDescent="0.3">
      <c r="A6273" t="s">
        <v>624</v>
      </c>
      <c r="B6273" t="s">
        <v>54</v>
      </c>
      <c r="C6273" s="1">
        <f>HYPERLINK("https://cao.dolgi.msk.ru/account/1011328479/", 1011328479)</f>
        <v>1011328479</v>
      </c>
      <c r="D6273">
        <v>-9419.91</v>
      </c>
    </row>
    <row r="6274" spans="1:4" hidden="1" x14ac:dyDescent="0.3">
      <c r="A6274" t="s">
        <v>624</v>
      </c>
      <c r="B6274" t="s">
        <v>55</v>
      </c>
      <c r="C6274" s="1">
        <f>HYPERLINK("https://cao.dolgi.msk.ru/account/1011328495/", 1011328495)</f>
        <v>1011328495</v>
      </c>
      <c r="D6274">
        <v>0</v>
      </c>
    </row>
    <row r="6275" spans="1:4" hidden="1" x14ac:dyDescent="0.3">
      <c r="A6275" t="s">
        <v>624</v>
      </c>
      <c r="B6275" t="s">
        <v>56</v>
      </c>
      <c r="C6275" s="1">
        <f>HYPERLINK("https://cao.dolgi.msk.ru/account/1011328727/", 1011328727)</f>
        <v>1011328727</v>
      </c>
      <c r="D6275">
        <v>0</v>
      </c>
    </row>
    <row r="6276" spans="1:4" x14ac:dyDescent="0.3">
      <c r="A6276" t="s">
        <v>624</v>
      </c>
      <c r="B6276" t="s">
        <v>87</v>
      </c>
      <c r="C6276" s="1">
        <f>HYPERLINK("https://cao.dolgi.msk.ru/account/1011328591/", 1011328591)</f>
        <v>1011328591</v>
      </c>
      <c r="D6276">
        <v>16773.48</v>
      </c>
    </row>
    <row r="6277" spans="1:4" hidden="1" x14ac:dyDescent="0.3">
      <c r="A6277" t="s">
        <v>624</v>
      </c>
      <c r="B6277" t="s">
        <v>88</v>
      </c>
      <c r="C6277" s="1">
        <f>HYPERLINK("https://cao.dolgi.msk.ru/account/1011328292/", 1011328292)</f>
        <v>1011328292</v>
      </c>
      <c r="D6277">
        <v>-5004.97</v>
      </c>
    </row>
    <row r="6278" spans="1:4" hidden="1" x14ac:dyDescent="0.3">
      <c r="A6278" t="s">
        <v>625</v>
      </c>
      <c r="B6278" t="s">
        <v>76</v>
      </c>
      <c r="C6278" s="1">
        <f>HYPERLINK("https://cao.dolgi.msk.ru/account/1011332945/", 1011332945)</f>
        <v>1011332945</v>
      </c>
      <c r="D6278">
        <v>-8842.4500000000007</v>
      </c>
    </row>
    <row r="6279" spans="1:4" hidden="1" x14ac:dyDescent="0.3">
      <c r="A6279" t="s">
        <v>625</v>
      </c>
      <c r="B6279" t="s">
        <v>78</v>
      </c>
      <c r="C6279" s="1">
        <f>HYPERLINK("https://cao.dolgi.msk.ru/account/1011333032/", 1011333032)</f>
        <v>1011333032</v>
      </c>
      <c r="D6279">
        <v>0</v>
      </c>
    </row>
    <row r="6280" spans="1:4" x14ac:dyDescent="0.3">
      <c r="A6280" t="s">
        <v>625</v>
      </c>
      <c r="B6280" t="s">
        <v>79</v>
      </c>
      <c r="C6280" s="1">
        <f>HYPERLINK("https://cao.dolgi.msk.ru/account/1011332881/", 1011332881)</f>
        <v>1011332881</v>
      </c>
      <c r="D6280">
        <v>7970.16</v>
      </c>
    </row>
    <row r="6281" spans="1:4" x14ac:dyDescent="0.3">
      <c r="A6281" t="s">
        <v>625</v>
      </c>
      <c r="B6281" t="s">
        <v>80</v>
      </c>
      <c r="C6281" s="1">
        <f>HYPERLINK("https://cao.dolgi.msk.ru/account/1011332996/", 1011332996)</f>
        <v>1011332996</v>
      </c>
      <c r="D6281">
        <v>5364.79</v>
      </c>
    </row>
    <row r="6282" spans="1:4" hidden="1" x14ac:dyDescent="0.3">
      <c r="A6282" t="s">
        <v>625</v>
      </c>
      <c r="B6282" t="s">
        <v>81</v>
      </c>
      <c r="C6282" s="1">
        <f>HYPERLINK("https://cao.dolgi.msk.ru/account/1011332873/", 1011332873)</f>
        <v>1011332873</v>
      </c>
      <c r="D6282">
        <v>-7305.62</v>
      </c>
    </row>
    <row r="6283" spans="1:4" hidden="1" x14ac:dyDescent="0.3">
      <c r="A6283" t="s">
        <v>625</v>
      </c>
      <c r="B6283" t="s">
        <v>101</v>
      </c>
      <c r="C6283" s="1">
        <f>HYPERLINK("https://cao.dolgi.msk.ru/account/1011332953/", 1011332953)</f>
        <v>1011332953</v>
      </c>
      <c r="D6283">
        <v>0</v>
      </c>
    </row>
    <row r="6284" spans="1:4" hidden="1" x14ac:dyDescent="0.3">
      <c r="A6284" t="s">
        <v>625</v>
      </c>
      <c r="B6284" t="s">
        <v>82</v>
      </c>
      <c r="C6284" s="1">
        <f>HYPERLINK("https://cao.dolgi.msk.ru/account/1011332822/", 1011332822)</f>
        <v>1011332822</v>
      </c>
      <c r="D6284">
        <v>-6522.04</v>
      </c>
    </row>
    <row r="6285" spans="1:4" hidden="1" x14ac:dyDescent="0.3">
      <c r="A6285" t="s">
        <v>625</v>
      </c>
      <c r="B6285" t="s">
        <v>83</v>
      </c>
      <c r="C6285" s="1">
        <f>HYPERLINK("https://cao.dolgi.msk.ru/account/1011333075/", 1011333075)</f>
        <v>1011333075</v>
      </c>
      <c r="D6285">
        <v>0</v>
      </c>
    </row>
    <row r="6286" spans="1:4" x14ac:dyDescent="0.3">
      <c r="A6286" t="s">
        <v>625</v>
      </c>
      <c r="B6286" t="s">
        <v>84</v>
      </c>
      <c r="C6286" s="1">
        <f>HYPERLINK("https://cao.dolgi.msk.ru/account/1011332849/", 1011332849)</f>
        <v>1011332849</v>
      </c>
      <c r="D6286">
        <v>28036.01</v>
      </c>
    </row>
    <row r="6287" spans="1:4" hidden="1" x14ac:dyDescent="0.3">
      <c r="A6287" t="s">
        <v>625</v>
      </c>
      <c r="B6287" t="s">
        <v>85</v>
      </c>
      <c r="C6287" s="1">
        <f>HYPERLINK("https://cao.dolgi.msk.ru/account/1011333008/", 1011333008)</f>
        <v>1011333008</v>
      </c>
      <c r="D6287">
        <v>0</v>
      </c>
    </row>
    <row r="6288" spans="1:4" hidden="1" x14ac:dyDescent="0.3">
      <c r="A6288" t="s">
        <v>625</v>
      </c>
      <c r="B6288" t="s">
        <v>102</v>
      </c>
      <c r="C6288" s="1">
        <f>HYPERLINK("https://cao.dolgi.msk.ru/account/1011332902/", 1011332902)</f>
        <v>1011332902</v>
      </c>
      <c r="D6288">
        <v>-5164.92</v>
      </c>
    </row>
    <row r="6289" spans="1:4" hidden="1" x14ac:dyDescent="0.3">
      <c r="A6289" t="s">
        <v>625</v>
      </c>
      <c r="B6289" t="s">
        <v>103</v>
      </c>
      <c r="C6289" s="1">
        <f>HYPERLINK("https://cao.dolgi.msk.ru/account/1011333067/", 1011333067)</f>
        <v>1011333067</v>
      </c>
      <c r="D6289">
        <v>0</v>
      </c>
    </row>
    <row r="6290" spans="1:4" hidden="1" x14ac:dyDescent="0.3">
      <c r="A6290" t="s">
        <v>625</v>
      </c>
      <c r="B6290" t="s">
        <v>104</v>
      </c>
      <c r="C6290" s="1">
        <f>HYPERLINK("https://cao.dolgi.msk.ru/account/1011332937/", 1011332937)</f>
        <v>1011332937</v>
      </c>
      <c r="D6290">
        <v>-5244.71</v>
      </c>
    </row>
    <row r="6291" spans="1:4" hidden="1" x14ac:dyDescent="0.3">
      <c r="A6291" t="s">
        <v>625</v>
      </c>
      <c r="B6291" t="s">
        <v>105</v>
      </c>
      <c r="C6291" s="1">
        <f>HYPERLINK("https://cao.dolgi.msk.ru/account/1011332961/", 1011332961)</f>
        <v>1011332961</v>
      </c>
      <c r="D6291">
        <v>0</v>
      </c>
    </row>
    <row r="6292" spans="1:4" hidden="1" x14ac:dyDescent="0.3">
      <c r="A6292" t="s">
        <v>625</v>
      </c>
      <c r="B6292" t="s">
        <v>106</v>
      </c>
      <c r="C6292" s="1">
        <f>HYPERLINK("https://cao.dolgi.msk.ru/account/1011333059/", 1011333059)</f>
        <v>1011333059</v>
      </c>
      <c r="D6292">
        <v>0</v>
      </c>
    </row>
    <row r="6293" spans="1:4" hidden="1" x14ac:dyDescent="0.3">
      <c r="A6293" t="s">
        <v>625</v>
      </c>
      <c r="B6293" t="s">
        <v>107</v>
      </c>
      <c r="C6293" s="1">
        <f>HYPERLINK("https://cao.dolgi.msk.ru/account/1011332865/", 1011332865)</f>
        <v>1011332865</v>
      </c>
      <c r="D6293">
        <v>0</v>
      </c>
    </row>
    <row r="6294" spans="1:4" x14ac:dyDescent="0.3">
      <c r="A6294" t="s">
        <v>625</v>
      </c>
      <c r="B6294" t="s">
        <v>108</v>
      </c>
      <c r="C6294" s="1">
        <f>HYPERLINK("https://cao.dolgi.msk.ru/account/1011332929/", 1011332929)</f>
        <v>1011332929</v>
      </c>
      <c r="D6294">
        <v>64</v>
      </c>
    </row>
    <row r="6295" spans="1:4" x14ac:dyDescent="0.3">
      <c r="A6295" t="s">
        <v>625</v>
      </c>
      <c r="B6295" t="s">
        <v>109</v>
      </c>
      <c r="C6295" s="1">
        <f>HYPERLINK("https://cao.dolgi.msk.ru/account/1011333016/", 1011333016)</f>
        <v>1011333016</v>
      </c>
      <c r="D6295">
        <v>9364.2199999999993</v>
      </c>
    </row>
    <row r="6296" spans="1:4" hidden="1" x14ac:dyDescent="0.3">
      <c r="A6296" t="s">
        <v>625</v>
      </c>
      <c r="B6296" t="s">
        <v>110</v>
      </c>
      <c r="C6296" s="1">
        <f>HYPERLINK("https://cao.dolgi.msk.ru/account/1011333024/", 1011333024)</f>
        <v>1011333024</v>
      </c>
      <c r="D6296">
        <v>0</v>
      </c>
    </row>
    <row r="6297" spans="1:4" hidden="1" x14ac:dyDescent="0.3">
      <c r="A6297" t="s">
        <v>625</v>
      </c>
      <c r="B6297" t="s">
        <v>111</v>
      </c>
      <c r="C6297" s="1">
        <f>HYPERLINK("https://cao.dolgi.msk.ru/account/1011332857/", 1011332857)</f>
        <v>1011332857</v>
      </c>
      <c r="D6297">
        <v>0</v>
      </c>
    </row>
    <row r="6298" spans="1:4" hidden="1" x14ac:dyDescent="0.3">
      <c r="A6298" t="s">
        <v>625</v>
      </c>
      <c r="B6298" t="s">
        <v>112</v>
      </c>
      <c r="C6298" s="1">
        <f>HYPERLINK("https://cao.dolgi.msk.ru/account/1011332988/", 1011332988)</f>
        <v>1011332988</v>
      </c>
      <c r="D6298">
        <v>0</v>
      </c>
    </row>
    <row r="6299" spans="1:4" hidden="1" x14ac:dyDescent="0.3">
      <c r="A6299" t="s">
        <v>626</v>
      </c>
      <c r="B6299" t="s">
        <v>6</v>
      </c>
      <c r="C6299" s="1">
        <f>HYPERLINK("https://cao.dolgi.msk.ru/account/1011196488/", 1011196488)</f>
        <v>1011196488</v>
      </c>
      <c r="D6299">
        <v>-250.47</v>
      </c>
    </row>
    <row r="6300" spans="1:4" x14ac:dyDescent="0.3">
      <c r="A6300" t="s">
        <v>626</v>
      </c>
      <c r="B6300" t="s">
        <v>6</v>
      </c>
      <c r="C6300" s="1">
        <f>HYPERLINK("https://cao.dolgi.msk.ru/account/1011196656/", 1011196656)</f>
        <v>1011196656</v>
      </c>
      <c r="D6300">
        <v>14412.75</v>
      </c>
    </row>
    <row r="6301" spans="1:4" hidden="1" x14ac:dyDescent="0.3">
      <c r="A6301" t="s">
        <v>626</v>
      </c>
      <c r="B6301" t="s">
        <v>35</v>
      </c>
      <c r="C6301" s="1">
        <f>HYPERLINK("https://cao.dolgi.msk.ru/account/1011195872/", 1011195872)</f>
        <v>1011195872</v>
      </c>
      <c r="D6301">
        <v>-938.39</v>
      </c>
    </row>
    <row r="6302" spans="1:4" hidden="1" x14ac:dyDescent="0.3">
      <c r="A6302" t="s">
        <v>626</v>
      </c>
      <c r="B6302" t="s">
        <v>5</v>
      </c>
      <c r="C6302" s="1">
        <f>HYPERLINK("https://cao.dolgi.msk.ru/account/1011196218/", 1011196218)</f>
        <v>1011196218</v>
      </c>
      <c r="D6302">
        <v>-6471.57</v>
      </c>
    </row>
    <row r="6303" spans="1:4" hidden="1" x14ac:dyDescent="0.3">
      <c r="A6303" t="s">
        <v>626</v>
      </c>
      <c r="B6303" t="s">
        <v>7</v>
      </c>
      <c r="C6303" s="1">
        <f>HYPERLINK("https://cao.dolgi.msk.ru/account/1011514239/", 1011514239)</f>
        <v>1011514239</v>
      </c>
      <c r="D6303">
        <v>-278.19</v>
      </c>
    </row>
    <row r="6304" spans="1:4" hidden="1" x14ac:dyDescent="0.3">
      <c r="A6304" t="s">
        <v>626</v>
      </c>
      <c r="B6304" t="s">
        <v>8</v>
      </c>
      <c r="C6304" s="1">
        <f>HYPERLINK("https://cao.dolgi.msk.ru/account/1011514378/", 1011514378)</f>
        <v>1011514378</v>
      </c>
      <c r="D6304">
        <v>-10926.86</v>
      </c>
    </row>
    <row r="6305" spans="1:4" x14ac:dyDescent="0.3">
      <c r="A6305" t="s">
        <v>626</v>
      </c>
      <c r="B6305" t="s">
        <v>31</v>
      </c>
      <c r="C6305" s="1">
        <f>HYPERLINK("https://cao.dolgi.msk.ru/account/1011196496/", 1011196496)</f>
        <v>1011196496</v>
      </c>
      <c r="D6305">
        <v>52543.81</v>
      </c>
    </row>
    <row r="6306" spans="1:4" hidden="1" x14ac:dyDescent="0.3">
      <c r="A6306" t="s">
        <v>626</v>
      </c>
      <c r="B6306" t="s">
        <v>9</v>
      </c>
      <c r="C6306" s="1">
        <f>HYPERLINK("https://cao.dolgi.msk.ru/account/1011195733/", 1011195733)</f>
        <v>1011195733</v>
      </c>
      <c r="D6306">
        <v>0</v>
      </c>
    </row>
    <row r="6307" spans="1:4" hidden="1" x14ac:dyDescent="0.3">
      <c r="A6307" t="s">
        <v>626</v>
      </c>
      <c r="B6307" t="s">
        <v>9</v>
      </c>
      <c r="C6307" s="1">
        <f>HYPERLINK("https://cao.dolgi.msk.ru/account/1011195741/", 1011195741)</f>
        <v>1011195741</v>
      </c>
      <c r="D6307">
        <v>-3037.82</v>
      </c>
    </row>
    <row r="6308" spans="1:4" hidden="1" x14ac:dyDescent="0.3">
      <c r="A6308" t="s">
        <v>626</v>
      </c>
      <c r="B6308" t="s">
        <v>10</v>
      </c>
      <c r="C6308" s="1">
        <f>HYPERLINK("https://cao.dolgi.msk.ru/account/1011196365/", 1011196365)</f>
        <v>1011196365</v>
      </c>
      <c r="D6308">
        <v>-7528.97</v>
      </c>
    </row>
    <row r="6309" spans="1:4" hidden="1" x14ac:dyDescent="0.3">
      <c r="A6309" t="s">
        <v>626</v>
      </c>
      <c r="B6309" t="s">
        <v>11</v>
      </c>
      <c r="C6309" s="1">
        <f>HYPERLINK("https://cao.dolgi.msk.ru/account/1011195768/", 1011195768)</f>
        <v>1011195768</v>
      </c>
      <c r="D6309">
        <v>-101.71</v>
      </c>
    </row>
    <row r="6310" spans="1:4" hidden="1" x14ac:dyDescent="0.3">
      <c r="A6310" t="s">
        <v>626</v>
      </c>
      <c r="B6310" t="s">
        <v>12</v>
      </c>
      <c r="C6310" s="1">
        <f>HYPERLINK("https://cao.dolgi.msk.ru/account/1011195581/", 1011195581)</f>
        <v>1011195581</v>
      </c>
      <c r="D6310">
        <v>0</v>
      </c>
    </row>
    <row r="6311" spans="1:4" x14ac:dyDescent="0.3">
      <c r="A6311" t="s">
        <v>626</v>
      </c>
      <c r="B6311" t="s">
        <v>23</v>
      </c>
      <c r="C6311" s="1">
        <f>HYPERLINK("https://cao.dolgi.msk.ru/account/1011196664/", 1011196664)</f>
        <v>1011196664</v>
      </c>
      <c r="D6311">
        <v>11141.12</v>
      </c>
    </row>
    <row r="6312" spans="1:4" hidden="1" x14ac:dyDescent="0.3">
      <c r="A6312" t="s">
        <v>626</v>
      </c>
      <c r="B6312" t="s">
        <v>13</v>
      </c>
      <c r="C6312" s="1">
        <f>HYPERLINK("https://cao.dolgi.msk.ru/account/1011195901/", 1011195901)</f>
        <v>1011195901</v>
      </c>
      <c r="D6312">
        <v>-19269.63</v>
      </c>
    </row>
    <row r="6313" spans="1:4" hidden="1" x14ac:dyDescent="0.3">
      <c r="A6313" t="s">
        <v>626</v>
      </c>
      <c r="B6313" t="s">
        <v>14</v>
      </c>
      <c r="C6313" s="1">
        <f>HYPERLINK("https://cao.dolgi.msk.ru/account/1011196373/", 1011196373)</f>
        <v>1011196373</v>
      </c>
      <c r="D6313">
        <v>-369.36</v>
      </c>
    </row>
    <row r="6314" spans="1:4" hidden="1" x14ac:dyDescent="0.3">
      <c r="A6314" t="s">
        <v>626</v>
      </c>
      <c r="B6314" t="s">
        <v>16</v>
      </c>
      <c r="C6314" s="1">
        <f>HYPERLINK("https://cao.dolgi.msk.ru/account/1011195928/", 1011195928)</f>
        <v>1011195928</v>
      </c>
      <c r="D6314">
        <v>0</v>
      </c>
    </row>
    <row r="6315" spans="1:4" hidden="1" x14ac:dyDescent="0.3">
      <c r="A6315" t="s">
        <v>626</v>
      </c>
      <c r="B6315" t="s">
        <v>17</v>
      </c>
      <c r="C6315" s="1">
        <f>HYPERLINK("https://cao.dolgi.msk.ru/account/1011196066/", 1011196066)</f>
        <v>1011196066</v>
      </c>
      <c r="D6315">
        <v>0</v>
      </c>
    </row>
    <row r="6316" spans="1:4" hidden="1" x14ac:dyDescent="0.3">
      <c r="A6316" t="s">
        <v>626</v>
      </c>
      <c r="B6316" t="s">
        <v>18</v>
      </c>
      <c r="C6316" s="1">
        <f>HYPERLINK("https://cao.dolgi.msk.ru/account/1011196509/", 1011196509)</f>
        <v>1011196509</v>
      </c>
      <c r="D6316">
        <v>0</v>
      </c>
    </row>
    <row r="6317" spans="1:4" hidden="1" x14ac:dyDescent="0.3">
      <c r="A6317" t="s">
        <v>626</v>
      </c>
      <c r="B6317" t="s">
        <v>19</v>
      </c>
      <c r="C6317" s="1">
        <f>HYPERLINK("https://cao.dolgi.msk.ru/account/1011196234/", 1011196234)</f>
        <v>1011196234</v>
      </c>
      <c r="D6317">
        <v>-103.78</v>
      </c>
    </row>
    <row r="6318" spans="1:4" hidden="1" x14ac:dyDescent="0.3">
      <c r="A6318" t="s">
        <v>626</v>
      </c>
      <c r="B6318" t="s">
        <v>20</v>
      </c>
      <c r="C6318" s="1">
        <f>HYPERLINK("https://cao.dolgi.msk.ru/account/1011196381/", 1011196381)</f>
        <v>1011196381</v>
      </c>
      <c r="D6318">
        <v>-5.07</v>
      </c>
    </row>
    <row r="6319" spans="1:4" x14ac:dyDescent="0.3">
      <c r="A6319" t="s">
        <v>626</v>
      </c>
      <c r="B6319" t="s">
        <v>21</v>
      </c>
      <c r="C6319" s="1">
        <f>HYPERLINK("https://cao.dolgi.msk.ru/account/1011196402/", 1011196402)</f>
        <v>1011196402</v>
      </c>
      <c r="D6319">
        <v>8044.54</v>
      </c>
    </row>
    <row r="6320" spans="1:4" hidden="1" x14ac:dyDescent="0.3">
      <c r="A6320" t="s">
        <v>626</v>
      </c>
      <c r="B6320" t="s">
        <v>22</v>
      </c>
      <c r="C6320" s="1">
        <f>HYPERLINK("https://cao.dolgi.msk.ru/account/1011195602/", 1011195602)</f>
        <v>1011195602</v>
      </c>
      <c r="D6320">
        <v>0</v>
      </c>
    </row>
    <row r="6321" spans="1:4" hidden="1" x14ac:dyDescent="0.3">
      <c r="A6321" t="s">
        <v>626</v>
      </c>
      <c r="B6321" t="s">
        <v>22</v>
      </c>
      <c r="C6321" s="1">
        <f>HYPERLINK("https://cao.dolgi.msk.ru/account/1011195936/", 1011195936)</f>
        <v>1011195936</v>
      </c>
      <c r="D6321">
        <v>0</v>
      </c>
    </row>
    <row r="6322" spans="1:4" x14ac:dyDescent="0.3">
      <c r="A6322" t="s">
        <v>626</v>
      </c>
      <c r="B6322" t="s">
        <v>24</v>
      </c>
      <c r="C6322" s="1">
        <f>HYPERLINK("https://cao.dolgi.msk.ru/account/1011196517/", 1011196517)</f>
        <v>1011196517</v>
      </c>
      <c r="D6322">
        <v>16329.09</v>
      </c>
    </row>
    <row r="6323" spans="1:4" x14ac:dyDescent="0.3">
      <c r="A6323" t="s">
        <v>626</v>
      </c>
      <c r="B6323" t="s">
        <v>25</v>
      </c>
      <c r="C6323" s="1">
        <f>HYPERLINK("https://cao.dolgi.msk.ru/account/1011196672/", 1011196672)</f>
        <v>1011196672</v>
      </c>
      <c r="D6323">
        <v>15242.74</v>
      </c>
    </row>
    <row r="6324" spans="1:4" x14ac:dyDescent="0.3">
      <c r="A6324" t="s">
        <v>626</v>
      </c>
      <c r="B6324" t="s">
        <v>26</v>
      </c>
      <c r="C6324" s="1">
        <f>HYPERLINK("https://cao.dolgi.msk.ru/account/1011195944/", 1011195944)</f>
        <v>1011195944</v>
      </c>
      <c r="D6324">
        <v>196808.54</v>
      </c>
    </row>
    <row r="6325" spans="1:4" hidden="1" x14ac:dyDescent="0.3">
      <c r="A6325" t="s">
        <v>626</v>
      </c>
      <c r="B6325" t="s">
        <v>26</v>
      </c>
      <c r="C6325" s="1">
        <f>HYPERLINK("https://cao.dolgi.msk.ru/account/1011196242/", 1011196242)</f>
        <v>1011196242</v>
      </c>
      <c r="D6325">
        <v>-4328.0600000000004</v>
      </c>
    </row>
    <row r="6326" spans="1:4" hidden="1" x14ac:dyDescent="0.3">
      <c r="A6326" t="s">
        <v>626</v>
      </c>
      <c r="B6326" t="s">
        <v>27</v>
      </c>
      <c r="C6326" s="1">
        <f>HYPERLINK("https://cao.dolgi.msk.ru/account/1011195776/", 1011195776)</f>
        <v>1011195776</v>
      </c>
      <c r="D6326">
        <v>-135.46</v>
      </c>
    </row>
    <row r="6327" spans="1:4" hidden="1" x14ac:dyDescent="0.3">
      <c r="A6327" t="s">
        <v>626</v>
      </c>
      <c r="B6327" t="s">
        <v>27</v>
      </c>
      <c r="C6327" s="1">
        <f>HYPERLINK("https://cao.dolgi.msk.ru/account/1011195952/", 1011195952)</f>
        <v>1011195952</v>
      </c>
      <c r="D6327">
        <v>-29.49</v>
      </c>
    </row>
    <row r="6328" spans="1:4" hidden="1" x14ac:dyDescent="0.3">
      <c r="A6328" t="s">
        <v>626</v>
      </c>
      <c r="B6328" t="s">
        <v>29</v>
      </c>
      <c r="C6328" s="1">
        <f>HYPERLINK("https://cao.dolgi.msk.ru/account/1011196699/", 1011196699)</f>
        <v>1011196699</v>
      </c>
      <c r="D6328">
        <v>-204.78</v>
      </c>
    </row>
    <row r="6329" spans="1:4" hidden="1" x14ac:dyDescent="0.3">
      <c r="A6329" t="s">
        <v>626</v>
      </c>
      <c r="B6329" t="s">
        <v>38</v>
      </c>
      <c r="C6329" s="1">
        <f>HYPERLINK("https://cao.dolgi.msk.ru/account/1011196074/", 1011196074)</f>
        <v>1011196074</v>
      </c>
      <c r="D6329">
        <v>0</v>
      </c>
    </row>
    <row r="6330" spans="1:4" hidden="1" x14ac:dyDescent="0.3">
      <c r="A6330" t="s">
        <v>626</v>
      </c>
      <c r="B6330" t="s">
        <v>38</v>
      </c>
      <c r="C6330" s="1">
        <f>HYPERLINK("https://cao.dolgi.msk.ru/account/1011310447/", 1011310447)</f>
        <v>1011310447</v>
      </c>
      <c r="D6330">
        <v>0</v>
      </c>
    </row>
    <row r="6331" spans="1:4" x14ac:dyDescent="0.3">
      <c r="A6331" t="s">
        <v>626</v>
      </c>
      <c r="B6331" t="s">
        <v>39</v>
      </c>
      <c r="C6331" s="1">
        <f>HYPERLINK("https://cao.dolgi.msk.ru/account/1011196525/", 1011196525)</f>
        <v>1011196525</v>
      </c>
      <c r="D6331">
        <v>1013.39</v>
      </c>
    </row>
    <row r="6332" spans="1:4" hidden="1" x14ac:dyDescent="0.3">
      <c r="A6332" t="s">
        <v>626</v>
      </c>
      <c r="B6332" t="s">
        <v>40</v>
      </c>
      <c r="C6332" s="1">
        <f>HYPERLINK("https://cao.dolgi.msk.ru/account/1011196701/", 1011196701)</f>
        <v>1011196701</v>
      </c>
      <c r="D6332">
        <v>0</v>
      </c>
    </row>
    <row r="6333" spans="1:4" hidden="1" x14ac:dyDescent="0.3">
      <c r="A6333" t="s">
        <v>626</v>
      </c>
      <c r="B6333" t="s">
        <v>41</v>
      </c>
      <c r="C6333" s="1">
        <f>HYPERLINK("https://cao.dolgi.msk.ru/account/1011195629/", 1011195629)</f>
        <v>1011195629</v>
      </c>
      <c r="D6333">
        <v>0</v>
      </c>
    </row>
    <row r="6334" spans="1:4" hidden="1" x14ac:dyDescent="0.3">
      <c r="A6334" t="s">
        <v>626</v>
      </c>
      <c r="B6334" t="s">
        <v>51</v>
      </c>
      <c r="C6334" s="1">
        <f>HYPERLINK("https://cao.dolgi.msk.ru/account/1011196429/", 1011196429)</f>
        <v>1011196429</v>
      </c>
      <c r="D6334">
        <v>0</v>
      </c>
    </row>
    <row r="6335" spans="1:4" x14ac:dyDescent="0.3">
      <c r="A6335" t="s">
        <v>626</v>
      </c>
      <c r="B6335" t="s">
        <v>52</v>
      </c>
      <c r="C6335" s="1">
        <f>HYPERLINK("https://cao.dolgi.msk.ru/account/1011196269/", 1011196269)</f>
        <v>1011196269</v>
      </c>
      <c r="D6335">
        <v>47000.43</v>
      </c>
    </row>
    <row r="6336" spans="1:4" hidden="1" x14ac:dyDescent="0.3">
      <c r="A6336" t="s">
        <v>626</v>
      </c>
      <c r="B6336" t="s">
        <v>52</v>
      </c>
      <c r="C6336" s="1">
        <f>HYPERLINK("https://cao.dolgi.msk.ru/account/1011196437/", 1011196437)</f>
        <v>1011196437</v>
      </c>
      <c r="D6336">
        <v>0</v>
      </c>
    </row>
    <row r="6337" spans="1:4" x14ac:dyDescent="0.3">
      <c r="A6337" t="s">
        <v>626</v>
      </c>
      <c r="B6337" t="s">
        <v>53</v>
      </c>
      <c r="C6337" s="1">
        <f>HYPERLINK("https://cao.dolgi.msk.ru/account/1011195784/", 1011195784)</f>
        <v>1011195784</v>
      </c>
      <c r="D6337">
        <v>6345.03</v>
      </c>
    </row>
    <row r="6338" spans="1:4" hidden="1" x14ac:dyDescent="0.3">
      <c r="A6338" t="s">
        <v>626</v>
      </c>
      <c r="B6338" t="s">
        <v>54</v>
      </c>
      <c r="C6338" s="1">
        <f>HYPERLINK("https://cao.dolgi.msk.ru/account/1011195637/", 1011195637)</f>
        <v>1011195637</v>
      </c>
      <c r="D6338">
        <v>-8326.84</v>
      </c>
    </row>
    <row r="6339" spans="1:4" hidden="1" x14ac:dyDescent="0.3">
      <c r="A6339" t="s">
        <v>626</v>
      </c>
      <c r="B6339" t="s">
        <v>55</v>
      </c>
      <c r="C6339" s="1">
        <f>HYPERLINK("https://cao.dolgi.msk.ru/account/1011196082/", 1011196082)</f>
        <v>1011196082</v>
      </c>
      <c r="D6339">
        <v>-8916.85</v>
      </c>
    </row>
    <row r="6340" spans="1:4" hidden="1" x14ac:dyDescent="0.3">
      <c r="A6340" t="s">
        <v>626</v>
      </c>
      <c r="B6340" t="s">
        <v>56</v>
      </c>
      <c r="C6340" s="1">
        <f>HYPERLINK("https://cao.dolgi.msk.ru/account/1011195792/", 1011195792)</f>
        <v>1011195792</v>
      </c>
      <c r="D6340">
        <v>0</v>
      </c>
    </row>
    <row r="6341" spans="1:4" hidden="1" x14ac:dyDescent="0.3">
      <c r="A6341" t="s">
        <v>626</v>
      </c>
      <c r="B6341" t="s">
        <v>87</v>
      </c>
      <c r="C6341" s="1">
        <f>HYPERLINK("https://cao.dolgi.msk.ru/account/1011196197/", 1011196197)</f>
        <v>1011196197</v>
      </c>
      <c r="D6341">
        <v>-717.4</v>
      </c>
    </row>
    <row r="6342" spans="1:4" x14ac:dyDescent="0.3">
      <c r="A6342" t="s">
        <v>626</v>
      </c>
      <c r="B6342" t="s">
        <v>88</v>
      </c>
      <c r="C6342" s="1">
        <f>HYPERLINK("https://cao.dolgi.msk.ru/account/1011196445/", 1011196445)</f>
        <v>1011196445</v>
      </c>
      <c r="D6342">
        <v>5577.51</v>
      </c>
    </row>
    <row r="6343" spans="1:4" hidden="1" x14ac:dyDescent="0.3">
      <c r="A6343" t="s">
        <v>626</v>
      </c>
      <c r="B6343" t="s">
        <v>89</v>
      </c>
      <c r="C6343" s="1">
        <f>HYPERLINK("https://cao.dolgi.msk.ru/account/1011195805/", 1011195805)</f>
        <v>1011195805</v>
      </c>
      <c r="D6343">
        <v>0</v>
      </c>
    </row>
    <row r="6344" spans="1:4" hidden="1" x14ac:dyDescent="0.3">
      <c r="A6344" t="s">
        <v>626</v>
      </c>
      <c r="B6344" t="s">
        <v>90</v>
      </c>
      <c r="C6344" s="1">
        <f>HYPERLINK("https://cao.dolgi.msk.ru/account/1011196277/", 1011196277)</f>
        <v>1011196277</v>
      </c>
      <c r="D6344">
        <v>-4885.2700000000004</v>
      </c>
    </row>
    <row r="6345" spans="1:4" hidden="1" x14ac:dyDescent="0.3">
      <c r="A6345" t="s">
        <v>626</v>
      </c>
      <c r="B6345" t="s">
        <v>96</v>
      </c>
      <c r="C6345" s="1">
        <f>HYPERLINK("https://cao.dolgi.msk.ru/account/1011196285/", 1011196285)</f>
        <v>1011196285</v>
      </c>
      <c r="D6345">
        <v>-69.150000000000006</v>
      </c>
    </row>
    <row r="6346" spans="1:4" hidden="1" x14ac:dyDescent="0.3">
      <c r="A6346" t="s">
        <v>626</v>
      </c>
      <c r="B6346" t="s">
        <v>97</v>
      </c>
      <c r="C6346" s="1">
        <f>HYPERLINK("https://cao.dolgi.msk.ru/account/1011196533/", 1011196533)</f>
        <v>1011196533</v>
      </c>
      <c r="D6346">
        <v>-526.12</v>
      </c>
    </row>
    <row r="6347" spans="1:4" hidden="1" x14ac:dyDescent="0.3">
      <c r="A6347" t="s">
        <v>626</v>
      </c>
      <c r="B6347" t="s">
        <v>98</v>
      </c>
      <c r="C6347" s="1">
        <f>HYPERLINK("https://cao.dolgi.msk.ru/account/1011195645/", 1011195645)</f>
        <v>1011195645</v>
      </c>
      <c r="D6347">
        <v>0</v>
      </c>
    </row>
    <row r="6348" spans="1:4" hidden="1" x14ac:dyDescent="0.3">
      <c r="A6348" t="s">
        <v>626</v>
      </c>
      <c r="B6348" t="s">
        <v>98</v>
      </c>
      <c r="C6348" s="1">
        <f>HYPERLINK("https://cao.dolgi.msk.ru/account/1011196293/", 1011196293)</f>
        <v>1011196293</v>
      </c>
      <c r="D6348">
        <v>-12.64</v>
      </c>
    </row>
    <row r="6349" spans="1:4" hidden="1" x14ac:dyDescent="0.3">
      <c r="A6349" t="s">
        <v>626</v>
      </c>
      <c r="B6349" t="s">
        <v>59</v>
      </c>
      <c r="C6349" s="1">
        <f>HYPERLINK("https://cao.dolgi.msk.ru/account/1011196728/", 1011196728)</f>
        <v>1011196728</v>
      </c>
      <c r="D6349">
        <v>0</v>
      </c>
    </row>
    <row r="6350" spans="1:4" x14ac:dyDescent="0.3">
      <c r="A6350" t="s">
        <v>626</v>
      </c>
      <c r="B6350" t="s">
        <v>60</v>
      </c>
      <c r="C6350" s="1">
        <f>HYPERLINK("https://cao.dolgi.msk.ru/account/1011195653/", 1011195653)</f>
        <v>1011195653</v>
      </c>
      <c r="D6350">
        <v>20120.09</v>
      </c>
    </row>
    <row r="6351" spans="1:4" x14ac:dyDescent="0.3">
      <c r="A6351" t="s">
        <v>626</v>
      </c>
      <c r="B6351" t="s">
        <v>61</v>
      </c>
      <c r="C6351" s="1">
        <f>HYPERLINK("https://cao.dolgi.msk.ru/account/1011196541/", 1011196541)</f>
        <v>1011196541</v>
      </c>
      <c r="D6351">
        <v>267686.3</v>
      </c>
    </row>
    <row r="6352" spans="1:4" hidden="1" x14ac:dyDescent="0.3">
      <c r="A6352" t="s">
        <v>626</v>
      </c>
      <c r="B6352" t="s">
        <v>62</v>
      </c>
      <c r="C6352" s="1">
        <f>HYPERLINK("https://cao.dolgi.msk.ru/account/1011195813/", 1011195813)</f>
        <v>1011195813</v>
      </c>
      <c r="D6352">
        <v>-6449.91</v>
      </c>
    </row>
    <row r="6353" spans="1:4" hidden="1" x14ac:dyDescent="0.3">
      <c r="A6353" t="s">
        <v>626</v>
      </c>
      <c r="B6353" t="s">
        <v>63</v>
      </c>
      <c r="C6353" s="1">
        <f>HYPERLINK("https://cao.dolgi.msk.ru/account/1011195979/", 1011195979)</f>
        <v>1011195979</v>
      </c>
      <c r="D6353">
        <v>-79.209999999999994</v>
      </c>
    </row>
    <row r="6354" spans="1:4" x14ac:dyDescent="0.3">
      <c r="A6354" t="s">
        <v>626</v>
      </c>
      <c r="B6354" t="s">
        <v>64</v>
      </c>
      <c r="C6354" s="1">
        <f>HYPERLINK("https://cao.dolgi.msk.ru/account/1011196568/", 1011196568)</f>
        <v>1011196568</v>
      </c>
      <c r="D6354">
        <v>88692.2</v>
      </c>
    </row>
    <row r="6355" spans="1:4" hidden="1" x14ac:dyDescent="0.3">
      <c r="A6355" t="s">
        <v>626</v>
      </c>
      <c r="B6355" t="s">
        <v>65</v>
      </c>
      <c r="C6355" s="1">
        <f>HYPERLINK("https://cao.dolgi.msk.ru/account/1011196576/", 1011196576)</f>
        <v>1011196576</v>
      </c>
      <c r="D6355">
        <v>0</v>
      </c>
    </row>
    <row r="6356" spans="1:4" hidden="1" x14ac:dyDescent="0.3">
      <c r="A6356" t="s">
        <v>626</v>
      </c>
      <c r="B6356" t="s">
        <v>66</v>
      </c>
      <c r="C6356" s="1">
        <f>HYPERLINK("https://cao.dolgi.msk.ru/account/1011196584/", 1011196584)</f>
        <v>1011196584</v>
      </c>
      <c r="D6356">
        <v>0</v>
      </c>
    </row>
    <row r="6357" spans="1:4" hidden="1" x14ac:dyDescent="0.3">
      <c r="A6357" t="s">
        <v>626</v>
      </c>
      <c r="B6357" t="s">
        <v>67</v>
      </c>
      <c r="C6357" s="1">
        <f>HYPERLINK("https://cao.dolgi.msk.ru/account/1011196736/", 1011196736)</f>
        <v>1011196736</v>
      </c>
      <c r="D6357">
        <v>-132.88</v>
      </c>
    </row>
    <row r="6358" spans="1:4" hidden="1" x14ac:dyDescent="0.3">
      <c r="A6358" t="s">
        <v>626</v>
      </c>
      <c r="B6358" t="s">
        <v>68</v>
      </c>
      <c r="C6358" s="1">
        <f>HYPERLINK("https://cao.dolgi.msk.ru/account/1011195987/", 1011195987)</f>
        <v>1011195987</v>
      </c>
      <c r="D6358">
        <v>-95.88</v>
      </c>
    </row>
    <row r="6359" spans="1:4" hidden="1" x14ac:dyDescent="0.3">
      <c r="A6359" t="s">
        <v>626</v>
      </c>
      <c r="B6359" t="s">
        <v>69</v>
      </c>
      <c r="C6359" s="1">
        <f>HYPERLINK("https://cao.dolgi.msk.ru/account/1011196592/", 1011196592)</f>
        <v>1011196592</v>
      </c>
      <c r="D6359">
        <v>-106.16</v>
      </c>
    </row>
    <row r="6360" spans="1:4" hidden="1" x14ac:dyDescent="0.3">
      <c r="A6360" t="s">
        <v>626</v>
      </c>
      <c r="B6360" t="s">
        <v>70</v>
      </c>
      <c r="C6360" s="1">
        <f>HYPERLINK("https://cao.dolgi.msk.ru/account/1011195661/", 1011195661)</f>
        <v>1011195661</v>
      </c>
      <c r="D6360">
        <v>0</v>
      </c>
    </row>
    <row r="6361" spans="1:4" hidden="1" x14ac:dyDescent="0.3">
      <c r="A6361" t="s">
        <v>626</v>
      </c>
      <c r="B6361" t="s">
        <v>259</v>
      </c>
      <c r="C6361" s="1">
        <f>HYPERLINK("https://cao.dolgi.msk.ru/account/1011196605/", 1011196605)</f>
        <v>1011196605</v>
      </c>
      <c r="D6361">
        <v>-220.94</v>
      </c>
    </row>
    <row r="6362" spans="1:4" x14ac:dyDescent="0.3">
      <c r="A6362" t="s">
        <v>626</v>
      </c>
      <c r="B6362" t="s">
        <v>100</v>
      </c>
      <c r="C6362" s="1">
        <f>HYPERLINK("https://cao.dolgi.msk.ru/account/1011196744/", 1011196744)</f>
        <v>1011196744</v>
      </c>
      <c r="D6362">
        <v>225</v>
      </c>
    </row>
    <row r="6363" spans="1:4" hidden="1" x14ac:dyDescent="0.3">
      <c r="A6363" t="s">
        <v>626</v>
      </c>
      <c r="B6363" t="s">
        <v>72</v>
      </c>
      <c r="C6363" s="1">
        <f>HYPERLINK("https://cao.dolgi.msk.ru/account/1011196103/", 1011196103)</f>
        <v>1011196103</v>
      </c>
      <c r="D6363">
        <v>0</v>
      </c>
    </row>
    <row r="6364" spans="1:4" hidden="1" x14ac:dyDescent="0.3">
      <c r="A6364" t="s">
        <v>626</v>
      </c>
      <c r="B6364" t="s">
        <v>73</v>
      </c>
      <c r="C6364" s="1">
        <f>HYPERLINK("https://cao.dolgi.msk.ru/account/1011196613/", 1011196613)</f>
        <v>1011196613</v>
      </c>
      <c r="D6364">
        <v>-9592.99</v>
      </c>
    </row>
    <row r="6365" spans="1:4" hidden="1" x14ac:dyDescent="0.3">
      <c r="A6365" t="s">
        <v>626</v>
      </c>
      <c r="B6365" t="s">
        <v>74</v>
      </c>
      <c r="C6365" s="1">
        <f>HYPERLINK("https://cao.dolgi.msk.ru/account/1011195688/", 1011195688)</f>
        <v>1011195688</v>
      </c>
      <c r="D6365">
        <v>-1623.63</v>
      </c>
    </row>
    <row r="6366" spans="1:4" x14ac:dyDescent="0.3">
      <c r="A6366" t="s">
        <v>626</v>
      </c>
      <c r="B6366" t="s">
        <v>75</v>
      </c>
      <c r="C6366" s="1">
        <f>HYPERLINK("https://cao.dolgi.msk.ru/account/1011196111/", 1011196111)</f>
        <v>1011196111</v>
      </c>
      <c r="D6366">
        <v>9292.7199999999993</v>
      </c>
    </row>
    <row r="6367" spans="1:4" hidden="1" x14ac:dyDescent="0.3">
      <c r="A6367" t="s">
        <v>626</v>
      </c>
      <c r="B6367" t="s">
        <v>266</v>
      </c>
      <c r="C6367" s="1">
        <f>HYPERLINK("https://cao.dolgi.msk.ru/account/1011196138/", 1011196138)</f>
        <v>1011196138</v>
      </c>
      <c r="D6367">
        <v>0</v>
      </c>
    </row>
    <row r="6368" spans="1:4" hidden="1" x14ac:dyDescent="0.3">
      <c r="A6368" t="s">
        <v>626</v>
      </c>
      <c r="B6368" t="s">
        <v>117</v>
      </c>
      <c r="C6368" s="1">
        <f>HYPERLINK("https://cao.dolgi.msk.ru/account/1011196306/", 1011196306)</f>
        <v>1011196306</v>
      </c>
      <c r="D6368">
        <v>-101.28</v>
      </c>
    </row>
    <row r="6369" spans="1:4" hidden="1" x14ac:dyDescent="0.3">
      <c r="A6369" t="s">
        <v>626</v>
      </c>
      <c r="B6369" t="s">
        <v>118</v>
      </c>
      <c r="C6369" s="1">
        <f>HYPERLINK("https://cao.dolgi.msk.ru/account/1011196453/", 1011196453)</f>
        <v>1011196453</v>
      </c>
      <c r="D6369">
        <v>-141.77000000000001</v>
      </c>
    </row>
    <row r="6370" spans="1:4" hidden="1" x14ac:dyDescent="0.3">
      <c r="A6370" t="s">
        <v>626</v>
      </c>
      <c r="B6370" t="s">
        <v>119</v>
      </c>
      <c r="C6370" s="1">
        <f>HYPERLINK("https://cao.dolgi.msk.ru/account/1011195696/", 1011195696)</f>
        <v>1011195696</v>
      </c>
      <c r="D6370">
        <v>-27443.360000000001</v>
      </c>
    </row>
    <row r="6371" spans="1:4" hidden="1" x14ac:dyDescent="0.3">
      <c r="A6371" t="s">
        <v>626</v>
      </c>
      <c r="B6371" t="s">
        <v>120</v>
      </c>
      <c r="C6371" s="1">
        <f>HYPERLINK("https://cao.dolgi.msk.ru/account/1011195995/", 1011195995)</f>
        <v>1011195995</v>
      </c>
      <c r="D6371">
        <v>0</v>
      </c>
    </row>
    <row r="6372" spans="1:4" hidden="1" x14ac:dyDescent="0.3">
      <c r="A6372" t="s">
        <v>626</v>
      </c>
      <c r="B6372" t="s">
        <v>121</v>
      </c>
      <c r="C6372" s="1">
        <f>HYPERLINK("https://cao.dolgi.msk.ru/account/1011196007/", 1011196007)</f>
        <v>1011196007</v>
      </c>
      <c r="D6372">
        <v>-406.48</v>
      </c>
    </row>
    <row r="6373" spans="1:4" hidden="1" x14ac:dyDescent="0.3">
      <c r="A6373" t="s">
        <v>626</v>
      </c>
      <c r="B6373" t="s">
        <v>122</v>
      </c>
      <c r="C6373" s="1">
        <f>HYPERLINK("https://cao.dolgi.msk.ru/account/1011195821/", 1011195821)</f>
        <v>1011195821</v>
      </c>
      <c r="D6373">
        <v>0</v>
      </c>
    </row>
    <row r="6374" spans="1:4" hidden="1" x14ac:dyDescent="0.3">
      <c r="A6374" t="s">
        <v>626</v>
      </c>
      <c r="B6374" t="s">
        <v>627</v>
      </c>
      <c r="C6374" s="1">
        <f>HYPERLINK("https://cao.dolgi.msk.ru/account/1011196146/", 1011196146)</f>
        <v>1011196146</v>
      </c>
      <c r="D6374">
        <v>0</v>
      </c>
    </row>
    <row r="6375" spans="1:4" hidden="1" x14ac:dyDescent="0.3">
      <c r="A6375" t="s">
        <v>626</v>
      </c>
      <c r="B6375" t="s">
        <v>123</v>
      </c>
      <c r="C6375" s="1">
        <f>HYPERLINK("https://cao.dolgi.msk.ru/account/1011196154/", 1011196154)</f>
        <v>1011196154</v>
      </c>
      <c r="D6375">
        <v>-10690.28</v>
      </c>
    </row>
    <row r="6376" spans="1:4" hidden="1" x14ac:dyDescent="0.3">
      <c r="A6376" t="s">
        <v>626</v>
      </c>
      <c r="B6376" t="s">
        <v>124</v>
      </c>
      <c r="C6376" s="1">
        <f>HYPERLINK("https://cao.dolgi.msk.ru/account/1011195848/", 1011195848)</f>
        <v>1011195848</v>
      </c>
      <c r="D6376">
        <v>0</v>
      </c>
    </row>
    <row r="6377" spans="1:4" hidden="1" x14ac:dyDescent="0.3">
      <c r="A6377" t="s">
        <v>626</v>
      </c>
      <c r="B6377" t="s">
        <v>628</v>
      </c>
      <c r="C6377" s="1">
        <f>HYPERLINK("https://cao.dolgi.msk.ru/account/1011196015/", 1011196015)</f>
        <v>1011196015</v>
      </c>
      <c r="D6377">
        <v>0</v>
      </c>
    </row>
    <row r="6378" spans="1:4" hidden="1" x14ac:dyDescent="0.3">
      <c r="A6378" t="s">
        <v>626</v>
      </c>
      <c r="B6378" t="s">
        <v>125</v>
      </c>
      <c r="C6378" s="1">
        <f>HYPERLINK("https://cao.dolgi.msk.ru/account/1011196621/", 1011196621)</f>
        <v>1011196621</v>
      </c>
      <c r="D6378">
        <v>0</v>
      </c>
    </row>
    <row r="6379" spans="1:4" hidden="1" x14ac:dyDescent="0.3">
      <c r="A6379" t="s">
        <v>626</v>
      </c>
      <c r="B6379" t="s">
        <v>126</v>
      </c>
      <c r="C6379" s="1">
        <f>HYPERLINK("https://cao.dolgi.msk.ru/account/1011196162/", 1011196162)</f>
        <v>1011196162</v>
      </c>
      <c r="D6379">
        <v>-308.23</v>
      </c>
    </row>
    <row r="6380" spans="1:4" hidden="1" x14ac:dyDescent="0.3">
      <c r="A6380" t="s">
        <v>626</v>
      </c>
      <c r="B6380" t="s">
        <v>127</v>
      </c>
      <c r="C6380" s="1">
        <f>HYPERLINK("https://cao.dolgi.msk.ru/account/1011196189/", 1011196189)</f>
        <v>1011196189</v>
      </c>
      <c r="D6380">
        <v>-6241.16</v>
      </c>
    </row>
    <row r="6381" spans="1:4" hidden="1" x14ac:dyDescent="0.3">
      <c r="A6381" t="s">
        <v>626</v>
      </c>
      <c r="B6381" t="s">
        <v>262</v>
      </c>
      <c r="C6381" s="1">
        <f>HYPERLINK("https://cao.dolgi.msk.ru/account/1011196322/", 1011196322)</f>
        <v>1011196322</v>
      </c>
      <c r="D6381">
        <v>-1632.02</v>
      </c>
    </row>
    <row r="6382" spans="1:4" hidden="1" x14ac:dyDescent="0.3">
      <c r="A6382" t="s">
        <v>626</v>
      </c>
      <c r="B6382" t="s">
        <v>128</v>
      </c>
      <c r="C6382" s="1">
        <f>HYPERLINK("https://cao.dolgi.msk.ru/account/1011196023/", 1011196023)</f>
        <v>1011196023</v>
      </c>
      <c r="D6382">
        <v>-219.88</v>
      </c>
    </row>
    <row r="6383" spans="1:4" hidden="1" x14ac:dyDescent="0.3">
      <c r="A6383" t="s">
        <v>626</v>
      </c>
      <c r="B6383" t="s">
        <v>129</v>
      </c>
      <c r="C6383" s="1">
        <f>HYPERLINK("https://cao.dolgi.msk.ru/account/1011195709/", 1011195709)</f>
        <v>1011195709</v>
      </c>
      <c r="D6383">
        <v>0</v>
      </c>
    </row>
    <row r="6384" spans="1:4" hidden="1" x14ac:dyDescent="0.3">
      <c r="A6384" t="s">
        <v>626</v>
      </c>
      <c r="B6384" t="s">
        <v>130</v>
      </c>
      <c r="C6384" s="1">
        <f>HYPERLINK("https://cao.dolgi.msk.ru/account/1011196031/", 1011196031)</f>
        <v>1011196031</v>
      </c>
      <c r="D6384">
        <v>-141.41999999999999</v>
      </c>
    </row>
    <row r="6385" spans="1:4" x14ac:dyDescent="0.3">
      <c r="A6385" t="s">
        <v>626</v>
      </c>
      <c r="B6385" t="s">
        <v>131</v>
      </c>
      <c r="C6385" s="1">
        <f>HYPERLINK("https://cao.dolgi.msk.ru/account/1011195856/", 1011195856)</f>
        <v>1011195856</v>
      </c>
      <c r="D6385">
        <v>494620.23</v>
      </c>
    </row>
    <row r="6386" spans="1:4" x14ac:dyDescent="0.3">
      <c r="A6386" t="s">
        <v>626</v>
      </c>
      <c r="B6386" t="s">
        <v>132</v>
      </c>
      <c r="C6386" s="1">
        <f>HYPERLINK("https://cao.dolgi.msk.ru/account/1011196349/", 1011196349)</f>
        <v>1011196349</v>
      </c>
      <c r="D6386">
        <v>206652.34</v>
      </c>
    </row>
    <row r="6387" spans="1:4" hidden="1" x14ac:dyDescent="0.3">
      <c r="A6387" t="s">
        <v>626</v>
      </c>
      <c r="B6387" t="s">
        <v>133</v>
      </c>
      <c r="C6387" s="1">
        <f>HYPERLINK("https://cao.dolgi.msk.ru/account/1011195864/", 1011195864)</f>
        <v>1011195864</v>
      </c>
      <c r="D6387">
        <v>-45</v>
      </c>
    </row>
    <row r="6388" spans="1:4" hidden="1" x14ac:dyDescent="0.3">
      <c r="A6388" t="s">
        <v>626</v>
      </c>
      <c r="B6388" t="s">
        <v>133</v>
      </c>
      <c r="C6388" s="1">
        <f>HYPERLINK("https://cao.dolgi.msk.ru/account/1011196461/", 1011196461)</f>
        <v>1011196461</v>
      </c>
      <c r="D6388">
        <v>0</v>
      </c>
    </row>
    <row r="6389" spans="1:4" hidden="1" x14ac:dyDescent="0.3">
      <c r="A6389" t="s">
        <v>626</v>
      </c>
      <c r="B6389" t="s">
        <v>134</v>
      </c>
      <c r="C6389" s="1">
        <f>HYPERLINK("https://cao.dolgi.msk.ru/account/1011195717/", 1011195717)</f>
        <v>1011195717</v>
      </c>
      <c r="D6389">
        <v>-230</v>
      </c>
    </row>
    <row r="6390" spans="1:4" hidden="1" x14ac:dyDescent="0.3">
      <c r="A6390" t="s">
        <v>626</v>
      </c>
      <c r="B6390" t="s">
        <v>135</v>
      </c>
      <c r="C6390" s="1">
        <f>HYPERLINK("https://cao.dolgi.msk.ru/account/1011196648/", 1011196648)</f>
        <v>1011196648</v>
      </c>
      <c r="D6390">
        <v>-111.44</v>
      </c>
    </row>
    <row r="6391" spans="1:4" hidden="1" x14ac:dyDescent="0.3">
      <c r="A6391" t="s">
        <v>626</v>
      </c>
      <c r="B6391" t="s">
        <v>264</v>
      </c>
      <c r="C6391" s="1">
        <f>HYPERLINK("https://cao.dolgi.msk.ru/account/1011196058/", 1011196058)</f>
        <v>1011196058</v>
      </c>
      <c r="D6391">
        <v>0</v>
      </c>
    </row>
    <row r="6392" spans="1:4" x14ac:dyDescent="0.3">
      <c r="A6392" t="s">
        <v>629</v>
      </c>
      <c r="B6392" t="s">
        <v>6</v>
      </c>
      <c r="C6392" s="1">
        <f>HYPERLINK("https://cao.dolgi.msk.ru/account/1011315379/", 1011315379)</f>
        <v>1011315379</v>
      </c>
      <c r="D6392">
        <v>16396.900000000001</v>
      </c>
    </row>
    <row r="6393" spans="1:4" hidden="1" x14ac:dyDescent="0.3">
      <c r="A6393" t="s">
        <v>629</v>
      </c>
      <c r="B6393" t="s">
        <v>28</v>
      </c>
      <c r="C6393" s="1">
        <f>HYPERLINK("https://cao.dolgi.msk.ru/account/1011315248/", 1011315248)</f>
        <v>1011315248</v>
      </c>
      <c r="D6393">
        <v>0</v>
      </c>
    </row>
    <row r="6394" spans="1:4" hidden="1" x14ac:dyDescent="0.3">
      <c r="A6394" t="s">
        <v>629</v>
      </c>
      <c r="B6394" t="s">
        <v>5</v>
      </c>
      <c r="C6394" s="1">
        <f>HYPERLINK("https://cao.dolgi.msk.ru/account/1011315141/", 1011315141)</f>
        <v>1011315141</v>
      </c>
      <c r="D6394">
        <v>-7261.9</v>
      </c>
    </row>
    <row r="6395" spans="1:4" hidden="1" x14ac:dyDescent="0.3">
      <c r="A6395" t="s">
        <v>629</v>
      </c>
      <c r="B6395" t="s">
        <v>7</v>
      </c>
      <c r="C6395" s="1">
        <f>HYPERLINK("https://cao.dolgi.msk.ru/account/1011314878/", 1011314878)</f>
        <v>1011314878</v>
      </c>
      <c r="D6395">
        <v>-410.7</v>
      </c>
    </row>
    <row r="6396" spans="1:4" hidden="1" x14ac:dyDescent="0.3">
      <c r="A6396" t="s">
        <v>629</v>
      </c>
      <c r="B6396" t="s">
        <v>630</v>
      </c>
      <c r="C6396" s="1">
        <f>HYPERLINK("https://cao.dolgi.msk.ru/account/1011314923/", 1011314923)</f>
        <v>1011314923</v>
      </c>
      <c r="D6396">
        <v>0</v>
      </c>
    </row>
    <row r="6397" spans="1:4" hidden="1" x14ac:dyDescent="0.3">
      <c r="A6397" t="s">
        <v>629</v>
      </c>
      <c r="B6397" t="s">
        <v>9</v>
      </c>
      <c r="C6397" s="1">
        <f>HYPERLINK("https://cao.dolgi.msk.ru/account/1011315328/", 1011315328)</f>
        <v>1011315328</v>
      </c>
      <c r="D6397">
        <v>-8290.24</v>
      </c>
    </row>
    <row r="6398" spans="1:4" hidden="1" x14ac:dyDescent="0.3">
      <c r="A6398" t="s">
        <v>629</v>
      </c>
      <c r="B6398" t="s">
        <v>10</v>
      </c>
      <c r="C6398" s="1">
        <f>HYPERLINK("https://cao.dolgi.msk.ru/account/1011315205/", 1011315205)</f>
        <v>1011315205</v>
      </c>
      <c r="D6398">
        <v>0</v>
      </c>
    </row>
    <row r="6399" spans="1:4" hidden="1" x14ac:dyDescent="0.3">
      <c r="A6399" t="s">
        <v>629</v>
      </c>
      <c r="B6399" t="s">
        <v>11</v>
      </c>
      <c r="C6399" s="1">
        <f>HYPERLINK("https://cao.dolgi.msk.ru/account/1011315256/", 1011315256)</f>
        <v>1011315256</v>
      </c>
      <c r="D6399">
        <v>0</v>
      </c>
    </row>
    <row r="6400" spans="1:4" hidden="1" x14ac:dyDescent="0.3">
      <c r="A6400" t="s">
        <v>629</v>
      </c>
      <c r="B6400" t="s">
        <v>23</v>
      </c>
      <c r="C6400" s="1">
        <f>HYPERLINK("https://cao.dolgi.msk.ru/account/1011315264/", 1011315264)</f>
        <v>1011315264</v>
      </c>
      <c r="D6400">
        <v>0</v>
      </c>
    </row>
    <row r="6401" spans="1:4" hidden="1" x14ac:dyDescent="0.3">
      <c r="A6401" t="s">
        <v>629</v>
      </c>
      <c r="B6401" t="s">
        <v>13</v>
      </c>
      <c r="C6401" s="1">
        <f>HYPERLINK("https://cao.dolgi.msk.ru/account/1011315029/", 1011315029)</f>
        <v>1011315029</v>
      </c>
      <c r="D6401">
        <v>0</v>
      </c>
    </row>
    <row r="6402" spans="1:4" x14ac:dyDescent="0.3">
      <c r="A6402" t="s">
        <v>629</v>
      </c>
      <c r="B6402" t="s">
        <v>631</v>
      </c>
      <c r="C6402" s="1">
        <f>HYPERLINK("https://cao.dolgi.msk.ru/account/1011315176/", 1011315176)</f>
        <v>1011315176</v>
      </c>
      <c r="D6402">
        <v>7960.74</v>
      </c>
    </row>
    <row r="6403" spans="1:4" hidden="1" x14ac:dyDescent="0.3">
      <c r="A6403" t="s">
        <v>629</v>
      </c>
      <c r="B6403" t="s">
        <v>17</v>
      </c>
      <c r="C6403" s="1">
        <f>HYPERLINK("https://cao.dolgi.msk.ru/account/1011315272/", 1011315272)</f>
        <v>1011315272</v>
      </c>
      <c r="D6403">
        <v>0</v>
      </c>
    </row>
    <row r="6404" spans="1:4" x14ac:dyDescent="0.3">
      <c r="A6404" t="s">
        <v>629</v>
      </c>
      <c r="B6404" t="s">
        <v>18</v>
      </c>
      <c r="C6404" s="1">
        <f>HYPERLINK("https://cao.dolgi.msk.ru/account/1011315192/", 1011315192)</f>
        <v>1011315192</v>
      </c>
      <c r="D6404">
        <v>2935.68</v>
      </c>
    </row>
    <row r="6405" spans="1:4" hidden="1" x14ac:dyDescent="0.3">
      <c r="A6405" t="s">
        <v>629</v>
      </c>
      <c r="B6405" t="s">
        <v>632</v>
      </c>
      <c r="C6405" s="1">
        <f>HYPERLINK("https://cao.dolgi.msk.ru/account/1011314675/", 1011314675)</f>
        <v>1011314675</v>
      </c>
      <c r="D6405">
        <v>0</v>
      </c>
    </row>
    <row r="6406" spans="1:4" hidden="1" x14ac:dyDescent="0.3">
      <c r="A6406" t="s">
        <v>629</v>
      </c>
      <c r="B6406" t="s">
        <v>632</v>
      </c>
      <c r="C6406" s="1">
        <f>HYPERLINK("https://cao.dolgi.msk.ru/account/1011315125/", 1011315125)</f>
        <v>1011315125</v>
      </c>
      <c r="D6406">
        <v>0</v>
      </c>
    </row>
    <row r="6407" spans="1:4" x14ac:dyDescent="0.3">
      <c r="A6407" t="s">
        <v>629</v>
      </c>
      <c r="B6407" t="s">
        <v>21</v>
      </c>
      <c r="C6407" s="1">
        <f>HYPERLINK("https://cao.dolgi.msk.ru/account/1011315336/", 1011315336)</f>
        <v>1011315336</v>
      </c>
      <c r="D6407">
        <v>2327.0300000000002</v>
      </c>
    </row>
    <row r="6408" spans="1:4" hidden="1" x14ac:dyDescent="0.3">
      <c r="A6408" t="s">
        <v>629</v>
      </c>
      <c r="B6408" t="s">
        <v>22</v>
      </c>
      <c r="C6408" s="1">
        <f>HYPERLINK("https://cao.dolgi.msk.ru/account/1011314894/", 1011314894)</f>
        <v>1011314894</v>
      </c>
      <c r="D6408">
        <v>0</v>
      </c>
    </row>
    <row r="6409" spans="1:4" x14ac:dyDescent="0.3">
      <c r="A6409" t="s">
        <v>629</v>
      </c>
      <c r="B6409" t="s">
        <v>633</v>
      </c>
      <c r="C6409" s="1">
        <f>HYPERLINK("https://cao.dolgi.msk.ru/account/1011315088/", 1011315088)</f>
        <v>1011315088</v>
      </c>
      <c r="D6409">
        <v>20119.599999999999</v>
      </c>
    </row>
    <row r="6410" spans="1:4" hidden="1" x14ac:dyDescent="0.3">
      <c r="A6410" t="s">
        <v>629</v>
      </c>
      <c r="B6410" t="s">
        <v>26</v>
      </c>
      <c r="C6410" s="1">
        <f>HYPERLINK("https://cao.dolgi.msk.ru/account/1011314712/", 1011314712)</f>
        <v>1011314712</v>
      </c>
      <c r="D6410">
        <v>0</v>
      </c>
    </row>
    <row r="6411" spans="1:4" hidden="1" x14ac:dyDescent="0.3">
      <c r="A6411" t="s">
        <v>629</v>
      </c>
      <c r="B6411" t="s">
        <v>27</v>
      </c>
      <c r="C6411" s="1">
        <f>HYPERLINK("https://cao.dolgi.msk.ru/account/1011314958/", 1011314958)</f>
        <v>1011314958</v>
      </c>
      <c r="D6411">
        <v>0</v>
      </c>
    </row>
    <row r="6412" spans="1:4" hidden="1" x14ac:dyDescent="0.3">
      <c r="A6412" t="s">
        <v>629</v>
      </c>
      <c r="B6412" t="s">
        <v>29</v>
      </c>
      <c r="C6412" s="1">
        <f>HYPERLINK("https://cao.dolgi.msk.ru/account/1011315387/", 1011315387)</f>
        <v>1011315387</v>
      </c>
      <c r="D6412">
        <v>0</v>
      </c>
    </row>
    <row r="6413" spans="1:4" x14ac:dyDescent="0.3">
      <c r="A6413" t="s">
        <v>629</v>
      </c>
      <c r="B6413" t="s">
        <v>38</v>
      </c>
      <c r="C6413" s="1">
        <f>HYPERLINK("https://cao.dolgi.msk.ru/account/1011315213/", 1011315213)</f>
        <v>1011315213</v>
      </c>
      <c r="D6413">
        <v>76497.94</v>
      </c>
    </row>
    <row r="6414" spans="1:4" x14ac:dyDescent="0.3">
      <c r="A6414" t="s">
        <v>629</v>
      </c>
      <c r="B6414" t="s">
        <v>39</v>
      </c>
      <c r="C6414" s="1">
        <f>HYPERLINK("https://cao.dolgi.msk.ru/account/1011014592/", 1011014592)</f>
        <v>1011014592</v>
      </c>
      <c r="D6414">
        <v>7642.91</v>
      </c>
    </row>
    <row r="6415" spans="1:4" hidden="1" x14ac:dyDescent="0.3">
      <c r="A6415" t="s">
        <v>629</v>
      </c>
      <c r="B6415" t="s">
        <v>39</v>
      </c>
      <c r="C6415" s="1">
        <f>HYPERLINK("https://cao.dolgi.msk.ru/account/1011314982/", 1011314982)</f>
        <v>1011314982</v>
      </c>
      <c r="D6415">
        <v>0</v>
      </c>
    </row>
    <row r="6416" spans="1:4" x14ac:dyDescent="0.3">
      <c r="A6416" t="s">
        <v>629</v>
      </c>
      <c r="B6416" t="s">
        <v>40</v>
      </c>
      <c r="C6416" s="1">
        <f>HYPERLINK("https://cao.dolgi.msk.ru/account/1011315416/", 1011315416)</f>
        <v>1011315416</v>
      </c>
      <c r="D6416">
        <v>6214.11</v>
      </c>
    </row>
    <row r="6417" spans="1:4" hidden="1" x14ac:dyDescent="0.3">
      <c r="A6417" t="s">
        <v>629</v>
      </c>
      <c r="B6417" t="s">
        <v>41</v>
      </c>
      <c r="C6417" s="1">
        <f>HYPERLINK("https://cao.dolgi.msk.ru/account/1011315395/", 1011315395)</f>
        <v>1011315395</v>
      </c>
      <c r="D6417">
        <v>0</v>
      </c>
    </row>
    <row r="6418" spans="1:4" hidden="1" x14ac:dyDescent="0.3">
      <c r="A6418" t="s">
        <v>629</v>
      </c>
      <c r="B6418" t="s">
        <v>51</v>
      </c>
      <c r="C6418" s="1">
        <f>HYPERLINK("https://cao.dolgi.msk.ru/account/1011314691/", 1011314691)</f>
        <v>1011314691</v>
      </c>
      <c r="D6418">
        <v>0</v>
      </c>
    </row>
    <row r="6419" spans="1:4" hidden="1" x14ac:dyDescent="0.3">
      <c r="A6419" t="s">
        <v>629</v>
      </c>
      <c r="B6419" t="s">
        <v>634</v>
      </c>
      <c r="C6419" s="1">
        <f>HYPERLINK("https://cao.dolgi.msk.ru/account/1011314907/", 1011314907)</f>
        <v>1011314907</v>
      </c>
      <c r="D6419">
        <v>0</v>
      </c>
    </row>
    <row r="6420" spans="1:4" x14ac:dyDescent="0.3">
      <c r="A6420" t="s">
        <v>629</v>
      </c>
      <c r="B6420" t="s">
        <v>54</v>
      </c>
      <c r="C6420" s="1">
        <f>HYPERLINK("https://cao.dolgi.msk.ru/account/1011314763/", 1011314763)</f>
        <v>1011314763</v>
      </c>
      <c r="D6420">
        <v>14348.59</v>
      </c>
    </row>
    <row r="6421" spans="1:4" hidden="1" x14ac:dyDescent="0.3">
      <c r="A6421" t="s">
        <v>629</v>
      </c>
      <c r="B6421" t="s">
        <v>55</v>
      </c>
      <c r="C6421" s="1">
        <f>HYPERLINK("https://cao.dolgi.msk.ru/account/1011314851/", 1011314851)</f>
        <v>1011314851</v>
      </c>
      <c r="D6421">
        <v>0</v>
      </c>
    </row>
    <row r="6422" spans="1:4" hidden="1" x14ac:dyDescent="0.3">
      <c r="A6422" t="s">
        <v>629</v>
      </c>
      <c r="B6422" t="s">
        <v>635</v>
      </c>
      <c r="C6422" s="1">
        <f>HYPERLINK("https://cao.dolgi.msk.ru/account/1011315299/", 1011315299)</f>
        <v>1011315299</v>
      </c>
      <c r="D6422">
        <v>0</v>
      </c>
    </row>
    <row r="6423" spans="1:4" hidden="1" x14ac:dyDescent="0.3">
      <c r="A6423" t="s">
        <v>629</v>
      </c>
      <c r="B6423" t="s">
        <v>88</v>
      </c>
      <c r="C6423" s="1">
        <f>HYPERLINK("https://cao.dolgi.msk.ru/account/1011314827/", 1011314827)</f>
        <v>1011314827</v>
      </c>
      <c r="D6423">
        <v>-6112.28</v>
      </c>
    </row>
    <row r="6424" spans="1:4" hidden="1" x14ac:dyDescent="0.3">
      <c r="A6424" t="s">
        <v>629</v>
      </c>
      <c r="B6424" t="s">
        <v>89</v>
      </c>
      <c r="C6424" s="1">
        <f>HYPERLINK("https://cao.dolgi.msk.ru/account/1011314915/", 1011314915)</f>
        <v>1011314915</v>
      </c>
      <c r="D6424">
        <v>-8844.77</v>
      </c>
    </row>
    <row r="6425" spans="1:4" hidden="1" x14ac:dyDescent="0.3">
      <c r="A6425" t="s">
        <v>629</v>
      </c>
      <c r="B6425" t="s">
        <v>636</v>
      </c>
      <c r="C6425" s="1">
        <f>HYPERLINK("https://cao.dolgi.msk.ru/account/1011314704/", 1011314704)</f>
        <v>1011314704</v>
      </c>
      <c r="D6425">
        <v>0</v>
      </c>
    </row>
    <row r="6426" spans="1:4" hidden="1" x14ac:dyDescent="0.3">
      <c r="A6426" t="s">
        <v>629</v>
      </c>
      <c r="B6426" t="s">
        <v>97</v>
      </c>
      <c r="C6426" s="1">
        <f>HYPERLINK("https://cao.dolgi.msk.ru/account/1011315344/", 1011315344)</f>
        <v>1011315344</v>
      </c>
      <c r="D6426">
        <v>0</v>
      </c>
    </row>
    <row r="6427" spans="1:4" hidden="1" x14ac:dyDescent="0.3">
      <c r="A6427" t="s">
        <v>629</v>
      </c>
      <c r="B6427" t="s">
        <v>98</v>
      </c>
      <c r="C6427" s="1">
        <f>HYPERLINK("https://cao.dolgi.msk.ru/account/1011314966/", 1011314966)</f>
        <v>1011314966</v>
      </c>
      <c r="D6427">
        <v>0</v>
      </c>
    </row>
    <row r="6428" spans="1:4" hidden="1" x14ac:dyDescent="0.3">
      <c r="A6428" t="s">
        <v>629</v>
      </c>
      <c r="B6428" t="s">
        <v>637</v>
      </c>
      <c r="C6428" s="1">
        <f>HYPERLINK("https://cao.dolgi.msk.ru/account/1011314819/", 1011314819)</f>
        <v>1011314819</v>
      </c>
      <c r="D6428">
        <v>-46.34</v>
      </c>
    </row>
    <row r="6429" spans="1:4" hidden="1" x14ac:dyDescent="0.3">
      <c r="A6429" t="s">
        <v>629</v>
      </c>
      <c r="B6429" t="s">
        <v>60</v>
      </c>
      <c r="C6429" s="1">
        <f>HYPERLINK("https://cao.dolgi.msk.ru/account/1011315096/", 1011315096)</f>
        <v>1011315096</v>
      </c>
      <c r="D6429">
        <v>0</v>
      </c>
    </row>
    <row r="6430" spans="1:4" hidden="1" x14ac:dyDescent="0.3">
      <c r="A6430" t="s">
        <v>629</v>
      </c>
      <c r="B6430" t="s">
        <v>61</v>
      </c>
      <c r="C6430" s="1">
        <f>HYPERLINK("https://cao.dolgi.msk.ru/account/1011315184/", 1011315184)</f>
        <v>1011315184</v>
      </c>
      <c r="D6430">
        <v>-5347.48</v>
      </c>
    </row>
    <row r="6431" spans="1:4" hidden="1" x14ac:dyDescent="0.3">
      <c r="A6431" t="s">
        <v>629</v>
      </c>
      <c r="B6431" t="s">
        <v>638</v>
      </c>
      <c r="C6431" s="1">
        <f>HYPERLINK("https://cao.dolgi.msk.ru/account/1011315424/", 1011315424)</f>
        <v>1011315424</v>
      </c>
      <c r="D6431">
        <v>0</v>
      </c>
    </row>
    <row r="6432" spans="1:4" hidden="1" x14ac:dyDescent="0.3">
      <c r="A6432" t="s">
        <v>629</v>
      </c>
      <c r="B6432" t="s">
        <v>64</v>
      </c>
      <c r="C6432" s="1">
        <f>HYPERLINK("https://cao.dolgi.msk.ru/account/1011314739/", 1011314739)</f>
        <v>1011314739</v>
      </c>
      <c r="D6432">
        <v>-7105.21</v>
      </c>
    </row>
    <row r="6433" spans="1:4" hidden="1" x14ac:dyDescent="0.3">
      <c r="A6433" t="s">
        <v>629</v>
      </c>
      <c r="B6433" t="s">
        <v>65</v>
      </c>
      <c r="C6433" s="1">
        <f>HYPERLINK("https://cao.dolgi.msk.ru/account/1011315221/", 1011315221)</f>
        <v>1011315221</v>
      </c>
      <c r="D6433">
        <v>0</v>
      </c>
    </row>
    <row r="6434" spans="1:4" hidden="1" x14ac:dyDescent="0.3">
      <c r="A6434" t="s">
        <v>629</v>
      </c>
      <c r="B6434" t="s">
        <v>66</v>
      </c>
      <c r="C6434" s="1">
        <f>HYPERLINK("https://cao.dolgi.msk.ru/account/1011314755/", 1011314755)</f>
        <v>1011314755</v>
      </c>
      <c r="D6434">
        <v>0</v>
      </c>
    </row>
    <row r="6435" spans="1:4" hidden="1" x14ac:dyDescent="0.3">
      <c r="A6435" t="s">
        <v>629</v>
      </c>
      <c r="B6435" t="s">
        <v>67</v>
      </c>
      <c r="C6435" s="1">
        <f>HYPERLINK("https://cao.dolgi.msk.ru/account/1011314974/", 1011314974)</f>
        <v>1011314974</v>
      </c>
      <c r="D6435">
        <v>-4515.07</v>
      </c>
    </row>
    <row r="6436" spans="1:4" hidden="1" x14ac:dyDescent="0.3">
      <c r="A6436" t="s">
        <v>629</v>
      </c>
      <c r="B6436" t="s">
        <v>69</v>
      </c>
      <c r="C6436" s="1">
        <f>HYPERLINK("https://cao.dolgi.msk.ru/account/1011314886/", 1011314886)</f>
        <v>1011314886</v>
      </c>
      <c r="D6436">
        <v>0</v>
      </c>
    </row>
    <row r="6437" spans="1:4" x14ac:dyDescent="0.3">
      <c r="A6437" t="s">
        <v>629</v>
      </c>
      <c r="B6437" t="s">
        <v>70</v>
      </c>
      <c r="C6437" s="1">
        <f>HYPERLINK("https://cao.dolgi.msk.ru/account/1011314747/", 1011314747)</f>
        <v>1011314747</v>
      </c>
      <c r="D6437">
        <v>955023.71</v>
      </c>
    </row>
    <row r="6438" spans="1:4" x14ac:dyDescent="0.3">
      <c r="A6438" t="s">
        <v>629</v>
      </c>
      <c r="B6438" t="s">
        <v>259</v>
      </c>
      <c r="C6438" s="1">
        <f>HYPERLINK("https://cao.dolgi.msk.ru/account/1011314659/", 1011314659)</f>
        <v>1011314659</v>
      </c>
      <c r="D6438">
        <v>12189.06</v>
      </c>
    </row>
    <row r="6439" spans="1:4" x14ac:dyDescent="0.3">
      <c r="A6439" t="s">
        <v>629</v>
      </c>
      <c r="B6439" t="s">
        <v>639</v>
      </c>
      <c r="C6439" s="1">
        <f>HYPERLINK("https://cao.dolgi.msk.ru/account/1011314632/", 1011314632)</f>
        <v>1011314632</v>
      </c>
      <c r="D6439">
        <v>64</v>
      </c>
    </row>
    <row r="6440" spans="1:4" hidden="1" x14ac:dyDescent="0.3">
      <c r="A6440" t="s">
        <v>629</v>
      </c>
      <c r="B6440" t="s">
        <v>73</v>
      </c>
      <c r="C6440" s="1">
        <f>HYPERLINK("https://cao.dolgi.msk.ru/account/1011315002/", 1011315002)</f>
        <v>1011315002</v>
      </c>
      <c r="D6440">
        <v>0</v>
      </c>
    </row>
    <row r="6441" spans="1:4" x14ac:dyDescent="0.3">
      <c r="A6441" t="s">
        <v>629</v>
      </c>
      <c r="B6441" t="s">
        <v>74</v>
      </c>
      <c r="C6441" s="1">
        <f>HYPERLINK("https://cao.dolgi.msk.ru/account/1011314667/", 1011314667)</f>
        <v>1011314667</v>
      </c>
      <c r="D6441">
        <v>8798.2900000000009</v>
      </c>
    </row>
    <row r="6442" spans="1:4" hidden="1" x14ac:dyDescent="0.3">
      <c r="A6442" t="s">
        <v>629</v>
      </c>
      <c r="B6442" t="s">
        <v>76</v>
      </c>
      <c r="C6442" s="1">
        <f>HYPERLINK("https://cao.dolgi.msk.ru/account/1011314843/", 1011314843)</f>
        <v>1011314843</v>
      </c>
      <c r="D6442">
        <v>0</v>
      </c>
    </row>
    <row r="6443" spans="1:4" hidden="1" x14ac:dyDescent="0.3">
      <c r="A6443" t="s">
        <v>629</v>
      </c>
      <c r="B6443" t="s">
        <v>77</v>
      </c>
      <c r="C6443" s="1">
        <f>HYPERLINK("https://cao.dolgi.msk.ru/account/1011314771/", 1011314771)</f>
        <v>1011314771</v>
      </c>
      <c r="D6443">
        <v>-2751.25</v>
      </c>
    </row>
    <row r="6444" spans="1:4" hidden="1" x14ac:dyDescent="0.3">
      <c r="A6444" t="s">
        <v>629</v>
      </c>
      <c r="B6444" t="s">
        <v>77</v>
      </c>
      <c r="C6444" s="1">
        <f>HYPERLINK("https://cao.dolgi.msk.ru/account/1011315037/", 1011315037)</f>
        <v>1011315037</v>
      </c>
      <c r="D6444">
        <v>0</v>
      </c>
    </row>
    <row r="6445" spans="1:4" hidden="1" x14ac:dyDescent="0.3">
      <c r="A6445" t="s">
        <v>629</v>
      </c>
      <c r="B6445" t="s">
        <v>78</v>
      </c>
      <c r="C6445" s="1">
        <f>HYPERLINK("https://cao.dolgi.msk.ru/account/1011315408/", 1011315408)</f>
        <v>1011315408</v>
      </c>
      <c r="D6445">
        <v>0</v>
      </c>
    </row>
    <row r="6446" spans="1:4" hidden="1" x14ac:dyDescent="0.3">
      <c r="A6446" t="s">
        <v>629</v>
      </c>
      <c r="B6446" t="s">
        <v>80</v>
      </c>
      <c r="C6446" s="1">
        <f>HYPERLINK("https://cao.dolgi.msk.ru/account/1011315168/", 1011315168)</f>
        <v>1011315168</v>
      </c>
      <c r="D6446">
        <v>-377.3</v>
      </c>
    </row>
    <row r="6447" spans="1:4" hidden="1" x14ac:dyDescent="0.3">
      <c r="A6447" t="s">
        <v>629</v>
      </c>
      <c r="B6447" t="s">
        <v>81</v>
      </c>
      <c r="C6447" s="1">
        <f>HYPERLINK("https://cao.dolgi.msk.ru/account/1011315061/", 1011315061)</f>
        <v>1011315061</v>
      </c>
      <c r="D6447">
        <v>0</v>
      </c>
    </row>
    <row r="6448" spans="1:4" hidden="1" x14ac:dyDescent="0.3">
      <c r="A6448" t="s">
        <v>629</v>
      </c>
      <c r="B6448" t="s">
        <v>101</v>
      </c>
      <c r="C6448" s="1">
        <f>HYPERLINK("https://cao.dolgi.msk.ru/account/1011315301/", 1011315301)</f>
        <v>1011315301</v>
      </c>
      <c r="D6448">
        <v>0</v>
      </c>
    </row>
    <row r="6449" spans="1:4" x14ac:dyDescent="0.3">
      <c r="A6449" t="s">
        <v>629</v>
      </c>
      <c r="B6449" t="s">
        <v>83</v>
      </c>
      <c r="C6449" s="1">
        <f>HYPERLINK("https://cao.dolgi.msk.ru/account/1011315053/", 1011315053)</f>
        <v>1011315053</v>
      </c>
      <c r="D6449">
        <v>21070.41</v>
      </c>
    </row>
    <row r="6450" spans="1:4" x14ac:dyDescent="0.3">
      <c r="A6450" t="s">
        <v>629</v>
      </c>
      <c r="B6450" t="s">
        <v>84</v>
      </c>
      <c r="C6450" s="1">
        <f>HYPERLINK("https://cao.dolgi.msk.ru/account/1011314683/", 1011314683)</f>
        <v>1011314683</v>
      </c>
      <c r="D6450">
        <v>19739.95</v>
      </c>
    </row>
    <row r="6451" spans="1:4" hidden="1" x14ac:dyDescent="0.3">
      <c r="A6451" t="s">
        <v>629</v>
      </c>
      <c r="B6451" t="s">
        <v>84</v>
      </c>
      <c r="C6451" s="1">
        <f>HYPERLINK("https://cao.dolgi.msk.ru/account/1011315109/", 1011315109)</f>
        <v>1011315109</v>
      </c>
      <c r="D6451">
        <v>-289.04000000000002</v>
      </c>
    </row>
    <row r="6452" spans="1:4" x14ac:dyDescent="0.3">
      <c r="A6452" t="s">
        <v>629</v>
      </c>
      <c r="B6452" t="s">
        <v>84</v>
      </c>
      <c r="C6452" s="1">
        <f>HYPERLINK("https://cao.dolgi.msk.ru/account/1011315352/", 1011315352)</f>
        <v>1011315352</v>
      </c>
      <c r="D6452">
        <v>29631.94</v>
      </c>
    </row>
    <row r="6453" spans="1:4" hidden="1" x14ac:dyDescent="0.3">
      <c r="A6453" t="s">
        <v>629</v>
      </c>
      <c r="B6453" t="s">
        <v>640</v>
      </c>
      <c r="C6453" s="1">
        <f>HYPERLINK("https://cao.dolgi.msk.ru/account/1011314798/", 1011314798)</f>
        <v>1011314798</v>
      </c>
      <c r="D6453">
        <v>-101.83</v>
      </c>
    </row>
    <row r="6454" spans="1:4" hidden="1" x14ac:dyDescent="0.3">
      <c r="A6454" t="s">
        <v>629</v>
      </c>
      <c r="B6454" t="s">
        <v>103</v>
      </c>
      <c r="C6454" s="1">
        <f>HYPERLINK("https://cao.dolgi.msk.ru/account/1011315117/", 1011315117)</f>
        <v>1011315117</v>
      </c>
      <c r="D6454">
        <v>0</v>
      </c>
    </row>
    <row r="6455" spans="1:4" x14ac:dyDescent="0.3">
      <c r="A6455" t="s">
        <v>629</v>
      </c>
      <c r="B6455" t="s">
        <v>104</v>
      </c>
      <c r="C6455" s="1">
        <f>HYPERLINK("https://cao.dolgi.msk.ru/account/1011314931/", 1011314931)</f>
        <v>1011314931</v>
      </c>
      <c r="D6455">
        <v>14212.21</v>
      </c>
    </row>
    <row r="6456" spans="1:4" hidden="1" x14ac:dyDescent="0.3">
      <c r="A6456" t="s">
        <v>629</v>
      </c>
      <c r="B6456" t="s">
        <v>105</v>
      </c>
      <c r="C6456" s="1">
        <f>HYPERLINK("https://cao.dolgi.msk.ru/account/1011315045/", 1011315045)</f>
        <v>1011315045</v>
      </c>
      <c r="D6456">
        <v>0</v>
      </c>
    </row>
    <row r="6457" spans="1:4" x14ac:dyDescent="0.3">
      <c r="A6457" t="s">
        <v>629</v>
      </c>
      <c r="B6457" t="s">
        <v>106</v>
      </c>
      <c r="C6457" s="1">
        <f>HYPERLINK("https://cao.dolgi.msk.ru/account/1011315133/", 1011315133)</f>
        <v>1011315133</v>
      </c>
      <c r="D6457">
        <v>41678.129999999997</v>
      </c>
    </row>
    <row r="6458" spans="1:4" hidden="1" x14ac:dyDescent="0.3">
      <c r="A6458" t="s">
        <v>629</v>
      </c>
      <c r="B6458" t="s">
        <v>109</v>
      </c>
      <c r="C6458" s="1">
        <f>HYPERLINK("https://cao.dolgi.msk.ru/account/1011339071/", 1011339071)</f>
        <v>1011339071</v>
      </c>
      <c r="D6458">
        <v>-0.2</v>
      </c>
    </row>
    <row r="6459" spans="1:4" hidden="1" x14ac:dyDescent="0.3">
      <c r="A6459" t="s">
        <v>629</v>
      </c>
      <c r="B6459" t="s">
        <v>641</v>
      </c>
      <c r="C6459" s="1">
        <f>HYPERLINK("https://cao.dolgi.msk.ru/account/1011339098/", 1011339098)</f>
        <v>1011339098</v>
      </c>
      <c r="D6459">
        <v>0</v>
      </c>
    </row>
    <row r="6460" spans="1:4" x14ac:dyDescent="0.3">
      <c r="A6460" t="s">
        <v>629</v>
      </c>
      <c r="B6460" t="s">
        <v>641</v>
      </c>
      <c r="C6460" s="1">
        <f>HYPERLINK("https://cao.dolgi.msk.ru/account/1011339469/", 1011339469)</f>
        <v>1011339469</v>
      </c>
      <c r="D6460">
        <v>3405.24</v>
      </c>
    </row>
    <row r="6461" spans="1:4" hidden="1" x14ac:dyDescent="0.3">
      <c r="A6461" t="s">
        <v>629</v>
      </c>
      <c r="B6461" t="s">
        <v>112</v>
      </c>
      <c r="C6461" s="1">
        <f>HYPERLINK("https://cao.dolgi.msk.ru/account/1011339194/", 1011339194)</f>
        <v>1011339194</v>
      </c>
      <c r="D6461">
        <v>-7219.8</v>
      </c>
    </row>
    <row r="6462" spans="1:4" hidden="1" x14ac:dyDescent="0.3">
      <c r="A6462" t="s">
        <v>629</v>
      </c>
      <c r="B6462" t="s">
        <v>113</v>
      </c>
      <c r="C6462" s="1">
        <f>HYPERLINK("https://cao.dolgi.msk.ru/account/1011338976/", 1011338976)</f>
        <v>1011338976</v>
      </c>
      <c r="D6462">
        <v>-6053.92</v>
      </c>
    </row>
    <row r="6463" spans="1:4" hidden="1" x14ac:dyDescent="0.3">
      <c r="A6463" t="s">
        <v>629</v>
      </c>
      <c r="B6463" t="s">
        <v>642</v>
      </c>
      <c r="C6463" s="1">
        <f>HYPERLINK("https://cao.dolgi.msk.ru/account/1011339629/", 1011339629)</f>
        <v>1011339629</v>
      </c>
      <c r="D6463">
        <v>-81056.44</v>
      </c>
    </row>
    <row r="6464" spans="1:4" hidden="1" x14ac:dyDescent="0.3">
      <c r="A6464" t="s">
        <v>629</v>
      </c>
      <c r="B6464" t="s">
        <v>116</v>
      </c>
      <c r="C6464" s="1">
        <f>HYPERLINK("https://cao.dolgi.msk.ru/account/1011339493/", 1011339493)</f>
        <v>1011339493</v>
      </c>
      <c r="D6464">
        <v>-562.24</v>
      </c>
    </row>
    <row r="6465" spans="1:4" hidden="1" x14ac:dyDescent="0.3">
      <c r="A6465" t="s">
        <v>629</v>
      </c>
      <c r="B6465" t="s">
        <v>266</v>
      </c>
      <c r="C6465" s="1">
        <f>HYPERLINK("https://cao.dolgi.msk.ru/account/1011339207/", 1011339207)</f>
        <v>1011339207</v>
      </c>
      <c r="D6465">
        <v>0</v>
      </c>
    </row>
    <row r="6466" spans="1:4" hidden="1" x14ac:dyDescent="0.3">
      <c r="A6466" t="s">
        <v>629</v>
      </c>
      <c r="B6466" t="s">
        <v>117</v>
      </c>
      <c r="C6466" s="1">
        <f>HYPERLINK("https://cao.dolgi.msk.ru/account/1011339311/", 1011339311)</f>
        <v>1011339311</v>
      </c>
      <c r="D6466">
        <v>-13159.66</v>
      </c>
    </row>
    <row r="6467" spans="1:4" hidden="1" x14ac:dyDescent="0.3">
      <c r="A6467" t="s">
        <v>629</v>
      </c>
      <c r="B6467" t="s">
        <v>643</v>
      </c>
      <c r="C6467" s="1">
        <f>HYPERLINK("https://cao.dolgi.msk.ru/account/1011339338/", 1011339338)</f>
        <v>1011339338</v>
      </c>
      <c r="D6467">
        <v>0</v>
      </c>
    </row>
    <row r="6468" spans="1:4" hidden="1" x14ac:dyDescent="0.3">
      <c r="A6468" t="s">
        <v>629</v>
      </c>
      <c r="B6468" t="s">
        <v>120</v>
      </c>
      <c r="C6468" s="1">
        <f>HYPERLINK("https://cao.dolgi.msk.ru/account/1011338984/", 1011338984)</f>
        <v>1011338984</v>
      </c>
      <c r="D6468">
        <v>0</v>
      </c>
    </row>
    <row r="6469" spans="1:4" hidden="1" x14ac:dyDescent="0.3">
      <c r="A6469" t="s">
        <v>629</v>
      </c>
      <c r="B6469" t="s">
        <v>120</v>
      </c>
      <c r="C6469" s="1">
        <f>HYPERLINK("https://cao.dolgi.msk.ru/account/1011339215/", 1011339215)</f>
        <v>1011339215</v>
      </c>
      <c r="D6469">
        <v>0</v>
      </c>
    </row>
    <row r="6470" spans="1:4" x14ac:dyDescent="0.3">
      <c r="A6470" t="s">
        <v>629</v>
      </c>
      <c r="B6470" t="s">
        <v>644</v>
      </c>
      <c r="C6470" s="1">
        <f>HYPERLINK("https://cao.dolgi.msk.ru/account/1011339186/", 1011339186)</f>
        <v>1011339186</v>
      </c>
      <c r="D6470">
        <v>9162.94</v>
      </c>
    </row>
    <row r="6471" spans="1:4" x14ac:dyDescent="0.3">
      <c r="A6471" t="s">
        <v>629</v>
      </c>
      <c r="B6471" t="s">
        <v>123</v>
      </c>
      <c r="C6471" s="1">
        <f>HYPERLINK("https://cao.dolgi.msk.ru/account/1011339637/", 1011339637)</f>
        <v>1011339637</v>
      </c>
      <c r="D6471">
        <v>40293.07</v>
      </c>
    </row>
    <row r="6472" spans="1:4" hidden="1" x14ac:dyDescent="0.3">
      <c r="A6472" t="s">
        <v>629</v>
      </c>
      <c r="B6472" t="s">
        <v>124</v>
      </c>
      <c r="C6472" s="1">
        <f>HYPERLINK("https://cao.dolgi.msk.ru/account/1011339012/", 1011339012)</f>
        <v>1011339012</v>
      </c>
      <c r="D6472">
        <v>-2359.41</v>
      </c>
    </row>
    <row r="6473" spans="1:4" x14ac:dyDescent="0.3">
      <c r="A6473" t="s">
        <v>629</v>
      </c>
      <c r="B6473" t="s">
        <v>124</v>
      </c>
      <c r="C6473" s="1">
        <f>HYPERLINK("https://cao.dolgi.msk.ru/account/1011339477/", 1011339477)</f>
        <v>1011339477</v>
      </c>
      <c r="D6473">
        <v>3408.05</v>
      </c>
    </row>
    <row r="6474" spans="1:4" x14ac:dyDescent="0.3">
      <c r="A6474" t="s">
        <v>629</v>
      </c>
      <c r="B6474" t="s">
        <v>645</v>
      </c>
      <c r="C6474" s="1">
        <f>HYPERLINK("https://cao.dolgi.msk.ru/account/1011338749/", 1011338749)</f>
        <v>1011338749</v>
      </c>
      <c r="D6474">
        <v>5292.26</v>
      </c>
    </row>
    <row r="6475" spans="1:4" x14ac:dyDescent="0.3">
      <c r="A6475" t="s">
        <v>629</v>
      </c>
      <c r="B6475" t="s">
        <v>127</v>
      </c>
      <c r="C6475" s="1">
        <f>HYPERLINK("https://cao.dolgi.msk.ru/account/1011339645/", 1011339645)</f>
        <v>1011339645</v>
      </c>
      <c r="D6475">
        <v>29733.08</v>
      </c>
    </row>
    <row r="6476" spans="1:4" hidden="1" x14ac:dyDescent="0.3">
      <c r="A6476" t="s">
        <v>629</v>
      </c>
      <c r="B6476" t="s">
        <v>262</v>
      </c>
      <c r="C6476" s="1">
        <f>HYPERLINK("https://cao.dolgi.msk.ru/account/1011339135/", 1011339135)</f>
        <v>1011339135</v>
      </c>
      <c r="D6476">
        <v>-56.29</v>
      </c>
    </row>
    <row r="6477" spans="1:4" hidden="1" x14ac:dyDescent="0.3">
      <c r="A6477" t="s">
        <v>629</v>
      </c>
      <c r="B6477" t="s">
        <v>128</v>
      </c>
      <c r="C6477" s="1">
        <f>HYPERLINK("https://cao.dolgi.msk.ru/account/1011338714/", 1011338714)</f>
        <v>1011338714</v>
      </c>
      <c r="D6477">
        <v>-9097.07</v>
      </c>
    </row>
    <row r="6478" spans="1:4" hidden="1" x14ac:dyDescent="0.3">
      <c r="A6478" t="s">
        <v>629</v>
      </c>
      <c r="B6478" t="s">
        <v>128</v>
      </c>
      <c r="C6478" s="1">
        <f>HYPERLINK("https://cao.dolgi.msk.ru/account/1011339223/", 1011339223)</f>
        <v>1011339223</v>
      </c>
      <c r="D6478">
        <v>-64.17</v>
      </c>
    </row>
    <row r="6479" spans="1:4" x14ac:dyDescent="0.3">
      <c r="A6479" t="s">
        <v>629</v>
      </c>
      <c r="B6479" t="s">
        <v>129</v>
      </c>
      <c r="C6479" s="1">
        <f>HYPERLINK("https://cao.dolgi.msk.ru/account/1011339127/", 1011339127)</f>
        <v>1011339127</v>
      </c>
      <c r="D6479">
        <v>3499.97</v>
      </c>
    </row>
    <row r="6480" spans="1:4" hidden="1" x14ac:dyDescent="0.3">
      <c r="A6480" t="s">
        <v>629</v>
      </c>
      <c r="B6480" t="s">
        <v>130</v>
      </c>
      <c r="C6480" s="1">
        <f>HYPERLINK("https://cao.dolgi.msk.ru/account/1011339434/", 1011339434)</f>
        <v>1011339434</v>
      </c>
      <c r="D6480">
        <v>0</v>
      </c>
    </row>
    <row r="6481" spans="1:4" hidden="1" x14ac:dyDescent="0.3">
      <c r="A6481" t="s">
        <v>629</v>
      </c>
      <c r="B6481" t="s">
        <v>132</v>
      </c>
      <c r="C6481" s="1">
        <f>HYPERLINK("https://cao.dolgi.msk.ru/account/1011339303/", 1011339303)</f>
        <v>1011339303</v>
      </c>
      <c r="D6481">
        <v>-324</v>
      </c>
    </row>
    <row r="6482" spans="1:4" hidden="1" x14ac:dyDescent="0.3">
      <c r="A6482" t="s">
        <v>629</v>
      </c>
      <c r="B6482" t="s">
        <v>646</v>
      </c>
      <c r="C6482" s="1">
        <f>HYPERLINK("https://cao.dolgi.msk.ru/account/1011338853/", 1011338853)</f>
        <v>1011338853</v>
      </c>
      <c r="D6482">
        <v>0</v>
      </c>
    </row>
    <row r="6483" spans="1:4" hidden="1" x14ac:dyDescent="0.3">
      <c r="A6483" t="s">
        <v>629</v>
      </c>
      <c r="B6483" t="s">
        <v>646</v>
      </c>
      <c r="C6483" s="1">
        <f>HYPERLINK("https://cao.dolgi.msk.ru/account/1011338861/", 1011338861)</f>
        <v>1011338861</v>
      </c>
      <c r="D6483">
        <v>-2319</v>
      </c>
    </row>
    <row r="6484" spans="1:4" hidden="1" x14ac:dyDescent="0.3">
      <c r="A6484" t="s">
        <v>629</v>
      </c>
      <c r="B6484" t="s">
        <v>135</v>
      </c>
      <c r="C6484" s="1">
        <f>HYPERLINK("https://cao.dolgi.msk.ru/account/1011339653/", 1011339653)</f>
        <v>1011339653</v>
      </c>
      <c r="D6484">
        <v>-3919.17</v>
      </c>
    </row>
    <row r="6485" spans="1:4" hidden="1" x14ac:dyDescent="0.3">
      <c r="A6485" t="s">
        <v>629</v>
      </c>
      <c r="B6485" t="s">
        <v>264</v>
      </c>
      <c r="C6485" s="1">
        <f>HYPERLINK("https://cao.dolgi.msk.ru/account/1011339143/", 1011339143)</f>
        <v>1011339143</v>
      </c>
      <c r="D6485">
        <v>0</v>
      </c>
    </row>
    <row r="6486" spans="1:4" hidden="1" x14ac:dyDescent="0.3">
      <c r="A6486" t="s">
        <v>629</v>
      </c>
      <c r="B6486" t="s">
        <v>647</v>
      </c>
      <c r="C6486" s="1">
        <f>HYPERLINK("https://cao.dolgi.msk.ru/account/1011338757/", 1011338757)</f>
        <v>1011338757</v>
      </c>
      <c r="D6486">
        <v>0</v>
      </c>
    </row>
    <row r="6487" spans="1:4" x14ac:dyDescent="0.3">
      <c r="A6487" t="s">
        <v>629</v>
      </c>
      <c r="B6487" t="s">
        <v>138</v>
      </c>
      <c r="C6487" s="1">
        <f>HYPERLINK("https://cao.dolgi.msk.ru/account/1011339661/", 1011339661)</f>
        <v>1011339661</v>
      </c>
      <c r="D6487">
        <v>3794.86</v>
      </c>
    </row>
    <row r="6488" spans="1:4" hidden="1" x14ac:dyDescent="0.3">
      <c r="A6488" t="s">
        <v>629</v>
      </c>
      <c r="B6488" t="s">
        <v>139</v>
      </c>
      <c r="C6488" s="1">
        <f>HYPERLINK("https://cao.dolgi.msk.ru/account/1011339688/", 1011339688)</f>
        <v>1011339688</v>
      </c>
      <c r="D6488">
        <v>-95.23</v>
      </c>
    </row>
    <row r="6489" spans="1:4" x14ac:dyDescent="0.3">
      <c r="A6489" t="s">
        <v>629</v>
      </c>
      <c r="B6489" t="s">
        <v>648</v>
      </c>
      <c r="C6489" s="1">
        <f>HYPERLINK("https://cao.dolgi.msk.ru/account/1011339514/", 1011339514)</f>
        <v>1011339514</v>
      </c>
      <c r="D6489">
        <v>4919.54</v>
      </c>
    </row>
    <row r="6490" spans="1:4" hidden="1" x14ac:dyDescent="0.3">
      <c r="A6490" t="s">
        <v>629</v>
      </c>
      <c r="B6490" t="s">
        <v>142</v>
      </c>
      <c r="C6490" s="1">
        <f>HYPERLINK("https://cao.dolgi.msk.ru/account/1011339039/", 1011339039)</f>
        <v>1011339039</v>
      </c>
      <c r="D6490">
        <v>0</v>
      </c>
    </row>
    <row r="6491" spans="1:4" hidden="1" x14ac:dyDescent="0.3">
      <c r="A6491" t="s">
        <v>629</v>
      </c>
      <c r="B6491" t="s">
        <v>143</v>
      </c>
      <c r="C6491" s="1">
        <f>HYPERLINK("https://cao.dolgi.msk.ru/account/1011339354/", 1011339354)</f>
        <v>1011339354</v>
      </c>
      <c r="D6491">
        <v>-4677.12</v>
      </c>
    </row>
    <row r="6492" spans="1:4" hidden="1" x14ac:dyDescent="0.3">
      <c r="A6492" t="s">
        <v>629</v>
      </c>
      <c r="B6492" t="s">
        <v>649</v>
      </c>
      <c r="C6492" s="1">
        <f>HYPERLINK("https://cao.dolgi.msk.ru/account/1011339696/", 1011339696)</f>
        <v>1011339696</v>
      </c>
      <c r="D6492">
        <v>-12686.75</v>
      </c>
    </row>
    <row r="6493" spans="1:4" hidden="1" x14ac:dyDescent="0.3">
      <c r="A6493" t="s">
        <v>629</v>
      </c>
      <c r="B6493" t="s">
        <v>146</v>
      </c>
      <c r="C6493" s="1">
        <f>HYPERLINK("https://cao.dolgi.msk.ru/account/1011339151/", 1011339151)</f>
        <v>1011339151</v>
      </c>
      <c r="D6493">
        <v>0</v>
      </c>
    </row>
    <row r="6494" spans="1:4" x14ac:dyDescent="0.3">
      <c r="A6494" t="s">
        <v>629</v>
      </c>
      <c r="B6494" t="s">
        <v>147</v>
      </c>
      <c r="C6494" s="1">
        <f>HYPERLINK("https://cao.dolgi.msk.ru/account/1011338773/", 1011338773)</f>
        <v>1011338773</v>
      </c>
      <c r="D6494">
        <v>6025.4</v>
      </c>
    </row>
    <row r="6495" spans="1:4" hidden="1" x14ac:dyDescent="0.3">
      <c r="A6495" t="s">
        <v>629</v>
      </c>
      <c r="B6495" t="s">
        <v>650</v>
      </c>
      <c r="C6495" s="1">
        <f>HYPERLINK("https://cao.dolgi.msk.ru/account/1011339362/", 1011339362)</f>
        <v>1011339362</v>
      </c>
      <c r="D6495">
        <v>0</v>
      </c>
    </row>
    <row r="6496" spans="1:4" hidden="1" x14ac:dyDescent="0.3">
      <c r="A6496" t="s">
        <v>629</v>
      </c>
      <c r="B6496" t="s">
        <v>150</v>
      </c>
      <c r="C6496" s="1">
        <f>HYPERLINK("https://cao.dolgi.msk.ru/account/1011339581/", 1011339581)</f>
        <v>1011339581</v>
      </c>
      <c r="D6496">
        <v>-7429.9</v>
      </c>
    </row>
    <row r="6497" spans="1:4" hidden="1" x14ac:dyDescent="0.3">
      <c r="A6497" t="s">
        <v>629</v>
      </c>
      <c r="B6497" t="s">
        <v>151</v>
      </c>
      <c r="C6497" s="1">
        <f>HYPERLINK("https://cao.dolgi.msk.ru/account/1011338888/", 1011338888)</f>
        <v>1011338888</v>
      </c>
      <c r="D6497">
        <v>0</v>
      </c>
    </row>
    <row r="6498" spans="1:4" hidden="1" x14ac:dyDescent="0.3">
      <c r="A6498" t="s">
        <v>629</v>
      </c>
      <c r="B6498" t="s">
        <v>152</v>
      </c>
      <c r="C6498" s="1">
        <f>HYPERLINK("https://cao.dolgi.msk.ru/account/1011338896/", 1011338896)</f>
        <v>1011338896</v>
      </c>
      <c r="D6498">
        <v>-4323.1099999999997</v>
      </c>
    </row>
    <row r="6499" spans="1:4" hidden="1" x14ac:dyDescent="0.3">
      <c r="A6499" t="s">
        <v>629</v>
      </c>
      <c r="B6499" t="s">
        <v>651</v>
      </c>
      <c r="C6499" s="1">
        <f>HYPERLINK("https://cao.dolgi.msk.ru/account/1011338941/", 1011338941)</f>
        <v>1011338941</v>
      </c>
      <c r="D6499">
        <v>-20471.169999999998</v>
      </c>
    </row>
    <row r="6500" spans="1:4" hidden="1" x14ac:dyDescent="0.3">
      <c r="A6500" t="s">
        <v>629</v>
      </c>
      <c r="B6500" t="s">
        <v>156</v>
      </c>
      <c r="C6500" s="1">
        <f>HYPERLINK("https://cao.dolgi.msk.ru/account/1011339733/", 1011339733)</f>
        <v>1011339733</v>
      </c>
      <c r="D6500">
        <v>-7789.21</v>
      </c>
    </row>
    <row r="6501" spans="1:4" hidden="1" x14ac:dyDescent="0.3">
      <c r="A6501" t="s">
        <v>629</v>
      </c>
      <c r="B6501" t="s">
        <v>157</v>
      </c>
      <c r="C6501" s="1">
        <f>HYPERLINK("https://cao.dolgi.msk.ru/account/1011338781/", 1011338781)</f>
        <v>1011338781</v>
      </c>
      <c r="D6501">
        <v>0</v>
      </c>
    </row>
    <row r="6502" spans="1:4" hidden="1" x14ac:dyDescent="0.3">
      <c r="A6502" t="s">
        <v>629</v>
      </c>
      <c r="B6502" t="s">
        <v>652</v>
      </c>
      <c r="C6502" s="1">
        <f>HYPERLINK("https://cao.dolgi.msk.ru/account/1011339346/", 1011339346)</f>
        <v>1011339346</v>
      </c>
      <c r="D6502">
        <v>0</v>
      </c>
    </row>
    <row r="6503" spans="1:4" hidden="1" x14ac:dyDescent="0.3">
      <c r="A6503" t="s">
        <v>629</v>
      </c>
      <c r="B6503" t="s">
        <v>160</v>
      </c>
      <c r="C6503" s="1">
        <f>HYPERLINK("https://cao.dolgi.msk.ru/account/1011339522/", 1011339522)</f>
        <v>1011339522</v>
      </c>
      <c r="D6503">
        <v>0</v>
      </c>
    </row>
    <row r="6504" spans="1:4" hidden="1" x14ac:dyDescent="0.3">
      <c r="A6504" t="s">
        <v>629</v>
      </c>
      <c r="B6504" t="s">
        <v>161</v>
      </c>
      <c r="C6504" s="1">
        <f>HYPERLINK("https://cao.dolgi.msk.ru/account/1011339709/", 1011339709)</f>
        <v>1011339709</v>
      </c>
      <c r="D6504">
        <v>0</v>
      </c>
    </row>
    <row r="6505" spans="1:4" hidden="1" x14ac:dyDescent="0.3">
      <c r="A6505" t="s">
        <v>629</v>
      </c>
      <c r="B6505" t="s">
        <v>653</v>
      </c>
      <c r="C6505" s="1">
        <f>HYPERLINK("https://cao.dolgi.msk.ru/account/1011338802/", 1011338802)</f>
        <v>1011338802</v>
      </c>
      <c r="D6505">
        <v>0</v>
      </c>
    </row>
    <row r="6506" spans="1:4" x14ac:dyDescent="0.3">
      <c r="A6506" t="s">
        <v>629</v>
      </c>
      <c r="B6506" t="s">
        <v>164</v>
      </c>
      <c r="C6506" s="1">
        <f>HYPERLINK("https://cao.dolgi.msk.ru/account/1011339231/", 1011339231)</f>
        <v>1011339231</v>
      </c>
      <c r="D6506">
        <v>5620.69</v>
      </c>
    </row>
    <row r="6507" spans="1:4" x14ac:dyDescent="0.3">
      <c r="A6507" t="s">
        <v>629</v>
      </c>
      <c r="B6507" t="s">
        <v>654</v>
      </c>
      <c r="C6507" s="1">
        <f>HYPERLINK("https://cao.dolgi.msk.ru/account/1011338933/", 1011338933)</f>
        <v>1011338933</v>
      </c>
      <c r="D6507">
        <v>3850.38</v>
      </c>
    </row>
    <row r="6508" spans="1:4" hidden="1" x14ac:dyDescent="0.3">
      <c r="A6508" t="s">
        <v>629</v>
      </c>
      <c r="B6508" t="s">
        <v>167</v>
      </c>
      <c r="C6508" s="1">
        <f>HYPERLINK("https://cao.dolgi.msk.ru/account/1011339418/", 1011339418)</f>
        <v>1011339418</v>
      </c>
      <c r="D6508">
        <v>0</v>
      </c>
    </row>
    <row r="6509" spans="1:4" hidden="1" x14ac:dyDescent="0.3">
      <c r="A6509" t="s">
        <v>629</v>
      </c>
      <c r="B6509" t="s">
        <v>168</v>
      </c>
      <c r="C6509" s="1">
        <f>HYPERLINK("https://cao.dolgi.msk.ru/account/1011339549/", 1011339549)</f>
        <v>1011339549</v>
      </c>
      <c r="D6509">
        <v>-14956.41</v>
      </c>
    </row>
    <row r="6510" spans="1:4" hidden="1" x14ac:dyDescent="0.3">
      <c r="A6510" t="s">
        <v>629</v>
      </c>
      <c r="B6510" t="s">
        <v>169</v>
      </c>
      <c r="C6510" s="1">
        <f>HYPERLINK("https://cao.dolgi.msk.ru/account/1011339063/", 1011339063)</f>
        <v>1011339063</v>
      </c>
      <c r="D6510">
        <v>-8311.99</v>
      </c>
    </row>
    <row r="6511" spans="1:4" hidden="1" x14ac:dyDescent="0.3">
      <c r="A6511" t="s">
        <v>629</v>
      </c>
      <c r="B6511" t="s">
        <v>655</v>
      </c>
      <c r="C6511" s="1">
        <f>HYPERLINK("https://cao.dolgi.msk.ru/account/1011339258/", 1011339258)</f>
        <v>1011339258</v>
      </c>
      <c r="D6511">
        <v>-183.24</v>
      </c>
    </row>
    <row r="6512" spans="1:4" hidden="1" x14ac:dyDescent="0.3">
      <c r="A6512" t="s">
        <v>629</v>
      </c>
      <c r="B6512" t="s">
        <v>172</v>
      </c>
      <c r="C6512" s="1">
        <f>HYPERLINK("https://cao.dolgi.msk.ru/account/1011339389/", 1011339389)</f>
        <v>1011339389</v>
      </c>
      <c r="D6512">
        <v>0</v>
      </c>
    </row>
    <row r="6513" spans="1:4" hidden="1" x14ac:dyDescent="0.3">
      <c r="A6513" t="s">
        <v>629</v>
      </c>
      <c r="B6513" t="s">
        <v>173</v>
      </c>
      <c r="C6513" s="1">
        <f>HYPERLINK("https://cao.dolgi.msk.ru/account/1011338909/", 1011338909)</f>
        <v>1011338909</v>
      </c>
      <c r="D6513">
        <v>0</v>
      </c>
    </row>
    <row r="6514" spans="1:4" hidden="1" x14ac:dyDescent="0.3">
      <c r="A6514" t="s">
        <v>629</v>
      </c>
      <c r="B6514" t="s">
        <v>656</v>
      </c>
      <c r="C6514" s="1">
        <f>HYPERLINK("https://cao.dolgi.msk.ru/account/1011338917/", 1011338917)</f>
        <v>1011338917</v>
      </c>
      <c r="D6514">
        <v>0</v>
      </c>
    </row>
    <row r="6515" spans="1:4" hidden="1" x14ac:dyDescent="0.3">
      <c r="A6515" t="s">
        <v>629</v>
      </c>
      <c r="B6515" t="s">
        <v>176</v>
      </c>
      <c r="C6515" s="1">
        <f>HYPERLINK("https://cao.dolgi.msk.ru/account/1011339047/", 1011339047)</f>
        <v>1011339047</v>
      </c>
      <c r="D6515">
        <v>-5928.17</v>
      </c>
    </row>
    <row r="6516" spans="1:4" hidden="1" x14ac:dyDescent="0.3">
      <c r="A6516" t="s">
        <v>629</v>
      </c>
      <c r="B6516" t="s">
        <v>177</v>
      </c>
      <c r="C6516" s="1">
        <f>HYPERLINK("https://cao.dolgi.msk.ru/account/1011338925/", 1011338925)</f>
        <v>1011338925</v>
      </c>
      <c r="D6516">
        <v>-27039.51</v>
      </c>
    </row>
    <row r="6517" spans="1:4" hidden="1" x14ac:dyDescent="0.3">
      <c r="A6517" t="s">
        <v>629</v>
      </c>
      <c r="B6517" t="s">
        <v>178</v>
      </c>
      <c r="C6517" s="1">
        <f>HYPERLINK("https://cao.dolgi.msk.ru/account/1011339717/", 1011339717)</f>
        <v>1011339717</v>
      </c>
      <c r="D6517">
        <v>0</v>
      </c>
    </row>
    <row r="6518" spans="1:4" hidden="1" x14ac:dyDescent="0.3">
      <c r="A6518" t="s">
        <v>629</v>
      </c>
      <c r="B6518" t="s">
        <v>179</v>
      </c>
      <c r="C6518" s="1">
        <f>HYPERLINK("https://cao.dolgi.msk.ru/account/1011338968/", 1011338968)</f>
        <v>1011338968</v>
      </c>
      <c r="D6518">
        <v>-10998.89</v>
      </c>
    </row>
    <row r="6519" spans="1:4" hidden="1" x14ac:dyDescent="0.3">
      <c r="A6519" t="s">
        <v>629</v>
      </c>
      <c r="B6519" t="s">
        <v>657</v>
      </c>
      <c r="C6519" s="1">
        <f>HYPERLINK("https://cao.dolgi.msk.ru/account/1011338765/", 1011338765)</f>
        <v>1011338765</v>
      </c>
      <c r="D6519">
        <v>0</v>
      </c>
    </row>
    <row r="6520" spans="1:4" hidden="1" x14ac:dyDescent="0.3">
      <c r="A6520" t="s">
        <v>629</v>
      </c>
      <c r="B6520" t="s">
        <v>657</v>
      </c>
      <c r="C6520" s="1">
        <f>HYPERLINK("https://cao.dolgi.msk.ru/account/1011504065/", 1011504065)</f>
        <v>1011504065</v>
      </c>
      <c r="D6520">
        <v>0</v>
      </c>
    </row>
    <row r="6521" spans="1:4" x14ac:dyDescent="0.3">
      <c r="A6521" t="s">
        <v>629</v>
      </c>
      <c r="B6521" t="s">
        <v>181</v>
      </c>
      <c r="C6521" s="1">
        <f>HYPERLINK("https://cao.dolgi.msk.ru/account/1011338992/", 1011338992)</f>
        <v>1011338992</v>
      </c>
      <c r="D6521">
        <v>12704.41</v>
      </c>
    </row>
    <row r="6522" spans="1:4" hidden="1" x14ac:dyDescent="0.3">
      <c r="A6522" t="s">
        <v>629</v>
      </c>
      <c r="B6522" t="s">
        <v>182</v>
      </c>
      <c r="C6522" s="1">
        <f>HYPERLINK("https://cao.dolgi.msk.ru/account/1011339266/", 1011339266)</f>
        <v>1011339266</v>
      </c>
      <c r="D6522">
        <v>0</v>
      </c>
    </row>
    <row r="6523" spans="1:4" hidden="1" x14ac:dyDescent="0.3">
      <c r="A6523" t="s">
        <v>629</v>
      </c>
      <c r="B6523" t="s">
        <v>658</v>
      </c>
      <c r="C6523" s="1">
        <f>HYPERLINK("https://cao.dolgi.msk.ru/account/1011339506/", 1011339506)</f>
        <v>1011339506</v>
      </c>
      <c r="D6523">
        <v>-18297.87</v>
      </c>
    </row>
    <row r="6524" spans="1:4" hidden="1" x14ac:dyDescent="0.3">
      <c r="A6524" t="s">
        <v>629</v>
      </c>
      <c r="B6524" t="s">
        <v>185</v>
      </c>
      <c r="C6524" s="1">
        <f>HYPERLINK("https://cao.dolgi.msk.ru/account/1011339557/", 1011339557)</f>
        <v>1011339557</v>
      </c>
      <c r="D6524">
        <v>-7214.27</v>
      </c>
    </row>
    <row r="6525" spans="1:4" hidden="1" x14ac:dyDescent="0.3">
      <c r="A6525" t="s">
        <v>629</v>
      </c>
      <c r="B6525" t="s">
        <v>274</v>
      </c>
      <c r="C6525" s="1">
        <f>HYPERLINK("https://cao.dolgi.msk.ru/account/1011339565/", 1011339565)</f>
        <v>1011339565</v>
      </c>
      <c r="D6525">
        <v>-1923.39</v>
      </c>
    </row>
    <row r="6526" spans="1:4" hidden="1" x14ac:dyDescent="0.3">
      <c r="A6526" t="s">
        <v>629</v>
      </c>
      <c r="B6526" t="s">
        <v>186</v>
      </c>
      <c r="C6526" s="1">
        <f>HYPERLINK("https://cao.dolgi.msk.ru/account/1011338722/", 1011338722)</f>
        <v>1011338722</v>
      </c>
      <c r="D6526">
        <v>-4454.8999999999996</v>
      </c>
    </row>
    <row r="6527" spans="1:4" hidden="1" x14ac:dyDescent="0.3">
      <c r="A6527" t="s">
        <v>629</v>
      </c>
      <c r="B6527" t="s">
        <v>187</v>
      </c>
      <c r="C6527" s="1">
        <f>HYPERLINK("https://cao.dolgi.msk.ru/account/1011339282/", 1011339282)</f>
        <v>1011339282</v>
      </c>
      <c r="D6527">
        <v>-42851.11</v>
      </c>
    </row>
    <row r="6528" spans="1:4" hidden="1" x14ac:dyDescent="0.3">
      <c r="A6528" t="s">
        <v>629</v>
      </c>
      <c r="B6528" t="s">
        <v>188</v>
      </c>
      <c r="C6528" s="1">
        <f>HYPERLINK("https://cao.dolgi.msk.ru/account/1011339725/", 1011339725)</f>
        <v>1011339725</v>
      </c>
      <c r="D6528">
        <v>0</v>
      </c>
    </row>
    <row r="6529" spans="1:4" x14ac:dyDescent="0.3">
      <c r="A6529" t="s">
        <v>629</v>
      </c>
      <c r="B6529" t="s">
        <v>189</v>
      </c>
      <c r="C6529" s="1">
        <f>HYPERLINK("https://cao.dolgi.msk.ru/account/1011339178/", 1011339178)</f>
        <v>1011339178</v>
      </c>
      <c r="D6529">
        <v>0.03</v>
      </c>
    </row>
    <row r="6530" spans="1:4" hidden="1" x14ac:dyDescent="0.3">
      <c r="A6530" t="s">
        <v>629</v>
      </c>
      <c r="B6530" t="s">
        <v>659</v>
      </c>
      <c r="C6530" s="1">
        <f>HYPERLINK("https://cao.dolgi.msk.ru/account/1011339119/", 1011339119)</f>
        <v>1011339119</v>
      </c>
      <c r="D6530">
        <v>0</v>
      </c>
    </row>
    <row r="6531" spans="1:4" hidden="1" x14ac:dyDescent="0.3">
      <c r="A6531" t="s">
        <v>629</v>
      </c>
      <c r="B6531" t="s">
        <v>659</v>
      </c>
      <c r="C6531" s="1">
        <f>HYPERLINK("https://cao.dolgi.msk.ru/account/1011339397/", 1011339397)</f>
        <v>1011339397</v>
      </c>
      <c r="D6531">
        <v>0</v>
      </c>
    </row>
    <row r="6532" spans="1:4" hidden="1" x14ac:dyDescent="0.3">
      <c r="A6532" t="s">
        <v>629</v>
      </c>
      <c r="B6532" t="s">
        <v>192</v>
      </c>
      <c r="C6532" s="1">
        <f>HYPERLINK("https://cao.dolgi.msk.ru/account/1011338829/", 1011338829)</f>
        <v>1011338829</v>
      </c>
      <c r="D6532">
        <v>0</v>
      </c>
    </row>
    <row r="6533" spans="1:4" hidden="1" x14ac:dyDescent="0.3">
      <c r="A6533" t="s">
        <v>629</v>
      </c>
      <c r="B6533" t="s">
        <v>325</v>
      </c>
      <c r="C6533" s="1">
        <f>HYPERLINK("https://cao.dolgi.msk.ru/account/1011339055/", 1011339055)</f>
        <v>1011339055</v>
      </c>
      <c r="D6533">
        <v>-7377.44</v>
      </c>
    </row>
    <row r="6534" spans="1:4" x14ac:dyDescent="0.3">
      <c r="A6534" t="s">
        <v>629</v>
      </c>
      <c r="B6534" t="s">
        <v>325</v>
      </c>
      <c r="C6534" s="1">
        <f>HYPERLINK("https://cao.dolgi.msk.ru/account/1011339602/", 1011339602)</f>
        <v>1011339602</v>
      </c>
      <c r="D6534">
        <v>1201.81</v>
      </c>
    </row>
    <row r="6535" spans="1:4" x14ac:dyDescent="0.3">
      <c r="A6535" t="s">
        <v>629</v>
      </c>
      <c r="B6535" t="s">
        <v>660</v>
      </c>
      <c r="C6535" s="1">
        <f>HYPERLINK("https://cao.dolgi.msk.ru/account/1011338837/", 1011338837)</f>
        <v>1011338837</v>
      </c>
      <c r="D6535">
        <v>14087.44</v>
      </c>
    </row>
    <row r="6536" spans="1:4" x14ac:dyDescent="0.3">
      <c r="A6536" t="s">
        <v>629</v>
      </c>
      <c r="B6536" t="s">
        <v>195</v>
      </c>
      <c r="C6536" s="1">
        <f>HYPERLINK("https://cao.dolgi.msk.ru/account/1011339274/", 1011339274)</f>
        <v>1011339274</v>
      </c>
      <c r="D6536">
        <v>213.59</v>
      </c>
    </row>
    <row r="6537" spans="1:4" hidden="1" x14ac:dyDescent="0.3">
      <c r="A6537" t="s">
        <v>629</v>
      </c>
      <c r="B6537" t="s">
        <v>196</v>
      </c>
      <c r="C6537" s="1">
        <f>HYPERLINK("https://cao.dolgi.msk.ru/account/1011339004/", 1011339004)</f>
        <v>1011339004</v>
      </c>
      <c r="D6537">
        <v>0</v>
      </c>
    </row>
    <row r="6538" spans="1:4" hidden="1" x14ac:dyDescent="0.3">
      <c r="A6538" t="s">
        <v>629</v>
      </c>
      <c r="B6538" t="s">
        <v>661</v>
      </c>
      <c r="C6538" s="1">
        <f>HYPERLINK("https://cao.dolgi.msk.ru/account/1011339573/", 1011339573)</f>
        <v>1011339573</v>
      </c>
      <c r="D6538">
        <v>-8469.1299999999992</v>
      </c>
    </row>
    <row r="6539" spans="1:4" hidden="1" x14ac:dyDescent="0.3">
      <c r="A6539" t="s">
        <v>629</v>
      </c>
      <c r="B6539" t="s">
        <v>199</v>
      </c>
      <c r="C6539" s="1">
        <f>HYPERLINK("https://cao.dolgi.msk.ru/account/1011338845/", 1011338845)</f>
        <v>1011338845</v>
      </c>
      <c r="D6539">
        <v>-986.84</v>
      </c>
    </row>
    <row r="6540" spans="1:4" x14ac:dyDescent="0.3">
      <c r="A6540" t="s">
        <v>629</v>
      </c>
      <c r="B6540" t="s">
        <v>200</v>
      </c>
      <c r="C6540" s="1">
        <f>HYPERLINK("https://cao.dolgi.msk.ru/account/1011339426/", 1011339426)</f>
        <v>1011339426</v>
      </c>
      <c r="D6540">
        <v>10769.18</v>
      </c>
    </row>
    <row r="6541" spans="1:4" hidden="1" x14ac:dyDescent="0.3">
      <c r="A6541" t="s">
        <v>629</v>
      </c>
      <c r="B6541" t="s">
        <v>201</v>
      </c>
      <c r="C6541" s="1">
        <f>HYPERLINK("https://cao.dolgi.msk.ru/account/1011339442/", 1011339442)</f>
        <v>1011339442</v>
      </c>
      <c r="D6541">
        <v>0</v>
      </c>
    </row>
    <row r="6542" spans="1:4" x14ac:dyDescent="0.3">
      <c r="A6542" t="s">
        <v>662</v>
      </c>
      <c r="B6542" t="s">
        <v>6</v>
      </c>
      <c r="C6542" s="1">
        <f>HYPERLINK("https://cao.dolgi.msk.ru/account/1011398303/", 1011398303)</f>
        <v>1011398303</v>
      </c>
      <c r="D6542">
        <v>9842</v>
      </c>
    </row>
    <row r="6543" spans="1:4" x14ac:dyDescent="0.3">
      <c r="A6543" t="s">
        <v>662</v>
      </c>
      <c r="B6543" t="s">
        <v>28</v>
      </c>
      <c r="C6543" s="1">
        <f>HYPERLINK("https://cao.dolgi.msk.ru/account/1011398573/", 1011398573)</f>
        <v>1011398573</v>
      </c>
      <c r="D6543">
        <v>4134.24</v>
      </c>
    </row>
    <row r="6544" spans="1:4" hidden="1" x14ac:dyDescent="0.3">
      <c r="A6544" t="s">
        <v>662</v>
      </c>
      <c r="B6544" t="s">
        <v>35</v>
      </c>
      <c r="C6544" s="1">
        <f>HYPERLINK("https://cao.dolgi.msk.ru/account/1011398397/", 1011398397)</f>
        <v>1011398397</v>
      </c>
      <c r="D6544">
        <v>0</v>
      </c>
    </row>
    <row r="6545" spans="1:4" hidden="1" x14ac:dyDescent="0.3">
      <c r="A6545" t="s">
        <v>662</v>
      </c>
      <c r="B6545" t="s">
        <v>5</v>
      </c>
      <c r="C6545" s="1">
        <f>HYPERLINK("https://cao.dolgi.msk.ru/account/1011399082/", 1011399082)</f>
        <v>1011399082</v>
      </c>
      <c r="D6545">
        <v>0</v>
      </c>
    </row>
    <row r="6546" spans="1:4" hidden="1" x14ac:dyDescent="0.3">
      <c r="A6546" t="s">
        <v>662</v>
      </c>
      <c r="B6546" t="s">
        <v>7</v>
      </c>
      <c r="C6546" s="1">
        <f>HYPERLINK("https://cao.dolgi.msk.ru/account/1011398418/", 1011398418)</f>
        <v>1011398418</v>
      </c>
      <c r="D6546">
        <v>0</v>
      </c>
    </row>
    <row r="6547" spans="1:4" hidden="1" x14ac:dyDescent="0.3">
      <c r="A6547" t="s">
        <v>662</v>
      </c>
      <c r="B6547" t="s">
        <v>8</v>
      </c>
      <c r="C6547" s="1">
        <f>HYPERLINK("https://cao.dolgi.msk.ru/account/1011398231/", 1011398231)</f>
        <v>1011398231</v>
      </c>
      <c r="D6547">
        <v>0</v>
      </c>
    </row>
    <row r="6548" spans="1:4" x14ac:dyDescent="0.3">
      <c r="A6548" t="s">
        <v>662</v>
      </c>
      <c r="B6548" t="s">
        <v>31</v>
      </c>
      <c r="C6548" s="1">
        <f>HYPERLINK("https://cao.dolgi.msk.ru/account/1011398477/", 1011398477)</f>
        <v>1011398477</v>
      </c>
      <c r="D6548">
        <v>8758.2099999999991</v>
      </c>
    </row>
    <row r="6549" spans="1:4" hidden="1" x14ac:dyDescent="0.3">
      <c r="A6549" t="s">
        <v>662</v>
      </c>
      <c r="B6549" t="s">
        <v>9</v>
      </c>
      <c r="C6549" s="1">
        <f>HYPERLINK("https://cao.dolgi.msk.ru/account/1011399103/", 1011399103)</f>
        <v>1011399103</v>
      </c>
      <c r="D6549">
        <v>0</v>
      </c>
    </row>
    <row r="6550" spans="1:4" hidden="1" x14ac:dyDescent="0.3">
      <c r="A6550" t="s">
        <v>662</v>
      </c>
      <c r="B6550" t="s">
        <v>10</v>
      </c>
      <c r="C6550" s="1">
        <f>HYPERLINK("https://cao.dolgi.msk.ru/account/1011398661/", 1011398661)</f>
        <v>1011398661</v>
      </c>
      <c r="D6550">
        <v>-9.08</v>
      </c>
    </row>
    <row r="6551" spans="1:4" hidden="1" x14ac:dyDescent="0.3">
      <c r="A6551" t="s">
        <v>662</v>
      </c>
      <c r="B6551" t="s">
        <v>11</v>
      </c>
      <c r="C6551" s="1">
        <f>HYPERLINK("https://cao.dolgi.msk.ru/account/1011398311/", 1011398311)</f>
        <v>1011398311</v>
      </c>
      <c r="D6551">
        <v>-13863.25</v>
      </c>
    </row>
    <row r="6552" spans="1:4" hidden="1" x14ac:dyDescent="0.3">
      <c r="A6552" t="s">
        <v>662</v>
      </c>
      <c r="B6552" t="s">
        <v>12</v>
      </c>
      <c r="C6552" s="1">
        <f>HYPERLINK("https://cao.dolgi.msk.ru/account/1011398805/", 1011398805)</f>
        <v>1011398805</v>
      </c>
      <c r="D6552">
        <v>0</v>
      </c>
    </row>
    <row r="6553" spans="1:4" hidden="1" x14ac:dyDescent="0.3">
      <c r="A6553" t="s">
        <v>662</v>
      </c>
      <c r="B6553" t="s">
        <v>23</v>
      </c>
      <c r="C6553" s="1">
        <f>HYPERLINK("https://cao.dolgi.msk.ru/account/1011398389/", 1011398389)</f>
        <v>1011398389</v>
      </c>
      <c r="D6553">
        <v>-16680.080000000002</v>
      </c>
    </row>
    <row r="6554" spans="1:4" hidden="1" x14ac:dyDescent="0.3">
      <c r="A6554" t="s">
        <v>662</v>
      </c>
      <c r="B6554" t="s">
        <v>13</v>
      </c>
      <c r="C6554" s="1">
        <f>HYPERLINK("https://cao.dolgi.msk.ru/account/1011398717/", 1011398717)</f>
        <v>1011398717</v>
      </c>
      <c r="D6554">
        <v>0</v>
      </c>
    </row>
    <row r="6555" spans="1:4" hidden="1" x14ac:dyDescent="0.3">
      <c r="A6555" t="s">
        <v>662</v>
      </c>
      <c r="B6555" t="s">
        <v>14</v>
      </c>
      <c r="C6555" s="1">
        <f>HYPERLINK("https://cao.dolgi.msk.ru/account/1011398362/", 1011398362)</f>
        <v>1011398362</v>
      </c>
      <c r="D6555">
        <v>-5624.87</v>
      </c>
    </row>
    <row r="6556" spans="1:4" hidden="1" x14ac:dyDescent="0.3">
      <c r="A6556" t="s">
        <v>662</v>
      </c>
      <c r="B6556" t="s">
        <v>14</v>
      </c>
      <c r="C6556" s="1">
        <f>HYPERLINK("https://cao.dolgi.msk.ru/account/1011398522/", 1011398522)</f>
        <v>1011398522</v>
      </c>
      <c r="D6556">
        <v>0</v>
      </c>
    </row>
    <row r="6557" spans="1:4" hidden="1" x14ac:dyDescent="0.3">
      <c r="A6557" t="s">
        <v>662</v>
      </c>
      <c r="B6557" t="s">
        <v>14</v>
      </c>
      <c r="C6557" s="1">
        <f>HYPERLINK("https://cao.dolgi.msk.ru/account/1011399031/", 1011399031)</f>
        <v>1011399031</v>
      </c>
      <c r="D6557">
        <v>0</v>
      </c>
    </row>
    <row r="6558" spans="1:4" x14ac:dyDescent="0.3">
      <c r="A6558" t="s">
        <v>662</v>
      </c>
      <c r="B6558" t="s">
        <v>16</v>
      </c>
      <c r="C6558" s="1">
        <f>HYPERLINK("https://cao.dolgi.msk.ru/account/1011398274/", 1011398274)</f>
        <v>1011398274</v>
      </c>
      <c r="D6558">
        <v>2127.79</v>
      </c>
    </row>
    <row r="6559" spans="1:4" x14ac:dyDescent="0.3">
      <c r="A6559" t="s">
        <v>662</v>
      </c>
      <c r="B6559" t="s">
        <v>17</v>
      </c>
      <c r="C6559" s="1">
        <f>HYPERLINK("https://cao.dolgi.msk.ru/account/1011398901/", 1011398901)</f>
        <v>1011398901</v>
      </c>
      <c r="D6559">
        <v>73412.09</v>
      </c>
    </row>
    <row r="6560" spans="1:4" hidden="1" x14ac:dyDescent="0.3">
      <c r="A6560" t="s">
        <v>662</v>
      </c>
      <c r="B6560" t="s">
        <v>18</v>
      </c>
      <c r="C6560" s="1">
        <f>HYPERLINK("https://cao.dolgi.msk.ru/account/1011398469/", 1011398469)</f>
        <v>1011398469</v>
      </c>
      <c r="D6560">
        <v>0</v>
      </c>
    </row>
    <row r="6561" spans="1:4" x14ac:dyDescent="0.3">
      <c r="A6561" t="s">
        <v>662</v>
      </c>
      <c r="B6561" t="s">
        <v>19</v>
      </c>
      <c r="C6561" s="1">
        <f>HYPERLINK("https://cao.dolgi.msk.ru/account/1011398645/", 1011398645)</f>
        <v>1011398645</v>
      </c>
      <c r="D6561">
        <v>11343.84</v>
      </c>
    </row>
    <row r="6562" spans="1:4" hidden="1" x14ac:dyDescent="0.3">
      <c r="A6562" t="s">
        <v>662</v>
      </c>
      <c r="B6562" t="s">
        <v>20</v>
      </c>
      <c r="C6562" s="1">
        <f>HYPERLINK("https://cao.dolgi.msk.ru/account/1011398258/", 1011398258)</f>
        <v>1011398258</v>
      </c>
      <c r="D6562">
        <v>0</v>
      </c>
    </row>
    <row r="6563" spans="1:4" hidden="1" x14ac:dyDescent="0.3">
      <c r="A6563" t="s">
        <v>662</v>
      </c>
      <c r="B6563" t="s">
        <v>21</v>
      </c>
      <c r="C6563" s="1">
        <f>HYPERLINK("https://cao.dolgi.msk.ru/account/1011398979/", 1011398979)</f>
        <v>1011398979</v>
      </c>
      <c r="D6563">
        <v>0</v>
      </c>
    </row>
    <row r="6564" spans="1:4" x14ac:dyDescent="0.3">
      <c r="A6564" t="s">
        <v>662</v>
      </c>
      <c r="B6564" t="s">
        <v>22</v>
      </c>
      <c r="C6564" s="1">
        <f>HYPERLINK("https://cao.dolgi.msk.ru/account/1011399074/", 1011399074)</f>
        <v>1011399074</v>
      </c>
      <c r="D6564">
        <v>30773.07</v>
      </c>
    </row>
    <row r="6565" spans="1:4" x14ac:dyDescent="0.3">
      <c r="A6565" t="s">
        <v>662</v>
      </c>
      <c r="B6565" t="s">
        <v>24</v>
      </c>
      <c r="C6565" s="1">
        <f>HYPERLINK("https://cao.dolgi.msk.ru/account/1011398864/", 1011398864)</f>
        <v>1011398864</v>
      </c>
      <c r="D6565">
        <v>22362.89</v>
      </c>
    </row>
    <row r="6566" spans="1:4" x14ac:dyDescent="0.3">
      <c r="A6566" t="s">
        <v>662</v>
      </c>
      <c r="B6566" t="s">
        <v>25</v>
      </c>
      <c r="C6566" s="1">
        <f>HYPERLINK("https://cao.dolgi.msk.ru/account/1011398709/", 1011398709)</f>
        <v>1011398709</v>
      </c>
      <c r="D6566">
        <v>5592.43</v>
      </c>
    </row>
    <row r="6567" spans="1:4" hidden="1" x14ac:dyDescent="0.3">
      <c r="A6567" t="s">
        <v>662</v>
      </c>
      <c r="B6567" t="s">
        <v>26</v>
      </c>
      <c r="C6567" s="1">
        <f>HYPERLINK("https://cao.dolgi.msk.ru/account/1011398848/", 1011398848)</f>
        <v>1011398848</v>
      </c>
      <c r="D6567">
        <v>0</v>
      </c>
    </row>
    <row r="6568" spans="1:4" x14ac:dyDescent="0.3">
      <c r="A6568" t="s">
        <v>662</v>
      </c>
      <c r="B6568" t="s">
        <v>27</v>
      </c>
      <c r="C6568" s="1">
        <f>HYPERLINK("https://cao.dolgi.msk.ru/account/1011399058/", 1011399058)</f>
        <v>1011399058</v>
      </c>
      <c r="D6568">
        <v>16821.14</v>
      </c>
    </row>
    <row r="6569" spans="1:4" hidden="1" x14ac:dyDescent="0.3">
      <c r="A6569" t="s">
        <v>662</v>
      </c>
      <c r="B6569" t="s">
        <v>29</v>
      </c>
      <c r="C6569" s="1">
        <f>HYPERLINK("https://cao.dolgi.msk.ru/account/1011398944/", 1011398944)</f>
        <v>1011398944</v>
      </c>
      <c r="D6569">
        <v>-23642.31</v>
      </c>
    </row>
    <row r="6570" spans="1:4" hidden="1" x14ac:dyDescent="0.3">
      <c r="A6570" t="s">
        <v>662</v>
      </c>
      <c r="B6570" t="s">
        <v>38</v>
      </c>
      <c r="C6570" s="1">
        <f>HYPERLINK("https://cao.dolgi.msk.ru/account/1011398282/", 1011398282)</f>
        <v>1011398282</v>
      </c>
      <c r="D6570">
        <v>-9205.25</v>
      </c>
    </row>
    <row r="6571" spans="1:4" hidden="1" x14ac:dyDescent="0.3">
      <c r="A6571" t="s">
        <v>662</v>
      </c>
      <c r="B6571" t="s">
        <v>39</v>
      </c>
      <c r="C6571" s="1">
        <f>HYPERLINK("https://cao.dolgi.msk.ru/account/1011398426/", 1011398426)</f>
        <v>1011398426</v>
      </c>
      <c r="D6571">
        <v>0</v>
      </c>
    </row>
    <row r="6572" spans="1:4" x14ac:dyDescent="0.3">
      <c r="A6572" t="s">
        <v>662</v>
      </c>
      <c r="B6572" t="s">
        <v>663</v>
      </c>
      <c r="C6572" s="1">
        <f>HYPERLINK("https://cao.dolgi.msk.ru/account/1011540007/", 1011540007)</f>
        <v>1011540007</v>
      </c>
      <c r="D6572">
        <v>34672.54</v>
      </c>
    </row>
    <row r="6573" spans="1:4" x14ac:dyDescent="0.3">
      <c r="A6573" t="s">
        <v>662</v>
      </c>
      <c r="B6573" t="s">
        <v>664</v>
      </c>
      <c r="C6573" s="1">
        <f>HYPERLINK("https://cao.dolgi.msk.ru/account/1011539997/", 1011539997)</f>
        <v>1011539997</v>
      </c>
      <c r="D6573">
        <v>50552.91</v>
      </c>
    </row>
    <row r="6574" spans="1:4" x14ac:dyDescent="0.3">
      <c r="A6574" t="s">
        <v>662</v>
      </c>
      <c r="B6574" t="s">
        <v>665</v>
      </c>
      <c r="C6574" s="1">
        <f>HYPERLINK("https://cao.dolgi.msk.ru/account/1011540015/", 1011540015)</f>
        <v>1011540015</v>
      </c>
      <c r="D6574">
        <v>44471.49</v>
      </c>
    </row>
    <row r="6575" spans="1:4" hidden="1" x14ac:dyDescent="0.3">
      <c r="A6575" t="s">
        <v>662</v>
      </c>
      <c r="B6575" t="s">
        <v>41</v>
      </c>
      <c r="C6575" s="1">
        <f>HYPERLINK("https://cao.dolgi.msk.ru/account/1011398637/", 1011398637)</f>
        <v>1011398637</v>
      </c>
      <c r="D6575">
        <v>-2120.85</v>
      </c>
    </row>
    <row r="6576" spans="1:4" hidden="1" x14ac:dyDescent="0.3">
      <c r="A6576" t="s">
        <v>662</v>
      </c>
      <c r="B6576" t="s">
        <v>41</v>
      </c>
      <c r="C6576" s="1">
        <f>HYPERLINK("https://cao.dolgi.msk.ru/account/1011398733/", 1011398733)</f>
        <v>1011398733</v>
      </c>
      <c r="D6576">
        <v>-11.54</v>
      </c>
    </row>
    <row r="6577" spans="1:4" hidden="1" x14ac:dyDescent="0.3">
      <c r="A6577" t="s">
        <v>662</v>
      </c>
      <c r="B6577" t="s">
        <v>51</v>
      </c>
      <c r="C6577" s="1">
        <f>HYPERLINK("https://cao.dolgi.msk.ru/account/1011398928/", 1011398928)</f>
        <v>1011398928</v>
      </c>
      <c r="D6577">
        <v>-19170.310000000001</v>
      </c>
    </row>
    <row r="6578" spans="1:4" hidden="1" x14ac:dyDescent="0.3">
      <c r="A6578" t="s">
        <v>662</v>
      </c>
      <c r="B6578" t="s">
        <v>52</v>
      </c>
      <c r="C6578" s="1">
        <f>HYPERLINK("https://cao.dolgi.msk.ru/account/1011398688/", 1011398688)</f>
        <v>1011398688</v>
      </c>
      <c r="D6578">
        <v>0</v>
      </c>
    </row>
    <row r="6579" spans="1:4" hidden="1" x14ac:dyDescent="0.3">
      <c r="A6579" t="s">
        <v>662</v>
      </c>
      <c r="B6579" t="s">
        <v>53</v>
      </c>
      <c r="C6579" s="1">
        <f>HYPERLINK("https://cao.dolgi.msk.ru/account/1011398186/", 1011398186)</f>
        <v>1011398186</v>
      </c>
      <c r="D6579">
        <v>0</v>
      </c>
    </row>
    <row r="6580" spans="1:4" hidden="1" x14ac:dyDescent="0.3">
      <c r="A6580" t="s">
        <v>662</v>
      </c>
      <c r="B6580" t="s">
        <v>54</v>
      </c>
      <c r="C6580" s="1">
        <f>HYPERLINK("https://cao.dolgi.msk.ru/account/1011399007/", 1011399007)</f>
        <v>1011399007</v>
      </c>
      <c r="D6580">
        <v>0</v>
      </c>
    </row>
    <row r="6581" spans="1:4" hidden="1" x14ac:dyDescent="0.3">
      <c r="A6581" t="s">
        <v>662</v>
      </c>
      <c r="B6581" t="s">
        <v>55</v>
      </c>
      <c r="C6581" s="1">
        <f>HYPERLINK("https://cao.dolgi.msk.ru/account/1011398215/", 1011398215)</f>
        <v>1011398215</v>
      </c>
      <c r="D6581">
        <v>0</v>
      </c>
    </row>
    <row r="6582" spans="1:4" hidden="1" x14ac:dyDescent="0.3">
      <c r="A6582" t="s">
        <v>662</v>
      </c>
      <c r="B6582" t="s">
        <v>56</v>
      </c>
      <c r="C6582" s="1">
        <f>HYPERLINK("https://cao.dolgi.msk.ru/account/1011398696/", 1011398696)</f>
        <v>1011398696</v>
      </c>
      <c r="D6582">
        <v>0</v>
      </c>
    </row>
    <row r="6583" spans="1:4" hidden="1" x14ac:dyDescent="0.3">
      <c r="A6583" t="s">
        <v>662</v>
      </c>
      <c r="B6583" t="s">
        <v>87</v>
      </c>
      <c r="C6583" s="1">
        <f>HYPERLINK("https://cao.dolgi.msk.ru/account/1011398338/", 1011398338)</f>
        <v>1011398338</v>
      </c>
      <c r="D6583">
        <v>0</v>
      </c>
    </row>
    <row r="6584" spans="1:4" hidden="1" x14ac:dyDescent="0.3">
      <c r="A6584" t="s">
        <v>662</v>
      </c>
      <c r="B6584" t="s">
        <v>88</v>
      </c>
      <c r="C6584" s="1">
        <f>HYPERLINK("https://cao.dolgi.msk.ru/account/1011398725/", 1011398725)</f>
        <v>1011398725</v>
      </c>
      <c r="D6584">
        <v>0</v>
      </c>
    </row>
    <row r="6585" spans="1:4" hidden="1" x14ac:dyDescent="0.3">
      <c r="A6585" t="s">
        <v>662</v>
      </c>
      <c r="B6585" t="s">
        <v>89</v>
      </c>
      <c r="C6585" s="1">
        <f>HYPERLINK("https://cao.dolgi.msk.ru/account/1011398442/", 1011398442)</f>
        <v>1011398442</v>
      </c>
      <c r="D6585">
        <v>0</v>
      </c>
    </row>
    <row r="6586" spans="1:4" hidden="1" x14ac:dyDescent="0.3">
      <c r="A6586" t="s">
        <v>662</v>
      </c>
      <c r="B6586" t="s">
        <v>90</v>
      </c>
      <c r="C6586" s="1">
        <f>HYPERLINK("https://cao.dolgi.msk.ru/account/1011399066/", 1011399066)</f>
        <v>1011399066</v>
      </c>
      <c r="D6586">
        <v>-11312.3</v>
      </c>
    </row>
    <row r="6587" spans="1:4" hidden="1" x14ac:dyDescent="0.3">
      <c r="A6587" t="s">
        <v>662</v>
      </c>
      <c r="B6587" t="s">
        <v>96</v>
      </c>
      <c r="C6587" s="1">
        <f>HYPERLINK("https://cao.dolgi.msk.ru/account/1011398952/", 1011398952)</f>
        <v>1011398952</v>
      </c>
      <c r="D6587">
        <v>0</v>
      </c>
    </row>
    <row r="6588" spans="1:4" hidden="1" x14ac:dyDescent="0.3">
      <c r="A6588" t="s">
        <v>662</v>
      </c>
      <c r="B6588" t="s">
        <v>97</v>
      </c>
      <c r="C6588" s="1">
        <f>HYPERLINK("https://cao.dolgi.msk.ru/account/1011398485/", 1011398485)</f>
        <v>1011398485</v>
      </c>
      <c r="D6588">
        <v>0</v>
      </c>
    </row>
    <row r="6589" spans="1:4" x14ac:dyDescent="0.3">
      <c r="A6589" t="s">
        <v>662</v>
      </c>
      <c r="B6589" t="s">
        <v>97</v>
      </c>
      <c r="C6589" s="1">
        <f>HYPERLINK("https://cao.dolgi.msk.ru/account/1011398493/", 1011398493)</f>
        <v>1011398493</v>
      </c>
      <c r="D6589">
        <v>8759.18</v>
      </c>
    </row>
    <row r="6590" spans="1:4" x14ac:dyDescent="0.3">
      <c r="A6590" t="s">
        <v>662</v>
      </c>
      <c r="B6590" t="s">
        <v>97</v>
      </c>
      <c r="C6590" s="1">
        <f>HYPERLINK("https://cao.dolgi.msk.ru/account/1011399111/", 1011399111)</f>
        <v>1011399111</v>
      </c>
      <c r="D6590">
        <v>6162.78</v>
      </c>
    </row>
    <row r="6591" spans="1:4" x14ac:dyDescent="0.3">
      <c r="A6591" t="s">
        <v>662</v>
      </c>
      <c r="B6591" t="s">
        <v>98</v>
      </c>
      <c r="C6591" s="1">
        <f>HYPERLINK("https://cao.dolgi.msk.ru/account/1011398741/", 1011398741)</f>
        <v>1011398741</v>
      </c>
      <c r="D6591">
        <v>334404.21000000002</v>
      </c>
    </row>
    <row r="6592" spans="1:4" x14ac:dyDescent="0.3">
      <c r="A6592" t="s">
        <v>662</v>
      </c>
      <c r="B6592" t="s">
        <v>58</v>
      </c>
      <c r="C6592" s="1">
        <f>HYPERLINK("https://cao.dolgi.msk.ru/account/1011398266/", 1011398266)</f>
        <v>1011398266</v>
      </c>
      <c r="D6592">
        <v>5911.86</v>
      </c>
    </row>
    <row r="6593" spans="1:4" hidden="1" x14ac:dyDescent="0.3">
      <c r="A6593" t="s">
        <v>662</v>
      </c>
      <c r="B6593" t="s">
        <v>59</v>
      </c>
      <c r="C6593" s="1">
        <f>HYPERLINK("https://cao.dolgi.msk.ru/account/1011398813/", 1011398813)</f>
        <v>1011398813</v>
      </c>
      <c r="D6593">
        <v>-18239.509999999998</v>
      </c>
    </row>
    <row r="6594" spans="1:4" hidden="1" x14ac:dyDescent="0.3">
      <c r="A6594" t="s">
        <v>662</v>
      </c>
      <c r="B6594" t="s">
        <v>60</v>
      </c>
      <c r="C6594" s="1">
        <f>HYPERLINK("https://cao.dolgi.msk.ru/account/1011398936/", 1011398936)</f>
        <v>1011398936</v>
      </c>
      <c r="D6594">
        <v>0</v>
      </c>
    </row>
    <row r="6595" spans="1:4" hidden="1" x14ac:dyDescent="0.3">
      <c r="A6595" t="s">
        <v>662</v>
      </c>
      <c r="B6595" t="s">
        <v>61</v>
      </c>
      <c r="C6595" s="1">
        <f>HYPERLINK("https://cao.dolgi.msk.ru/account/1011398346/", 1011398346)</f>
        <v>1011398346</v>
      </c>
      <c r="D6595">
        <v>0</v>
      </c>
    </row>
    <row r="6596" spans="1:4" x14ac:dyDescent="0.3">
      <c r="A6596" t="s">
        <v>662</v>
      </c>
      <c r="B6596" t="s">
        <v>62</v>
      </c>
      <c r="C6596" s="1">
        <f>HYPERLINK("https://cao.dolgi.msk.ru/account/1011398784/", 1011398784)</f>
        <v>1011398784</v>
      </c>
      <c r="D6596">
        <v>28690.57</v>
      </c>
    </row>
    <row r="6597" spans="1:4" x14ac:dyDescent="0.3">
      <c r="A6597" t="s">
        <v>662</v>
      </c>
      <c r="B6597" t="s">
        <v>63</v>
      </c>
      <c r="C6597" s="1">
        <f>HYPERLINK("https://cao.dolgi.msk.ru/account/1011398872/", 1011398872)</f>
        <v>1011398872</v>
      </c>
      <c r="D6597">
        <v>13037.75</v>
      </c>
    </row>
    <row r="6598" spans="1:4" hidden="1" x14ac:dyDescent="0.3">
      <c r="A6598" t="s">
        <v>662</v>
      </c>
      <c r="B6598" t="s">
        <v>64</v>
      </c>
      <c r="C6598" s="1">
        <f>HYPERLINK("https://cao.dolgi.msk.ru/account/1011398549/", 1011398549)</f>
        <v>1011398549</v>
      </c>
      <c r="D6598">
        <v>0</v>
      </c>
    </row>
    <row r="6599" spans="1:4" hidden="1" x14ac:dyDescent="0.3">
      <c r="A6599" t="s">
        <v>662</v>
      </c>
      <c r="B6599" t="s">
        <v>65</v>
      </c>
      <c r="C6599" s="1">
        <f>HYPERLINK("https://cao.dolgi.msk.ru/account/1011398354/", 1011398354)</f>
        <v>1011398354</v>
      </c>
      <c r="D6599">
        <v>0</v>
      </c>
    </row>
    <row r="6600" spans="1:4" hidden="1" x14ac:dyDescent="0.3">
      <c r="A6600" t="s">
        <v>662</v>
      </c>
      <c r="B6600" t="s">
        <v>66</v>
      </c>
      <c r="C6600" s="1">
        <f>HYPERLINK("https://cao.dolgi.msk.ru/account/1011398434/", 1011398434)</f>
        <v>1011398434</v>
      </c>
      <c r="D6600">
        <v>-21252.799999999999</v>
      </c>
    </row>
    <row r="6601" spans="1:4" x14ac:dyDescent="0.3">
      <c r="A6601" t="s">
        <v>662</v>
      </c>
      <c r="B6601" t="s">
        <v>67</v>
      </c>
      <c r="C6601" s="1">
        <f>HYPERLINK("https://cao.dolgi.msk.ru/account/1011398629/", 1011398629)</f>
        <v>1011398629</v>
      </c>
      <c r="D6601">
        <v>17018.54</v>
      </c>
    </row>
    <row r="6602" spans="1:4" hidden="1" x14ac:dyDescent="0.3">
      <c r="A6602" t="s">
        <v>662</v>
      </c>
      <c r="B6602" t="s">
        <v>68</v>
      </c>
      <c r="C6602" s="1">
        <f>HYPERLINK("https://cao.dolgi.msk.ru/account/1011399023/", 1011399023)</f>
        <v>1011399023</v>
      </c>
      <c r="D6602">
        <v>0</v>
      </c>
    </row>
    <row r="6603" spans="1:4" hidden="1" x14ac:dyDescent="0.3">
      <c r="A6603" t="s">
        <v>662</v>
      </c>
      <c r="B6603" t="s">
        <v>69</v>
      </c>
      <c r="C6603" s="1">
        <f>HYPERLINK("https://cao.dolgi.msk.ru/account/1011398514/", 1011398514)</f>
        <v>1011398514</v>
      </c>
      <c r="D6603">
        <v>-12120.47</v>
      </c>
    </row>
    <row r="6604" spans="1:4" hidden="1" x14ac:dyDescent="0.3">
      <c r="A6604" t="s">
        <v>662</v>
      </c>
      <c r="B6604" t="s">
        <v>70</v>
      </c>
      <c r="C6604" s="1">
        <f>HYPERLINK("https://cao.dolgi.msk.ru/account/1011517915/", 1011517915)</f>
        <v>1011517915</v>
      </c>
      <c r="D6604">
        <v>0</v>
      </c>
    </row>
    <row r="6605" spans="1:4" hidden="1" x14ac:dyDescent="0.3">
      <c r="A6605" t="s">
        <v>662</v>
      </c>
      <c r="B6605" t="s">
        <v>259</v>
      </c>
      <c r="C6605" s="1">
        <f>HYPERLINK("https://cao.dolgi.msk.ru/account/1011398207/", 1011398207)</f>
        <v>1011398207</v>
      </c>
      <c r="D6605">
        <v>0</v>
      </c>
    </row>
    <row r="6606" spans="1:4" hidden="1" x14ac:dyDescent="0.3">
      <c r="A6606" t="s">
        <v>662</v>
      </c>
      <c r="B6606" t="s">
        <v>100</v>
      </c>
      <c r="C6606" s="1">
        <f>HYPERLINK("https://cao.dolgi.msk.ru/account/1011398565/", 1011398565)</f>
        <v>1011398565</v>
      </c>
      <c r="D6606">
        <v>-12169.36</v>
      </c>
    </row>
    <row r="6607" spans="1:4" hidden="1" x14ac:dyDescent="0.3">
      <c r="A6607" t="s">
        <v>662</v>
      </c>
      <c r="B6607" t="s">
        <v>72</v>
      </c>
      <c r="C6607" s="1">
        <f>HYPERLINK("https://cao.dolgi.msk.ru/account/1011398506/", 1011398506)</f>
        <v>1011398506</v>
      </c>
      <c r="D6607">
        <v>0</v>
      </c>
    </row>
    <row r="6608" spans="1:4" hidden="1" x14ac:dyDescent="0.3">
      <c r="A6608" t="s">
        <v>662</v>
      </c>
      <c r="B6608" t="s">
        <v>73</v>
      </c>
      <c r="C6608" s="1">
        <f>HYPERLINK("https://cao.dolgi.msk.ru/account/1011399015/", 1011399015)</f>
        <v>1011399015</v>
      </c>
      <c r="D6608">
        <v>0</v>
      </c>
    </row>
    <row r="6609" spans="1:4" hidden="1" x14ac:dyDescent="0.3">
      <c r="A6609" t="s">
        <v>662</v>
      </c>
      <c r="B6609" t="s">
        <v>74</v>
      </c>
      <c r="C6609" s="1">
        <f>HYPERLINK("https://cao.dolgi.msk.ru/account/1011398557/", 1011398557)</f>
        <v>1011398557</v>
      </c>
      <c r="D6609">
        <v>-69033.53</v>
      </c>
    </row>
    <row r="6610" spans="1:4" hidden="1" x14ac:dyDescent="0.3">
      <c r="A6610" t="s">
        <v>662</v>
      </c>
      <c r="B6610" t="s">
        <v>75</v>
      </c>
      <c r="C6610" s="1">
        <f>HYPERLINK("https://cao.dolgi.msk.ru/account/1011398899/", 1011398899)</f>
        <v>1011398899</v>
      </c>
      <c r="D6610">
        <v>-13496.79</v>
      </c>
    </row>
    <row r="6611" spans="1:4" hidden="1" x14ac:dyDescent="0.3">
      <c r="A6611" t="s">
        <v>662</v>
      </c>
      <c r="B6611" t="s">
        <v>76</v>
      </c>
      <c r="C6611" s="1">
        <f>HYPERLINK("https://cao.dolgi.msk.ru/account/1011398995/", 1011398995)</f>
        <v>1011398995</v>
      </c>
      <c r="D6611">
        <v>-31137.93</v>
      </c>
    </row>
    <row r="6612" spans="1:4" hidden="1" x14ac:dyDescent="0.3">
      <c r="A6612" t="s">
        <v>662</v>
      </c>
      <c r="B6612" t="s">
        <v>76</v>
      </c>
      <c r="C6612" s="1">
        <f>HYPERLINK("https://cao.dolgi.msk.ru/account/1011399138/", 1011399138)</f>
        <v>1011399138</v>
      </c>
      <c r="D6612">
        <v>0</v>
      </c>
    </row>
    <row r="6613" spans="1:4" x14ac:dyDescent="0.3">
      <c r="A6613" t="s">
        <v>662</v>
      </c>
      <c r="B6613" t="s">
        <v>77</v>
      </c>
      <c r="C6613" s="1">
        <f>HYPERLINK("https://cao.dolgi.msk.ru/account/1011398987/", 1011398987)</f>
        <v>1011398987</v>
      </c>
      <c r="D6613">
        <v>363.27</v>
      </c>
    </row>
    <row r="6614" spans="1:4" hidden="1" x14ac:dyDescent="0.3">
      <c r="A6614" t="s">
        <v>662</v>
      </c>
      <c r="B6614" t="s">
        <v>78</v>
      </c>
      <c r="C6614" s="1">
        <f>HYPERLINK("https://cao.dolgi.msk.ru/account/1011398581/", 1011398581)</f>
        <v>1011398581</v>
      </c>
      <c r="D6614">
        <v>0</v>
      </c>
    </row>
    <row r="6615" spans="1:4" x14ac:dyDescent="0.3">
      <c r="A6615" t="s">
        <v>662</v>
      </c>
      <c r="B6615" t="s">
        <v>79</v>
      </c>
      <c r="C6615" s="1">
        <f>HYPERLINK("https://cao.dolgi.msk.ru/account/1011398792/", 1011398792)</f>
        <v>1011398792</v>
      </c>
      <c r="D6615">
        <v>13971.28</v>
      </c>
    </row>
    <row r="6616" spans="1:4" hidden="1" x14ac:dyDescent="0.3">
      <c r="A6616" t="s">
        <v>662</v>
      </c>
      <c r="B6616" t="s">
        <v>80</v>
      </c>
      <c r="C6616" s="1">
        <f>HYPERLINK("https://cao.dolgi.msk.ru/account/1011398768/", 1011398768)</f>
        <v>1011398768</v>
      </c>
      <c r="D6616">
        <v>-1427.51</v>
      </c>
    </row>
    <row r="6617" spans="1:4" x14ac:dyDescent="0.3">
      <c r="A6617" t="s">
        <v>662</v>
      </c>
      <c r="B6617" t="s">
        <v>81</v>
      </c>
      <c r="C6617" s="1">
        <f>HYPERLINK("https://cao.dolgi.msk.ru/account/1011398821/", 1011398821)</f>
        <v>1011398821</v>
      </c>
      <c r="D6617">
        <v>9413.6299999999992</v>
      </c>
    </row>
    <row r="6618" spans="1:4" x14ac:dyDescent="0.3">
      <c r="A6618" t="s">
        <v>662</v>
      </c>
      <c r="B6618" t="s">
        <v>101</v>
      </c>
      <c r="C6618" s="1">
        <f>HYPERLINK("https://cao.dolgi.msk.ru/account/1011398194/", 1011398194)</f>
        <v>1011398194</v>
      </c>
      <c r="D6618">
        <v>36515.589999999997</v>
      </c>
    </row>
    <row r="6619" spans="1:4" hidden="1" x14ac:dyDescent="0.3">
      <c r="A6619" t="s">
        <v>662</v>
      </c>
      <c r="B6619" t="s">
        <v>82</v>
      </c>
      <c r="C6619" s="1">
        <f>HYPERLINK("https://cao.dolgi.msk.ru/account/1011398223/", 1011398223)</f>
        <v>1011398223</v>
      </c>
      <c r="D6619">
        <v>0</v>
      </c>
    </row>
    <row r="6620" spans="1:4" hidden="1" x14ac:dyDescent="0.3">
      <c r="A6620" t="s">
        <v>662</v>
      </c>
      <c r="B6620" t="s">
        <v>83</v>
      </c>
      <c r="C6620" s="1">
        <f>HYPERLINK("https://cao.dolgi.msk.ru/account/1011398856/", 1011398856)</f>
        <v>1011398856</v>
      </c>
      <c r="D6620">
        <v>0</v>
      </c>
    </row>
    <row r="6621" spans="1:4" hidden="1" x14ac:dyDescent="0.3">
      <c r="A6621" t="s">
        <v>662</v>
      </c>
      <c r="B6621" t="s">
        <v>84</v>
      </c>
      <c r="C6621" s="1">
        <f>HYPERLINK("https://cao.dolgi.msk.ru/account/1011398776/", 1011398776)</f>
        <v>1011398776</v>
      </c>
      <c r="D6621">
        <v>-5744.26</v>
      </c>
    </row>
    <row r="6622" spans="1:4" hidden="1" x14ac:dyDescent="0.3">
      <c r="A6622" t="s">
        <v>666</v>
      </c>
      <c r="B6622" t="s">
        <v>6</v>
      </c>
      <c r="C6622" s="1">
        <f>HYPERLINK("https://cao.dolgi.msk.ru/account/1011399226/", 1011399226)</f>
        <v>1011399226</v>
      </c>
      <c r="D6622">
        <v>-210.61</v>
      </c>
    </row>
    <row r="6623" spans="1:4" hidden="1" x14ac:dyDescent="0.3">
      <c r="A6623" t="s">
        <v>666</v>
      </c>
      <c r="B6623" t="s">
        <v>28</v>
      </c>
      <c r="C6623" s="1">
        <f>HYPERLINK("https://cao.dolgi.msk.ru/account/1011399496/", 1011399496)</f>
        <v>1011399496</v>
      </c>
      <c r="D6623">
        <v>-60.26</v>
      </c>
    </row>
    <row r="6624" spans="1:4" hidden="1" x14ac:dyDescent="0.3">
      <c r="A6624" t="s">
        <v>666</v>
      </c>
      <c r="B6624" t="s">
        <v>35</v>
      </c>
      <c r="C6624" s="1">
        <f>HYPERLINK("https://cao.dolgi.msk.ru/account/1011399445/", 1011399445)</f>
        <v>1011399445</v>
      </c>
      <c r="D6624">
        <v>-120.35</v>
      </c>
    </row>
    <row r="6625" spans="1:4" hidden="1" x14ac:dyDescent="0.3">
      <c r="A6625" t="s">
        <v>666</v>
      </c>
      <c r="B6625" t="s">
        <v>5</v>
      </c>
      <c r="C6625" s="1">
        <f>HYPERLINK("https://cao.dolgi.msk.ru/account/1011399189/", 1011399189)</f>
        <v>1011399189</v>
      </c>
      <c r="D6625">
        <v>-3929.96</v>
      </c>
    </row>
    <row r="6626" spans="1:4" hidden="1" x14ac:dyDescent="0.3">
      <c r="A6626" t="s">
        <v>666</v>
      </c>
      <c r="B6626" t="s">
        <v>7</v>
      </c>
      <c r="C6626" s="1">
        <f>HYPERLINK("https://cao.dolgi.msk.ru/account/1011399453/", 1011399453)</f>
        <v>1011399453</v>
      </c>
      <c r="D6626">
        <v>-60.18</v>
      </c>
    </row>
    <row r="6627" spans="1:4" hidden="1" x14ac:dyDescent="0.3">
      <c r="A6627" t="s">
        <v>666</v>
      </c>
      <c r="B6627" t="s">
        <v>8</v>
      </c>
      <c r="C6627" s="1">
        <f>HYPERLINK("https://cao.dolgi.msk.ru/account/1011399509/", 1011399509)</f>
        <v>1011399509</v>
      </c>
      <c r="D6627">
        <v>-389.39</v>
      </c>
    </row>
    <row r="6628" spans="1:4" x14ac:dyDescent="0.3">
      <c r="A6628" t="s">
        <v>666</v>
      </c>
      <c r="B6628" t="s">
        <v>9</v>
      </c>
      <c r="C6628" s="1">
        <f>HYPERLINK("https://cao.dolgi.msk.ru/account/1011399373/", 1011399373)</f>
        <v>1011399373</v>
      </c>
      <c r="D6628">
        <v>3510.47</v>
      </c>
    </row>
    <row r="6629" spans="1:4" hidden="1" x14ac:dyDescent="0.3">
      <c r="A6629" t="s">
        <v>666</v>
      </c>
      <c r="B6629" t="s">
        <v>10</v>
      </c>
      <c r="C6629" s="1">
        <f>HYPERLINK("https://cao.dolgi.msk.ru/account/1011399197/", 1011399197)</f>
        <v>1011399197</v>
      </c>
      <c r="D6629">
        <v>-30.09</v>
      </c>
    </row>
    <row r="6630" spans="1:4" hidden="1" x14ac:dyDescent="0.3">
      <c r="A6630" t="s">
        <v>666</v>
      </c>
      <c r="B6630" t="s">
        <v>10</v>
      </c>
      <c r="C6630" s="1">
        <f>HYPERLINK("https://cao.dolgi.msk.ru/account/1011399322/", 1011399322)</f>
        <v>1011399322</v>
      </c>
      <c r="D6630">
        <v>-60.18</v>
      </c>
    </row>
    <row r="6631" spans="1:4" hidden="1" x14ac:dyDescent="0.3">
      <c r="A6631" t="s">
        <v>666</v>
      </c>
      <c r="B6631" t="s">
        <v>10</v>
      </c>
      <c r="C6631" s="1">
        <f>HYPERLINK("https://cao.dolgi.msk.ru/account/1011399381/", 1011399381)</f>
        <v>1011399381</v>
      </c>
      <c r="D6631">
        <v>-60.18</v>
      </c>
    </row>
    <row r="6632" spans="1:4" hidden="1" x14ac:dyDescent="0.3">
      <c r="A6632" t="s">
        <v>666</v>
      </c>
      <c r="B6632" t="s">
        <v>11</v>
      </c>
      <c r="C6632" s="1">
        <f>HYPERLINK("https://cao.dolgi.msk.ru/account/1011399154/", 1011399154)</f>
        <v>1011399154</v>
      </c>
      <c r="D6632">
        <v>-90.26</v>
      </c>
    </row>
    <row r="6633" spans="1:4" hidden="1" x14ac:dyDescent="0.3">
      <c r="A6633" t="s">
        <v>666</v>
      </c>
      <c r="B6633" t="s">
        <v>12</v>
      </c>
      <c r="C6633" s="1">
        <f>HYPERLINK("https://cao.dolgi.msk.ru/account/1011399306/", 1011399306)</f>
        <v>1011399306</v>
      </c>
      <c r="D6633">
        <v>-457</v>
      </c>
    </row>
    <row r="6634" spans="1:4" hidden="1" x14ac:dyDescent="0.3">
      <c r="A6634" t="s">
        <v>666</v>
      </c>
      <c r="B6634" t="s">
        <v>23</v>
      </c>
      <c r="C6634" s="1">
        <f>HYPERLINK("https://cao.dolgi.msk.ru/account/1011399437/", 1011399437)</f>
        <v>1011399437</v>
      </c>
      <c r="D6634">
        <v>-180.52</v>
      </c>
    </row>
    <row r="6635" spans="1:4" hidden="1" x14ac:dyDescent="0.3">
      <c r="A6635" t="s">
        <v>666</v>
      </c>
      <c r="B6635" t="s">
        <v>13</v>
      </c>
      <c r="C6635" s="1">
        <f>HYPERLINK("https://cao.dolgi.msk.ru/account/1011399525/", 1011399525)</f>
        <v>1011399525</v>
      </c>
      <c r="D6635">
        <v>-1828.02</v>
      </c>
    </row>
    <row r="6636" spans="1:4" hidden="1" x14ac:dyDescent="0.3">
      <c r="A6636" t="s">
        <v>666</v>
      </c>
      <c r="B6636" t="s">
        <v>14</v>
      </c>
      <c r="C6636" s="1">
        <f>HYPERLINK("https://cao.dolgi.msk.ru/account/1011399162/", 1011399162)</f>
        <v>1011399162</v>
      </c>
      <c r="D6636">
        <v>-8255.2199999999993</v>
      </c>
    </row>
    <row r="6637" spans="1:4" hidden="1" x14ac:dyDescent="0.3">
      <c r="A6637" t="s">
        <v>666</v>
      </c>
      <c r="B6637" t="s">
        <v>16</v>
      </c>
      <c r="C6637" s="1">
        <f>HYPERLINK("https://cao.dolgi.msk.ru/account/1011399461/", 1011399461)</f>
        <v>1011399461</v>
      </c>
      <c r="D6637">
        <v>-5578.54</v>
      </c>
    </row>
    <row r="6638" spans="1:4" hidden="1" x14ac:dyDescent="0.3">
      <c r="A6638" t="s">
        <v>666</v>
      </c>
      <c r="B6638" t="s">
        <v>17</v>
      </c>
      <c r="C6638" s="1">
        <f>HYPERLINK("https://cao.dolgi.msk.ru/account/1011399402/", 1011399402)</f>
        <v>1011399402</v>
      </c>
      <c r="D6638">
        <v>-330.96</v>
      </c>
    </row>
    <row r="6639" spans="1:4" hidden="1" x14ac:dyDescent="0.3">
      <c r="A6639" t="s">
        <v>666</v>
      </c>
      <c r="B6639" t="s">
        <v>18</v>
      </c>
      <c r="C6639" s="1">
        <f>HYPERLINK("https://cao.dolgi.msk.ru/account/1011399533/", 1011399533)</f>
        <v>1011399533</v>
      </c>
      <c r="D6639">
        <v>-20606.43</v>
      </c>
    </row>
    <row r="6640" spans="1:4" hidden="1" x14ac:dyDescent="0.3">
      <c r="A6640" t="s">
        <v>666</v>
      </c>
      <c r="B6640" t="s">
        <v>19</v>
      </c>
      <c r="C6640" s="1">
        <f>HYPERLINK("https://cao.dolgi.msk.ru/account/1011399584/", 1011399584)</f>
        <v>1011399584</v>
      </c>
      <c r="D6640">
        <v>-11971.1</v>
      </c>
    </row>
    <row r="6641" spans="1:4" hidden="1" x14ac:dyDescent="0.3">
      <c r="A6641" t="s">
        <v>666</v>
      </c>
      <c r="B6641" t="s">
        <v>20</v>
      </c>
      <c r="C6641" s="1">
        <f>HYPERLINK("https://cao.dolgi.msk.ru/account/1011399357/", 1011399357)</f>
        <v>1011399357</v>
      </c>
      <c r="D6641">
        <v>-401.49</v>
      </c>
    </row>
    <row r="6642" spans="1:4" hidden="1" x14ac:dyDescent="0.3">
      <c r="A6642" t="s">
        <v>666</v>
      </c>
      <c r="B6642" t="s">
        <v>21</v>
      </c>
      <c r="C6642" s="1">
        <f>HYPERLINK("https://cao.dolgi.msk.ru/account/1011399314/", 1011399314)</f>
        <v>1011399314</v>
      </c>
      <c r="D6642">
        <v>-60.18</v>
      </c>
    </row>
    <row r="6643" spans="1:4" hidden="1" x14ac:dyDescent="0.3">
      <c r="A6643" t="s">
        <v>666</v>
      </c>
      <c r="B6643" t="s">
        <v>22</v>
      </c>
      <c r="C6643" s="1">
        <f>HYPERLINK("https://cao.dolgi.msk.ru/account/1011399488/", 1011399488)</f>
        <v>1011399488</v>
      </c>
      <c r="D6643">
        <v>-60.17</v>
      </c>
    </row>
    <row r="6644" spans="1:4" hidden="1" x14ac:dyDescent="0.3">
      <c r="A6644" t="s">
        <v>666</v>
      </c>
      <c r="B6644" t="s">
        <v>24</v>
      </c>
      <c r="C6644" s="1">
        <f>HYPERLINK("https://cao.dolgi.msk.ru/account/1011399269/", 1011399269)</f>
        <v>1011399269</v>
      </c>
      <c r="D6644">
        <v>-270.79000000000002</v>
      </c>
    </row>
    <row r="6645" spans="1:4" hidden="1" x14ac:dyDescent="0.3">
      <c r="A6645" t="s">
        <v>666</v>
      </c>
      <c r="B6645" t="s">
        <v>25</v>
      </c>
      <c r="C6645" s="1">
        <f>HYPERLINK("https://cao.dolgi.msk.ru/account/1011399613/", 1011399613)</f>
        <v>1011399613</v>
      </c>
      <c r="D6645">
        <v>-32584.63</v>
      </c>
    </row>
    <row r="6646" spans="1:4" x14ac:dyDescent="0.3">
      <c r="A6646" t="s">
        <v>666</v>
      </c>
      <c r="B6646" t="s">
        <v>26</v>
      </c>
      <c r="C6646" s="1">
        <f>HYPERLINK("https://cao.dolgi.msk.ru/account/1011399592/", 1011399592)</f>
        <v>1011399592</v>
      </c>
      <c r="D6646">
        <v>11339.09</v>
      </c>
    </row>
    <row r="6647" spans="1:4" hidden="1" x14ac:dyDescent="0.3">
      <c r="A6647" t="s">
        <v>666</v>
      </c>
      <c r="B6647" t="s">
        <v>27</v>
      </c>
      <c r="C6647" s="1">
        <f>HYPERLINK("https://cao.dolgi.msk.ru/account/1011399648/", 1011399648)</f>
        <v>1011399648</v>
      </c>
      <c r="D6647">
        <v>-1948.63</v>
      </c>
    </row>
    <row r="6648" spans="1:4" hidden="1" x14ac:dyDescent="0.3">
      <c r="A6648" t="s">
        <v>666</v>
      </c>
      <c r="B6648" t="s">
        <v>29</v>
      </c>
      <c r="C6648" s="1">
        <f>HYPERLINK("https://cao.dolgi.msk.ru/account/1011399621/", 1011399621)</f>
        <v>1011399621</v>
      </c>
      <c r="D6648">
        <v>-60.18</v>
      </c>
    </row>
    <row r="6649" spans="1:4" x14ac:dyDescent="0.3">
      <c r="A6649" t="s">
        <v>666</v>
      </c>
      <c r="B6649" t="s">
        <v>38</v>
      </c>
      <c r="C6649" s="1">
        <f>HYPERLINK("https://cao.dolgi.msk.ru/account/1011399541/", 1011399541)</f>
        <v>1011399541</v>
      </c>
      <c r="D6649">
        <v>437.41</v>
      </c>
    </row>
    <row r="6650" spans="1:4" hidden="1" x14ac:dyDescent="0.3">
      <c r="A6650" t="s">
        <v>666</v>
      </c>
      <c r="B6650" t="s">
        <v>39</v>
      </c>
      <c r="C6650" s="1">
        <f>HYPERLINK("https://cao.dolgi.msk.ru/account/1011399365/", 1011399365)</f>
        <v>1011399365</v>
      </c>
      <c r="D6650">
        <v>-12940.28</v>
      </c>
    </row>
    <row r="6651" spans="1:4" hidden="1" x14ac:dyDescent="0.3">
      <c r="A6651" t="s">
        <v>666</v>
      </c>
      <c r="B6651" t="s">
        <v>41</v>
      </c>
      <c r="C6651" s="1">
        <f>HYPERLINK("https://cao.dolgi.msk.ru/account/1011399568/", 1011399568)</f>
        <v>1011399568</v>
      </c>
      <c r="D6651">
        <v>-300.88</v>
      </c>
    </row>
    <row r="6652" spans="1:4" hidden="1" x14ac:dyDescent="0.3">
      <c r="A6652" t="s">
        <v>666</v>
      </c>
      <c r="B6652" t="s">
        <v>51</v>
      </c>
      <c r="C6652" s="1">
        <f>HYPERLINK("https://cao.dolgi.msk.ru/account/1011399349/", 1011399349)</f>
        <v>1011399349</v>
      </c>
      <c r="D6652">
        <v>-8321.9599999999991</v>
      </c>
    </row>
    <row r="6653" spans="1:4" hidden="1" x14ac:dyDescent="0.3">
      <c r="A6653" t="s">
        <v>666</v>
      </c>
      <c r="B6653" t="s">
        <v>52</v>
      </c>
      <c r="C6653" s="1">
        <f>HYPERLINK("https://cao.dolgi.msk.ru/account/1011399234/", 1011399234)</f>
        <v>1011399234</v>
      </c>
      <c r="D6653">
        <v>-180.53</v>
      </c>
    </row>
    <row r="6654" spans="1:4" hidden="1" x14ac:dyDescent="0.3">
      <c r="A6654" t="s">
        <v>666</v>
      </c>
      <c r="B6654" t="s">
        <v>53</v>
      </c>
      <c r="C6654" s="1">
        <f>HYPERLINK("https://cao.dolgi.msk.ru/account/1011399218/", 1011399218)</f>
        <v>1011399218</v>
      </c>
      <c r="D6654">
        <v>-10657.34</v>
      </c>
    </row>
    <row r="6655" spans="1:4" hidden="1" x14ac:dyDescent="0.3">
      <c r="A6655" t="s">
        <v>666</v>
      </c>
      <c r="B6655" t="s">
        <v>54</v>
      </c>
      <c r="C6655" s="1">
        <f>HYPERLINK("https://cao.dolgi.msk.ru/account/1011399517/", 1011399517)</f>
        <v>1011399517</v>
      </c>
      <c r="D6655">
        <v>-157.62</v>
      </c>
    </row>
    <row r="6656" spans="1:4" hidden="1" x14ac:dyDescent="0.3">
      <c r="A6656" t="s">
        <v>666</v>
      </c>
      <c r="B6656" t="s">
        <v>55</v>
      </c>
      <c r="C6656" s="1">
        <f>HYPERLINK("https://cao.dolgi.msk.ru/account/1011399277/", 1011399277)</f>
        <v>1011399277</v>
      </c>
      <c r="D6656">
        <v>-150.44</v>
      </c>
    </row>
    <row r="6657" spans="1:4" hidden="1" x14ac:dyDescent="0.3">
      <c r="A6657" t="s">
        <v>666</v>
      </c>
      <c r="B6657" t="s">
        <v>56</v>
      </c>
      <c r="C6657" s="1">
        <f>HYPERLINK("https://cao.dolgi.msk.ru/account/1011399293/", 1011399293)</f>
        <v>1011399293</v>
      </c>
      <c r="D6657">
        <v>-2077.34</v>
      </c>
    </row>
    <row r="6658" spans="1:4" hidden="1" x14ac:dyDescent="0.3">
      <c r="A6658" t="s">
        <v>666</v>
      </c>
      <c r="B6658" t="s">
        <v>87</v>
      </c>
      <c r="C6658" s="1">
        <f>HYPERLINK("https://cao.dolgi.msk.ru/account/1011399285/", 1011399285)</f>
        <v>1011399285</v>
      </c>
      <c r="D6658">
        <v>-120.35</v>
      </c>
    </row>
    <row r="6659" spans="1:4" x14ac:dyDescent="0.3">
      <c r="A6659" t="s">
        <v>666</v>
      </c>
      <c r="B6659" t="s">
        <v>88</v>
      </c>
      <c r="C6659" s="1">
        <f>HYPERLINK("https://cao.dolgi.msk.ru/account/1011399429/", 1011399429)</f>
        <v>1011399429</v>
      </c>
      <c r="D6659">
        <v>20909.060000000001</v>
      </c>
    </row>
    <row r="6660" spans="1:4" hidden="1" x14ac:dyDescent="0.3">
      <c r="A6660" t="s">
        <v>666</v>
      </c>
      <c r="B6660" t="s">
        <v>89</v>
      </c>
      <c r="C6660" s="1">
        <f>HYPERLINK("https://cao.dolgi.msk.ru/account/1011399576/", 1011399576)</f>
        <v>1011399576</v>
      </c>
      <c r="D6660">
        <v>-845.1</v>
      </c>
    </row>
    <row r="6661" spans="1:4" hidden="1" x14ac:dyDescent="0.3">
      <c r="A6661" t="s">
        <v>666</v>
      </c>
      <c r="B6661" t="s">
        <v>90</v>
      </c>
      <c r="C6661" s="1">
        <f>HYPERLINK("https://cao.dolgi.msk.ru/account/1011399146/", 1011399146)</f>
        <v>1011399146</v>
      </c>
      <c r="D6661">
        <v>-10403.19</v>
      </c>
    </row>
    <row r="6662" spans="1:4" hidden="1" x14ac:dyDescent="0.3">
      <c r="A6662" t="s">
        <v>666</v>
      </c>
      <c r="B6662" t="s">
        <v>96</v>
      </c>
      <c r="C6662" s="1">
        <f>HYPERLINK("https://cao.dolgi.msk.ru/account/1011399605/", 1011399605)</f>
        <v>1011399605</v>
      </c>
      <c r="D6662">
        <v>-120.35</v>
      </c>
    </row>
    <row r="6663" spans="1:4" hidden="1" x14ac:dyDescent="0.3">
      <c r="A6663" t="s">
        <v>666</v>
      </c>
      <c r="B6663" t="s">
        <v>97</v>
      </c>
      <c r="C6663" s="1">
        <f>HYPERLINK("https://cao.dolgi.msk.ru/account/1011399242/", 1011399242)</f>
        <v>1011399242</v>
      </c>
      <c r="D6663">
        <v>-210.62</v>
      </c>
    </row>
    <row r="6664" spans="1:4" hidden="1" x14ac:dyDescent="0.3">
      <c r="A6664" t="s">
        <v>667</v>
      </c>
      <c r="B6664" t="s">
        <v>7</v>
      </c>
      <c r="C6664" s="1">
        <f>HYPERLINK("https://cao.dolgi.msk.ru/account/1011333163/", 1011333163)</f>
        <v>1011333163</v>
      </c>
      <c r="D6664">
        <v>-148.09</v>
      </c>
    </row>
    <row r="6665" spans="1:4" hidden="1" x14ac:dyDescent="0.3">
      <c r="A6665" t="s">
        <v>667</v>
      </c>
      <c r="B6665" t="s">
        <v>8</v>
      </c>
      <c r="C6665" s="1">
        <f>HYPERLINK("https://cao.dolgi.msk.ru/account/1011333112/", 1011333112)</f>
        <v>1011333112</v>
      </c>
      <c r="D6665">
        <v>0</v>
      </c>
    </row>
    <row r="6666" spans="1:4" hidden="1" x14ac:dyDescent="0.3">
      <c r="A6666" t="s">
        <v>667</v>
      </c>
      <c r="B6666" t="s">
        <v>31</v>
      </c>
      <c r="C6666" s="1">
        <f>HYPERLINK("https://cao.dolgi.msk.ru/account/1011333139/", 1011333139)</f>
        <v>1011333139</v>
      </c>
      <c r="D6666">
        <v>0</v>
      </c>
    </row>
    <row r="6667" spans="1:4" hidden="1" x14ac:dyDescent="0.3">
      <c r="A6667" t="s">
        <v>667</v>
      </c>
      <c r="B6667" t="s">
        <v>9</v>
      </c>
      <c r="C6667" s="1">
        <f>HYPERLINK("https://cao.dolgi.msk.ru/account/1011333083/", 1011333083)</f>
        <v>1011333083</v>
      </c>
      <c r="D6667">
        <v>0</v>
      </c>
    </row>
    <row r="6668" spans="1:4" hidden="1" x14ac:dyDescent="0.3">
      <c r="A6668" t="s">
        <v>667</v>
      </c>
      <c r="B6668" t="s">
        <v>10</v>
      </c>
      <c r="C6668" s="1">
        <f>HYPERLINK("https://cao.dolgi.msk.ru/account/1011333155/", 1011333155)</f>
        <v>1011333155</v>
      </c>
      <c r="D6668">
        <v>0</v>
      </c>
    </row>
    <row r="6669" spans="1:4" hidden="1" x14ac:dyDescent="0.3">
      <c r="A6669" t="s">
        <v>667</v>
      </c>
      <c r="B6669" t="s">
        <v>11</v>
      </c>
      <c r="C6669" s="1">
        <f>HYPERLINK("https://cao.dolgi.msk.ru/account/1011333104/", 1011333104)</f>
        <v>1011333104</v>
      </c>
      <c r="D6669">
        <v>-6114.5</v>
      </c>
    </row>
    <row r="6670" spans="1:4" x14ac:dyDescent="0.3">
      <c r="A6670" t="s">
        <v>667</v>
      </c>
      <c r="B6670" t="s">
        <v>12</v>
      </c>
      <c r="C6670" s="1">
        <f>HYPERLINK("https://cao.dolgi.msk.ru/account/1011333091/", 1011333091)</f>
        <v>1011333091</v>
      </c>
      <c r="D6670">
        <v>519.66999999999996</v>
      </c>
    </row>
    <row r="6671" spans="1:4" hidden="1" x14ac:dyDescent="0.3">
      <c r="A6671" t="s">
        <v>667</v>
      </c>
      <c r="B6671" t="s">
        <v>12</v>
      </c>
      <c r="C6671" s="1">
        <f>HYPERLINK("https://cao.dolgi.msk.ru/account/1011333171/", 1011333171)</f>
        <v>1011333171</v>
      </c>
      <c r="D6671">
        <v>-760.41</v>
      </c>
    </row>
    <row r="6672" spans="1:4" hidden="1" x14ac:dyDescent="0.3">
      <c r="A6672" t="s">
        <v>667</v>
      </c>
      <c r="B6672" t="s">
        <v>23</v>
      </c>
      <c r="C6672" s="1">
        <f>HYPERLINK("https://cao.dolgi.msk.ru/account/1011333147/", 1011333147)</f>
        <v>1011333147</v>
      </c>
      <c r="D6672">
        <v>-74.040000000000006</v>
      </c>
    </row>
    <row r="6673" spans="1:4" hidden="1" x14ac:dyDescent="0.3">
      <c r="A6673" t="s">
        <v>668</v>
      </c>
      <c r="B6673" t="s">
        <v>6</v>
      </c>
      <c r="C6673" s="1">
        <f>HYPERLINK("https://cao.dolgi.msk.ru/account/1011333497/", 1011333497)</f>
        <v>1011333497</v>
      </c>
      <c r="D6673">
        <v>0</v>
      </c>
    </row>
    <row r="6674" spans="1:4" hidden="1" x14ac:dyDescent="0.3">
      <c r="A6674" t="s">
        <v>668</v>
      </c>
      <c r="B6674" t="s">
        <v>28</v>
      </c>
      <c r="C6674" s="1">
        <f>HYPERLINK("https://cao.dolgi.msk.ru/account/1011333307/", 1011333307)</f>
        <v>1011333307</v>
      </c>
      <c r="D6674">
        <v>0</v>
      </c>
    </row>
    <row r="6675" spans="1:4" hidden="1" x14ac:dyDescent="0.3">
      <c r="A6675" t="s">
        <v>668</v>
      </c>
      <c r="B6675" t="s">
        <v>35</v>
      </c>
      <c r="C6675" s="1">
        <f>HYPERLINK("https://cao.dolgi.msk.ru/account/1011333331/", 1011333331)</f>
        <v>1011333331</v>
      </c>
      <c r="D6675">
        <v>0</v>
      </c>
    </row>
    <row r="6676" spans="1:4" hidden="1" x14ac:dyDescent="0.3">
      <c r="A6676" t="s">
        <v>668</v>
      </c>
      <c r="B6676" t="s">
        <v>5</v>
      </c>
      <c r="C6676" s="1">
        <f>HYPERLINK("https://cao.dolgi.msk.ru/account/1011333198/", 1011333198)</f>
        <v>1011333198</v>
      </c>
      <c r="D6676">
        <v>0</v>
      </c>
    </row>
    <row r="6677" spans="1:4" hidden="1" x14ac:dyDescent="0.3">
      <c r="A6677" t="s">
        <v>668</v>
      </c>
      <c r="B6677" t="s">
        <v>7</v>
      </c>
      <c r="C6677" s="1">
        <f>HYPERLINK("https://cao.dolgi.msk.ru/account/1011333454/", 1011333454)</f>
        <v>1011333454</v>
      </c>
      <c r="D6677">
        <v>-9968.23</v>
      </c>
    </row>
    <row r="6678" spans="1:4" hidden="1" x14ac:dyDescent="0.3">
      <c r="A6678" t="s">
        <v>668</v>
      </c>
      <c r="B6678" t="s">
        <v>8</v>
      </c>
      <c r="C6678" s="1">
        <f>HYPERLINK("https://cao.dolgi.msk.ru/account/1011333462/", 1011333462)</f>
        <v>1011333462</v>
      </c>
      <c r="D6678">
        <v>-7738.73</v>
      </c>
    </row>
    <row r="6679" spans="1:4" x14ac:dyDescent="0.3">
      <c r="A6679" t="s">
        <v>668</v>
      </c>
      <c r="B6679" t="s">
        <v>31</v>
      </c>
      <c r="C6679" s="1">
        <f>HYPERLINK("https://cao.dolgi.msk.ru/account/1011333542/", 1011333542)</f>
        <v>1011333542</v>
      </c>
      <c r="D6679">
        <v>543.91</v>
      </c>
    </row>
    <row r="6680" spans="1:4" hidden="1" x14ac:dyDescent="0.3">
      <c r="A6680" t="s">
        <v>668</v>
      </c>
      <c r="B6680" t="s">
        <v>9</v>
      </c>
      <c r="C6680" s="1">
        <f>HYPERLINK("https://cao.dolgi.msk.ru/account/1011333243/", 1011333243)</f>
        <v>1011333243</v>
      </c>
      <c r="D6680">
        <v>0</v>
      </c>
    </row>
    <row r="6681" spans="1:4" hidden="1" x14ac:dyDescent="0.3">
      <c r="A6681" t="s">
        <v>668</v>
      </c>
      <c r="B6681" t="s">
        <v>10</v>
      </c>
      <c r="C6681" s="1">
        <f>HYPERLINK("https://cao.dolgi.msk.ru/account/1011333235/", 1011333235)</f>
        <v>1011333235</v>
      </c>
      <c r="D6681">
        <v>0</v>
      </c>
    </row>
    <row r="6682" spans="1:4" hidden="1" x14ac:dyDescent="0.3">
      <c r="A6682" t="s">
        <v>668</v>
      </c>
      <c r="B6682" t="s">
        <v>11</v>
      </c>
      <c r="C6682" s="1">
        <f>HYPERLINK("https://cao.dolgi.msk.ru/account/1011333294/", 1011333294)</f>
        <v>1011333294</v>
      </c>
      <c r="D6682">
        <v>0</v>
      </c>
    </row>
    <row r="6683" spans="1:4" hidden="1" x14ac:dyDescent="0.3">
      <c r="A6683" t="s">
        <v>668</v>
      </c>
      <c r="B6683" t="s">
        <v>12</v>
      </c>
      <c r="C6683" s="1">
        <f>HYPERLINK("https://cao.dolgi.msk.ru/account/1011333569/", 1011333569)</f>
        <v>1011333569</v>
      </c>
      <c r="D6683">
        <v>-1583.36</v>
      </c>
    </row>
    <row r="6684" spans="1:4" x14ac:dyDescent="0.3">
      <c r="A6684" t="s">
        <v>668</v>
      </c>
      <c r="B6684" t="s">
        <v>23</v>
      </c>
      <c r="C6684" s="1">
        <f>HYPERLINK("https://cao.dolgi.msk.ru/account/1011333411/", 1011333411)</f>
        <v>1011333411</v>
      </c>
      <c r="D6684">
        <v>33911.949999999997</v>
      </c>
    </row>
    <row r="6685" spans="1:4" hidden="1" x14ac:dyDescent="0.3">
      <c r="A6685" t="s">
        <v>668</v>
      </c>
      <c r="B6685" t="s">
        <v>13</v>
      </c>
      <c r="C6685" s="1">
        <f>HYPERLINK("https://cao.dolgi.msk.ru/account/1011333227/", 1011333227)</f>
        <v>1011333227</v>
      </c>
      <c r="D6685">
        <v>0</v>
      </c>
    </row>
    <row r="6686" spans="1:4" hidden="1" x14ac:dyDescent="0.3">
      <c r="A6686" t="s">
        <v>668</v>
      </c>
      <c r="B6686" t="s">
        <v>14</v>
      </c>
      <c r="C6686" s="1">
        <f>HYPERLINK("https://cao.dolgi.msk.ru/account/1011333323/", 1011333323)</f>
        <v>1011333323</v>
      </c>
      <c r="D6686">
        <v>0</v>
      </c>
    </row>
    <row r="6687" spans="1:4" hidden="1" x14ac:dyDescent="0.3">
      <c r="A6687" t="s">
        <v>668</v>
      </c>
      <c r="B6687" t="s">
        <v>16</v>
      </c>
      <c r="C6687" s="1">
        <f>HYPERLINK("https://cao.dolgi.msk.ru/account/1011333251/", 1011333251)</f>
        <v>1011333251</v>
      </c>
      <c r="D6687">
        <v>-256.47000000000003</v>
      </c>
    </row>
    <row r="6688" spans="1:4" hidden="1" x14ac:dyDescent="0.3">
      <c r="A6688" t="s">
        <v>668</v>
      </c>
      <c r="B6688" t="s">
        <v>17</v>
      </c>
      <c r="C6688" s="1">
        <f>HYPERLINK("https://cao.dolgi.msk.ru/account/1011333489/", 1011333489)</f>
        <v>1011333489</v>
      </c>
      <c r="D6688">
        <v>0</v>
      </c>
    </row>
    <row r="6689" spans="1:4" hidden="1" x14ac:dyDescent="0.3">
      <c r="A6689" t="s">
        <v>668</v>
      </c>
      <c r="B6689" t="s">
        <v>18</v>
      </c>
      <c r="C6689" s="1">
        <f>HYPERLINK("https://cao.dolgi.msk.ru/account/1011333286/", 1011333286)</f>
        <v>1011333286</v>
      </c>
      <c r="D6689">
        <v>0</v>
      </c>
    </row>
    <row r="6690" spans="1:4" hidden="1" x14ac:dyDescent="0.3">
      <c r="A6690" t="s">
        <v>668</v>
      </c>
      <c r="B6690" t="s">
        <v>19</v>
      </c>
      <c r="C6690" s="1">
        <f>HYPERLINK("https://cao.dolgi.msk.ru/account/1011333366/", 1011333366)</f>
        <v>1011333366</v>
      </c>
      <c r="D6690">
        <v>-10039.01</v>
      </c>
    </row>
    <row r="6691" spans="1:4" x14ac:dyDescent="0.3">
      <c r="A6691" t="s">
        <v>668</v>
      </c>
      <c r="B6691" t="s">
        <v>20</v>
      </c>
      <c r="C6691" s="1">
        <f>HYPERLINK("https://cao.dolgi.msk.ru/account/1011333526/", 1011333526)</f>
        <v>1011333526</v>
      </c>
      <c r="D6691">
        <v>14463.4</v>
      </c>
    </row>
    <row r="6692" spans="1:4" hidden="1" x14ac:dyDescent="0.3">
      <c r="A6692" t="s">
        <v>668</v>
      </c>
      <c r="B6692" t="s">
        <v>21</v>
      </c>
      <c r="C6692" s="1">
        <f>HYPERLINK("https://cao.dolgi.msk.ru/account/1011333403/", 1011333403)</f>
        <v>1011333403</v>
      </c>
      <c r="D6692">
        <v>0</v>
      </c>
    </row>
    <row r="6693" spans="1:4" hidden="1" x14ac:dyDescent="0.3">
      <c r="A6693" t="s">
        <v>668</v>
      </c>
      <c r="B6693" t="s">
        <v>22</v>
      </c>
      <c r="C6693" s="1">
        <f>HYPERLINK("https://cao.dolgi.msk.ru/account/1011333358/", 1011333358)</f>
        <v>1011333358</v>
      </c>
      <c r="D6693">
        <v>-4810.53</v>
      </c>
    </row>
    <row r="6694" spans="1:4" x14ac:dyDescent="0.3">
      <c r="A6694" t="s">
        <v>668</v>
      </c>
      <c r="B6694" t="s">
        <v>24</v>
      </c>
      <c r="C6694" s="1">
        <f>HYPERLINK("https://cao.dolgi.msk.ru/account/1011333219/", 1011333219)</f>
        <v>1011333219</v>
      </c>
      <c r="D6694">
        <v>5199.6499999999996</v>
      </c>
    </row>
    <row r="6695" spans="1:4" hidden="1" x14ac:dyDescent="0.3">
      <c r="A6695" t="s">
        <v>668</v>
      </c>
      <c r="B6695" t="s">
        <v>25</v>
      </c>
      <c r="C6695" s="1">
        <f>HYPERLINK("https://cao.dolgi.msk.ru/account/1011333534/", 1011333534)</f>
        <v>1011333534</v>
      </c>
      <c r="D6695">
        <v>-8462.9699999999993</v>
      </c>
    </row>
    <row r="6696" spans="1:4" hidden="1" x14ac:dyDescent="0.3">
      <c r="A6696" t="s">
        <v>668</v>
      </c>
      <c r="B6696" t="s">
        <v>26</v>
      </c>
      <c r="C6696" s="1">
        <f>HYPERLINK("https://cao.dolgi.msk.ru/account/1011333315/", 1011333315)</f>
        <v>1011333315</v>
      </c>
      <c r="D6696">
        <v>0</v>
      </c>
    </row>
    <row r="6697" spans="1:4" hidden="1" x14ac:dyDescent="0.3">
      <c r="A6697" t="s">
        <v>668</v>
      </c>
      <c r="B6697" t="s">
        <v>27</v>
      </c>
      <c r="C6697" s="1">
        <f>HYPERLINK("https://cao.dolgi.msk.ru/account/1011333374/", 1011333374)</f>
        <v>1011333374</v>
      </c>
      <c r="D6697">
        <v>-4469.95</v>
      </c>
    </row>
    <row r="6698" spans="1:4" hidden="1" x14ac:dyDescent="0.3">
      <c r="A6698" t="s">
        <v>668</v>
      </c>
      <c r="B6698" t="s">
        <v>29</v>
      </c>
      <c r="C6698" s="1">
        <f>HYPERLINK("https://cao.dolgi.msk.ru/account/1011333438/", 1011333438)</f>
        <v>1011333438</v>
      </c>
      <c r="D6698">
        <v>0</v>
      </c>
    </row>
    <row r="6699" spans="1:4" hidden="1" x14ac:dyDescent="0.3">
      <c r="A6699" t="s">
        <v>668</v>
      </c>
      <c r="B6699" t="s">
        <v>38</v>
      </c>
      <c r="C6699" s="1">
        <f>HYPERLINK("https://cao.dolgi.msk.ru/account/1011333518/", 1011333518)</f>
        <v>1011333518</v>
      </c>
      <c r="D6699">
        <v>-1476.88</v>
      </c>
    </row>
    <row r="6700" spans="1:4" hidden="1" x14ac:dyDescent="0.3">
      <c r="A6700" t="s">
        <v>668</v>
      </c>
      <c r="B6700" t="s">
        <v>39</v>
      </c>
      <c r="C6700" s="1">
        <f>HYPERLINK("https://cao.dolgi.msk.ru/account/1011333446/", 1011333446)</f>
        <v>1011333446</v>
      </c>
      <c r="D6700">
        <v>-4430.0200000000004</v>
      </c>
    </row>
    <row r="6701" spans="1:4" hidden="1" x14ac:dyDescent="0.3">
      <c r="A6701" t="s">
        <v>668</v>
      </c>
      <c r="B6701" t="s">
        <v>40</v>
      </c>
      <c r="C6701" s="1">
        <f>HYPERLINK("https://cao.dolgi.msk.ru/account/1011333382/", 1011333382)</f>
        <v>1011333382</v>
      </c>
      <c r="D6701">
        <v>-6303.79</v>
      </c>
    </row>
    <row r="6702" spans="1:4" hidden="1" x14ac:dyDescent="0.3">
      <c r="A6702" t="s">
        <v>668</v>
      </c>
      <c r="B6702" t="s">
        <v>41</v>
      </c>
      <c r="C6702" s="1">
        <f>HYPERLINK("https://cao.dolgi.msk.ru/account/1011333278/", 1011333278)</f>
        <v>1011333278</v>
      </c>
      <c r="D6702">
        <v>0</v>
      </c>
    </row>
    <row r="6703" spans="1:4" hidden="1" x14ac:dyDescent="0.3">
      <c r="A6703" t="s">
        <v>669</v>
      </c>
      <c r="B6703" t="s">
        <v>6</v>
      </c>
      <c r="C6703" s="1">
        <f>HYPERLINK("https://cao.dolgi.msk.ru/account/1011399672/", 1011399672)</f>
        <v>1011399672</v>
      </c>
      <c r="D6703">
        <v>-0.75</v>
      </c>
    </row>
    <row r="6704" spans="1:4" hidden="1" x14ac:dyDescent="0.3">
      <c r="A6704" t="s">
        <v>669</v>
      </c>
      <c r="B6704" t="s">
        <v>28</v>
      </c>
      <c r="C6704" s="1">
        <f>HYPERLINK("https://cao.dolgi.msk.ru/account/1011399699/", 1011399699)</f>
        <v>1011399699</v>
      </c>
      <c r="D6704">
        <v>-9877.7800000000007</v>
      </c>
    </row>
    <row r="6705" spans="1:4" hidden="1" x14ac:dyDescent="0.3">
      <c r="A6705" t="s">
        <v>669</v>
      </c>
      <c r="B6705" t="s">
        <v>35</v>
      </c>
      <c r="C6705" s="1">
        <f>HYPERLINK("https://cao.dolgi.msk.ru/account/1011399656/", 1011399656)</f>
        <v>1011399656</v>
      </c>
      <c r="D6705">
        <v>0</v>
      </c>
    </row>
    <row r="6706" spans="1:4" hidden="1" x14ac:dyDescent="0.3">
      <c r="A6706" t="s">
        <v>669</v>
      </c>
      <c r="B6706" t="s">
        <v>5</v>
      </c>
      <c r="C6706" s="1">
        <f>HYPERLINK("https://cao.dolgi.msk.ru/account/1011399701/", 1011399701)</f>
        <v>1011399701</v>
      </c>
      <c r="D6706">
        <v>0</v>
      </c>
    </row>
    <row r="6707" spans="1:4" hidden="1" x14ac:dyDescent="0.3">
      <c r="A6707" t="s">
        <v>669</v>
      </c>
      <c r="B6707" t="s">
        <v>7</v>
      </c>
      <c r="C6707" s="1">
        <f>HYPERLINK("https://cao.dolgi.msk.ru/account/1011399795/", 1011399795)</f>
        <v>1011399795</v>
      </c>
      <c r="D6707">
        <v>-39549.85</v>
      </c>
    </row>
    <row r="6708" spans="1:4" hidden="1" x14ac:dyDescent="0.3">
      <c r="A6708" t="s">
        <v>669</v>
      </c>
      <c r="B6708" t="s">
        <v>8</v>
      </c>
      <c r="C6708" s="1">
        <f>HYPERLINK("https://cao.dolgi.msk.ru/account/1011399787/", 1011399787)</f>
        <v>1011399787</v>
      </c>
      <c r="D6708">
        <v>-10509.99</v>
      </c>
    </row>
    <row r="6709" spans="1:4" hidden="1" x14ac:dyDescent="0.3">
      <c r="A6709" t="s">
        <v>669</v>
      </c>
      <c r="B6709" t="s">
        <v>31</v>
      </c>
      <c r="C6709" s="1">
        <f>HYPERLINK("https://cao.dolgi.msk.ru/account/1011399808/", 1011399808)</f>
        <v>1011399808</v>
      </c>
      <c r="D6709">
        <v>-21003</v>
      </c>
    </row>
    <row r="6710" spans="1:4" x14ac:dyDescent="0.3">
      <c r="A6710" t="s">
        <v>669</v>
      </c>
      <c r="B6710" t="s">
        <v>9</v>
      </c>
      <c r="C6710" s="1">
        <f>HYPERLINK("https://cao.dolgi.msk.ru/account/1011399875/", 1011399875)</f>
        <v>1011399875</v>
      </c>
      <c r="D6710">
        <v>12554.33</v>
      </c>
    </row>
    <row r="6711" spans="1:4" x14ac:dyDescent="0.3">
      <c r="A6711" t="s">
        <v>669</v>
      </c>
      <c r="B6711" t="s">
        <v>10</v>
      </c>
      <c r="C6711" s="1">
        <f>HYPERLINK("https://cao.dolgi.msk.ru/account/1011399752/", 1011399752)</f>
        <v>1011399752</v>
      </c>
      <c r="D6711">
        <v>22821.48</v>
      </c>
    </row>
    <row r="6712" spans="1:4" hidden="1" x14ac:dyDescent="0.3">
      <c r="A6712" t="s">
        <v>669</v>
      </c>
      <c r="B6712" t="s">
        <v>11</v>
      </c>
      <c r="C6712" s="1">
        <f>HYPERLINK("https://cao.dolgi.msk.ru/account/1011399859/", 1011399859)</f>
        <v>1011399859</v>
      </c>
      <c r="D6712">
        <v>0</v>
      </c>
    </row>
    <row r="6713" spans="1:4" hidden="1" x14ac:dyDescent="0.3">
      <c r="A6713" t="s">
        <v>669</v>
      </c>
      <c r="B6713" t="s">
        <v>12</v>
      </c>
      <c r="C6713" s="1">
        <f>HYPERLINK("https://cao.dolgi.msk.ru/account/1011399867/", 1011399867)</f>
        <v>1011399867</v>
      </c>
      <c r="D6713">
        <v>0</v>
      </c>
    </row>
    <row r="6714" spans="1:4" x14ac:dyDescent="0.3">
      <c r="A6714" t="s">
        <v>669</v>
      </c>
      <c r="B6714" t="s">
        <v>23</v>
      </c>
      <c r="C6714" s="1">
        <f>HYPERLINK("https://cao.dolgi.msk.ru/account/1011399728/", 1011399728)</f>
        <v>1011399728</v>
      </c>
      <c r="D6714">
        <v>2844.89</v>
      </c>
    </row>
    <row r="6715" spans="1:4" hidden="1" x14ac:dyDescent="0.3">
      <c r="A6715" t="s">
        <v>669</v>
      </c>
      <c r="B6715" t="s">
        <v>14</v>
      </c>
      <c r="C6715" s="1">
        <f>HYPERLINK("https://cao.dolgi.msk.ru/account/1011399816/", 1011399816)</f>
        <v>1011399816</v>
      </c>
      <c r="D6715">
        <v>-6714.62</v>
      </c>
    </row>
    <row r="6716" spans="1:4" hidden="1" x14ac:dyDescent="0.3">
      <c r="A6716" t="s">
        <v>669</v>
      </c>
      <c r="B6716" t="s">
        <v>17</v>
      </c>
      <c r="C6716" s="1">
        <f>HYPERLINK("https://cao.dolgi.msk.ru/account/1011399744/", 1011399744)</f>
        <v>1011399744</v>
      </c>
      <c r="D6716">
        <v>-6523.66</v>
      </c>
    </row>
    <row r="6717" spans="1:4" hidden="1" x14ac:dyDescent="0.3">
      <c r="A6717" t="s">
        <v>669</v>
      </c>
      <c r="B6717" t="s">
        <v>18</v>
      </c>
      <c r="C6717" s="1">
        <f>HYPERLINK("https://cao.dolgi.msk.ru/account/1011399779/", 1011399779)</f>
        <v>1011399779</v>
      </c>
      <c r="D6717">
        <v>0</v>
      </c>
    </row>
    <row r="6718" spans="1:4" hidden="1" x14ac:dyDescent="0.3">
      <c r="A6718" t="s">
        <v>669</v>
      </c>
      <c r="B6718" t="s">
        <v>19</v>
      </c>
      <c r="C6718" s="1">
        <f>HYPERLINK("https://cao.dolgi.msk.ru/account/1011399824/", 1011399824)</f>
        <v>1011399824</v>
      </c>
      <c r="D6718">
        <v>0</v>
      </c>
    </row>
    <row r="6719" spans="1:4" x14ac:dyDescent="0.3">
      <c r="A6719" t="s">
        <v>669</v>
      </c>
      <c r="B6719" t="s">
        <v>20</v>
      </c>
      <c r="C6719" s="1">
        <f>HYPERLINK("https://cao.dolgi.msk.ru/account/1011399883/", 1011399883)</f>
        <v>1011399883</v>
      </c>
      <c r="D6719">
        <v>6325.39</v>
      </c>
    </row>
    <row r="6720" spans="1:4" hidden="1" x14ac:dyDescent="0.3">
      <c r="A6720" t="s">
        <v>669</v>
      </c>
      <c r="B6720" t="s">
        <v>21</v>
      </c>
      <c r="C6720" s="1">
        <f>HYPERLINK("https://cao.dolgi.msk.ru/account/1011399832/", 1011399832)</f>
        <v>1011399832</v>
      </c>
      <c r="D6720">
        <v>-2360.27</v>
      </c>
    </row>
    <row r="6721" spans="1:4" hidden="1" x14ac:dyDescent="0.3">
      <c r="A6721" t="s">
        <v>669</v>
      </c>
      <c r="B6721" t="s">
        <v>22</v>
      </c>
      <c r="C6721" s="1">
        <f>HYPERLINK("https://cao.dolgi.msk.ru/account/1011399736/", 1011399736)</f>
        <v>1011399736</v>
      </c>
      <c r="D6721">
        <v>-12117.74</v>
      </c>
    </row>
    <row r="6722" spans="1:4" hidden="1" x14ac:dyDescent="0.3">
      <c r="A6722" t="s">
        <v>669</v>
      </c>
      <c r="B6722" t="s">
        <v>24</v>
      </c>
      <c r="C6722" s="1">
        <f>HYPERLINK("https://cao.dolgi.msk.ru/account/1011399664/", 1011399664)</f>
        <v>1011399664</v>
      </c>
      <c r="D6722">
        <v>-39.04</v>
      </c>
    </row>
    <row r="6723" spans="1:4" hidden="1" x14ac:dyDescent="0.3">
      <c r="A6723" t="s">
        <v>670</v>
      </c>
      <c r="B6723" t="s">
        <v>35</v>
      </c>
      <c r="C6723" s="1">
        <f>HYPERLINK("https://cao.dolgi.msk.ru/account/1010035391/", 1010035391)</f>
        <v>1010035391</v>
      </c>
      <c r="D6723">
        <v>0</v>
      </c>
    </row>
    <row r="6724" spans="1:4" hidden="1" x14ac:dyDescent="0.3">
      <c r="A6724" t="s">
        <v>670</v>
      </c>
      <c r="B6724" t="s">
        <v>31</v>
      </c>
      <c r="C6724" s="1">
        <f>HYPERLINK("https://cao.dolgi.msk.ru/account/1010035412/", 1010035412)</f>
        <v>1010035412</v>
      </c>
      <c r="D6724">
        <v>-11568.28</v>
      </c>
    </row>
    <row r="6725" spans="1:4" x14ac:dyDescent="0.3">
      <c r="A6725" t="s">
        <v>670</v>
      </c>
      <c r="B6725" t="s">
        <v>9</v>
      </c>
      <c r="C6725" s="1">
        <f>HYPERLINK("https://cao.dolgi.msk.ru/account/1010035439/", 1010035439)</f>
        <v>1010035439</v>
      </c>
      <c r="D6725">
        <v>276447.62</v>
      </c>
    </row>
    <row r="6726" spans="1:4" hidden="1" x14ac:dyDescent="0.3">
      <c r="A6726" t="s">
        <v>671</v>
      </c>
      <c r="B6726" t="s">
        <v>39</v>
      </c>
      <c r="C6726" s="1">
        <f>HYPERLINK("https://cao.dolgi.msk.ru/account/1011399912/", 1011399912)</f>
        <v>1011399912</v>
      </c>
      <c r="D6726">
        <v>0</v>
      </c>
    </row>
    <row r="6727" spans="1:4" hidden="1" x14ac:dyDescent="0.3">
      <c r="A6727" t="s">
        <v>671</v>
      </c>
      <c r="B6727" t="s">
        <v>40</v>
      </c>
      <c r="C6727" s="1">
        <f>HYPERLINK("https://cao.dolgi.msk.ru/account/1011400047/", 1011400047)</f>
        <v>1011400047</v>
      </c>
      <c r="D6727">
        <v>-11377.23</v>
      </c>
    </row>
    <row r="6728" spans="1:4" x14ac:dyDescent="0.3">
      <c r="A6728" t="s">
        <v>671</v>
      </c>
      <c r="B6728" t="s">
        <v>41</v>
      </c>
      <c r="C6728" s="1">
        <f>HYPERLINK("https://cao.dolgi.msk.ru/account/1011399891/", 1011399891)</f>
        <v>1011399891</v>
      </c>
      <c r="D6728">
        <v>76591.59</v>
      </c>
    </row>
    <row r="6729" spans="1:4" hidden="1" x14ac:dyDescent="0.3">
      <c r="A6729" t="s">
        <v>671</v>
      </c>
      <c r="B6729" t="s">
        <v>41</v>
      </c>
      <c r="C6729" s="1">
        <f>HYPERLINK("https://cao.dolgi.msk.ru/account/1011399955/", 1011399955)</f>
        <v>1011399955</v>
      </c>
      <c r="D6729">
        <v>-2810.38</v>
      </c>
    </row>
    <row r="6730" spans="1:4" hidden="1" x14ac:dyDescent="0.3">
      <c r="A6730" t="s">
        <v>671</v>
      </c>
      <c r="B6730" t="s">
        <v>41</v>
      </c>
      <c r="C6730" s="1">
        <f>HYPERLINK("https://cao.dolgi.msk.ru/account/1011400119/", 1011400119)</f>
        <v>1011400119</v>
      </c>
      <c r="D6730">
        <v>-2071.46</v>
      </c>
    </row>
    <row r="6731" spans="1:4" hidden="1" x14ac:dyDescent="0.3">
      <c r="A6731" t="s">
        <v>671</v>
      </c>
      <c r="B6731" t="s">
        <v>41</v>
      </c>
      <c r="C6731" s="1">
        <f>HYPERLINK("https://cao.dolgi.msk.ru/account/1011400127/", 1011400127)</f>
        <v>1011400127</v>
      </c>
      <c r="D6731">
        <v>-618.5</v>
      </c>
    </row>
    <row r="6732" spans="1:4" x14ac:dyDescent="0.3">
      <c r="A6732" t="s">
        <v>671</v>
      </c>
      <c r="B6732" t="s">
        <v>41</v>
      </c>
      <c r="C6732" s="1">
        <f>HYPERLINK("https://cao.dolgi.msk.ru/account/1011400143/", 1011400143)</f>
        <v>1011400143</v>
      </c>
      <c r="D6732">
        <v>3586.43</v>
      </c>
    </row>
    <row r="6733" spans="1:4" x14ac:dyDescent="0.3">
      <c r="A6733" t="s">
        <v>671</v>
      </c>
      <c r="B6733" t="s">
        <v>41</v>
      </c>
      <c r="C6733" s="1">
        <f>HYPERLINK("https://cao.dolgi.msk.ru/account/1011400151/", 1011400151)</f>
        <v>1011400151</v>
      </c>
      <c r="D6733">
        <v>12598.7</v>
      </c>
    </row>
    <row r="6734" spans="1:4" hidden="1" x14ac:dyDescent="0.3">
      <c r="A6734" t="s">
        <v>671</v>
      </c>
      <c r="B6734" t="s">
        <v>51</v>
      </c>
      <c r="C6734" s="1">
        <f>HYPERLINK("https://cao.dolgi.msk.ru/account/1011400098/", 1011400098)</f>
        <v>1011400098</v>
      </c>
      <c r="D6734">
        <v>-207.8</v>
      </c>
    </row>
    <row r="6735" spans="1:4" x14ac:dyDescent="0.3">
      <c r="A6735" t="s">
        <v>671</v>
      </c>
      <c r="B6735" t="s">
        <v>52</v>
      </c>
      <c r="C6735" s="1">
        <f>HYPERLINK("https://cao.dolgi.msk.ru/account/1011400135/", 1011400135)</f>
        <v>1011400135</v>
      </c>
      <c r="D6735">
        <v>73396.06</v>
      </c>
    </row>
    <row r="6736" spans="1:4" hidden="1" x14ac:dyDescent="0.3">
      <c r="A6736" t="s">
        <v>671</v>
      </c>
      <c r="B6736" t="s">
        <v>53</v>
      </c>
      <c r="C6736" s="1">
        <f>HYPERLINK("https://cao.dolgi.msk.ru/account/1011399904/", 1011399904)</f>
        <v>1011399904</v>
      </c>
      <c r="D6736">
        <v>0</v>
      </c>
    </row>
    <row r="6737" spans="1:4" hidden="1" x14ac:dyDescent="0.3">
      <c r="A6737" t="s">
        <v>671</v>
      </c>
      <c r="B6737" t="s">
        <v>53</v>
      </c>
      <c r="C6737" s="1">
        <f>HYPERLINK("https://cao.dolgi.msk.ru/account/1011399971/", 1011399971)</f>
        <v>1011399971</v>
      </c>
      <c r="D6737">
        <v>0</v>
      </c>
    </row>
    <row r="6738" spans="1:4" hidden="1" x14ac:dyDescent="0.3">
      <c r="A6738" t="s">
        <v>671</v>
      </c>
      <c r="B6738" t="s">
        <v>53</v>
      </c>
      <c r="C6738" s="1">
        <f>HYPERLINK("https://cao.dolgi.msk.ru/account/1011400004/", 1011400004)</f>
        <v>1011400004</v>
      </c>
      <c r="D6738">
        <v>0</v>
      </c>
    </row>
    <row r="6739" spans="1:4" hidden="1" x14ac:dyDescent="0.3">
      <c r="A6739" t="s">
        <v>671</v>
      </c>
      <c r="B6739" t="s">
        <v>53</v>
      </c>
      <c r="C6739" s="1">
        <f>HYPERLINK("https://cao.dolgi.msk.ru/account/1011400012/", 1011400012)</f>
        <v>1011400012</v>
      </c>
      <c r="D6739">
        <v>0</v>
      </c>
    </row>
    <row r="6740" spans="1:4" hidden="1" x14ac:dyDescent="0.3">
      <c r="A6740" t="s">
        <v>671</v>
      </c>
      <c r="B6740" t="s">
        <v>53</v>
      </c>
      <c r="C6740" s="1">
        <f>HYPERLINK("https://cao.dolgi.msk.ru/account/1011400071/", 1011400071)</f>
        <v>1011400071</v>
      </c>
      <c r="D6740">
        <v>0</v>
      </c>
    </row>
    <row r="6741" spans="1:4" hidden="1" x14ac:dyDescent="0.3">
      <c r="A6741" t="s">
        <v>671</v>
      </c>
      <c r="B6741" t="s">
        <v>54</v>
      </c>
      <c r="C6741" s="1">
        <f>HYPERLINK("https://cao.dolgi.msk.ru/account/1011399939/", 1011399939)</f>
        <v>1011399939</v>
      </c>
      <c r="D6741">
        <v>0</v>
      </c>
    </row>
    <row r="6742" spans="1:4" hidden="1" x14ac:dyDescent="0.3">
      <c r="A6742" t="s">
        <v>671</v>
      </c>
      <c r="B6742" t="s">
        <v>55</v>
      </c>
      <c r="C6742" s="1">
        <f>HYPERLINK("https://cao.dolgi.msk.ru/account/1011400055/", 1011400055)</f>
        <v>1011400055</v>
      </c>
      <c r="D6742">
        <v>0</v>
      </c>
    </row>
    <row r="6743" spans="1:4" hidden="1" x14ac:dyDescent="0.3">
      <c r="A6743" t="s">
        <v>671</v>
      </c>
      <c r="B6743" t="s">
        <v>56</v>
      </c>
      <c r="C6743" s="1">
        <f>HYPERLINK("https://cao.dolgi.msk.ru/account/1011400063/", 1011400063)</f>
        <v>1011400063</v>
      </c>
      <c r="D6743">
        <v>0</v>
      </c>
    </row>
    <row r="6744" spans="1:4" x14ac:dyDescent="0.3">
      <c r="A6744" t="s">
        <v>671</v>
      </c>
      <c r="B6744" t="s">
        <v>87</v>
      </c>
      <c r="C6744" s="1">
        <f>HYPERLINK("https://cao.dolgi.msk.ru/account/1011399998/", 1011399998)</f>
        <v>1011399998</v>
      </c>
      <c r="D6744">
        <v>350450.09</v>
      </c>
    </row>
    <row r="6745" spans="1:4" hidden="1" x14ac:dyDescent="0.3">
      <c r="A6745" t="s">
        <v>671</v>
      </c>
      <c r="B6745" t="s">
        <v>88</v>
      </c>
      <c r="C6745" s="1">
        <f>HYPERLINK("https://cao.dolgi.msk.ru/account/1011399947/", 1011399947)</f>
        <v>1011399947</v>
      </c>
      <c r="D6745">
        <v>0</v>
      </c>
    </row>
    <row r="6746" spans="1:4" hidden="1" x14ac:dyDescent="0.3">
      <c r="A6746" t="s">
        <v>671</v>
      </c>
      <c r="B6746" t="s">
        <v>88</v>
      </c>
      <c r="C6746" s="1">
        <f>HYPERLINK("https://cao.dolgi.msk.ru/account/1011399963/", 1011399963)</f>
        <v>1011399963</v>
      </c>
      <c r="D6746">
        <v>0</v>
      </c>
    </row>
    <row r="6747" spans="1:4" hidden="1" x14ac:dyDescent="0.3">
      <c r="A6747" t="s">
        <v>671</v>
      </c>
      <c r="B6747" t="s">
        <v>88</v>
      </c>
      <c r="C6747" s="1">
        <f>HYPERLINK("https://cao.dolgi.msk.ru/account/1011400039/", 1011400039)</f>
        <v>1011400039</v>
      </c>
      <c r="D6747">
        <v>0</v>
      </c>
    </row>
    <row r="6748" spans="1:4" hidden="1" x14ac:dyDescent="0.3">
      <c r="A6748" t="s">
        <v>672</v>
      </c>
      <c r="B6748" t="s">
        <v>28</v>
      </c>
      <c r="C6748" s="1">
        <f>HYPERLINK("https://cao.dolgi.msk.ru/account/1010051703/", 1010051703)</f>
        <v>1010051703</v>
      </c>
      <c r="D6748">
        <v>0</v>
      </c>
    </row>
    <row r="6749" spans="1:4" hidden="1" x14ac:dyDescent="0.3">
      <c r="A6749" t="s">
        <v>672</v>
      </c>
      <c r="B6749" t="s">
        <v>5</v>
      </c>
      <c r="C6749" s="1">
        <f>HYPERLINK("https://cao.dolgi.msk.ru/account/1010056926/", 1010056926)</f>
        <v>1010056926</v>
      </c>
      <c r="D6749">
        <v>0</v>
      </c>
    </row>
    <row r="6750" spans="1:4" hidden="1" x14ac:dyDescent="0.3">
      <c r="A6750" t="s">
        <v>672</v>
      </c>
      <c r="B6750" t="s">
        <v>7</v>
      </c>
      <c r="C6750" s="1">
        <f>HYPERLINK("https://cao.dolgi.msk.ru/account/1010051746/", 1010051746)</f>
        <v>1010051746</v>
      </c>
      <c r="D6750">
        <v>-2944.6</v>
      </c>
    </row>
    <row r="6751" spans="1:4" x14ac:dyDescent="0.3">
      <c r="A6751" t="s">
        <v>672</v>
      </c>
      <c r="B6751" t="s">
        <v>8</v>
      </c>
      <c r="C6751" s="1">
        <f>HYPERLINK("https://cao.dolgi.msk.ru/account/1010051754/", 1010051754)</f>
        <v>1010051754</v>
      </c>
      <c r="D6751">
        <v>13050.06</v>
      </c>
    </row>
    <row r="6752" spans="1:4" hidden="1" x14ac:dyDescent="0.3">
      <c r="A6752" t="s">
        <v>672</v>
      </c>
      <c r="B6752" t="s">
        <v>31</v>
      </c>
      <c r="C6752" s="1">
        <f>HYPERLINK("https://cao.dolgi.msk.ru/account/1011504209/", 1011504209)</f>
        <v>1011504209</v>
      </c>
      <c r="D6752">
        <v>0</v>
      </c>
    </row>
    <row r="6753" spans="1:4" hidden="1" x14ac:dyDescent="0.3">
      <c r="A6753" t="s">
        <v>672</v>
      </c>
      <c r="B6753" t="s">
        <v>9</v>
      </c>
      <c r="C6753" s="1">
        <f>HYPERLINK("https://cao.dolgi.msk.ru/account/1010051797/", 1010051797)</f>
        <v>1010051797</v>
      </c>
      <c r="D6753">
        <v>0</v>
      </c>
    </row>
    <row r="6754" spans="1:4" x14ac:dyDescent="0.3">
      <c r="A6754" t="s">
        <v>672</v>
      </c>
      <c r="B6754" t="s">
        <v>10</v>
      </c>
      <c r="C6754" s="1">
        <f>HYPERLINK("https://cao.dolgi.msk.ru/account/1010051869/", 1010051869)</f>
        <v>1010051869</v>
      </c>
      <c r="D6754">
        <v>12341.75</v>
      </c>
    </row>
    <row r="6755" spans="1:4" hidden="1" x14ac:dyDescent="0.3">
      <c r="A6755" t="s">
        <v>672</v>
      </c>
      <c r="B6755" t="s">
        <v>11</v>
      </c>
      <c r="C6755" s="1">
        <f>HYPERLINK("https://cao.dolgi.msk.ru/account/1010051826/", 1010051826)</f>
        <v>1010051826</v>
      </c>
      <c r="D6755">
        <v>0</v>
      </c>
    </row>
    <row r="6756" spans="1:4" hidden="1" x14ac:dyDescent="0.3">
      <c r="A6756" t="s">
        <v>672</v>
      </c>
      <c r="B6756" t="s">
        <v>11</v>
      </c>
      <c r="C6756" s="1">
        <f>HYPERLINK("https://cao.dolgi.msk.ru/account/1010056686/", 1010056686)</f>
        <v>1010056686</v>
      </c>
      <c r="D6756">
        <v>-1936.7</v>
      </c>
    </row>
    <row r="6757" spans="1:4" x14ac:dyDescent="0.3">
      <c r="A6757" t="s">
        <v>672</v>
      </c>
      <c r="B6757" t="s">
        <v>12</v>
      </c>
      <c r="C6757" s="1">
        <f>HYPERLINK("https://cao.dolgi.msk.ru/account/1010051834/", 1010051834)</f>
        <v>1010051834</v>
      </c>
      <c r="D6757">
        <v>5360.58</v>
      </c>
    </row>
    <row r="6758" spans="1:4" hidden="1" x14ac:dyDescent="0.3">
      <c r="A6758" t="s">
        <v>672</v>
      </c>
      <c r="B6758" t="s">
        <v>23</v>
      </c>
      <c r="C6758" s="1">
        <f>HYPERLINK("https://cao.dolgi.msk.ru/account/1010051842/", 1010051842)</f>
        <v>1010051842</v>
      </c>
      <c r="D6758">
        <v>-4521.2700000000004</v>
      </c>
    </row>
    <row r="6759" spans="1:4" hidden="1" x14ac:dyDescent="0.3">
      <c r="A6759" t="s">
        <v>672</v>
      </c>
      <c r="B6759" t="s">
        <v>13</v>
      </c>
      <c r="C6759" s="1">
        <f>HYPERLINK("https://cao.dolgi.msk.ru/account/1010051885/", 1010051885)</f>
        <v>1010051885</v>
      </c>
      <c r="D6759">
        <v>-390.58</v>
      </c>
    </row>
    <row r="6760" spans="1:4" hidden="1" x14ac:dyDescent="0.3">
      <c r="A6760" t="s">
        <v>672</v>
      </c>
      <c r="B6760" t="s">
        <v>13</v>
      </c>
      <c r="C6760" s="1">
        <f>HYPERLINK("https://cao.dolgi.msk.ru/account/1011026606/", 1011026606)</f>
        <v>1011026606</v>
      </c>
      <c r="D6760">
        <v>0</v>
      </c>
    </row>
    <row r="6761" spans="1:4" hidden="1" x14ac:dyDescent="0.3">
      <c r="A6761" t="s">
        <v>672</v>
      </c>
      <c r="B6761" t="s">
        <v>14</v>
      </c>
      <c r="C6761" s="1">
        <f>HYPERLINK("https://cao.dolgi.msk.ru/account/1010051893/", 1010051893)</f>
        <v>1010051893</v>
      </c>
      <c r="D6761">
        <v>-219.6</v>
      </c>
    </row>
    <row r="6762" spans="1:4" hidden="1" x14ac:dyDescent="0.3">
      <c r="A6762" t="s">
        <v>672</v>
      </c>
      <c r="B6762" t="s">
        <v>14</v>
      </c>
      <c r="C6762" s="1">
        <f>HYPERLINK("https://cao.dolgi.msk.ru/account/1010051906/", 1010051906)</f>
        <v>1010051906</v>
      </c>
      <c r="D6762">
        <v>-168.27</v>
      </c>
    </row>
    <row r="6763" spans="1:4" hidden="1" x14ac:dyDescent="0.3">
      <c r="A6763" t="s">
        <v>672</v>
      </c>
      <c r="B6763" t="s">
        <v>14</v>
      </c>
      <c r="C6763" s="1">
        <f>HYPERLINK("https://cao.dolgi.msk.ru/account/1011504516/", 1011504516)</f>
        <v>1011504516</v>
      </c>
      <c r="D6763">
        <v>0</v>
      </c>
    </row>
    <row r="6764" spans="1:4" hidden="1" x14ac:dyDescent="0.3">
      <c r="A6764" t="s">
        <v>672</v>
      </c>
      <c r="B6764" t="s">
        <v>16</v>
      </c>
      <c r="C6764" s="1">
        <f>HYPERLINK("https://cao.dolgi.msk.ru/account/1010051957/", 1010051957)</f>
        <v>1010051957</v>
      </c>
      <c r="D6764">
        <v>0</v>
      </c>
    </row>
    <row r="6765" spans="1:4" hidden="1" x14ac:dyDescent="0.3">
      <c r="A6765" t="s">
        <v>672</v>
      </c>
      <c r="B6765" t="s">
        <v>17</v>
      </c>
      <c r="C6765" s="1">
        <f>HYPERLINK("https://cao.dolgi.msk.ru/account/1010051973/", 1010051973)</f>
        <v>1010051973</v>
      </c>
      <c r="D6765">
        <v>-798.72</v>
      </c>
    </row>
    <row r="6766" spans="1:4" hidden="1" x14ac:dyDescent="0.3">
      <c r="A6766" t="s">
        <v>672</v>
      </c>
      <c r="B6766" t="s">
        <v>18</v>
      </c>
      <c r="C6766" s="1">
        <f>HYPERLINK("https://cao.dolgi.msk.ru/account/1010051981/", 1010051981)</f>
        <v>1010051981</v>
      </c>
      <c r="D6766">
        <v>-8124.97</v>
      </c>
    </row>
    <row r="6767" spans="1:4" hidden="1" x14ac:dyDescent="0.3">
      <c r="A6767" t="s">
        <v>672</v>
      </c>
      <c r="B6767" t="s">
        <v>19</v>
      </c>
      <c r="C6767" s="1">
        <f>HYPERLINK("https://cao.dolgi.msk.ru/account/1010052001/", 1010052001)</f>
        <v>1010052001</v>
      </c>
      <c r="D6767">
        <v>0</v>
      </c>
    </row>
    <row r="6768" spans="1:4" hidden="1" x14ac:dyDescent="0.3">
      <c r="A6768" t="s">
        <v>672</v>
      </c>
      <c r="B6768" t="s">
        <v>20</v>
      </c>
      <c r="C6768" s="1">
        <f>HYPERLINK("https://cao.dolgi.msk.ru/account/1010052028/", 1010052028)</f>
        <v>1010052028</v>
      </c>
      <c r="D6768">
        <v>0</v>
      </c>
    </row>
    <row r="6769" spans="1:4" x14ac:dyDescent="0.3">
      <c r="A6769" t="s">
        <v>672</v>
      </c>
      <c r="B6769" t="s">
        <v>21</v>
      </c>
      <c r="C6769" s="1">
        <f>HYPERLINK("https://cao.dolgi.msk.ru/account/1010052044/", 1010052044)</f>
        <v>1010052044</v>
      </c>
      <c r="D6769">
        <v>4446.8900000000003</v>
      </c>
    </row>
    <row r="6770" spans="1:4" hidden="1" x14ac:dyDescent="0.3">
      <c r="A6770" t="s">
        <v>672</v>
      </c>
      <c r="B6770" t="s">
        <v>22</v>
      </c>
      <c r="C6770" s="1">
        <f>HYPERLINK("https://cao.dolgi.msk.ru/account/1010052079/", 1010052079)</f>
        <v>1010052079</v>
      </c>
      <c r="D6770">
        <v>0</v>
      </c>
    </row>
    <row r="6771" spans="1:4" hidden="1" x14ac:dyDescent="0.3">
      <c r="A6771" t="s">
        <v>672</v>
      </c>
      <c r="B6771" t="s">
        <v>24</v>
      </c>
      <c r="C6771" s="1">
        <f>HYPERLINK("https://cao.dolgi.msk.ru/account/1010052087/", 1010052087)</f>
        <v>1010052087</v>
      </c>
      <c r="D6771">
        <v>0</v>
      </c>
    </row>
    <row r="6772" spans="1:4" hidden="1" x14ac:dyDescent="0.3">
      <c r="A6772" t="s">
        <v>672</v>
      </c>
      <c r="B6772" t="s">
        <v>25</v>
      </c>
      <c r="C6772" s="1">
        <f>HYPERLINK("https://cao.dolgi.msk.ru/account/1010052095/", 1010052095)</f>
        <v>1010052095</v>
      </c>
      <c r="D6772">
        <v>-230</v>
      </c>
    </row>
    <row r="6773" spans="1:4" hidden="1" x14ac:dyDescent="0.3">
      <c r="A6773" t="s">
        <v>672</v>
      </c>
      <c r="B6773" t="s">
        <v>26</v>
      </c>
      <c r="C6773" s="1">
        <f>HYPERLINK("https://cao.dolgi.msk.ru/account/1010052116/", 1010052116)</f>
        <v>1010052116</v>
      </c>
      <c r="D6773">
        <v>0</v>
      </c>
    </row>
    <row r="6774" spans="1:4" hidden="1" x14ac:dyDescent="0.3">
      <c r="A6774" t="s">
        <v>672</v>
      </c>
      <c r="B6774" t="s">
        <v>58</v>
      </c>
      <c r="C6774" s="1">
        <f>HYPERLINK("https://cao.dolgi.msk.ru/account/1010052634/", 1010052634)</f>
        <v>1010052634</v>
      </c>
      <c r="D6774">
        <v>0</v>
      </c>
    </row>
    <row r="6775" spans="1:4" hidden="1" x14ac:dyDescent="0.3">
      <c r="A6775" t="s">
        <v>673</v>
      </c>
      <c r="B6775" t="s">
        <v>6</v>
      </c>
      <c r="C6775" s="1">
        <f>HYPERLINK("https://cao.dolgi.msk.ru/account/1011330755/", 1011330755)</f>
        <v>1011330755</v>
      </c>
      <c r="D6775">
        <v>0</v>
      </c>
    </row>
    <row r="6776" spans="1:4" hidden="1" x14ac:dyDescent="0.3">
      <c r="A6776" t="s">
        <v>673</v>
      </c>
      <c r="B6776" t="s">
        <v>28</v>
      </c>
      <c r="C6776" s="1">
        <f>HYPERLINK("https://cao.dolgi.msk.ru/account/1011330798/", 1011330798)</f>
        <v>1011330798</v>
      </c>
      <c r="D6776">
        <v>-7201.36</v>
      </c>
    </row>
    <row r="6777" spans="1:4" x14ac:dyDescent="0.3">
      <c r="A6777" t="s">
        <v>673</v>
      </c>
      <c r="B6777" t="s">
        <v>35</v>
      </c>
      <c r="C6777" s="1">
        <f>HYPERLINK("https://cao.dolgi.msk.ru/account/1011330683/", 1011330683)</f>
        <v>1011330683</v>
      </c>
      <c r="D6777">
        <v>7769.76</v>
      </c>
    </row>
    <row r="6778" spans="1:4" x14ac:dyDescent="0.3">
      <c r="A6778" t="s">
        <v>673</v>
      </c>
      <c r="B6778" t="s">
        <v>35</v>
      </c>
      <c r="C6778" s="1">
        <f>HYPERLINK("https://cao.dolgi.msk.ru/account/1011330886/", 1011330886)</f>
        <v>1011330886</v>
      </c>
      <c r="D6778">
        <v>3160.19</v>
      </c>
    </row>
    <row r="6779" spans="1:4" hidden="1" x14ac:dyDescent="0.3">
      <c r="A6779" t="s">
        <v>673</v>
      </c>
      <c r="B6779" t="s">
        <v>5</v>
      </c>
      <c r="C6779" s="1">
        <f>HYPERLINK("https://cao.dolgi.msk.ru/account/1011330691/", 1011330691)</f>
        <v>1011330691</v>
      </c>
      <c r="D6779">
        <v>-1574.32</v>
      </c>
    </row>
    <row r="6780" spans="1:4" hidden="1" x14ac:dyDescent="0.3">
      <c r="A6780" t="s">
        <v>673</v>
      </c>
      <c r="B6780" t="s">
        <v>7</v>
      </c>
      <c r="C6780" s="1">
        <f>HYPERLINK("https://cao.dolgi.msk.ru/account/1011330894/", 1011330894)</f>
        <v>1011330894</v>
      </c>
      <c r="D6780">
        <v>-6268.74</v>
      </c>
    </row>
    <row r="6781" spans="1:4" hidden="1" x14ac:dyDescent="0.3">
      <c r="A6781" t="s">
        <v>673</v>
      </c>
      <c r="B6781" t="s">
        <v>8</v>
      </c>
      <c r="C6781" s="1">
        <f>HYPERLINK("https://cao.dolgi.msk.ru/account/1011330907/", 1011330907)</f>
        <v>1011330907</v>
      </c>
      <c r="D6781">
        <v>0</v>
      </c>
    </row>
    <row r="6782" spans="1:4" hidden="1" x14ac:dyDescent="0.3">
      <c r="A6782" t="s">
        <v>673</v>
      </c>
      <c r="B6782" t="s">
        <v>31</v>
      </c>
      <c r="C6782" s="1">
        <f>HYPERLINK("https://cao.dolgi.msk.ru/account/1011330763/", 1011330763)</f>
        <v>1011330763</v>
      </c>
      <c r="D6782">
        <v>0</v>
      </c>
    </row>
    <row r="6783" spans="1:4" hidden="1" x14ac:dyDescent="0.3">
      <c r="A6783" t="s">
        <v>673</v>
      </c>
      <c r="B6783" t="s">
        <v>9</v>
      </c>
      <c r="C6783" s="1">
        <f>HYPERLINK("https://cao.dolgi.msk.ru/account/1011330704/", 1011330704)</f>
        <v>1011330704</v>
      </c>
      <c r="D6783">
        <v>-2611</v>
      </c>
    </row>
    <row r="6784" spans="1:4" hidden="1" x14ac:dyDescent="0.3">
      <c r="A6784" t="s">
        <v>673</v>
      </c>
      <c r="B6784" t="s">
        <v>9</v>
      </c>
      <c r="C6784" s="1">
        <f>HYPERLINK("https://cao.dolgi.msk.ru/account/1011527224/", 1011527224)</f>
        <v>1011527224</v>
      </c>
      <c r="D6784">
        <v>-4670.3599999999997</v>
      </c>
    </row>
    <row r="6785" spans="1:4" hidden="1" x14ac:dyDescent="0.3">
      <c r="A6785" t="s">
        <v>673</v>
      </c>
      <c r="B6785" t="s">
        <v>10</v>
      </c>
      <c r="C6785" s="1">
        <f>HYPERLINK("https://cao.dolgi.msk.ru/account/1011330739/", 1011330739)</f>
        <v>1011330739</v>
      </c>
      <c r="D6785">
        <v>-820.97</v>
      </c>
    </row>
    <row r="6786" spans="1:4" x14ac:dyDescent="0.3">
      <c r="A6786" t="s">
        <v>673</v>
      </c>
      <c r="B6786" t="s">
        <v>11</v>
      </c>
      <c r="C6786" s="1">
        <f>HYPERLINK("https://cao.dolgi.msk.ru/account/1011330827/", 1011330827)</f>
        <v>1011330827</v>
      </c>
      <c r="D6786">
        <v>7165.29</v>
      </c>
    </row>
    <row r="6787" spans="1:4" hidden="1" x14ac:dyDescent="0.3">
      <c r="A6787" t="s">
        <v>673</v>
      </c>
      <c r="B6787" t="s">
        <v>12</v>
      </c>
      <c r="C6787" s="1">
        <f>HYPERLINK("https://cao.dolgi.msk.ru/account/1011330819/", 1011330819)</f>
        <v>1011330819</v>
      </c>
      <c r="D6787">
        <v>0</v>
      </c>
    </row>
    <row r="6788" spans="1:4" hidden="1" x14ac:dyDescent="0.3">
      <c r="A6788" t="s">
        <v>673</v>
      </c>
      <c r="B6788" t="s">
        <v>23</v>
      </c>
      <c r="C6788" s="1">
        <f>HYPERLINK("https://cao.dolgi.msk.ru/account/1011330958/", 1011330958)</f>
        <v>1011330958</v>
      </c>
      <c r="D6788">
        <v>-892.16</v>
      </c>
    </row>
    <row r="6789" spans="1:4" x14ac:dyDescent="0.3">
      <c r="A6789" t="s">
        <v>673</v>
      </c>
      <c r="B6789" t="s">
        <v>13</v>
      </c>
      <c r="C6789" s="1">
        <f>HYPERLINK("https://cao.dolgi.msk.ru/account/1011330931/", 1011330931)</f>
        <v>1011330931</v>
      </c>
      <c r="D6789">
        <v>985.9</v>
      </c>
    </row>
    <row r="6790" spans="1:4" x14ac:dyDescent="0.3">
      <c r="A6790" t="s">
        <v>673</v>
      </c>
      <c r="B6790" t="s">
        <v>14</v>
      </c>
      <c r="C6790" s="1">
        <f>HYPERLINK("https://cao.dolgi.msk.ru/account/1011330835/", 1011330835)</f>
        <v>1011330835</v>
      </c>
      <c r="D6790">
        <v>16086.51</v>
      </c>
    </row>
    <row r="6791" spans="1:4" hidden="1" x14ac:dyDescent="0.3">
      <c r="A6791" t="s">
        <v>673</v>
      </c>
      <c r="B6791" t="s">
        <v>16</v>
      </c>
      <c r="C6791" s="1">
        <f>HYPERLINK("https://cao.dolgi.msk.ru/account/1011330878/", 1011330878)</f>
        <v>1011330878</v>
      </c>
      <c r="D6791">
        <v>0</v>
      </c>
    </row>
    <row r="6792" spans="1:4" x14ac:dyDescent="0.3">
      <c r="A6792" t="s">
        <v>673</v>
      </c>
      <c r="B6792" t="s">
        <v>17</v>
      </c>
      <c r="C6792" s="1">
        <f>HYPERLINK("https://cao.dolgi.msk.ru/account/1011330747/", 1011330747)</f>
        <v>1011330747</v>
      </c>
      <c r="D6792">
        <v>8267.57</v>
      </c>
    </row>
    <row r="6793" spans="1:4" hidden="1" x14ac:dyDescent="0.3">
      <c r="A6793" t="s">
        <v>673</v>
      </c>
      <c r="B6793" t="s">
        <v>18</v>
      </c>
      <c r="C6793" s="1">
        <f>HYPERLINK("https://cao.dolgi.msk.ru/account/1011330712/", 1011330712)</f>
        <v>1011330712</v>
      </c>
      <c r="D6793">
        <v>-7297.87</v>
      </c>
    </row>
    <row r="6794" spans="1:4" hidden="1" x14ac:dyDescent="0.3">
      <c r="A6794" t="s">
        <v>673</v>
      </c>
      <c r="B6794" t="s">
        <v>19</v>
      </c>
      <c r="C6794" s="1">
        <f>HYPERLINK("https://cao.dolgi.msk.ru/account/1011330843/", 1011330843)</f>
        <v>1011330843</v>
      </c>
      <c r="D6794">
        <v>0</v>
      </c>
    </row>
    <row r="6795" spans="1:4" x14ac:dyDescent="0.3">
      <c r="A6795" t="s">
        <v>673</v>
      </c>
      <c r="B6795" t="s">
        <v>20</v>
      </c>
      <c r="C6795" s="1">
        <f>HYPERLINK("https://cao.dolgi.msk.ru/account/1011330771/", 1011330771)</f>
        <v>1011330771</v>
      </c>
      <c r="D6795">
        <v>73735.320000000007</v>
      </c>
    </row>
    <row r="6796" spans="1:4" hidden="1" x14ac:dyDescent="0.3">
      <c r="A6796" t="s">
        <v>673</v>
      </c>
      <c r="B6796" t="s">
        <v>21</v>
      </c>
      <c r="C6796" s="1">
        <f>HYPERLINK("https://cao.dolgi.msk.ru/account/1011330923/", 1011330923)</f>
        <v>1011330923</v>
      </c>
      <c r="D6796">
        <v>0</v>
      </c>
    </row>
    <row r="6797" spans="1:4" hidden="1" x14ac:dyDescent="0.3">
      <c r="A6797" t="s">
        <v>674</v>
      </c>
      <c r="B6797" t="s">
        <v>35</v>
      </c>
      <c r="C6797" s="1">
        <f>HYPERLINK("https://cao.dolgi.msk.ru/account/1011308291/", 1011308291)</f>
        <v>1011308291</v>
      </c>
      <c r="D6797">
        <v>0</v>
      </c>
    </row>
    <row r="6798" spans="1:4" hidden="1" x14ac:dyDescent="0.3">
      <c r="A6798" t="s">
        <v>674</v>
      </c>
      <c r="B6798" t="s">
        <v>5</v>
      </c>
      <c r="C6798" s="1">
        <f>HYPERLINK("https://cao.dolgi.msk.ru/account/1011308128/", 1011308128)</f>
        <v>1011308128</v>
      </c>
      <c r="D6798">
        <v>-579.62</v>
      </c>
    </row>
    <row r="6799" spans="1:4" hidden="1" x14ac:dyDescent="0.3">
      <c r="A6799" t="s">
        <v>674</v>
      </c>
      <c r="B6799" t="s">
        <v>5</v>
      </c>
      <c r="C6799" s="1">
        <f>HYPERLINK("https://cao.dolgi.msk.ru/account/1011308275/", 1011308275)</f>
        <v>1011308275</v>
      </c>
      <c r="D6799">
        <v>-956.91</v>
      </c>
    </row>
    <row r="6800" spans="1:4" hidden="1" x14ac:dyDescent="0.3">
      <c r="A6800" t="s">
        <v>674</v>
      </c>
      <c r="B6800" t="s">
        <v>5</v>
      </c>
      <c r="C6800" s="1">
        <f>HYPERLINK("https://cao.dolgi.msk.ru/account/1011308398/", 1011308398)</f>
        <v>1011308398</v>
      </c>
      <c r="D6800">
        <v>0</v>
      </c>
    </row>
    <row r="6801" spans="1:4" hidden="1" x14ac:dyDescent="0.3">
      <c r="A6801" t="s">
        <v>674</v>
      </c>
      <c r="B6801" t="s">
        <v>7</v>
      </c>
      <c r="C6801" s="1">
        <f>HYPERLINK("https://cao.dolgi.msk.ru/account/1011308259/", 1011308259)</f>
        <v>1011308259</v>
      </c>
      <c r="D6801">
        <v>0</v>
      </c>
    </row>
    <row r="6802" spans="1:4" hidden="1" x14ac:dyDescent="0.3">
      <c r="A6802" t="s">
        <v>674</v>
      </c>
      <c r="B6802" t="s">
        <v>8</v>
      </c>
      <c r="C6802" s="1">
        <f>HYPERLINK("https://cao.dolgi.msk.ru/account/1011308216/", 1011308216)</f>
        <v>1011308216</v>
      </c>
      <c r="D6802">
        <v>-7172.34</v>
      </c>
    </row>
    <row r="6803" spans="1:4" hidden="1" x14ac:dyDescent="0.3">
      <c r="A6803" t="s">
        <v>674</v>
      </c>
      <c r="B6803" t="s">
        <v>31</v>
      </c>
      <c r="C6803" s="1">
        <f>HYPERLINK("https://cao.dolgi.msk.ru/account/1011308179/", 1011308179)</f>
        <v>1011308179</v>
      </c>
      <c r="D6803">
        <v>0</v>
      </c>
    </row>
    <row r="6804" spans="1:4" x14ac:dyDescent="0.3">
      <c r="A6804" t="s">
        <v>674</v>
      </c>
      <c r="B6804" t="s">
        <v>9</v>
      </c>
      <c r="C6804" s="1">
        <f>HYPERLINK("https://cao.dolgi.msk.ru/account/1011308339/", 1011308339)</f>
        <v>1011308339</v>
      </c>
      <c r="D6804">
        <v>9826.1</v>
      </c>
    </row>
    <row r="6805" spans="1:4" hidden="1" x14ac:dyDescent="0.3">
      <c r="A6805" t="s">
        <v>674</v>
      </c>
      <c r="B6805" t="s">
        <v>12</v>
      </c>
      <c r="C6805" s="1">
        <f>HYPERLINK("https://cao.dolgi.msk.ru/account/1011308187/", 1011308187)</f>
        <v>1011308187</v>
      </c>
      <c r="D6805">
        <v>0</v>
      </c>
    </row>
    <row r="6806" spans="1:4" hidden="1" x14ac:dyDescent="0.3">
      <c r="A6806" t="s">
        <v>674</v>
      </c>
      <c r="B6806" t="s">
        <v>12</v>
      </c>
      <c r="C6806" s="1">
        <f>HYPERLINK("https://cao.dolgi.msk.ru/account/1011308267/", 1011308267)</f>
        <v>1011308267</v>
      </c>
      <c r="D6806">
        <v>0</v>
      </c>
    </row>
    <row r="6807" spans="1:4" hidden="1" x14ac:dyDescent="0.3">
      <c r="A6807" t="s">
        <v>674</v>
      </c>
      <c r="B6807" t="s">
        <v>23</v>
      </c>
      <c r="C6807" s="1">
        <f>HYPERLINK("https://cao.dolgi.msk.ru/account/1011308232/", 1011308232)</f>
        <v>1011308232</v>
      </c>
      <c r="D6807">
        <v>0</v>
      </c>
    </row>
    <row r="6808" spans="1:4" x14ac:dyDescent="0.3">
      <c r="A6808" t="s">
        <v>674</v>
      </c>
      <c r="B6808" t="s">
        <v>13</v>
      </c>
      <c r="C6808" s="1">
        <f>HYPERLINK("https://cao.dolgi.msk.ru/account/1011510676/", 1011510676)</f>
        <v>1011510676</v>
      </c>
      <c r="D6808">
        <v>36690.839999999997</v>
      </c>
    </row>
    <row r="6809" spans="1:4" hidden="1" x14ac:dyDescent="0.3">
      <c r="A6809" t="s">
        <v>674</v>
      </c>
      <c r="B6809" t="s">
        <v>14</v>
      </c>
      <c r="C6809" s="1">
        <f>HYPERLINK("https://cao.dolgi.msk.ru/account/1011308371/", 1011308371)</f>
        <v>1011308371</v>
      </c>
      <c r="D6809">
        <v>0</v>
      </c>
    </row>
    <row r="6810" spans="1:4" hidden="1" x14ac:dyDescent="0.3">
      <c r="A6810" t="s">
        <v>674</v>
      </c>
      <c r="B6810" t="s">
        <v>16</v>
      </c>
      <c r="C6810" s="1">
        <f>HYPERLINK("https://cao.dolgi.msk.ru/account/1011308101/", 1011308101)</f>
        <v>1011308101</v>
      </c>
      <c r="D6810">
        <v>-14267.26</v>
      </c>
    </row>
    <row r="6811" spans="1:4" hidden="1" x14ac:dyDescent="0.3">
      <c r="A6811" t="s">
        <v>674</v>
      </c>
      <c r="B6811" t="s">
        <v>21</v>
      </c>
      <c r="C6811" s="1">
        <f>HYPERLINK("https://cao.dolgi.msk.ru/account/1011308283/", 1011308283)</f>
        <v>1011308283</v>
      </c>
      <c r="D6811">
        <v>-8472.0499999999993</v>
      </c>
    </row>
    <row r="6812" spans="1:4" hidden="1" x14ac:dyDescent="0.3">
      <c r="A6812" t="s">
        <v>674</v>
      </c>
      <c r="B6812" t="s">
        <v>22</v>
      </c>
      <c r="C6812" s="1">
        <f>HYPERLINK("https://cao.dolgi.msk.ru/account/1011308072/", 1011308072)</f>
        <v>1011308072</v>
      </c>
      <c r="D6812">
        <v>-56361.61</v>
      </c>
    </row>
    <row r="6813" spans="1:4" hidden="1" x14ac:dyDescent="0.3">
      <c r="A6813" t="s">
        <v>674</v>
      </c>
      <c r="B6813" t="s">
        <v>24</v>
      </c>
      <c r="C6813" s="1">
        <f>HYPERLINK("https://cao.dolgi.msk.ru/account/1011308136/", 1011308136)</f>
        <v>1011308136</v>
      </c>
      <c r="D6813">
        <v>0</v>
      </c>
    </row>
    <row r="6814" spans="1:4" hidden="1" x14ac:dyDescent="0.3">
      <c r="A6814" t="s">
        <v>674</v>
      </c>
      <c r="B6814" t="s">
        <v>25</v>
      </c>
      <c r="C6814" s="1">
        <f>HYPERLINK("https://cao.dolgi.msk.ru/account/1011308208/", 1011308208)</f>
        <v>1011308208</v>
      </c>
      <c r="D6814">
        <v>-6336.9</v>
      </c>
    </row>
    <row r="6815" spans="1:4" hidden="1" x14ac:dyDescent="0.3">
      <c r="A6815" t="s">
        <v>674</v>
      </c>
      <c r="B6815" t="s">
        <v>26</v>
      </c>
      <c r="C6815" s="1">
        <f>HYPERLINK("https://cao.dolgi.msk.ru/account/1011308304/", 1011308304)</f>
        <v>1011308304</v>
      </c>
      <c r="D6815">
        <v>0</v>
      </c>
    </row>
    <row r="6816" spans="1:4" hidden="1" x14ac:dyDescent="0.3">
      <c r="A6816" t="s">
        <v>674</v>
      </c>
      <c r="B6816" t="s">
        <v>27</v>
      </c>
      <c r="C6816" s="1">
        <f>HYPERLINK("https://cao.dolgi.msk.ru/account/1011308195/", 1011308195)</f>
        <v>1011308195</v>
      </c>
      <c r="D6816">
        <v>0</v>
      </c>
    </row>
    <row r="6817" spans="1:4" hidden="1" x14ac:dyDescent="0.3">
      <c r="A6817" t="s">
        <v>674</v>
      </c>
      <c r="B6817" t="s">
        <v>29</v>
      </c>
      <c r="C6817" s="1">
        <f>HYPERLINK("https://cao.dolgi.msk.ru/account/1011308152/", 1011308152)</f>
        <v>1011308152</v>
      </c>
      <c r="D6817">
        <v>0</v>
      </c>
    </row>
    <row r="6818" spans="1:4" x14ac:dyDescent="0.3">
      <c r="A6818" t="s">
        <v>674</v>
      </c>
      <c r="B6818" t="s">
        <v>38</v>
      </c>
      <c r="C6818" s="1">
        <f>HYPERLINK("https://cao.dolgi.msk.ru/account/1011308099/", 1011308099)</f>
        <v>1011308099</v>
      </c>
      <c r="D6818">
        <v>11538.41</v>
      </c>
    </row>
    <row r="6819" spans="1:4" hidden="1" x14ac:dyDescent="0.3">
      <c r="A6819" t="s">
        <v>674</v>
      </c>
      <c r="B6819" t="s">
        <v>38</v>
      </c>
      <c r="C6819" s="1">
        <f>HYPERLINK("https://cao.dolgi.msk.ru/account/1011308224/", 1011308224)</f>
        <v>1011308224</v>
      </c>
      <c r="D6819">
        <v>-31.57</v>
      </c>
    </row>
    <row r="6820" spans="1:4" hidden="1" x14ac:dyDescent="0.3">
      <c r="A6820" t="s">
        <v>674</v>
      </c>
      <c r="B6820" t="s">
        <v>39</v>
      </c>
      <c r="C6820" s="1">
        <f>HYPERLINK("https://cao.dolgi.msk.ru/account/1011308144/", 1011308144)</f>
        <v>1011308144</v>
      </c>
      <c r="D6820">
        <v>0</v>
      </c>
    </row>
    <row r="6821" spans="1:4" hidden="1" x14ac:dyDescent="0.3">
      <c r="A6821" t="s">
        <v>674</v>
      </c>
      <c r="B6821" t="s">
        <v>39</v>
      </c>
      <c r="C6821" s="1">
        <f>HYPERLINK("https://cao.dolgi.msk.ru/account/1011308312/", 1011308312)</f>
        <v>1011308312</v>
      </c>
      <c r="D6821">
        <v>0</v>
      </c>
    </row>
    <row r="6822" spans="1:4" hidden="1" x14ac:dyDescent="0.3">
      <c r="A6822" t="s">
        <v>674</v>
      </c>
      <c r="B6822" t="s">
        <v>39</v>
      </c>
      <c r="C6822" s="1">
        <f>HYPERLINK("https://cao.dolgi.msk.ru/account/1011308363/", 1011308363)</f>
        <v>1011308363</v>
      </c>
      <c r="D6822">
        <v>0</v>
      </c>
    </row>
    <row r="6823" spans="1:4" x14ac:dyDescent="0.3">
      <c r="A6823" t="s">
        <v>675</v>
      </c>
      <c r="B6823" t="s">
        <v>41</v>
      </c>
      <c r="C6823" s="1">
        <f>HYPERLINK("https://cao.dolgi.msk.ru/account/1011400338/", 1011400338)</f>
        <v>1011400338</v>
      </c>
      <c r="D6823">
        <v>3229.23</v>
      </c>
    </row>
    <row r="6824" spans="1:4" x14ac:dyDescent="0.3">
      <c r="A6824" t="s">
        <v>675</v>
      </c>
      <c r="B6824" t="s">
        <v>51</v>
      </c>
      <c r="C6824" s="1">
        <f>HYPERLINK("https://cao.dolgi.msk.ru/account/1011400346/", 1011400346)</f>
        <v>1011400346</v>
      </c>
      <c r="D6824">
        <v>9507.59</v>
      </c>
    </row>
    <row r="6825" spans="1:4" hidden="1" x14ac:dyDescent="0.3">
      <c r="A6825" t="s">
        <v>675</v>
      </c>
      <c r="B6825" t="s">
        <v>53</v>
      </c>
      <c r="C6825" s="1">
        <f>HYPERLINK("https://cao.dolgi.msk.ru/account/1011400186/", 1011400186)</f>
        <v>1011400186</v>
      </c>
      <c r="D6825">
        <v>0</v>
      </c>
    </row>
    <row r="6826" spans="1:4" x14ac:dyDescent="0.3">
      <c r="A6826" t="s">
        <v>675</v>
      </c>
      <c r="B6826" t="s">
        <v>54</v>
      </c>
      <c r="C6826" s="1">
        <f>HYPERLINK("https://cao.dolgi.msk.ru/account/1011400493/", 1011400493)</f>
        <v>1011400493</v>
      </c>
      <c r="D6826">
        <v>55389.96</v>
      </c>
    </row>
    <row r="6827" spans="1:4" hidden="1" x14ac:dyDescent="0.3">
      <c r="A6827" t="s">
        <v>675</v>
      </c>
      <c r="B6827" t="s">
        <v>55</v>
      </c>
      <c r="C6827" s="1">
        <f>HYPERLINK("https://cao.dolgi.msk.ru/account/1011400442/", 1011400442)</f>
        <v>1011400442</v>
      </c>
      <c r="D6827">
        <v>0</v>
      </c>
    </row>
    <row r="6828" spans="1:4" x14ac:dyDescent="0.3">
      <c r="A6828" t="s">
        <v>675</v>
      </c>
      <c r="B6828" t="s">
        <v>56</v>
      </c>
      <c r="C6828" s="1">
        <f>HYPERLINK("https://cao.dolgi.msk.ru/account/1011400274/", 1011400274)</f>
        <v>1011400274</v>
      </c>
      <c r="D6828">
        <v>4768.74</v>
      </c>
    </row>
    <row r="6829" spans="1:4" x14ac:dyDescent="0.3">
      <c r="A6829" t="s">
        <v>675</v>
      </c>
      <c r="B6829" t="s">
        <v>87</v>
      </c>
      <c r="C6829" s="1">
        <f>HYPERLINK("https://cao.dolgi.msk.ru/account/1011400282/", 1011400282)</f>
        <v>1011400282</v>
      </c>
      <c r="D6829">
        <v>49077.4</v>
      </c>
    </row>
    <row r="6830" spans="1:4" hidden="1" x14ac:dyDescent="0.3">
      <c r="A6830" t="s">
        <v>675</v>
      </c>
      <c r="B6830" t="s">
        <v>89</v>
      </c>
      <c r="C6830" s="1">
        <f>HYPERLINK("https://cao.dolgi.msk.ru/account/1011515469/", 1011515469)</f>
        <v>1011515469</v>
      </c>
      <c r="D6830">
        <v>-226.29</v>
      </c>
    </row>
    <row r="6831" spans="1:4" hidden="1" x14ac:dyDescent="0.3">
      <c r="A6831" t="s">
        <v>675</v>
      </c>
      <c r="B6831" t="s">
        <v>90</v>
      </c>
      <c r="C6831" s="1">
        <f>HYPERLINK("https://cao.dolgi.msk.ru/account/1011400215/", 1011400215)</f>
        <v>1011400215</v>
      </c>
      <c r="D6831">
        <v>0</v>
      </c>
    </row>
    <row r="6832" spans="1:4" hidden="1" x14ac:dyDescent="0.3">
      <c r="A6832" t="s">
        <v>675</v>
      </c>
      <c r="B6832" t="s">
        <v>96</v>
      </c>
      <c r="C6832" s="1">
        <f>HYPERLINK("https://cao.dolgi.msk.ru/account/1011400418/", 1011400418)</f>
        <v>1011400418</v>
      </c>
      <c r="D6832">
        <v>0</v>
      </c>
    </row>
    <row r="6833" spans="1:4" hidden="1" x14ac:dyDescent="0.3">
      <c r="A6833" t="s">
        <v>675</v>
      </c>
      <c r="B6833" t="s">
        <v>97</v>
      </c>
      <c r="C6833" s="1">
        <f>HYPERLINK("https://cao.dolgi.msk.ru/account/1011400266/", 1011400266)</f>
        <v>1011400266</v>
      </c>
      <c r="D6833">
        <v>0</v>
      </c>
    </row>
    <row r="6834" spans="1:4" hidden="1" x14ac:dyDescent="0.3">
      <c r="A6834" t="s">
        <v>675</v>
      </c>
      <c r="B6834" t="s">
        <v>98</v>
      </c>
      <c r="C6834" s="1">
        <f>HYPERLINK("https://cao.dolgi.msk.ru/account/1011400311/", 1011400311)</f>
        <v>1011400311</v>
      </c>
      <c r="D6834">
        <v>-597.76</v>
      </c>
    </row>
    <row r="6835" spans="1:4" hidden="1" x14ac:dyDescent="0.3">
      <c r="A6835" t="s">
        <v>675</v>
      </c>
      <c r="B6835" t="s">
        <v>58</v>
      </c>
      <c r="C6835" s="1">
        <f>HYPERLINK("https://cao.dolgi.msk.ru/account/1011400397/", 1011400397)</f>
        <v>1011400397</v>
      </c>
      <c r="D6835">
        <v>-4395.8599999999997</v>
      </c>
    </row>
    <row r="6836" spans="1:4" hidden="1" x14ac:dyDescent="0.3">
      <c r="A6836" t="s">
        <v>675</v>
      </c>
      <c r="B6836" t="s">
        <v>60</v>
      </c>
      <c r="C6836" s="1">
        <f>HYPERLINK("https://cao.dolgi.msk.ru/account/1011400469/", 1011400469)</f>
        <v>1011400469</v>
      </c>
      <c r="D6836">
        <v>-739.23</v>
      </c>
    </row>
    <row r="6837" spans="1:4" hidden="1" x14ac:dyDescent="0.3">
      <c r="A6837" t="s">
        <v>675</v>
      </c>
      <c r="B6837" t="s">
        <v>62</v>
      </c>
      <c r="C6837" s="1">
        <f>HYPERLINK("https://cao.dolgi.msk.ru/account/1011400434/", 1011400434)</f>
        <v>1011400434</v>
      </c>
      <c r="D6837">
        <v>-1542.22</v>
      </c>
    </row>
    <row r="6838" spans="1:4" x14ac:dyDescent="0.3">
      <c r="A6838" t="s">
        <v>675</v>
      </c>
      <c r="B6838" t="s">
        <v>63</v>
      </c>
      <c r="C6838" s="1">
        <f>HYPERLINK("https://cao.dolgi.msk.ru/account/1011400485/", 1011400485)</f>
        <v>1011400485</v>
      </c>
      <c r="D6838">
        <v>9174.89</v>
      </c>
    </row>
    <row r="6839" spans="1:4" hidden="1" x14ac:dyDescent="0.3">
      <c r="A6839" t="s">
        <v>675</v>
      </c>
      <c r="B6839" t="s">
        <v>67</v>
      </c>
      <c r="C6839" s="1">
        <f>HYPERLINK("https://cao.dolgi.msk.ru/account/1011400362/", 1011400362)</f>
        <v>1011400362</v>
      </c>
      <c r="D6839">
        <v>0</v>
      </c>
    </row>
    <row r="6840" spans="1:4" hidden="1" x14ac:dyDescent="0.3">
      <c r="A6840" t="s">
        <v>675</v>
      </c>
      <c r="B6840" t="s">
        <v>68</v>
      </c>
      <c r="C6840" s="1">
        <f>HYPERLINK("https://cao.dolgi.msk.ru/account/1011400506/", 1011400506)</f>
        <v>1011400506</v>
      </c>
      <c r="D6840">
        <v>-818.9</v>
      </c>
    </row>
    <row r="6841" spans="1:4" hidden="1" x14ac:dyDescent="0.3">
      <c r="A6841" t="s">
        <v>675</v>
      </c>
      <c r="B6841" t="s">
        <v>69</v>
      </c>
      <c r="C6841" s="1">
        <f>HYPERLINK("https://cao.dolgi.msk.ru/account/1011400258/", 1011400258)</f>
        <v>1011400258</v>
      </c>
      <c r="D6841">
        <v>-2849.36</v>
      </c>
    </row>
    <row r="6842" spans="1:4" hidden="1" x14ac:dyDescent="0.3">
      <c r="A6842" t="s">
        <v>675</v>
      </c>
      <c r="B6842" t="s">
        <v>70</v>
      </c>
      <c r="C6842" s="1">
        <f>HYPERLINK("https://cao.dolgi.msk.ru/account/1011400194/", 1011400194)</f>
        <v>1011400194</v>
      </c>
      <c r="D6842">
        <v>-7502.42</v>
      </c>
    </row>
    <row r="6843" spans="1:4" hidden="1" x14ac:dyDescent="0.3">
      <c r="A6843" t="s">
        <v>675</v>
      </c>
      <c r="B6843" t="s">
        <v>259</v>
      </c>
      <c r="C6843" s="1">
        <f>HYPERLINK("https://cao.dolgi.msk.ru/account/1011400223/", 1011400223)</f>
        <v>1011400223</v>
      </c>
      <c r="D6843">
        <v>0</v>
      </c>
    </row>
    <row r="6844" spans="1:4" hidden="1" x14ac:dyDescent="0.3">
      <c r="A6844" t="s">
        <v>675</v>
      </c>
      <c r="B6844" t="s">
        <v>100</v>
      </c>
      <c r="C6844" s="1">
        <f>HYPERLINK("https://cao.dolgi.msk.ru/account/1011400426/", 1011400426)</f>
        <v>1011400426</v>
      </c>
      <c r="D6844">
        <v>-4090.67</v>
      </c>
    </row>
    <row r="6845" spans="1:4" hidden="1" x14ac:dyDescent="0.3">
      <c r="A6845" t="s">
        <v>675</v>
      </c>
      <c r="B6845" t="s">
        <v>72</v>
      </c>
      <c r="C6845" s="1">
        <f>HYPERLINK("https://cao.dolgi.msk.ru/account/1011400231/", 1011400231)</f>
        <v>1011400231</v>
      </c>
      <c r="D6845">
        <v>0</v>
      </c>
    </row>
    <row r="6846" spans="1:4" hidden="1" x14ac:dyDescent="0.3">
      <c r="A6846" t="s">
        <v>675</v>
      </c>
      <c r="B6846" t="s">
        <v>73</v>
      </c>
      <c r="C6846" s="1">
        <f>HYPERLINK("https://cao.dolgi.msk.ru/account/1011400303/", 1011400303)</f>
        <v>1011400303</v>
      </c>
      <c r="D6846">
        <v>-642.65</v>
      </c>
    </row>
    <row r="6847" spans="1:4" x14ac:dyDescent="0.3">
      <c r="A6847" t="s">
        <v>675</v>
      </c>
      <c r="B6847" t="s">
        <v>74</v>
      </c>
      <c r="C6847" s="1">
        <f>HYPERLINK("https://cao.dolgi.msk.ru/account/1011400178/", 1011400178)</f>
        <v>1011400178</v>
      </c>
      <c r="D6847">
        <v>46713.53</v>
      </c>
    </row>
    <row r="6848" spans="1:4" hidden="1" x14ac:dyDescent="0.3">
      <c r="A6848" t="s">
        <v>675</v>
      </c>
      <c r="B6848" t="s">
        <v>75</v>
      </c>
      <c r="C6848" s="1">
        <f>HYPERLINK("https://cao.dolgi.msk.ru/account/1011400389/", 1011400389)</f>
        <v>1011400389</v>
      </c>
      <c r="D6848">
        <v>0</v>
      </c>
    </row>
    <row r="6849" spans="1:4" hidden="1" x14ac:dyDescent="0.3">
      <c r="A6849" t="s">
        <v>675</v>
      </c>
      <c r="B6849" t="s">
        <v>76</v>
      </c>
      <c r="C6849" s="1">
        <f>HYPERLINK("https://cao.dolgi.msk.ru/account/1011400477/", 1011400477)</f>
        <v>1011400477</v>
      </c>
      <c r="D6849">
        <v>-1049.3599999999999</v>
      </c>
    </row>
    <row r="6850" spans="1:4" hidden="1" x14ac:dyDescent="0.3">
      <c r="A6850" t="s">
        <v>675</v>
      </c>
      <c r="B6850" t="s">
        <v>77</v>
      </c>
      <c r="C6850" s="1">
        <f>HYPERLINK("https://cao.dolgi.msk.ru/account/1011400354/", 1011400354)</f>
        <v>1011400354</v>
      </c>
      <c r="D6850">
        <v>-2210.9499999999998</v>
      </c>
    </row>
    <row r="6851" spans="1:4" hidden="1" x14ac:dyDescent="0.3">
      <c r="A6851" t="s">
        <v>676</v>
      </c>
      <c r="B6851" t="s">
        <v>41</v>
      </c>
      <c r="C6851" s="1">
        <f>HYPERLINK("https://cao.dolgi.msk.ru/account/1010259416/", 1010259416)</f>
        <v>1010259416</v>
      </c>
      <c r="D6851">
        <v>0</v>
      </c>
    </row>
    <row r="6852" spans="1:4" x14ac:dyDescent="0.3">
      <c r="A6852" t="s">
        <v>676</v>
      </c>
      <c r="B6852" t="s">
        <v>56</v>
      </c>
      <c r="C6852" s="1">
        <f>HYPERLINK("https://cao.dolgi.msk.ru/account/1010259387/", 1010259387)</f>
        <v>1010259387</v>
      </c>
      <c r="D6852">
        <v>48889.31</v>
      </c>
    </row>
    <row r="6853" spans="1:4" x14ac:dyDescent="0.3">
      <c r="A6853" t="s">
        <v>677</v>
      </c>
      <c r="B6853" t="s">
        <v>6</v>
      </c>
      <c r="C6853" s="1">
        <f>HYPERLINK("https://cao.dolgi.msk.ru/account/1011358299/", 1011358299)</f>
        <v>1011358299</v>
      </c>
      <c r="D6853">
        <v>114620.25</v>
      </c>
    </row>
    <row r="6854" spans="1:4" x14ac:dyDescent="0.3">
      <c r="A6854" t="s">
        <v>677</v>
      </c>
      <c r="B6854" t="s">
        <v>35</v>
      </c>
      <c r="C6854" s="1">
        <f>HYPERLINK("https://cao.dolgi.msk.ru/account/1011358424/", 1011358424)</f>
        <v>1011358424</v>
      </c>
      <c r="D6854">
        <v>31469.26</v>
      </c>
    </row>
    <row r="6855" spans="1:4" x14ac:dyDescent="0.3">
      <c r="A6855" t="s">
        <v>677</v>
      </c>
      <c r="B6855" t="s">
        <v>35</v>
      </c>
      <c r="C6855" s="1">
        <f>HYPERLINK("https://cao.dolgi.msk.ru/account/1011358571/", 1011358571)</f>
        <v>1011358571</v>
      </c>
      <c r="D6855">
        <v>2729.64</v>
      </c>
    </row>
    <row r="6856" spans="1:4" hidden="1" x14ac:dyDescent="0.3">
      <c r="A6856" t="s">
        <v>677</v>
      </c>
      <c r="B6856" t="s">
        <v>5</v>
      </c>
      <c r="C6856" s="1">
        <f>HYPERLINK("https://cao.dolgi.msk.ru/account/1011358432/", 1011358432)</f>
        <v>1011358432</v>
      </c>
      <c r="D6856">
        <v>-3452.48</v>
      </c>
    </row>
    <row r="6857" spans="1:4" x14ac:dyDescent="0.3">
      <c r="A6857" t="s">
        <v>677</v>
      </c>
      <c r="B6857" t="s">
        <v>7</v>
      </c>
      <c r="C6857" s="1">
        <f>HYPERLINK("https://cao.dolgi.msk.ru/account/1011358707/", 1011358707)</f>
        <v>1011358707</v>
      </c>
      <c r="D6857">
        <v>74534.45</v>
      </c>
    </row>
    <row r="6858" spans="1:4" x14ac:dyDescent="0.3">
      <c r="A6858" t="s">
        <v>677</v>
      </c>
      <c r="B6858" t="s">
        <v>8</v>
      </c>
      <c r="C6858" s="1">
        <f>HYPERLINK("https://cao.dolgi.msk.ru/account/1011358491/", 1011358491)</f>
        <v>1011358491</v>
      </c>
      <c r="D6858">
        <v>97272.3</v>
      </c>
    </row>
    <row r="6859" spans="1:4" x14ac:dyDescent="0.3">
      <c r="A6859" t="s">
        <v>677</v>
      </c>
      <c r="B6859" t="s">
        <v>678</v>
      </c>
      <c r="C6859" s="1">
        <f>HYPERLINK("https://cao.dolgi.msk.ru/account/1011358715/", 1011358715)</f>
        <v>1011358715</v>
      </c>
      <c r="D6859">
        <v>4195.3999999999996</v>
      </c>
    </row>
    <row r="6860" spans="1:4" x14ac:dyDescent="0.3">
      <c r="A6860" t="s">
        <v>677</v>
      </c>
      <c r="B6860" t="s">
        <v>679</v>
      </c>
      <c r="C6860" s="1">
        <f>HYPERLINK("https://cao.dolgi.msk.ru/account/1011358387/", 1011358387)</f>
        <v>1011358387</v>
      </c>
      <c r="D6860">
        <v>63586.83</v>
      </c>
    </row>
    <row r="6861" spans="1:4" x14ac:dyDescent="0.3">
      <c r="A6861" t="s">
        <v>677</v>
      </c>
      <c r="B6861" t="s">
        <v>679</v>
      </c>
      <c r="C6861" s="1">
        <f>HYPERLINK("https://cao.dolgi.msk.ru/account/1011358395/", 1011358395)</f>
        <v>1011358395</v>
      </c>
      <c r="D6861">
        <v>77292.36</v>
      </c>
    </row>
    <row r="6862" spans="1:4" x14ac:dyDescent="0.3">
      <c r="A6862" t="s">
        <v>677</v>
      </c>
      <c r="B6862" t="s">
        <v>679</v>
      </c>
      <c r="C6862" s="1">
        <f>HYPERLINK("https://cao.dolgi.msk.ru/account/1011358408/", 1011358408)</f>
        <v>1011358408</v>
      </c>
      <c r="D6862">
        <v>81614.48</v>
      </c>
    </row>
    <row r="6863" spans="1:4" hidden="1" x14ac:dyDescent="0.3">
      <c r="A6863" t="s">
        <v>677</v>
      </c>
      <c r="B6863" t="s">
        <v>679</v>
      </c>
      <c r="C6863" s="1">
        <f>HYPERLINK("https://cao.dolgi.msk.ru/account/1011358483/", 1011358483)</f>
        <v>1011358483</v>
      </c>
      <c r="D6863">
        <v>-5606.75</v>
      </c>
    </row>
    <row r="6864" spans="1:4" x14ac:dyDescent="0.3">
      <c r="A6864" t="s">
        <v>677</v>
      </c>
      <c r="B6864" t="s">
        <v>680</v>
      </c>
      <c r="C6864" s="1">
        <f>HYPERLINK("https://cao.dolgi.msk.ru/account/1011358643/", 1011358643)</f>
        <v>1011358643</v>
      </c>
      <c r="D6864">
        <v>162610.92000000001</v>
      </c>
    </row>
    <row r="6865" spans="1:4" x14ac:dyDescent="0.3">
      <c r="A6865" t="s">
        <v>677</v>
      </c>
      <c r="B6865" t="s">
        <v>31</v>
      </c>
      <c r="C6865" s="1">
        <f>HYPERLINK("https://cao.dolgi.msk.ru/account/1011358475/", 1011358475)</f>
        <v>1011358475</v>
      </c>
      <c r="D6865">
        <v>78891.149999999994</v>
      </c>
    </row>
    <row r="6866" spans="1:4" x14ac:dyDescent="0.3">
      <c r="A6866" t="s">
        <v>677</v>
      </c>
      <c r="B6866" t="s">
        <v>9</v>
      </c>
      <c r="C6866" s="1">
        <f>HYPERLINK("https://cao.dolgi.msk.ru/account/1011526782/", 1011526782)</f>
        <v>1011526782</v>
      </c>
      <c r="D6866">
        <v>82236.06</v>
      </c>
    </row>
    <row r="6867" spans="1:4" x14ac:dyDescent="0.3">
      <c r="A6867" t="s">
        <v>677</v>
      </c>
      <c r="B6867" t="s">
        <v>10</v>
      </c>
      <c r="C6867" s="1">
        <f>HYPERLINK("https://cao.dolgi.msk.ru/account/1011358504/", 1011358504)</f>
        <v>1011358504</v>
      </c>
      <c r="D6867">
        <v>191994.96</v>
      </c>
    </row>
    <row r="6868" spans="1:4" x14ac:dyDescent="0.3">
      <c r="A6868" t="s">
        <v>677</v>
      </c>
      <c r="B6868" t="s">
        <v>11</v>
      </c>
      <c r="C6868" s="1">
        <f>HYPERLINK("https://cao.dolgi.msk.ru/account/1011358678/", 1011358678)</f>
        <v>1011358678</v>
      </c>
      <c r="D6868">
        <v>149795.71</v>
      </c>
    </row>
    <row r="6869" spans="1:4" x14ac:dyDescent="0.3">
      <c r="A6869" t="s">
        <v>677</v>
      </c>
      <c r="B6869" t="s">
        <v>12</v>
      </c>
      <c r="C6869" s="1">
        <f>HYPERLINK("https://cao.dolgi.msk.ru/account/1011358512/", 1011358512)</f>
        <v>1011358512</v>
      </c>
      <c r="D6869">
        <v>114000.2</v>
      </c>
    </row>
    <row r="6870" spans="1:4" x14ac:dyDescent="0.3">
      <c r="A6870" t="s">
        <v>677</v>
      </c>
      <c r="B6870" t="s">
        <v>23</v>
      </c>
      <c r="C6870" s="1">
        <f>HYPERLINK("https://cao.dolgi.msk.ru/account/1011358731/", 1011358731)</f>
        <v>1011358731</v>
      </c>
      <c r="D6870">
        <v>217107.19</v>
      </c>
    </row>
    <row r="6871" spans="1:4" x14ac:dyDescent="0.3">
      <c r="A6871" t="s">
        <v>677</v>
      </c>
      <c r="B6871" t="s">
        <v>13</v>
      </c>
      <c r="C6871" s="1">
        <f>HYPERLINK("https://cao.dolgi.msk.ru/account/1011358774/", 1011358774)</f>
        <v>1011358774</v>
      </c>
      <c r="D6871">
        <v>206139.61</v>
      </c>
    </row>
    <row r="6872" spans="1:4" x14ac:dyDescent="0.3">
      <c r="A6872" t="s">
        <v>677</v>
      </c>
      <c r="B6872" t="s">
        <v>14</v>
      </c>
      <c r="C6872" s="1">
        <f>HYPERLINK("https://cao.dolgi.msk.ru/account/1011358539/", 1011358539)</f>
        <v>1011358539</v>
      </c>
      <c r="D6872">
        <v>153905.79</v>
      </c>
    </row>
    <row r="6873" spans="1:4" x14ac:dyDescent="0.3">
      <c r="A6873" t="s">
        <v>677</v>
      </c>
      <c r="B6873" t="s">
        <v>16</v>
      </c>
      <c r="C6873" s="1">
        <f>HYPERLINK("https://cao.dolgi.msk.ru/account/1011358301/", 1011358301)</f>
        <v>1011358301</v>
      </c>
      <c r="D6873">
        <v>205490.67</v>
      </c>
    </row>
    <row r="6874" spans="1:4" x14ac:dyDescent="0.3">
      <c r="A6874" t="s">
        <v>677</v>
      </c>
      <c r="B6874" t="s">
        <v>17</v>
      </c>
      <c r="C6874" s="1">
        <f>HYPERLINK("https://cao.dolgi.msk.ru/account/1011358547/", 1011358547)</f>
        <v>1011358547</v>
      </c>
      <c r="D6874">
        <v>33107.339999999997</v>
      </c>
    </row>
    <row r="6875" spans="1:4" x14ac:dyDescent="0.3">
      <c r="A6875" t="s">
        <v>677</v>
      </c>
      <c r="B6875" t="s">
        <v>18</v>
      </c>
      <c r="C6875" s="1">
        <f>HYPERLINK("https://cao.dolgi.msk.ru/account/1011358328/", 1011358328)</f>
        <v>1011358328</v>
      </c>
      <c r="D6875">
        <v>110575.26</v>
      </c>
    </row>
    <row r="6876" spans="1:4" x14ac:dyDescent="0.3">
      <c r="A6876" t="s">
        <v>677</v>
      </c>
      <c r="B6876" t="s">
        <v>19</v>
      </c>
      <c r="C6876" s="1">
        <f>HYPERLINK("https://cao.dolgi.msk.ru/account/1011358598/", 1011358598)</f>
        <v>1011358598</v>
      </c>
      <c r="D6876">
        <v>141511.75</v>
      </c>
    </row>
    <row r="6877" spans="1:4" x14ac:dyDescent="0.3">
      <c r="A6877" t="s">
        <v>677</v>
      </c>
      <c r="B6877" t="s">
        <v>681</v>
      </c>
      <c r="C6877" s="1">
        <f>HYPERLINK("https://cao.dolgi.msk.ru/account/1011358555/", 1011358555)</f>
        <v>1011358555</v>
      </c>
      <c r="D6877">
        <v>246080</v>
      </c>
    </row>
    <row r="6878" spans="1:4" x14ac:dyDescent="0.3">
      <c r="A6878" t="s">
        <v>677</v>
      </c>
      <c r="B6878" t="s">
        <v>20</v>
      </c>
      <c r="C6878" s="1">
        <f>HYPERLINK("https://cao.dolgi.msk.ru/account/1011358336/", 1011358336)</f>
        <v>1011358336</v>
      </c>
      <c r="D6878">
        <v>8518.4</v>
      </c>
    </row>
    <row r="6879" spans="1:4" x14ac:dyDescent="0.3">
      <c r="A6879" t="s">
        <v>677</v>
      </c>
      <c r="B6879" t="s">
        <v>21</v>
      </c>
      <c r="C6879" s="1">
        <f>HYPERLINK("https://cao.dolgi.msk.ru/account/1011358619/", 1011358619)</f>
        <v>1011358619</v>
      </c>
      <c r="D6879">
        <v>138266.46</v>
      </c>
    </row>
    <row r="6880" spans="1:4" x14ac:dyDescent="0.3">
      <c r="A6880" t="s">
        <v>677</v>
      </c>
      <c r="B6880" t="s">
        <v>22</v>
      </c>
      <c r="C6880" s="1">
        <f>HYPERLINK("https://cao.dolgi.msk.ru/account/1011358686/", 1011358686)</f>
        <v>1011358686</v>
      </c>
      <c r="D6880">
        <v>412.59</v>
      </c>
    </row>
    <row r="6881" spans="1:4" x14ac:dyDescent="0.3">
      <c r="A6881" t="s">
        <v>677</v>
      </c>
      <c r="B6881" t="s">
        <v>24</v>
      </c>
      <c r="C6881" s="1">
        <f>HYPERLINK("https://cao.dolgi.msk.ru/account/1011358627/", 1011358627)</f>
        <v>1011358627</v>
      </c>
      <c r="D6881">
        <v>113499.51</v>
      </c>
    </row>
    <row r="6882" spans="1:4" x14ac:dyDescent="0.3">
      <c r="A6882" t="s">
        <v>677</v>
      </c>
      <c r="B6882" t="s">
        <v>25</v>
      </c>
      <c r="C6882" s="1">
        <f>HYPERLINK("https://cao.dolgi.msk.ru/account/1011358459/", 1011358459)</f>
        <v>1011358459</v>
      </c>
      <c r="D6882">
        <v>89252.75</v>
      </c>
    </row>
    <row r="6883" spans="1:4" x14ac:dyDescent="0.3">
      <c r="A6883" t="s">
        <v>677</v>
      </c>
      <c r="B6883" t="s">
        <v>26</v>
      </c>
      <c r="C6883" s="1">
        <f>HYPERLINK("https://cao.dolgi.msk.ru/account/1011510342/", 1011510342)</f>
        <v>1011510342</v>
      </c>
      <c r="D6883">
        <v>148871.03</v>
      </c>
    </row>
    <row r="6884" spans="1:4" x14ac:dyDescent="0.3">
      <c r="A6884" t="s">
        <v>677</v>
      </c>
      <c r="B6884" t="s">
        <v>27</v>
      </c>
      <c r="C6884" s="1">
        <f>HYPERLINK("https://cao.dolgi.msk.ru/account/1011358344/", 1011358344)</f>
        <v>1011358344</v>
      </c>
      <c r="D6884">
        <v>6425.87</v>
      </c>
    </row>
    <row r="6885" spans="1:4" x14ac:dyDescent="0.3">
      <c r="A6885" t="s">
        <v>677</v>
      </c>
      <c r="B6885" t="s">
        <v>27</v>
      </c>
      <c r="C6885" s="1">
        <f>HYPERLINK("https://cao.dolgi.msk.ru/account/1011358352/", 1011358352)</f>
        <v>1011358352</v>
      </c>
      <c r="D6885">
        <v>81658.53</v>
      </c>
    </row>
    <row r="6886" spans="1:4" x14ac:dyDescent="0.3">
      <c r="A6886" t="s">
        <v>677</v>
      </c>
      <c r="B6886" t="s">
        <v>27</v>
      </c>
      <c r="C6886" s="1">
        <f>HYPERLINK("https://cao.dolgi.msk.ru/account/1011358467/", 1011358467)</f>
        <v>1011358467</v>
      </c>
      <c r="D6886">
        <v>32329.42</v>
      </c>
    </row>
    <row r="6887" spans="1:4" x14ac:dyDescent="0.3">
      <c r="A6887" t="s">
        <v>677</v>
      </c>
      <c r="B6887" t="s">
        <v>27</v>
      </c>
      <c r="C6887" s="1">
        <f>HYPERLINK("https://cao.dolgi.msk.ru/account/1011358635/", 1011358635)</f>
        <v>1011358635</v>
      </c>
      <c r="D6887">
        <v>183740.41</v>
      </c>
    </row>
    <row r="6888" spans="1:4" x14ac:dyDescent="0.3">
      <c r="A6888" t="s">
        <v>677</v>
      </c>
      <c r="B6888" t="s">
        <v>29</v>
      </c>
      <c r="C6888" s="1">
        <f>HYPERLINK("https://cao.dolgi.msk.ru/account/1011358379/", 1011358379)</f>
        <v>1011358379</v>
      </c>
      <c r="D6888">
        <v>61956.61</v>
      </c>
    </row>
    <row r="6889" spans="1:4" x14ac:dyDescent="0.3">
      <c r="A6889" t="s">
        <v>682</v>
      </c>
      <c r="B6889" t="s">
        <v>7</v>
      </c>
      <c r="C6889" s="1">
        <f>HYPERLINK("https://cao.dolgi.msk.ru/account/1010259379/", 1010259379)</f>
        <v>1010259379</v>
      </c>
      <c r="D6889">
        <v>7584.31</v>
      </c>
    </row>
    <row r="6890" spans="1:4" x14ac:dyDescent="0.3">
      <c r="A6890" t="s">
        <v>683</v>
      </c>
      <c r="B6890" t="s">
        <v>28</v>
      </c>
      <c r="C6890" s="1">
        <f>HYPERLINK("https://cao.dolgi.msk.ru/account/1011400581/", 1011400581)</f>
        <v>1011400581</v>
      </c>
      <c r="D6890">
        <v>8693.73</v>
      </c>
    </row>
    <row r="6891" spans="1:4" hidden="1" x14ac:dyDescent="0.3">
      <c r="A6891" t="s">
        <v>683</v>
      </c>
      <c r="B6891" t="s">
        <v>35</v>
      </c>
      <c r="C6891" s="1">
        <f>HYPERLINK("https://cao.dolgi.msk.ru/account/1011400557/", 1011400557)</f>
        <v>1011400557</v>
      </c>
      <c r="D6891">
        <v>0</v>
      </c>
    </row>
    <row r="6892" spans="1:4" hidden="1" x14ac:dyDescent="0.3">
      <c r="A6892" t="s">
        <v>683</v>
      </c>
      <c r="B6892" t="s">
        <v>5</v>
      </c>
      <c r="C6892" s="1">
        <f>HYPERLINK("https://cao.dolgi.msk.ru/account/1011400952/", 1011400952)</f>
        <v>1011400952</v>
      </c>
      <c r="D6892">
        <v>0</v>
      </c>
    </row>
    <row r="6893" spans="1:4" hidden="1" x14ac:dyDescent="0.3">
      <c r="A6893" t="s">
        <v>683</v>
      </c>
      <c r="B6893" t="s">
        <v>7</v>
      </c>
      <c r="C6893" s="1">
        <f>HYPERLINK("https://cao.dolgi.msk.ru/account/1011400995/", 1011400995)</f>
        <v>1011400995</v>
      </c>
      <c r="D6893">
        <v>0</v>
      </c>
    </row>
    <row r="6894" spans="1:4" x14ac:dyDescent="0.3">
      <c r="A6894" t="s">
        <v>683</v>
      </c>
      <c r="B6894" t="s">
        <v>8</v>
      </c>
      <c r="C6894" s="1">
        <f>HYPERLINK("https://cao.dolgi.msk.ru/account/1011400565/", 1011400565)</f>
        <v>1011400565</v>
      </c>
      <c r="D6894">
        <v>9962.0499999999993</v>
      </c>
    </row>
    <row r="6895" spans="1:4" hidden="1" x14ac:dyDescent="0.3">
      <c r="A6895" t="s">
        <v>683</v>
      </c>
      <c r="B6895" t="s">
        <v>8</v>
      </c>
      <c r="C6895" s="1">
        <f>HYPERLINK("https://cao.dolgi.msk.ru/account/1011400602/", 1011400602)</f>
        <v>1011400602</v>
      </c>
      <c r="D6895">
        <v>0</v>
      </c>
    </row>
    <row r="6896" spans="1:4" hidden="1" x14ac:dyDescent="0.3">
      <c r="A6896" t="s">
        <v>683</v>
      </c>
      <c r="B6896" t="s">
        <v>31</v>
      </c>
      <c r="C6896" s="1">
        <f>HYPERLINK("https://cao.dolgi.msk.ru/account/1011400813/", 1011400813)</f>
        <v>1011400813</v>
      </c>
      <c r="D6896">
        <v>-8774.4</v>
      </c>
    </row>
    <row r="6897" spans="1:4" hidden="1" x14ac:dyDescent="0.3">
      <c r="A6897" t="s">
        <v>683</v>
      </c>
      <c r="B6897" t="s">
        <v>9</v>
      </c>
      <c r="C6897" s="1">
        <f>HYPERLINK("https://cao.dolgi.msk.ru/account/1011400792/", 1011400792)</f>
        <v>1011400792</v>
      </c>
      <c r="D6897">
        <v>0</v>
      </c>
    </row>
    <row r="6898" spans="1:4" hidden="1" x14ac:dyDescent="0.3">
      <c r="A6898" t="s">
        <v>683</v>
      </c>
      <c r="B6898" t="s">
        <v>10</v>
      </c>
      <c r="C6898" s="1">
        <f>HYPERLINK("https://cao.dolgi.msk.ru/account/1011400856/", 1011400856)</f>
        <v>1011400856</v>
      </c>
      <c r="D6898">
        <v>-1194.21</v>
      </c>
    </row>
    <row r="6899" spans="1:4" hidden="1" x14ac:dyDescent="0.3">
      <c r="A6899" t="s">
        <v>683</v>
      </c>
      <c r="B6899" t="s">
        <v>11</v>
      </c>
      <c r="C6899" s="1">
        <f>HYPERLINK("https://cao.dolgi.msk.ru/account/1011400936/", 1011400936)</f>
        <v>1011400936</v>
      </c>
      <c r="D6899">
        <v>0</v>
      </c>
    </row>
    <row r="6900" spans="1:4" hidden="1" x14ac:dyDescent="0.3">
      <c r="A6900" t="s">
        <v>683</v>
      </c>
      <c r="B6900" t="s">
        <v>12</v>
      </c>
      <c r="C6900" s="1">
        <f>HYPERLINK("https://cao.dolgi.msk.ru/account/1011400899/", 1011400899)</f>
        <v>1011400899</v>
      </c>
      <c r="D6900">
        <v>-9203.76</v>
      </c>
    </row>
    <row r="6901" spans="1:4" hidden="1" x14ac:dyDescent="0.3">
      <c r="A6901" t="s">
        <v>683</v>
      </c>
      <c r="B6901" t="s">
        <v>23</v>
      </c>
      <c r="C6901" s="1">
        <f>HYPERLINK("https://cao.dolgi.msk.ru/account/1011400864/", 1011400864)</f>
        <v>1011400864</v>
      </c>
      <c r="D6901">
        <v>0</v>
      </c>
    </row>
    <row r="6902" spans="1:4" hidden="1" x14ac:dyDescent="0.3">
      <c r="A6902" t="s">
        <v>683</v>
      </c>
      <c r="B6902" t="s">
        <v>13</v>
      </c>
      <c r="C6902" s="1">
        <f>HYPERLINK("https://cao.dolgi.msk.ru/account/1011400872/", 1011400872)</f>
        <v>1011400872</v>
      </c>
      <c r="D6902">
        <v>0</v>
      </c>
    </row>
    <row r="6903" spans="1:4" hidden="1" x14ac:dyDescent="0.3">
      <c r="A6903" t="s">
        <v>683</v>
      </c>
      <c r="B6903" t="s">
        <v>14</v>
      </c>
      <c r="C6903" s="1">
        <f>HYPERLINK("https://cao.dolgi.msk.ru/account/1011400821/", 1011400821)</f>
        <v>1011400821</v>
      </c>
      <c r="D6903">
        <v>0</v>
      </c>
    </row>
    <row r="6904" spans="1:4" hidden="1" x14ac:dyDescent="0.3">
      <c r="A6904" t="s">
        <v>683</v>
      </c>
      <c r="B6904" t="s">
        <v>16</v>
      </c>
      <c r="C6904" s="1">
        <f>HYPERLINK("https://cao.dolgi.msk.ru/account/1011400717/", 1011400717)</f>
        <v>1011400717</v>
      </c>
      <c r="D6904">
        <v>0</v>
      </c>
    </row>
    <row r="6905" spans="1:4" x14ac:dyDescent="0.3">
      <c r="A6905" t="s">
        <v>683</v>
      </c>
      <c r="B6905" t="s">
        <v>17</v>
      </c>
      <c r="C6905" s="1">
        <f>HYPERLINK("https://cao.dolgi.msk.ru/account/1011400805/", 1011400805)</f>
        <v>1011400805</v>
      </c>
      <c r="D6905">
        <v>13619.96</v>
      </c>
    </row>
    <row r="6906" spans="1:4" hidden="1" x14ac:dyDescent="0.3">
      <c r="A6906" t="s">
        <v>683</v>
      </c>
      <c r="B6906" t="s">
        <v>18</v>
      </c>
      <c r="C6906" s="1">
        <f>HYPERLINK("https://cao.dolgi.msk.ru/account/1011400709/", 1011400709)</f>
        <v>1011400709</v>
      </c>
      <c r="D6906">
        <v>-2756.14</v>
      </c>
    </row>
    <row r="6907" spans="1:4" hidden="1" x14ac:dyDescent="0.3">
      <c r="A6907" t="s">
        <v>683</v>
      </c>
      <c r="B6907" t="s">
        <v>19</v>
      </c>
      <c r="C6907" s="1">
        <f>HYPERLINK("https://cao.dolgi.msk.ru/account/1011400725/", 1011400725)</f>
        <v>1011400725</v>
      </c>
      <c r="D6907">
        <v>0</v>
      </c>
    </row>
    <row r="6908" spans="1:4" hidden="1" x14ac:dyDescent="0.3">
      <c r="A6908" t="s">
        <v>683</v>
      </c>
      <c r="B6908" t="s">
        <v>20</v>
      </c>
      <c r="C6908" s="1">
        <f>HYPERLINK("https://cao.dolgi.msk.ru/account/1011400522/", 1011400522)</f>
        <v>1011400522</v>
      </c>
      <c r="D6908">
        <v>0</v>
      </c>
    </row>
    <row r="6909" spans="1:4" hidden="1" x14ac:dyDescent="0.3">
      <c r="A6909" t="s">
        <v>683</v>
      </c>
      <c r="B6909" t="s">
        <v>21</v>
      </c>
      <c r="C6909" s="1">
        <f>HYPERLINK("https://cao.dolgi.msk.ru/account/1011400928/", 1011400928)</f>
        <v>1011400928</v>
      </c>
      <c r="D6909">
        <v>0</v>
      </c>
    </row>
    <row r="6910" spans="1:4" hidden="1" x14ac:dyDescent="0.3">
      <c r="A6910" t="s">
        <v>683</v>
      </c>
      <c r="B6910" t="s">
        <v>21</v>
      </c>
      <c r="C6910" s="1">
        <f>HYPERLINK("https://cao.dolgi.msk.ru/account/1011505324/", 1011505324)</f>
        <v>1011505324</v>
      </c>
      <c r="D6910">
        <v>0</v>
      </c>
    </row>
    <row r="6911" spans="1:4" hidden="1" x14ac:dyDescent="0.3">
      <c r="A6911" t="s">
        <v>683</v>
      </c>
      <c r="B6911" t="s">
        <v>22</v>
      </c>
      <c r="C6911" s="1">
        <f>HYPERLINK("https://cao.dolgi.msk.ru/account/1011400653/", 1011400653)</f>
        <v>1011400653</v>
      </c>
      <c r="D6911">
        <v>-141.58000000000001</v>
      </c>
    </row>
    <row r="6912" spans="1:4" hidden="1" x14ac:dyDescent="0.3">
      <c r="A6912" t="s">
        <v>683</v>
      </c>
      <c r="B6912" t="s">
        <v>24</v>
      </c>
      <c r="C6912" s="1">
        <f>HYPERLINK("https://cao.dolgi.msk.ru/account/1011400944/", 1011400944)</f>
        <v>1011400944</v>
      </c>
      <c r="D6912">
        <v>0</v>
      </c>
    </row>
    <row r="6913" spans="1:4" x14ac:dyDescent="0.3">
      <c r="A6913" t="s">
        <v>683</v>
      </c>
      <c r="B6913" t="s">
        <v>25</v>
      </c>
      <c r="C6913" s="1">
        <f>HYPERLINK("https://cao.dolgi.msk.ru/account/1011401058/", 1011401058)</f>
        <v>1011401058</v>
      </c>
      <c r="D6913">
        <v>18665.240000000002</v>
      </c>
    </row>
    <row r="6914" spans="1:4" hidden="1" x14ac:dyDescent="0.3">
      <c r="A6914" t="s">
        <v>683</v>
      </c>
      <c r="B6914" t="s">
        <v>26</v>
      </c>
      <c r="C6914" s="1">
        <f>HYPERLINK("https://cao.dolgi.msk.ru/account/1011400661/", 1011400661)</f>
        <v>1011400661</v>
      </c>
      <c r="D6914">
        <v>0</v>
      </c>
    </row>
    <row r="6915" spans="1:4" x14ac:dyDescent="0.3">
      <c r="A6915" t="s">
        <v>683</v>
      </c>
      <c r="B6915" t="s">
        <v>27</v>
      </c>
      <c r="C6915" s="1">
        <f>HYPERLINK("https://cao.dolgi.msk.ru/account/1011400629/", 1011400629)</f>
        <v>1011400629</v>
      </c>
      <c r="D6915">
        <v>16936.13</v>
      </c>
    </row>
    <row r="6916" spans="1:4" hidden="1" x14ac:dyDescent="0.3">
      <c r="A6916" t="s">
        <v>683</v>
      </c>
      <c r="B6916" t="s">
        <v>29</v>
      </c>
      <c r="C6916" s="1">
        <f>HYPERLINK("https://cao.dolgi.msk.ru/account/1011401031/", 1011401031)</f>
        <v>1011401031</v>
      </c>
      <c r="D6916">
        <v>0</v>
      </c>
    </row>
    <row r="6917" spans="1:4" hidden="1" x14ac:dyDescent="0.3">
      <c r="A6917" t="s">
        <v>683</v>
      </c>
      <c r="B6917" t="s">
        <v>38</v>
      </c>
      <c r="C6917" s="1">
        <f>HYPERLINK("https://cao.dolgi.msk.ru/account/1011401015/", 1011401015)</f>
        <v>1011401015</v>
      </c>
      <c r="D6917">
        <v>0</v>
      </c>
    </row>
    <row r="6918" spans="1:4" x14ac:dyDescent="0.3">
      <c r="A6918" t="s">
        <v>683</v>
      </c>
      <c r="B6918" t="s">
        <v>39</v>
      </c>
      <c r="C6918" s="1">
        <f>HYPERLINK("https://cao.dolgi.msk.ru/account/1011400979/", 1011400979)</f>
        <v>1011400979</v>
      </c>
      <c r="D6918">
        <v>156715.10999999999</v>
      </c>
    </row>
    <row r="6919" spans="1:4" hidden="1" x14ac:dyDescent="0.3">
      <c r="A6919" t="s">
        <v>683</v>
      </c>
      <c r="B6919" t="s">
        <v>40</v>
      </c>
      <c r="C6919" s="1">
        <f>HYPERLINK("https://cao.dolgi.msk.ru/account/1011400901/", 1011400901)</f>
        <v>1011400901</v>
      </c>
      <c r="D6919">
        <v>-34254.69</v>
      </c>
    </row>
    <row r="6920" spans="1:4" x14ac:dyDescent="0.3">
      <c r="A6920" t="s">
        <v>683</v>
      </c>
      <c r="B6920" t="s">
        <v>41</v>
      </c>
      <c r="C6920" s="1">
        <f>HYPERLINK("https://cao.dolgi.msk.ru/account/1011400733/", 1011400733)</f>
        <v>1011400733</v>
      </c>
      <c r="D6920">
        <v>4547.1099999999997</v>
      </c>
    </row>
    <row r="6921" spans="1:4" hidden="1" x14ac:dyDescent="0.3">
      <c r="A6921" t="s">
        <v>683</v>
      </c>
      <c r="B6921" t="s">
        <v>51</v>
      </c>
      <c r="C6921" s="1">
        <f>HYPERLINK("https://cao.dolgi.msk.ru/account/1011400848/", 1011400848)</f>
        <v>1011400848</v>
      </c>
      <c r="D6921">
        <v>0</v>
      </c>
    </row>
    <row r="6922" spans="1:4" hidden="1" x14ac:dyDescent="0.3">
      <c r="A6922" t="s">
        <v>683</v>
      </c>
      <c r="B6922" t="s">
        <v>52</v>
      </c>
      <c r="C6922" s="1">
        <f>HYPERLINK("https://cao.dolgi.msk.ru/account/1011400696/", 1011400696)</f>
        <v>1011400696</v>
      </c>
      <c r="D6922">
        <v>0</v>
      </c>
    </row>
    <row r="6923" spans="1:4" hidden="1" x14ac:dyDescent="0.3">
      <c r="A6923" t="s">
        <v>683</v>
      </c>
      <c r="B6923" t="s">
        <v>53</v>
      </c>
      <c r="C6923" s="1">
        <f>HYPERLINK("https://cao.dolgi.msk.ru/account/1011400637/", 1011400637)</f>
        <v>1011400637</v>
      </c>
      <c r="D6923">
        <v>0</v>
      </c>
    </row>
    <row r="6924" spans="1:4" hidden="1" x14ac:dyDescent="0.3">
      <c r="A6924" t="s">
        <v>683</v>
      </c>
      <c r="B6924" t="s">
        <v>54</v>
      </c>
      <c r="C6924" s="1">
        <f>HYPERLINK("https://cao.dolgi.msk.ru/account/1011400987/", 1011400987)</f>
        <v>1011400987</v>
      </c>
      <c r="D6924">
        <v>-5955.81</v>
      </c>
    </row>
    <row r="6925" spans="1:4" hidden="1" x14ac:dyDescent="0.3">
      <c r="A6925" t="s">
        <v>683</v>
      </c>
      <c r="B6925" t="s">
        <v>55</v>
      </c>
      <c r="C6925" s="1">
        <f>HYPERLINK("https://cao.dolgi.msk.ru/account/1011400784/", 1011400784)</f>
        <v>1011400784</v>
      </c>
      <c r="D6925">
        <v>0</v>
      </c>
    </row>
    <row r="6926" spans="1:4" x14ac:dyDescent="0.3">
      <c r="A6926" t="s">
        <v>683</v>
      </c>
      <c r="B6926" t="s">
        <v>56</v>
      </c>
      <c r="C6926" s="1">
        <f>HYPERLINK("https://cao.dolgi.msk.ru/account/1011400514/", 1011400514)</f>
        <v>1011400514</v>
      </c>
      <c r="D6926">
        <v>17433</v>
      </c>
    </row>
    <row r="6927" spans="1:4" x14ac:dyDescent="0.3">
      <c r="A6927" t="s">
        <v>683</v>
      </c>
      <c r="B6927" t="s">
        <v>87</v>
      </c>
      <c r="C6927" s="1">
        <f>HYPERLINK("https://cao.dolgi.msk.ru/account/1011401007/", 1011401007)</f>
        <v>1011401007</v>
      </c>
      <c r="D6927">
        <v>4760.54</v>
      </c>
    </row>
    <row r="6928" spans="1:4" hidden="1" x14ac:dyDescent="0.3">
      <c r="A6928" t="s">
        <v>683</v>
      </c>
      <c r="B6928" t="s">
        <v>88</v>
      </c>
      <c r="C6928" s="1">
        <f>HYPERLINK("https://cao.dolgi.msk.ru/account/1011400645/", 1011400645)</f>
        <v>1011400645</v>
      </c>
      <c r="D6928">
        <v>0</v>
      </c>
    </row>
    <row r="6929" spans="1:4" hidden="1" x14ac:dyDescent="0.3">
      <c r="A6929" t="s">
        <v>683</v>
      </c>
      <c r="B6929" t="s">
        <v>89</v>
      </c>
      <c r="C6929" s="1">
        <f>HYPERLINK("https://cao.dolgi.msk.ru/account/1011400688/", 1011400688)</f>
        <v>1011400688</v>
      </c>
      <c r="D6929">
        <v>0</v>
      </c>
    </row>
    <row r="6930" spans="1:4" hidden="1" x14ac:dyDescent="0.3">
      <c r="A6930" t="s">
        <v>683</v>
      </c>
      <c r="B6930" t="s">
        <v>90</v>
      </c>
      <c r="C6930" s="1">
        <f>HYPERLINK("https://cao.dolgi.msk.ru/account/1011400768/", 1011400768)</f>
        <v>1011400768</v>
      </c>
      <c r="D6930">
        <v>-9496.8700000000008</v>
      </c>
    </row>
    <row r="6931" spans="1:4" hidden="1" x14ac:dyDescent="0.3">
      <c r="A6931" t="s">
        <v>683</v>
      </c>
      <c r="B6931" t="s">
        <v>96</v>
      </c>
      <c r="C6931" s="1">
        <f>HYPERLINK("https://cao.dolgi.msk.ru/account/1011401023/", 1011401023)</f>
        <v>1011401023</v>
      </c>
      <c r="D6931">
        <v>0</v>
      </c>
    </row>
    <row r="6932" spans="1:4" hidden="1" x14ac:dyDescent="0.3">
      <c r="A6932" t="s">
        <v>683</v>
      </c>
      <c r="B6932" t="s">
        <v>97</v>
      </c>
      <c r="C6932" s="1">
        <f>HYPERLINK("https://cao.dolgi.msk.ru/account/1011400776/", 1011400776)</f>
        <v>1011400776</v>
      </c>
      <c r="D6932">
        <v>0</v>
      </c>
    </row>
    <row r="6933" spans="1:4" hidden="1" x14ac:dyDescent="0.3">
      <c r="A6933" t="s">
        <v>683</v>
      </c>
      <c r="B6933" t="s">
        <v>98</v>
      </c>
      <c r="C6933" s="1">
        <f>HYPERLINK("https://cao.dolgi.msk.ru/account/1011400741/", 1011400741)</f>
        <v>1011400741</v>
      </c>
      <c r="D6933">
        <v>0</v>
      </c>
    </row>
    <row r="6934" spans="1:4" hidden="1" x14ac:dyDescent="0.3">
      <c r="A6934" t="s">
        <v>683</v>
      </c>
      <c r="B6934" t="s">
        <v>58</v>
      </c>
      <c r="C6934" s="1">
        <f>HYPERLINK("https://cao.dolgi.msk.ru/account/1011400573/", 1011400573)</f>
        <v>1011400573</v>
      </c>
      <c r="D6934">
        <v>0</v>
      </c>
    </row>
    <row r="6935" spans="1:4" hidden="1" x14ac:dyDescent="0.3">
      <c r="A6935" t="s">
        <v>683</v>
      </c>
      <c r="B6935" t="s">
        <v>59</v>
      </c>
      <c r="C6935" s="1">
        <f>HYPERLINK("https://cao.dolgi.msk.ru/account/1011400549/", 1011400549)</f>
        <v>1011400549</v>
      </c>
      <c r="D6935">
        <v>0</v>
      </c>
    </row>
    <row r="6936" spans="1:4" hidden="1" x14ac:dyDescent="0.3">
      <c r="A6936" t="s">
        <v>684</v>
      </c>
      <c r="B6936" t="s">
        <v>6</v>
      </c>
      <c r="C6936" s="1">
        <f>HYPERLINK("https://cao.dolgi.msk.ru/account/1011469028/", 1011469028)</f>
        <v>1011469028</v>
      </c>
      <c r="D6936">
        <v>-339.34</v>
      </c>
    </row>
    <row r="6937" spans="1:4" hidden="1" x14ac:dyDescent="0.3">
      <c r="A6937" t="s">
        <v>684</v>
      </c>
      <c r="B6937" t="s">
        <v>28</v>
      </c>
      <c r="C6937" s="1">
        <f>HYPERLINK("https://cao.dolgi.msk.ru/account/1011469087/", 1011469087)</f>
        <v>1011469087</v>
      </c>
      <c r="D6937">
        <v>-13694.24</v>
      </c>
    </row>
    <row r="6938" spans="1:4" hidden="1" x14ac:dyDescent="0.3">
      <c r="A6938" t="s">
        <v>684</v>
      </c>
      <c r="B6938" t="s">
        <v>35</v>
      </c>
      <c r="C6938" s="1">
        <f>HYPERLINK("https://cao.dolgi.msk.ru/account/1011469052/", 1011469052)</f>
        <v>1011469052</v>
      </c>
      <c r="D6938">
        <v>-7722.63</v>
      </c>
    </row>
    <row r="6939" spans="1:4" hidden="1" x14ac:dyDescent="0.3">
      <c r="A6939" t="s">
        <v>684</v>
      </c>
      <c r="B6939" t="s">
        <v>5</v>
      </c>
      <c r="C6939" s="1">
        <f>HYPERLINK("https://cao.dolgi.msk.ru/account/1011469036/", 1011469036)</f>
        <v>1011469036</v>
      </c>
      <c r="D6939">
        <v>0</v>
      </c>
    </row>
    <row r="6940" spans="1:4" hidden="1" x14ac:dyDescent="0.3">
      <c r="A6940" t="s">
        <v>684</v>
      </c>
      <c r="B6940" t="s">
        <v>7</v>
      </c>
      <c r="C6940" s="1">
        <f>HYPERLINK("https://cao.dolgi.msk.ru/account/1011469132/", 1011469132)</f>
        <v>1011469132</v>
      </c>
      <c r="D6940">
        <v>0</v>
      </c>
    </row>
    <row r="6941" spans="1:4" hidden="1" x14ac:dyDescent="0.3">
      <c r="A6941" t="s">
        <v>684</v>
      </c>
      <c r="B6941" t="s">
        <v>8</v>
      </c>
      <c r="C6941" s="1">
        <f>HYPERLINK("https://cao.dolgi.msk.ru/account/1011469044/", 1011469044)</f>
        <v>1011469044</v>
      </c>
      <c r="D6941">
        <v>0</v>
      </c>
    </row>
    <row r="6942" spans="1:4" hidden="1" x14ac:dyDescent="0.3">
      <c r="A6942" t="s">
        <v>684</v>
      </c>
      <c r="B6942" t="s">
        <v>31</v>
      </c>
      <c r="C6942" s="1">
        <f>HYPERLINK("https://cao.dolgi.msk.ru/account/1011468957/", 1011468957)</f>
        <v>1011468957</v>
      </c>
      <c r="D6942">
        <v>-936</v>
      </c>
    </row>
    <row r="6943" spans="1:4" hidden="1" x14ac:dyDescent="0.3">
      <c r="A6943" t="s">
        <v>684</v>
      </c>
      <c r="B6943" t="s">
        <v>9</v>
      </c>
      <c r="C6943" s="1">
        <f>HYPERLINK("https://cao.dolgi.msk.ru/account/1011468981/", 1011468981)</f>
        <v>1011468981</v>
      </c>
      <c r="D6943">
        <v>0</v>
      </c>
    </row>
    <row r="6944" spans="1:4" hidden="1" x14ac:dyDescent="0.3">
      <c r="A6944" t="s">
        <v>684</v>
      </c>
      <c r="B6944" t="s">
        <v>10</v>
      </c>
      <c r="C6944" s="1">
        <f>HYPERLINK("https://cao.dolgi.msk.ru/account/1011468973/", 1011468973)</f>
        <v>1011468973</v>
      </c>
      <c r="D6944">
        <v>-1400.29</v>
      </c>
    </row>
    <row r="6945" spans="1:4" hidden="1" x14ac:dyDescent="0.3">
      <c r="A6945" t="s">
        <v>684</v>
      </c>
      <c r="B6945" t="s">
        <v>11</v>
      </c>
      <c r="C6945" s="1">
        <f>HYPERLINK("https://cao.dolgi.msk.ru/account/1011469079/", 1011469079)</f>
        <v>1011469079</v>
      </c>
      <c r="D6945">
        <v>0</v>
      </c>
    </row>
    <row r="6946" spans="1:4" hidden="1" x14ac:dyDescent="0.3">
      <c r="A6946" t="s">
        <v>684</v>
      </c>
      <c r="B6946" t="s">
        <v>12</v>
      </c>
      <c r="C6946" s="1">
        <f>HYPERLINK("https://cao.dolgi.msk.ru/account/1011469159/", 1011469159)</f>
        <v>1011469159</v>
      </c>
      <c r="D6946">
        <v>0</v>
      </c>
    </row>
    <row r="6947" spans="1:4" hidden="1" x14ac:dyDescent="0.3">
      <c r="A6947" t="s">
        <v>684</v>
      </c>
      <c r="B6947" t="s">
        <v>23</v>
      </c>
      <c r="C6947" s="1">
        <f>HYPERLINK("https://cao.dolgi.msk.ru/account/1011468949/", 1011468949)</f>
        <v>1011468949</v>
      </c>
      <c r="D6947">
        <v>-4106.59</v>
      </c>
    </row>
    <row r="6948" spans="1:4" hidden="1" x14ac:dyDescent="0.3">
      <c r="A6948" t="s">
        <v>684</v>
      </c>
      <c r="B6948" t="s">
        <v>13</v>
      </c>
      <c r="C6948" s="1">
        <f>HYPERLINK("https://cao.dolgi.msk.ru/account/1011469175/", 1011469175)</f>
        <v>1011469175</v>
      </c>
      <c r="D6948">
        <v>-346.72</v>
      </c>
    </row>
    <row r="6949" spans="1:4" hidden="1" x14ac:dyDescent="0.3">
      <c r="A6949" t="s">
        <v>684</v>
      </c>
      <c r="B6949" t="s">
        <v>14</v>
      </c>
      <c r="C6949" s="1">
        <f>HYPERLINK("https://cao.dolgi.msk.ru/account/1011469108/", 1011469108)</f>
        <v>1011469108</v>
      </c>
      <c r="D6949">
        <v>-3511.25</v>
      </c>
    </row>
    <row r="6950" spans="1:4" hidden="1" x14ac:dyDescent="0.3">
      <c r="A6950" t="s">
        <v>684</v>
      </c>
      <c r="B6950" t="s">
        <v>16</v>
      </c>
      <c r="C6950" s="1">
        <f>HYPERLINK("https://cao.dolgi.msk.ru/account/1011469167/", 1011469167)</f>
        <v>1011469167</v>
      </c>
      <c r="D6950">
        <v>0</v>
      </c>
    </row>
    <row r="6951" spans="1:4" hidden="1" x14ac:dyDescent="0.3">
      <c r="A6951" t="s">
        <v>684</v>
      </c>
      <c r="B6951" t="s">
        <v>17</v>
      </c>
      <c r="C6951" s="1">
        <f>HYPERLINK("https://cao.dolgi.msk.ru/account/1011469124/", 1011469124)</f>
        <v>1011469124</v>
      </c>
      <c r="D6951">
        <v>-63.54</v>
      </c>
    </row>
    <row r="6952" spans="1:4" hidden="1" x14ac:dyDescent="0.3">
      <c r="A6952" t="s">
        <v>684</v>
      </c>
      <c r="B6952" t="s">
        <v>18</v>
      </c>
      <c r="C6952" s="1">
        <f>HYPERLINK("https://cao.dolgi.msk.ru/account/1011469116/", 1011469116)</f>
        <v>1011469116</v>
      </c>
      <c r="D6952">
        <v>0</v>
      </c>
    </row>
    <row r="6953" spans="1:4" x14ac:dyDescent="0.3">
      <c r="A6953" t="s">
        <v>684</v>
      </c>
      <c r="B6953" t="s">
        <v>19</v>
      </c>
      <c r="C6953" s="1">
        <f>HYPERLINK("https://cao.dolgi.msk.ru/account/1011468965/", 1011468965)</f>
        <v>1011468965</v>
      </c>
      <c r="D6953">
        <v>27186.68</v>
      </c>
    </row>
    <row r="6954" spans="1:4" x14ac:dyDescent="0.3">
      <c r="A6954" t="s">
        <v>684</v>
      </c>
      <c r="B6954" t="s">
        <v>20</v>
      </c>
      <c r="C6954" s="1">
        <f>HYPERLINK("https://cao.dolgi.msk.ru/account/1011469095/", 1011469095)</f>
        <v>1011469095</v>
      </c>
      <c r="D6954">
        <v>4394.08</v>
      </c>
    </row>
    <row r="6955" spans="1:4" hidden="1" x14ac:dyDescent="0.3">
      <c r="A6955" t="s">
        <v>684</v>
      </c>
      <c r="B6955" t="s">
        <v>21</v>
      </c>
      <c r="C6955" s="1">
        <f>HYPERLINK("https://cao.dolgi.msk.ru/account/1011469001/", 1011469001)</f>
        <v>1011469001</v>
      </c>
      <c r="D6955">
        <v>-512.01</v>
      </c>
    </row>
    <row r="6956" spans="1:4" hidden="1" x14ac:dyDescent="0.3">
      <c r="A6956" t="s">
        <v>685</v>
      </c>
      <c r="B6956" t="s">
        <v>6</v>
      </c>
      <c r="C6956" s="1">
        <f>HYPERLINK("https://cao.dolgi.msk.ru/account/1011530589/", 1011530589)</f>
        <v>1011530589</v>
      </c>
      <c r="D6956">
        <v>-7430.65</v>
      </c>
    </row>
    <row r="6957" spans="1:4" x14ac:dyDescent="0.3">
      <c r="A6957" t="s">
        <v>685</v>
      </c>
      <c r="B6957" t="s">
        <v>35</v>
      </c>
      <c r="C6957" s="1">
        <f>HYPERLINK("https://cao.dolgi.msk.ru/account/1011469191/", 1011469191)</f>
        <v>1011469191</v>
      </c>
      <c r="D6957">
        <v>58932.4</v>
      </c>
    </row>
    <row r="6958" spans="1:4" hidden="1" x14ac:dyDescent="0.3">
      <c r="A6958" t="s">
        <v>685</v>
      </c>
      <c r="B6958" t="s">
        <v>35</v>
      </c>
      <c r="C6958" s="1">
        <f>HYPERLINK("https://cao.dolgi.msk.ru/account/1011469247/", 1011469247)</f>
        <v>1011469247</v>
      </c>
      <c r="D6958">
        <v>0</v>
      </c>
    </row>
    <row r="6959" spans="1:4" hidden="1" x14ac:dyDescent="0.3">
      <c r="A6959" t="s">
        <v>685</v>
      </c>
      <c r="B6959" t="s">
        <v>35</v>
      </c>
      <c r="C6959" s="1">
        <f>HYPERLINK("https://cao.dolgi.msk.ru/account/1011469351/", 1011469351)</f>
        <v>1011469351</v>
      </c>
      <c r="D6959">
        <v>0</v>
      </c>
    </row>
    <row r="6960" spans="1:4" hidden="1" x14ac:dyDescent="0.3">
      <c r="A6960" t="s">
        <v>685</v>
      </c>
      <c r="B6960" t="s">
        <v>5</v>
      </c>
      <c r="C6960" s="1">
        <f>HYPERLINK("https://cao.dolgi.msk.ru/account/1011469239/", 1011469239)</f>
        <v>1011469239</v>
      </c>
      <c r="D6960">
        <v>0</v>
      </c>
    </row>
    <row r="6961" spans="1:4" hidden="1" x14ac:dyDescent="0.3">
      <c r="A6961" t="s">
        <v>685</v>
      </c>
      <c r="B6961" t="s">
        <v>5</v>
      </c>
      <c r="C6961" s="1">
        <f>HYPERLINK("https://cao.dolgi.msk.ru/account/1011469327/", 1011469327)</f>
        <v>1011469327</v>
      </c>
      <c r="D6961">
        <v>0</v>
      </c>
    </row>
    <row r="6962" spans="1:4" hidden="1" x14ac:dyDescent="0.3">
      <c r="A6962" t="s">
        <v>685</v>
      </c>
      <c r="B6962" t="s">
        <v>7</v>
      </c>
      <c r="C6962" s="1">
        <f>HYPERLINK("https://cao.dolgi.msk.ru/account/1011469423/", 1011469423)</f>
        <v>1011469423</v>
      </c>
      <c r="D6962">
        <v>-34910.239999999998</v>
      </c>
    </row>
    <row r="6963" spans="1:4" hidden="1" x14ac:dyDescent="0.3">
      <c r="A6963" t="s">
        <v>685</v>
      </c>
      <c r="B6963" t="s">
        <v>8</v>
      </c>
      <c r="C6963" s="1">
        <f>HYPERLINK("https://cao.dolgi.msk.ru/account/1011469394/", 1011469394)</f>
        <v>1011469394</v>
      </c>
      <c r="D6963">
        <v>-1278.42</v>
      </c>
    </row>
    <row r="6964" spans="1:4" hidden="1" x14ac:dyDescent="0.3">
      <c r="A6964" t="s">
        <v>685</v>
      </c>
      <c r="B6964" t="s">
        <v>31</v>
      </c>
      <c r="C6964" s="1">
        <f>HYPERLINK("https://cao.dolgi.msk.ru/account/1011469319/", 1011469319)</f>
        <v>1011469319</v>
      </c>
      <c r="D6964">
        <v>0</v>
      </c>
    </row>
    <row r="6965" spans="1:4" x14ac:dyDescent="0.3">
      <c r="A6965" t="s">
        <v>685</v>
      </c>
      <c r="B6965" t="s">
        <v>9</v>
      </c>
      <c r="C6965" s="1">
        <f>HYPERLINK("https://cao.dolgi.msk.ru/account/1011469335/", 1011469335)</f>
        <v>1011469335</v>
      </c>
      <c r="D6965">
        <v>25586.51</v>
      </c>
    </row>
    <row r="6966" spans="1:4" hidden="1" x14ac:dyDescent="0.3">
      <c r="A6966" t="s">
        <v>685</v>
      </c>
      <c r="B6966" t="s">
        <v>9</v>
      </c>
      <c r="C6966" s="1">
        <f>HYPERLINK("https://cao.dolgi.msk.ru/account/1011469378/", 1011469378)</f>
        <v>1011469378</v>
      </c>
      <c r="D6966">
        <v>-3076.76</v>
      </c>
    </row>
    <row r="6967" spans="1:4" x14ac:dyDescent="0.3">
      <c r="A6967" t="s">
        <v>685</v>
      </c>
      <c r="B6967" t="s">
        <v>10</v>
      </c>
      <c r="C6967" s="1">
        <f>HYPERLINK("https://cao.dolgi.msk.ru/account/1011469263/", 1011469263)</f>
        <v>1011469263</v>
      </c>
      <c r="D6967">
        <v>27714.12</v>
      </c>
    </row>
    <row r="6968" spans="1:4" x14ac:dyDescent="0.3">
      <c r="A6968" t="s">
        <v>685</v>
      </c>
      <c r="B6968" t="s">
        <v>10</v>
      </c>
      <c r="C6968" s="1">
        <f>HYPERLINK("https://cao.dolgi.msk.ru/account/1011469386/", 1011469386)</f>
        <v>1011469386</v>
      </c>
      <c r="D6968">
        <v>13053.66</v>
      </c>
    </row>
    <row r="6969" spans="1:4" x14ac:dyDescent="0.3">
      <c r="A6969" t="s">
        <v>685</v>
      </c>
      <c r="B6969" t="s">
        <v>10</v>
      </c>
      <c r="C6969" s="1">
        <f>HYPERLINK("https://cao.dolgi.msk.ru/account/1011469407/", 1011469407)</f>
        <v>1011469407</v>
      </c>
      <c r="D6969">
        <v>15867.52</v>
      </c>
    </row>
    <row r="6970" spans="1:4" hidden="1" x14ac:dyDescent="0.3">
      <c r="A6970" t="s">
        <v>685</v>
      </c>
      <c r="B6970" t="s">
        <v>11</v>
      </c>
      <c r="C6970" s="1">
        <f>HYPERLINK("https://cao.dolgi.msk.ru/account/1011469271/", 1011469271)</f>
        <v>1011469271</v>
      </c>
      <c r="D6970">
        <v>0</v>
      </c>
    </row>
    <row r="6971" spans="1:4" x14ac:dyDescent="0.3">
      <c r="A6971" t="s">
        <v>685</v>
      </c>
      <c r="B6971" t="s">
        <v>12</v>
      </c>
      <c r="C6971" s="1">
        <f>HYPERLINK("https://cao.dolgi.msk.ru/account/1011469298/", 1011469298)</f>
        <v>1011469298</v>
      </c>
      <c r="D6971">
        <v>22138.560000000001</v>
      </c>
    </row>
    <row r="6972" spans="1:4" x14ac:dyDescent="0.3">
      <c r="A6972" t="s">
        <v>685</v>
      </c>
      <c r="B6972" t="s">
        <v>23</v>
      </c>
      <c r="C6972" s="1">
        <f>HYPERLINK("https://cao.dolgi.msk.ru/account/1011469343/", 1011469343)</f>
        <v>1011469343</v>
      </c>
      <c r="D6972">
        <v>25913.48</v>
      </c>
    </row>
    <row r="6973" spans="1:4" hidden="1" x14ac:dyDescent="0.3">
      <c r="A6973" t="s">
        <v>685</v>
      </c>
      <c r="B6973" t="s">
        <v>56</v>
      </c>
      <c r="C6973" s="1">
        <f>HYPERLINK("https://cao.dolgi.msk.ru/account/1011469204/", 1011469204)</f>
        <v>1011469204</v>
      </c>
      <c r="D6973">
        <v>0</v>
      </c>
    </row>
    <row r="6974" spans="1:4" hidden="1" x14ac:dyDescent="0.3">
      <c r="A6974" t="s">
        <v>685</v>
      </c>
      <c r="B6974" t="s">
        <v>61</v>
      </c>
      <c r="C6974" s="1">
        <f>HYPERLINK("https://cao.dolgi.msk.ru/account/1011469415/", 1011469415)</f>
        <v>1011469415</v>
      </c>
      <c r="D6974">
        <v>0</v>
      </c>
    </row>
    <row r="6975" spans="1:4" hidden="1" x14ac:dyDescent="0.3">
      <c r="A6975" t="s">
        <v>685</v>
      </c>
      <c r="B6975" t="s">
        <v>70</v>
      </c>
      <c r="C6975" s="1">
        <f>HYPERLINK("https://cao.dolgi.msk.ru/account/1011469183/", 1011469183)</f>
        <v>1011469183</v>
      </c>
      <c r="D6975">
        <v>0</v>
      </c>
    </row>
    <row r="6976" spans="1:4" hidden="1" x14ac:dyDescent="0.3">
      <c r="A6976" t="s">
        <v>685</v>
      </c>
      <c r="B6976" t="s">
        <v>70</v>
      </c>
      <c r="C6976" s="1">
        <f>HYPERLINK("https://cao.dolgi.msk.ru/account/1011469212/", 1011469212)</f>
        <v>1011469212</v>
      </c>
      <c r="D6976">
        <v>0</v>
      </c>
    </row>
    <row r="6977" spans="1:4" hidden="1" x14ac:dyDescent="0.3">
      <c r="A6977" t="s">
        <v>686</v>
      </c>
      <c r="B6977" t="s">
        <v>6</v>
      </c>
      <c r="C6977" s="1">
        <f>HYPERLINK("https://cao.dolgi.msk.ru/account/1011133989/", 1011133989)</f>
        <v>1011133989</v>
      </c>
      <c r="D6977">
        <v>-12696.05</v>
      </c>
    </row>
    <row r="6978" spans="1:4" x14ac:dyDescent="0.3">
      <c r="A6978" t="s">
        <v>686</v>
      </c>
      <c r="B6978" t="s">
        <v>28</v>
      </c>
      <c r="C6978" s="1">
        <f>HYPERLINK("https://cao.dolgi.msk.ru/account/1011134092/", 1011134092)</f>
        <v>1011134092</v>
      </c>
      <c r="D6978">
        <v>5265.26</v>
      </c>
    </row>
    <row r="6979" spans="1:4" hidden="1" x14ac:dyDescent="0.3">
      <c r="A6979" t="s">
        <v>686</v>
      </c>
      <c r="B6979" t="s">
        <v>35</v>
      </c>
      <c r="C6979" s="1">
        <f>HYPERLINK("https://cao.dolgi.msk.ru/account/1011134316/", 1011134316)</f>
        <v>1011134316</v>
      </c>
      <c r="D6979">
        <v>0</v>
      </c>
    </row>
    <row r="6980" spans="1:4" hidden="1" x14ac:dyDescent="0.3">
      <c r="A6980" t="s">
        <v>686</v>
      </c>
      <c r="B6980" t="s">
        <v>5</v>
      </c>
      <c r="C6980" s="1">
        <f>HYPERLINK("https://cao.dolgi.msk.ru/account/1011134332/", 1011134332)</f>
        <v>1011134332</v>
      </c>
      <c r="D6980">
        <v>-8941.84</v>
      </c>
    </row>
    <row r="6981" spans="1:4" hidden="1" x14ac:dyDescent="0.3">
      <c r="A6981" t="s">
        <v>686</v>
      </c>
      <c r="B6981" t="s">
        <v>7</v>
      </c>
      <c r="C6981" s="1">
        <f>HYPERLINK("https://cao.dolgi.msk.ru/account/1011134121/", 1011134121)</f>
        <v>1011134121</v>
      </c>
      <c r="D6981">
        <v>-5.84</v>
      </c>
    </row>
    <row r="6982" spans="1:4" x14ac:dyDescent="0.3">
      <c r="A6982" t="s">
        <v>686</v>
      </c>
      <c r="B6982" t="s">
        <v>8</v>
      </c>
      <c r="C6982" s="1">
        <f>HYPERLINK("https://cao.dolgi.msk.ru/account/1011134033/", 1011134033)</f>
        <v>1011134033</v>
      </c>
      <c r="D6982">
        <v>18754.599999999999</v>
      </c>
    </row>
    <row r="6983" spans="1:4" hidden="1" x14ac:dyDescent="0.3">
      <c r="A6983" t="s">
        <v>686</v>
      </c>
      <c r="B6983" t="s">
        <v>31</v>
      </c>
      <c r="C6983" s="1">
        <f>HYPERLINK("https://cao.dolgi.msk.ru/account/1011134113/", 1011134113)</f>
        <v>1011134113</v>
      </c>
      <c r="D6983">
        <v>0</v>
      </c>
    </row>
    <row r="6984" spans="1:4" hidden="1" x14ac:dyDescent="0.3">
      <c r="A6984" t="s">
        <v>686</v>
      </c>
      <c r="B6984" t="s">
        <v>31</v>
      </c>
      <c r="C6984" s="1">
        <f>HYPERLINK("https://cao.dolgi.msk.ru/account/1011134279/", 1011134279)</f>
        <v>1011134279</v>
      </c>
      <c r="D6984">
        <v>0</v>
      </c>
    </row>
    <row r="6985" spans="1:4" hidden="1" x14ac:dyDescent="0.3">
      <c r="A6985" t="s">
        <v>686</v>
      </c>
      <c r="B6985" t="s">
        <v>9</v>
      </c>
      <c r="C6985" s="1">
        <f>HYPERLINK("https://cao.dolgi.msk.ru/account/1011134308/", 1011134308)</f>
        <v>1011134308</v>
      </c>
      <c r="D6985">
        <v>0</v>
      </c>
    </row>
    <row r="6986" spans="1:4" hidden="1" x14ac:dyDescent="0.3">
      <c r="A6986" t="s">
        <v>686</v>
      </c>
      <c r="B6986" t="s">
        <v>10</v>
      </c>
      <c r="C6986" s="1">
        <f>HYPERLINK("https://cao.dolgi.msk.ru/account/1011134041/", 1011134041)</f>
        <v>1011134041</v>
      </c>
      <c r="D6986">
        <v>-1284.02</v>
      </c>
    </row>
    <row r="6987" spans="1:4" hidden="1" x14ac:dyDescent="0.3">
      <c r="A6987" t="s">
        <v>686</v>
      </c>
      <c r="B6987" t="s">
        <v>11</v>
      </c>
      <c r="C6987" s="1">
        <f>HYPERLINK("https://cao.dolgi.msk.ru/account/1011133911/", 1011133911)</f>
        <v>1011133911</v>
      </c>
      <c r="D6987">
        <v>0</v>
      </c>
    </row>
    <row r="6988" spans="1:4" hidden="1" x14ac:dyDescent="0.3">
      <c r="A6988" t="s">
        <v>686</v>
      </c>
      <c r="B6988" t="s">
        <v>12</v>
      </c>
      <c r="C6988" s="1">
        <f>HYPERLINK("https://cao.dolgi.msk.ru/account/1011134236/", 1011134236)</f>
        <v>1011134236</v>
      </c>
      <c r="D6988">
        <v>0</v>
      </c>
    </row>
    <row r="6989" spans="1:4" x14ac:dyDescent="0.3">
      <c r="A6989" t="s">
        <v>686</v>
      </c>
      <c r="B6989" t="s">
        <v>23</v>
      </c>
      <c r="C6989" s="1">
        <f>HYPERLINK("https://cao.dolgi.msk.ru/account/1011133903/", 1011133903)</f>
        <v>1011133903</v>
      </c>
      <c r="D6989">
        <v>11794.86</v>
      </c>
    </row>
    <row r="6990" spans="1:4" hidden="1" x14ac:dyDescent="0.3">
      <c r="A6990" t="s">
        <v>686</v>
      </c>
      <c r="B6990" t="s">
        <v>13</v>
      </c>
      <c r="C6990" s="1">
        <f>HYPERLINK("https://cao.dolgi.msk.ru/account/1011134068/", 1011134068)</f>
        <v>1011134068</v>
      </c>
      <c r="D6990">
        <v>-12893.31</v>
      </c>
    </row>
    <row r="6991" spans="1:4" hidden="1" x14ac:dyDescent="0.3">
      <c r="A6991" t="s">
        <v>686</v>
      </c>
      <c r="B6991" t="s">
        <v>687</v>
      </c>
      <c r="C6991" s="1">
        <f>HYPERLINK("https://cao.dolgi.msk.ru/account/1011134252/", 1011134252)</f>
        <v>1011134252</v>
      </c>
      <c r="D6991">
        <v>-12205.16</v>
      </c>
    </row>
    <row r="6992" spans="1:4" hidden="1" x14ac:dyDescent="0.3">
      <c r="A6992" t="s">
        <v>686</v>
      </c>
      <c r="B6992" t="s">
        <v>14</v>
      </c>
      <c r="C6992" s="1">
        <f>HYPERLINK("https://cao.dolgi.msk.ru/account/1011134025/", 1011134025)</f>
        <v>1011134025</v>
      </c>
      <c r="D6992">
        <v>-20073.689999999999</v>
      </c>
    </row>
    <row r="6993" spans="1:4" hidden="1" x14ac:dyDescent="0.3">
      <c r="A6993" t="s">
        <v>686</v>
      </c>
      <c r="B6993" t="s">
        <v>16</v>
      </c>
      <c r="C6993" s="1">
        <f>HYPERLINK("https://cao.dolgi.msk.ru/account/1011134009/", 1011134009)</f>
        <v>1011134009</v>
      </c>
      <c r="D6993">
        <v>0</v>
      </c>
    </row>
    <row r="6994" spans="1:4" hidden="1" x14ac:dyDescent="0.3">
      <c r="A6994" t="s">
        <v>686</v>
      </c>
      <c r="B6994" t="s">
        <v>17</v>
      </c>
      <c r="C6994" s="1">
        <f>HYPERLINK("https://cao.dolgi.msk.ru/account/1011133946/", 1011133946)</f>
        <v>1011133946</v>
      </c>
      <c r="D6994">
        <v>0</v>
      </c>
    </row>
    <row r="6995" spans="1:4" hidden="1" x14ac:dyDescent="0.3">
      <c r="A6995" t="s">
        <v>686</v>
      </c>
      <c r="B6995" t="s">
        <v>18</v>
      </c>
      <c r="C6995" s="1">
        <f>HYPERLINK("https://cao.dolgi.msk.ru/account/1011134156/", 1011134156)</f>
        <v>1011134156</v>
      </c>
      <c r="D6995">
        <v>-14557.92</v>
      </c>
    </row>
    <row r="6996" spans="1:4" hidden="1" x14ac:dyDescent="0.3">
      <c r="A6996" t="s">
        <v>686</v>
      </c>
      <c r="B6996" t="s">
        <v>19</v>
      </c>
      <c r="C6996" s="1">
        <f>HYPERLINK("https://cao.dolgi.msk.ru/account/1011134287/", 1011134287)</f>
        <v>1011134287</v>
      </c>
      <c r="D6996">
        <v>0</v>
      </c>
    </row>
    <row r="6997" spans="1:4" hidden="1" x14ac:dyDescent="0.3">
      <c r="A6997" t="s">
        <v>686</v>
      </c>
      <c r="B6997" t="s">
        <v>20</v>
      </c>
      <c r="C6997" s="1">
        <f>HYPERLINK("https://cao.dolgi.msk.ru/account/1011134228/", 1011134228)</f>
        <v>1011134228</v>
      </c>
      <c r="D6997">
        <v>0</v>
      </c>
    </row>
    <row r="6998" spans="1:4" x14ac:dyDescent="0.3">
      <c r="A6998" t="s">
        <v>686</v>
      </c>
      <c r="B6998" t="s">
        <v>21</v>
      </c>
      <c r="C6998" s="1">
        <f>HYPERLINK("https://cao.dolgi.msk.ru/account/1011134084/", 1011134084)</f>
        <v>1011134084</v>
      </c>
      <c r="D6998">
        <v>6153.46</v>
      </c>
    </row>
    <row r="6999" spans="1:4" hidden="1" x14ac:dyDescent="0.3">
      <c r="A6999" t="s">
        <v>686</v>
      </c>
      <c r="B6999" t="s">
        <v>22</v>
      </c>
      <c r="C6999" s="1">
        <f>HYPERLINK("https://cao.dolgi.msk.ru/account/1011134164/", 1011134164)</f>
        <v>1011134164</v>
      </c>
      <c r="D6999">
        <v>0</v>
      </c>
    </row>
    <row r="7000" spans="1:4" hidden="1" x14ac:dyDescent="0.3">
      <c r="A7000" t="s">
        <v>686</v>
      </c>
      <c r="B7000" t="s">
        <v>24</v>
      </c>
      <c r="C7000" s="1">
        <f>HYPERLINK("https://cao.dolgi.msk.ru/account/1011133954/", 1011133954)</f>
        <v>1011133954</v>
      </c>
      <c r="D7000">
        <v>-29.33</v>
      </c>
    </row>
    <row r="7001" spans="1:4" hidden="1" x14ac:dyDescent="0.3">
      <c r="A7001" t="s">
        <v>686</v>
      </c>
      <c r="B7001" t="s">
        <v>25</v>
      </c>
      <c r="C7001" s="1">
        <f>HYPERLINK("https://cao.dolgi.msk.ru/account/1011134324/", 1011134324)</f>
        <v>1011134324</v>
      </c>
      <c r="D7001">
        <v>0</v>
      </c>
    </row>
    <row r="7002" spans="1:4" hidden="1" x14ac:dyDescent="0.3">
      <c r="A7002" t="s">
        <v>686</v>
      </c>
      <c r="B7002" t="s">
        <v>26</v>
      </c>
      <c r="C7002" s="1">
        <f>HYPERLINK("https://cao.dolgi.msk.ru/account/1011133997/", 1011133997)</f>
        <v>1011133997</v>
      </c>
      <c r="D7002">
        <v>0</v>
      </c>
    </row>
    <row r="7003" spans="1:4" hidden="1" x14ac:dyDescent="0.3">
      <c r="A7003" t="s">
        <v>686</v>
      </c>
      <c r="B7003" t="s">
        <v>27</v>
      </c>
      <c r="C7003" s="1">
        <f>HYPERLINK("https://cao.dolgi.msk.ru/account/1011134199/", 1011134199)</f>
        <v>1011134199</v>
      </c>
      <c r="D7003">
        <v>0</v>
      </c>
    </row>
    <row r="7004" spans="1:4" hidden="1" x14ac:dyDescent="0.3">
      <c r="A7004" t="s">
        <v>686</v>
      </c>
      <c r="B7004" t="s">
        <v>29</v>
      </c>
      <c r="C7004" s="1">
        <f>HYPERLINK("https://cao.dolgi.msk.ru/account/1011514247/", 1011514247)</f>
        <v>1011514247</v>
      </c>
      <c r="D7004">
        <v>-11734.96</v>
      </c>
    </row>
    <row r="7005" spans="1:4" hidden="1" x14ac:dyDescent="0.3">
      <c r="A7005" t="s">
        <v>686</v>
      </c>
      <c r="B7005" t="s">
        <v>38</v>
      </c>
      <c r="C7005" s="1">
        <f>HYPERLINK("https://cao.dolgi.msk.ru/account/1011133882/", 1011133882)</f>
        <v>1011133882</v>
      </c>
      <c r="D7005">
        <v>-28990.98</v>
      </c>
    </row>
    <row r="7006" spans="1:4" hidden="1" x14ac:dyDescent="0.3">
      <c r="A7006" t="s">
        <v>686</v>
      </c>
      <c r="B7006" t="s">
        <v>39</v>
      </c>
      <c r="C7006" s="1">
        <f>HYPERLINK("https://cao.dolgi.msk.ru/account/1011133938/", 1011133938)</f>
        <v>1011133938</v>
      </c>
      <c r="D7006">
        <v>0</v>
      </c>
    </row>
    <row r="7007" spans="1:4" hidden="1" x14ac:dyDescent="0.3">
      <c r="A7007" t="s">
        <v>686</v>
      </c>
      <c r="B7007" t="s">
        <v>40</v>
      </c>
      <c r="C7007" s="1">
        <f>HYPERLINK("https://cao.dolgi.msk.ru/account/1011134076/", 1011134076)</f>
        <v>1011134076</v>
      </c>
      <c r="D7007">
        <v>0</v>
      </c>
    </row>
    <row r="7008" spans="1:4" hidden="1" x14ac:dyDescent="0.3">
      <c r="A7008" t="s">
        <v>686</v>
      </c>
      <c r="B7008" t="s">
        <v>41</v>
      </c>
      <c r="C7008" s="1">
        <f>HYPERLINK("https://cao.dolgi.msk.ru/account/1011134172/", 1011134172)</f>
        <v>1011134172</v>
      </c>
      <c r="D7008">
        <v>0</v>
      </c>
    </row>
    <row r="7009" spans="1:4" hidden="1" x14ac:dyDescent="0.3">
      <c r="A7009" t="s">
        <v>686</v>
      </c>
      <c r="B7009" t="s">
        <v>51</v>
      </c>
      <c r="C7009" s="1">
        <f>HYPERLINK("https://cao.dolgi.msk.ru/account/1011134295/", 1011134295)</f>
        <v>1011134295</v>
      </c>
      <c r="D7009">
        <v>0</v>
      </c>
    </row>
    <row r="7010" spans="1:4" hidden="1" x14ac:dyDescent="0.3">
      <c r="A7010" t="s">
        <v>686</v>
      </c>
      <c r="B7010" t="s">
        <v>52</v>
      </c>
      <c r="C7010" s="1">
        <f>HYPERLINK("https://cao.dolgi.msk.ru/account/1011134105/", 1011134105)</f>
        <v>1011134105</v>
      </c>
      <c r="D7010">
        <v>-20.52</v>
      </c>
    </row>
    <row r="7011" spans="1:4" hidden="1" x14ac:dyDescent="0.3">
      <c r="A7011" t="s">
        <v>686</v>
      </c>
      <c r="B7011" t="s">
        <v>53</v>
      </c>
      <c r="C7011" s="1">
        <f>HYPERLINK("https://cao.dolgi.msk.ru/account/1011134017/", 1011134017)</f>
        <v>1011134017</v>
      </c>
      <c r="D7011">
        <v>0</v>
      </c>
    </row>
    <row r="7012" spans="1:4" hidden="1" x14ac:dyDescent="0.3">
      <c r="A7012" t="s">
        <v>686</v>
      </c>
      <c r="B7012" t="s">
        <v>53</v>
      </c>
      <c r="C7012" s="1">
        <f>HYPERLINK("https://cao.dolgi.msk.ru/account/1011134244/", 1011134244)</f>
        <v>1011134244</v>
      </c>
      <c r="D7012">
        <v>0</v>
      </c>
    </row>
    <row r="7013" spans="1:4" hidden="1" x14ac:dyDescent="0.3">
      <c r="A7013" t="s">
        <v>686</v>
      </c>
      <c r="B7013" t="s">
        <v>54</v>
      </c>
      <c r="C7013" s="1">
        <f>HYPERLINK("https://cao.dolgi.msk.ru/account/1011134201/", 1011134201)</f>
        <v>1011134201</v>
      </c>
      <c r="D7013">
        <v>-22002.78</v>
      </c>
    </row>
    <row r="7014" spans="1:4" hidden="1" x14ac:dyDescent="0.3">
      <c r="A7014" t="s">
        <v>686</v>
      </c>
      <c r="B7014" t="s">
        <v>55</v>
      </c>
      <c r="C7014" s="1">
        <f>HYPERLINK("https://cao.dolgi.msk.ru/account/1011134148/", 1011134148)</f>
        <v>1011134148</v>
      </c>
      <c r="D7014">
        <v>-24015.439999999999</v>
      </c>
    </row>
    <row r="7015" spans="1:4" hidden="1" x14ac:dyDescent="0.3">
      <c r="A7015" t="s">
        <v>688</v>
      </c>
      <c r="B7015" t="s">
        <v>89</v>
      </c>
      <c r="C7015" s="1">
        <f>HYPERLINK("https://cao.dolgi.msk.ru/account/1011379751/", 1011379751)</f>
        <v>1011379751</v>
      </c>
      <c r="D7015">
        <v>0</v>
      </c>
    </row>
    <row r="7016" spans="1:4" hidden="1" x14ac:dyDescent="0.3">
      <c r="A7016" t="s">
        <v>688</v>
      </c>
      <c r="B7016" t="s">
        <v>90</v>
      </c>
      <c r="C7016" s="1">
        <f>HYPERLINK("https://cao.dolgi.msk.ru/account/1011379735/", 1011379735)</f>
        <v>1011379735</v>
      </c>
      <c r="D7016">
        <v>-11616.61</v>
      </c>
    </row>
    <row r="7017" spans="1:4" hidden="1" x14ac:dyDescent="0.3">
      <c r="A7017" t="s">
        <v>688</v>
      </c>
      <c r="B7017" t="s">
        <v>96</v>
      </c>
      <c r="C7017" s="1">
        <f>HYPERLINK("https://cao.dolgi.msk.ru/account/1011379786/", 1011379786)</f>
        <v>1011379786</v>
      </c>
      <c r="D7017">
        <v>-8655.7199999999993</v>
      </c>
    </row>
    <row r="7018" spans="1:4" hidden="1" x14ac:dyDescent="0.3">
      <c r="A7018" t="s">
        <v>688</v>
      </c>
      <c r="B7018" t="s">
        <v>97</v>
      </c>
      <c r="C7018" s="1">
        <f>HYPERLINK("https://cao.dolgi.msk.ru/account/1011379663/", 1011379663)</f>
        <v>1011379663</v>
      </c>
      <c r="D7018">
        <v>0</v>
      </c>
    </row>
    <row r="7019" spans="1:4" hidden="1" x14ac:dyDescent="0.3">
      <c r="A7019" t="s">
        <v>688</v>
      </c>
      <c r="B7019" t="s">
        <v>98</v>
      </c>
      <c r="C7019" s="1">
        <f>HYPERLINK("https://cao.dolgi.msk.ru/account/1011379495/", 1011379495)</f>
        <v>1011379495</v>
      </c>
      <c r="D7019">
        <v>-10124.48</v>
      </c>
    </row>
    <row r="7020" spans="1:4" hidden="1" x14ac:dyDescent="0.3">
      <c r="A7020" t="s">
        <v>688</v>
      </c>
      <c r="B7020" t="s">
        <v>58</v>
      </c>
      <c r="C7020" s="1">
        <f>HYPERLINK("https://cao.dolgi.msk.ru/account/1011379743/", 1011379743)</f>
        <v>1011379743</v>
      </c>
      <c r="D7020">
        <v>-89.55</v>
      </c>
    </row>
    <row r="7021" spans="1:4" hidden="1" x14ac:dyDescent="0.3">
      <c r="A7021" t="s">
        <v>688</v>
      </c>
      <c r="B7021" t="s">
        <v>59</v>
      </c>
      <c r="C7021" s="1">
        <f>HYPERLINK("https://cao.dolgi.msk.ru/account/1011510254/", 1011510254)</f>
        <v>1011510254</v>
      </c>
      <c r="D7021">
        <v>0</v>
      </c>
    </row>
    <row r="7022" spans="1:4" hidden="1" x14ac:dyDescent="0.3">
      <c r="A7022" t="s">
        <v>688</v>
      </c>
      <c r="B7022" t="s">
        <v>60</v>
      </c>
      <c r="C7022" s="1">
        <f>HYPERLINK("https://cao.dolgi.msk.ru/account/1011379516/", 1011379516)</f>
        <v>1011379516</v>
      </c>
      <c r="D7022">
        <v>-10406.799999999999</v>
      </c>
    </row>
    <row r="7023" spans="1:4" hidden="1" x14ac:dyDescent="0.3">
      <c r="A7023" t="s">
        <v>688</v>
      </c>
      <c r="B7023" t="s">
        <v>61</v>
      </c>
      <c r="C7023" s="1">
        <f>HYPERLINK("https://cao.dolgi.msk.ru/account/1011379727/", 1011379727)</f>
        <v>1011379727</v>
      </c>
      <c r="D7023">
        <v>0</v>
      </c>
    </row>
    <row r="7024" spans="1:4" hidden="1" x14ac:dyDescent="0.3">
      <c r="A7024" t="s">
        <v>688</v>
      </c>
      <c r="B7024" t="s">
        <v>62</v>
      </c>
      <c r="C7024" s="1">
        <f>HYPERLINK("https://cao.dolgi.msk.ru/account/1011379778/", 1011379778)</f>
        <v>1011379778</v>
      </c>
      <c r="D7024">
        <v>0</v>
      </c>
    </row>
    <row r="7025" spans="1:4" hidden="1" x14ac:dyDescent="0.3">
      <c r="A7025" t="s">
        <v>688</v>
      </c>
      <c r="B7025" t="s">
        <v>63</v>
      </c>
      <c r="C7025" s="1">
        <f>HYPERLINK("https://cao.dolgi.msk.ru/account/1011379508/", 1011379508)</f>
        <v>1011379508</v>
      </c>
      <c r="D7025">
        <v>-13222.13</v>
      </c>
    </row>
    <row r="7026" spans="1:4" hidden="1" x14ac:dyDescent="0.3">
      <c r="A7026" t="s">
        <v>688</v>
      </c>
      <c r="B7026" t="s">
        <v>64</v>
      </c>
      <c r="C7026" s="1">
        <f>HYPERLINK("https://cao.dolgi.msk.ru/account/1011379583/", 1011379583)</f>
        <v>1011379583</v>
      </c>
      <c r="D7026">
        <v>-6.52</v>
      </c>
    </row>
    <row r="7027" spans="1:4" hidden="1" x14ac:dyDescent="0.3">
      <c r="A7027" t="s">
        <v>688</v>
      </c>
      <c r="B7027" t="s">
        <v>65</v>
      </c>
      <c r="C7027" s="1">
        <f>HYPERLINK("https://cao.dolgi.msk.ru/account/1011379591/", 1011379591)</f>
        <v>1011379591</v>
      </c>
      <c r="D7027">
        <v>0</v>
      </c>
    </row>
    <row r="7028" spans="1:4" hidden="1" x14ac:dyDescent="0.3">
      <c r="A7028" t="s">
        <v>688</v>
      </c>
      <c r="B7028" t="s">
        <v>69</v>
      </c>
      <c r="C7028" s="1">
        <f>HYPERLINK("https://cao.dolgi.msk.ru/account/1011379815/", 1011379815)</f>
        <v>1011379815</v>
      </c>
      <c r="D7028">
        <v>-19981.669999999998</v>
      </c>
    </row>
    <row r="7029" spans="1:4" hidden="1" x14ac:dyDescent="0.3">
      <c r="A7029" t="s">
        <v>688</v>
      </c>
      <c r="B7029" t="s">
        <v>70</v>
      </c>
      <c r="C7029" s="1">
        <f>HYPERLINK("https://cao.dolgi.msk.ru/account/1011379647/", 1011379647)</f>
        <v>1011379647</v>
      </c>
      <c r="D7029">
        <v>-12320.38</v>
      </c>
    </row>
    <row r="7030" spans="1:4" hidden="1" x14ac:dyDescent="0.3">
      <c r="A7030" t="s">
        <v>688</v>
      </c>
      <c r="B7030" t="s">
        <v>259</v>
      </c>
      <c r="C7030" s="1">
        <f>HYPERLINK("https://cao.dolgi.msk.ru/account/1011379639/", 1011379639)</f>
        <v>1011379639</v>
      </c>
      <c r="D7030">
        <v>0</v>
      </c>
    </row>
    <row r="7031" spans="1:4" x14ac:dyDescent="0.3">
      <c r="A7031" t="s">
        <v>688</v>
      </c>
      <c r="B7031" t="s">
        <v>100</v>
      </c>
      <c r="C7031" s="1">
        <f>HYPERLINK("https://cao.dolgi.msk.ru/account/1011379532/", 1011379532)</f>
        <v>1011379532</v>
      </c>
      <c r="D7031">
        <v>11758.53</v>
      </c>
    </row>
    <row r="7032" spans="1:4" hidden="1" x14ac:dyDescent="0.3">
      <c r="A7032" t="s">
        <v>688</v>
      </c>
      <c r="B7032" t="s">
        <v>72</v>
      </c>
      <c r="C7032" s="1">
        <f>HYPERLINK("https://cao.dolgi.msk.ru/account/1011379487/", 1011379487)</f>
        <v>1011379487</v>
      </c>
      <c r="D7032">
        <v>0</v>
      </c>
    </row>
    <row r="7033" spans="1:4" hidden="1" x14ac:dyDescent="0.3">
      <c r="A7033" t="s">
        <v>688</v>
      </c>
      <c r="B7033" t="s">
        <v>73</v>
      </c>
      <c r="C7033" s="1">
        <f>HYPERLINK("https://cao.dolgi.msk.ru/account/1011379807/", 1011379807)</f>
        <v>1011379807</v>
      </c>
      <c r="D7033">
        <v>-67.16</v>
      </c>
    </row>
    <row r="7034" spans="1:4" x14ac:dyDescent="0.3">
      <c r="A7034" t="s">
        <v>688</v>
      </c>
      <c r="B7034" t="s">
        <v>74</v>
      </c>
      <c r="C7034" s="1">
        <f>HYPERLINK("https://cao.dolgi.msk.ru/account/1011379567/", 1011379567)</f>
        <v>1011379567</v>
      </c>
      <c r="D7034">
        <v>9732.99</v>
      </c>
    </row>
    <row r="7035" spans="1:4" hidden="1" x14ac:dyDescent="0.3">
      <c r="A7035" t="s">
        <v>688</v>
      </c>
      <c r="B7035" t="s">
        <v>75</v>
      </c>
      <c r="C7035" s="1">
        <f>HYPERLINK("https://cao.dolgi.msk.ru/account/1011531813/", 1011531813)</f>
        <v>1011531813</v>
      </c>
      <c r="D7035">
        <v>0</v>
      </c>
    </row>
    <row r="7036" spans="1:4" hidden="1" x14ac:dyDescent="0.3">
      <c r="A7036" t="s">
        <v>688</v>
      </c>
      <c r="B7036" t="s">
        <v>76</v>
      </c>
      <c r="C7036" s="1">
        <f>HYPERLINK("https://cao.dolgi.msk.ru/account/1011379671/", 1011379671)</f>
        <v>1011379671</v>
      </c>
      <c r="D7036">
        <v>0</v>
      </c>
    </row>
    <row r="7037" spans="1:4" hidden="1" x14ac:dyDescent="0.3">
      <c r="A7037" t="s">
        <v>688</v>
      </c>
      <c r="B7037" t="s">
        <v>77</v>
      </c>
      <c r="C7037" s="1">
        <f>HYPERLINK("https://cao.dolgi.msk.ru/account/1011379823/", 1011379823)</f>
        <v>1011379823</v>
      </c>
      <c r="D7037">
        <v>-227.21</v>
      </c>
    </row>
    <row r="7038" spans="1:4" x14ac:dyDescent="0.3">
      <c r="A7038" t="s">
        <v>688</v>
      </c>
      <c r="B7038" t="s">
        <v>78</v>
      </c>
      <c r="C7038" s="1">
        <f>HYPERLINK("https://cao.dolgi.msk.ru/account/1011379655/", 1011379655)</f>
        <v>1011379655</v>
      </c>
      <c r="D7038">
        <v>84019.72</v>
      </c>
    </row>
    <row r="7039" spans="1:4" hidden="1" x14ac:dyDescent="0.3">
      <c r="A7039" t="s">
        <v>688</v>
      </c>
      <c r="B7039" t="s">
        <v>79</v>
      </c>
      <c r="C7039" s="1">
        <f>HYPERLINK("https://cao.dolgi.msk.ru/account/1011379575/", 1011379575)</f>
        <v>1011379575</v>
      </c>
      <c r="D7039">
        <v>0</v>
      </c>
    </row>
    <row r="7040" spans="1:4" hidden="1" x14ac:dyDescent="0.3">
      <c r="A7040" t="s">
        <v>688</v>
      </c>
      <c r="B7040" t="s">
        <v>80</v>
      </c>
      <c r="C7040" s="1">
        <f>HYPERLINK("https://cao.dolgi.msk.ru/account/1011379612/", 1011379612)</f>
        <v>1011379612</v>
      </c>
      <c r="D7040">
        <v>-9600.43</v>
      </c>
    </row>
    <row r="7041" spans="1:4" hidden="1" x14ac:dyDescent="0.3">
      <c r="A7041" t="s">
        <v>688</v>
      </c>
      <c r="B7041" t="s">
        <v>81</v>
      </c>
      <c r="C7041" s="1">
        <f>HYPERLINK("https://cao.dolgi.msk.ru/account/1011379524/", 1011379524)</f>
        <v>1011379524</v>
      </c>
      <c r="D7041">
        <v>0</v>
      </c>
    </row>
    <row r="7042" spans="1:4" hidden="1" x14ac:dyDescent="0.3">
      <c r="A7042" t="s">
        <v>688</v>
      </c>
      <c r="B7042" t="s">
        <v>101</v>
      </c>
      <c r="C7042" s="1">
        <f>HYPERLINK("https://cao.dolgi.msk.ru/account/1011379559/", 1011379559)</f>
        <v>1011379559</v>
      </c>
      <c r="D7042">
        <v>0</v>
      </c>
    </row>
    <row r="7043" spans="1:4" x14ac:dyDescent="0.3">
      <c r="A7043" t="s">
        <v>688</v>
      </c>
      <c r="B7043" t="s">
        <v>82</v>
      </c>
      <c r="C7043" s="1">
        <f>HYPERLINK("https://cao.dolgi.msk.ru/account/1011379604/", 1011379604)</f>
        <v>1011379604</v>
      </c>
      <c r="D7043">
        <v>30221.119999999999</v>
      </c>
    </row>
    <row r="7044" spans="1:4" x14ac:dyDescent="0.3">
      <c r="A7044" t="s">
        <v>688</v>
      </c>
      <c r="B7044" t="s">
        <v>83</v>
      </c>
      <c r="C7044" s="1">
        <f>HYPERLINK("https://cao.dolgi.msk.ru/account/1011379831/", 1011379831)</f>
        <v>1011379831</v>
      </c>
      <c r="D7044">
        <v>7911.6</v>
      </c>
    </row>
    <row r="7045" spans="1:4" hidden="1" x14ac:dyDescent="0.3">
      <c r="A7045" t="s">
        <v>688</v>
      </c>
      <c r="B7045" t="s">
        <v>84</v>
      </c>
      <c r="C7045" s="1">
        <f>HYPERLINK("https://cao.dolgi.msk.ru/account/1011379794/", 1011379794)</f>
        <v>1011379794</v>
      </c>
      <c r="D7045">
        <v>0</v>
      </c>
    </row>
    <row r="7046" spans="1:4" hidden="1" x14ac:dyDescent="0.3">
      <c r="A7046" t="s">
        <v>689</v>
      </c>
      <c r="B7046" t="s">
        <v>6</v>
      </c>
      <c r="C7046" s="1">
        <f>HYPERLINK("https://cao.dolgi.msk.ru/account/1011334385/", 1011334385)</f>
        <v>1011334385</v>
      </c>
      <c r="D7046">
        <v>-6006.28</v>
      </c>
    </row>
    <row r="7047" spans="1:4" x14ac:dyDescent="0.3">
      <c r="A7047" t="s">
        <v>689</v>
      </c>
      <c r="B7047" t="s">
        <v>28</v>
      </c>
      <c r="C7047" s="1">
        <f>HYPERLINK("https://cao.dolgi.msk.ru/account/1011333972/", 1011333972)</f>
        <v>1011333972</v>
      </c>
      <c r="D7047">
        <v>296.61</v>
      </c>
    </row>
    <row r="7048" spans="1:4" x14ac:dyDescent="0.3">
      <c r="A7048" t="s">
        <v>689</v>
      </c>
      <c r="B7048" t="s">
        <v>35</v>
      </c>
      <c r="C7048" s="1">
        <f>HYPERLINK("https://cao.dolgi.msk.ru/account/1011333913/", 1011333913)</f>
        <v>1011333913</v>
      </c>
      <c r="D7048">
        <v>2762.65</v>
      </c>
    </row>
    <row r="7049" spans="1:4" hidden="1" x14ac:dyDescent="0.3">
      <c r="A7049" t="s">
        <v>689</v>
      </c>
      <c r="B7049" t="s">
        <v>5</v>
      </c>
      <c r="C7049" s="1">
        <f>HYPERLINK("https://cao.dolgi.msk.ru/account/1011334043/", 1011334043)</f>
        <v>1011334043</v>
      </c>
      <c r="D7049">
        <v>-4934.3999999999996</v>
      </c>
    </row>
    <row r="7050" spans="1:4" hidden="1" x14ac:dyDescent="0.3">
      <c r="A7050" t="s">
        <v>689</v>
      </c>
      <c r="B7050" t="s">
        <v>7</v>
      </c>
      <c r="C7050" s="1">
        <f>HYPERLINK("https://cao.dolgi.msk.ru/account/1011334262/", 1011334262)</f>
        <v>1011334262</v>
      </c>
      <c r="D7050">
        <v>-2353.9</v>
      </c>
    </row>
    <row r="7051" spans="1:4" x14ac:dyDescent="0.3">
      <c r="A7051" t="s">
        <v>689</v>
      </c>
      <c r="B7051" t="s">
        <v>8</v>
      </c>
      <c r="C7051" s="1">
        <f>HYPERLINK("https://cao.dolgi.msk.ru/account/1011333825/", 1011333825)</f>
        <v>1011333825</v>
      </c>
      <c r="D7051">
        <v>2906.14</v>
      </c>
    </row>
    <row r="7052" spans="1:4" hidden="1" x14ac:dyDescent="0.3">
      <c r="A7052" t="s">
        <v>689</v>
      </c>
      <c r="B7052" t="s">
        <v>31</v>
      </c>
      <c r="C7052" s="1">
        <f>HYPERLINK("https://cao.dolgi.msk.ru/account/1011334051/", 1011334051)</f>
        <v>1011334051</v>
      </c>
      <c r="D7052">
        <v>-2294.79</v>
      </c>
    </row>
    <row r="7053" spans="1:4" hidden="1" x14ac:dyDescent="0.3">
      <c r="A7053" t="s">
        <v>689</v>
      </c>
      <c r="B7053" t="s">
        <v>9</v>
      </c>
      <c r="C7053" s="1">
        <f>HYPERLINK("https://cao.dolgi.msk.ru/account/1011333745/", 1011333745)</f>
        <v>1011333745</v>
      </c>
      <c r="D7053">
        <v>-2422.65</v>
      </c>
    </row>
    <row r="7054" spans="1:4" hidden="1" x14ac:dyDescent="0.3">
      <c r="A7054" t="s">
        <v>689</v>
      </c>
      <c r="B7054" t="s">
        <v>10</v>
      </c>
      <c r="C7054" s="1">
        <f>HYPERLINK("https://cao.dolgi.msk.ru/account/1011333577/", 1011333577)</f>
        <v>1011333577</v>
      </c>
      <c r="D7054">
        <v>-1277.47</v>
      </c>
    </row>
    <row r="7055" spans="1:4" hidden="1" x14ac:dyDescent="0.3">
      <c r="A7055" t="s">
        <v>689</v>
      </c>
      <c r="B7055" t="s">
        <v>11</v>
      </c>
      <c r="C7055" s="1">
        <f>HYPERLINK("https://cao.dolgi.msk.ru/account/1011333905/", 1011333905)</f>
        <v>1011333905</v>
      </c>
      <c r="D7055">
        <v>-2306.59</v>
      </c>
    </row>
    <row r="7056" spans="1:4" hidden="1" x14ac:dyDescent="0.3">
      <c r="A7056" t="s">
        <v>689</v>
      </c>
      <c r="B7056" t="s">
        <v>12</v>
      </c>
      <c r="C7056" s="1">
        <f>HYPERLINK("https://cao.dolgi.msk.ru/account/1011334211/", 1011334211)</f>
        <v>1011334211</v>
      </c>
      <c r="D7056">
        <v>-2194.27</v>
      </c>
    </row>
    <row r="7057" spans="1:4" hidden="1" x14ac:dyDescent="0.3">
      <c r="A7057" t="s">
        <v>689</v>
      </c>
      <c r="B7057" t="s">
        <v>23</v>
      </c>
      <c r="C7057" s="1">
        <f>HYPERLINK("https://cao.dolgi.msk.ru/account/1011334326/", 1011334326)</f>
        <v>1011334326</v>
      </c>
      <c r="D7057">
        <v>-7180.76</v>
      </c>
    </row>
    <row r="7058" spans="1:4" hidden="1" x14ac:dyDescent="0.3">
      <c r="A7058" t="s">
        <v>689</v>
      </c>
      <c r="B7058" t="s">
        <v>13</v>
      </c>
      <c r="C7058" s="1">
        <f>HYPERLINK("https://cao.dolgi.msk.ru/account/1011333673/", 1011333673)</f>
        <v>1011333673</v>
      </c>
      <c r="D7058">
        <v>-3400.83</v>
      </c>
    </row>
    <row r="7059" spans="1:4" x14ac:dyDescent="0.3">
      <c r="A7059" t="s">
        <v>689</v>
      </c>
      <c r="B7059" t="s">
        <v>14</v>
      </c>
      <c r="C7059" s="1">
        <f>HYPERLINK("https://cao.dolgi.msk.ru/account/1011334123/", 1011334123)</f>
        <v>1011334123</v>
      </c>
      <c r="D7059">
        <v>202209.84</v>
      </c>
    </row>
    <row r="7060" spans="1:4" hidden="1" x14ac:dyDescent="0.3">
      <c r="A7060" t="s">
        <v>689</v>
      </c>
      <c r="B7060" t="s">
        <v>16</v>
      </c>
      <c r="C7060" s="1">
        <f>HYPERLINK("https://cao.dolgi.msk.ru/account/1011333868/", 1011333868)</f>
        <v>1011333868</v>
      </c>
      <c r="D7060">
        <v>-844.16</v>
      </c>
    </row>
    <row r="7061" spans="1:4" x14ac:dyDescent="0.3">
      <c r="A7061" t="s">
        <v>689</v>
      </c>
      <c r="B7061" t="s">
        <v>17</v>
      </c>
      <c r="C7061" s="1">
        <f>HYPERLINK("https://cao.dolgi.msk.ru/account/1011334289/", 1011334289)</f>
        <v>1011334289</v>
      </c>
      <c r="D7061">
        <v>5301.75</v>
      </c>
    </row>
    <row r="7062" spans="1:4" hidden="1" x14ac:dyDescent="0.3">
      <c r="A7062" t="s">
        <v>689</v>
      </c>
      <c r="B7062" t="s">
        <v>18</v>
      </c>
      <c r="C7062" s="1">
        <f>HYPERLINK("https://cao.dolgi.msk.ru/account/1011333729/", 1011333729)</f>
        <v>1011333729</v>
      </c>
      <c r="D7062">
        <v>-2348</v>
      </c>
    </row>
    <row r="7063" spans="1:4" hidden="1" x14ac:dyDescent="0.3">
      <c r="A7063" t="s">
        <v>689</v>
      </c>
      <c r="B7063" t="s">
        <v>19</v>
      </c>
      <c r="C7063" s="1">
        <f>HYPERLINK("https://cao.dolgi.msk.ru/account/1011333809/", 1011333809)</f>
        <v>1011333809</v>
      </c>
      <c r="D7063">
        <v>-2606.33</v>
      </c>
    </row>
    <row r="7064" spans="1:4" hidden="1" x14ac:dyDescent="0.3">
      <c r="A7064" t="s">
        <v>689</v>
      </c>
      <c r="B7064" t="s">
        <v>20</v>
      </c>
      <c r="C7064" s="1">
        <f>HYPERLINK("https://cao.dolgi.msk.ru/account/1011333892/", 1011333892)</f>
        <v>1011333892</v>
      </c>
      <c r="D7064">
        <v>-9582.66</v>
      </c>
    </row>
    <row r="7065" spans="1:4" hidden="1" x14ac:dyDescent="0.3">
      <c r="A7065" t="s">
        <v>689</v>
      </c>
      <c r="B7065" t="s">
        <v>21</v>
      </c>
      <c r="C7065" s="1">
        <f>HYPERLINK("https://cao.dolgi.msk.ru/account/1011334078/", 1011334078)</f>
        <v>1011334078</v>
      </c>
      <c r="D7065">
        <v>-2892.43</v>
      </c>
    </row>
    <row r="7066" spans="1:4" x14ac:dyDescent="0.3">
      <c r="A7066" t="s">
        <v>689</v>
      </c>
      <c r="B7066" t="s">
        <v>21</v>
      </c>
      <c r="C7066" s="1">
        <f>HYPERLINK("https://cao.dolgi.msk.ru/account/1011531573/", 1011531573)</f>
        <v>1011531573</v>
      </c>
      <c r="D7066">
        <v>1155.32</v>
      </c>
    </row>
    <row r="7067" spans="1:4" hidden="1" x14ac:dyDescent="0.3">
      <c r="A7067" t="s">
        <v>689</v>
      </c>
      <c r="B7067" t="s">
        <v>22</v>
      </c>
      <c r="C7067" s="1">
        <f>HYPERLINK("https://cao.dolgi.msk.ru/account/1011333657/", 1011333657)</f>
        <v>1011333657</v>
      </c>
      <c r="D7067">
        <v>-21029.77</v>
      </c>
    </row>
    <row r="7068" spans="1:4" hidden="1" x14ac:dyDescent="0.3">
      <c r="A7068" t="s">
        <v>689</v>
      </c>
      <c r="B7068" t="s">
        <v>24</v>
      </c>
      <c r="C7068" s="1">
        <f>HYPERLINK("https://cao.dolgi.msk.ru/account/1011333876/", 1011333876)</f>
        <v>1011333876</v>
      </c>
      <c r="D7068">
        <v>-5468.05</v>
      </c>
    </row>
    <row r="7069" spans="1:4" hidden="1" x14ac:dyDescent="0.3">
      <c r="A7069" t="s">
        <v>689</v>
      </c>
      <c r="B7069" t="s">
        <v>25</v>
      </c>
      <c r="C7069" s="1">
        <f>HYPERLINK("https://cao.dolgi.msk.ru/account/1011333702/", 1011333702)</f>
        <v>1011333702</v>
      </c>
      <c r="D7069">
        <v>-5361.95</v>
      </c>
    </row>
    <row r="7070" spans="1:4" hidden="1" x14ac:dyDescent="0.3">
      <c r="A7070" t="s">
        <v>689</v>
      </c>
      <c r="B7070" t="s">
        <v>26</v>
      </c>
      <c r="C7070" s="1">
        <f>HYPERLINK("https://cao.dolgi.msk.ru/account/1011333841/", 1011333841)</f>
        <v>1011333841</v>
      </c>
      <c r="D7070">
        <v>-2371.71</v>
      </c>
    </row>
    <row r="7071" spans="1:4" hidden="1" x14ac:dyDescent="0.3">
      <c r="A7071" t="s">
        <v>689</v>
      </c>
      <c r="B7071" t="s">
        <v>27</v>
      </c>
      <c r="C7071" s="1">
        <f>HYPERLINK("https://cao.dolgi.msk.ru/account/1011334318/", 1011334318)</f>
        <v>1011334318</v>
      </c>
      <c r="D7071">
        <v>-2395.31</v>
      </c>
    </row>
    <row r="7072" spans="1:4" hidden="1" x14ac:dyDescent="0.3">
      <c r="A7072" t="s">
        <v>689</v>
      </c>
      <c r="B7072" t="s">
        <v>29</v>
      </c>
      <c r="C7072" s="1">
        <f>HYPERLINK("https://cao.dolgi.msk.ru/account/1011333788/", 1011333788)</f>
        <v>1011333788</v>
      </c>
      <c r="D7072">
        <v>-19857.72</v>
      </c>
    </row>
    <row r="7073" spans="1:4" hidden="1" x14ac:dyDescent="0.3">
      <c r="A7073" t="s">
        <v>689</v>
      </c>
      <c r="B7073" t="s">
        <v>38</v>
      </c>
      <c r="C7073" s="1">
        <f>HYPERLINK("https://cao.dolgi.msk.ru/account/1011333593/", 1011333593)</f>
        <v>1011333593</v>
      </c>
      <c r="D7073">
        <v>-2568.3200000000002</v>
      </c>
    </row>
    <row r="7074" spans="1:4" hidden="1" x14ac:dyDescent="0.3">
      <c r="A7074" t="s">
        <v>689</v>
      </c>
      <c r="B7074" t="s">
        <v>39</v>
      </c>
      <c r="C7074" s="1">
        <f>HYPERLINK("https://cao.dolgi.msk.ru/account/1011334238/", 1011334238)</f>
        <v>1011334238</v>
      </c>
      <c r="D7074">
        <v>-6163.5</v>
      </c>
    </row>
    <row r="7075" spans="1:4" hidden="1" x14ac:dyDescent="0.3">
      <c r="A7075" t="s">
        <v>689</v>
      </c>
      <c r="B7075" t="s">
        <v>40</v>
      </c>
      <c r="C7075" s="1">
        <f>HYPERLINK("https://cao.dolgi.msk.ru/account/1011333665/", 1011333665)</f>
        <v>1011333665</v>
      </c>
      <c r="D7075">
        <v>-2395.31</v>
      </c>
    </row>
    <row r="7076" spans="1:4" hidden="1" x14ac:dyDescent="0.3">
      <c r="A7076" t="s">
        <v>689</v>
      </c>
      <c r="B7076" t="s">
        <v>41</v>
      </c>
      <c r="C7076" s="1">
        <f>HYPERLINK("https://cao.dolgi.msk.ru/account/1011334027/", 1011334027)</f>
        <v>1011334027</v>
      </c>
      <c r="D7076">
        <v>-2241.58</v>
      </c>
    </row>
    <row r="7077" spans="1:4" hidden="1" x14ac:dyDescent="0.3">
      <c r="A7077" t="s">
        <v>689</v>
      </c>
      <c r="B7077" t="s">
        <v>51</v>
      </c>
      <c r="C7077" s="1">
        <f>HYPERLINK("https://cao.dolgi.msk.ru/account/1011333614/", 1011333614)</f>
        <v>1011333614</v>
      </c>
      <c r="D7077">
        <v>-2306.59</v>
      </c>
    </row>
    <row r="7078" spans="1:4" hidden="1" x14ac:dyDescent="0.3">
      <c r="A7078" t="s">
        <v>689</v>
      </c>
      <c r="B7078" t="s">
        <v>52</v>
      </c>
      <c r="C7078" s="1">
        <f>HYPERLINK("https://cao.dolgi.msk.ru/account/1011334334/", 1011334334)</f>
        <v>1011334334</v>
      </c>
      <c r="D7078">
        <v>-6333.33</v>
      </c>
    </row>
    <row r="7079" spans="1:4" hidden="1" x14ac:dyDescent="0.3">
      <c r="A7079" t="s">
        <v>689</v>
      </c>
      <c r="B7079" t="s">
        <v>53</v>
      </c>
      <c r="C7079" s="1">
        <f>HYPERLINK("https://cao.dolgi.msk.ru/account/1011333681/", 1011333681)</f>
        <v>1011333681</v>
      </c>
      <c r="D7079">
        <v>-2318.39</v>
      </c>
    </row>
    <row r="7080" spans="1:4" hidden="1" x14ac:dyDescent="0.3">
      <c r="A7080" t="s">
        <v>689</v>
      </c>
      <c r="B7080" t="s">
        <v>54</v>
      </c>
      <c r="C7080" s="1">
        <f>HYPERLINK("https://cao.dolgi.msk.ru/account/1011333622/", 1011333622)</f>
        <v>1011333622</v>
      </c>
      <c r="D7080">
        <v>-7118.37</v>
      </c>
    </row>
    <row r="7081" spans="1:4" hidden="1" x14ac:dyDescent="0.3">
      <c r="A7081" t="s">
        <v>689</v>
      </c>
      <c r="B7081" t="s">
        <v>55</v>
      </c>
      <c r="C7081" s="1">
        <f>HYPERLINK("https://cao.dolgi.msk.ru/account/1011334369/", 1011334369)</f>
        <v>1011334369</v>
      </c>
      <c r="D7081">
        <v>-2489.9299999999998</v>
      </c>
    </row>
    <row r="7082" spans="1:4" hidden="1" x14ac:dyDescent="0.3">
      <c r="A7082" t="s">
        <v>689</v>
      </c>
      <c r="B7082" t="s">
        <v>56</v>
      </c>
      <c r="C7082" s="1">
        <f>HYPERLINK("https://cao.dolgi.msk.ru/account/1011333737/", 1011333737)</f>
        <v>1011333737</v>
      </c>
      <c r="D7082">
        <v>-4949.28</v>
      </c>
    </row>
    <row r="7083" spans="1:4" hidden="1" x14ac:dyDescent="0.3">
      <c r="A7083" t="s">
        <v>689</v>
      </c>
      <c r="B7083" t="s">
        <v>87</v>
      </c>
      <c r="C7083" s="1">
        <f>HYPERLINK("https://cao.dolgi.msk.ru/account/1011334158/", 1011334158)</f>
        <v>1011334158</v>
      </c>
      <c r="D7083">
        <v>-2300.69</v>
      </c>
    </row>
    <row r="7084" spans="1:4" hidden="1" x14ac:dyDescent="0.3">
      <c r="A7084" t="s">
        <v>689</v>
      </c>
      <c r="B7084" t="s">
        <v>88</v>
      </c>
      <c r="C7084" s="1">
        <f>HYPERLINK("https://cao.dolgi.msk.ru/account/1011334115/", 1011334115)</f>
        <v>1011334115</v>
      </c>
      <c r="D7084">
        <v>-4270.97</v>
      </c>
    </row>
    <row r="7085" spans="1:4" x14ac:dyDescent="0.3">
      <c r="A7085" t="s">
        <v>689</v>
      </c>
      <c r="B7085" t="s">
        <v>89</v>
      </c>
      <c r="C7085" s="1">
        <f>HYPERLINK("https://cao.dolgi.msk.ru/account/1011333956/", 1011333956)</f>
        <v>1011333956</v>
      </c>
      <c r="D7085">
        <v>5613.63</v>
      </c>
    </row>
    <row r="7086" spans="1:4" hidden="1" x14ac:dyDescent="0.3">
      <c r="A7086" t="s">
        <v>689</v>
      </c>
      <c r="B7086" t="s">
        <v>90</v>
      </c>
      <c r="C7086" s="1">
        <f>HYPERLINK("https://cao.dolgi.msk.ru/account/1011334182/", 1011334182)</f>
        <v>1011334182</v>
      </c>
      <c r="D7086">
        <v>-1150.29</v>
      </c>
    </row>
    <row r="7087" spans="1:4" hidden="1" x14ac:dyDescent="0.3">
      <c r="A7087" t="s">
        <v>689</v>
      </c>
      <c r="B7087" t="s">
        <v>96</v>
      </c>
      <c r="C7087" s="1">
        <f>HYPERLINK("https://cao.dolgi.msk.ru/account/1011334342/", 1011334342)</f>
        <v>1011334342</v>
      </c>
      <c r="D7087">
        <v>-1065.5999999999999</v>
      </c>
    </row>
    <row r="7088" spans="1:4" hidden="1" x14ac:dyDescent="0.3">
      <c r="A7088" t="s">
        <v>689</v>
      </c>
      <c r="B7088" t="s">
        <v>97</v>
      </c>
      <c r="C7088" s="1">
        <f>HYPERLINK("https://cao.dolgi.msk.ru/account/1011333753/", 1011333753)</f>
        <v>1011333753</v>
      </c>
      <c r="D7088">
        <v>-3087.26</v>
      </c>
    </row>
    <row r="7089" spans="1:4" hidden="1" x14ac:dyDescent="0.3">
      <c r="A7089" t="s">
        <v>689</v>
      </c>
      <c r="B7089" t="s">
        <v>98</v>
      </c>
      <c r="C7089" s="1">
        <f>HYPERLINK("https://cao.dolgi.msk.ru/account/1011334246/", 1011334246)</f>
        <v>1011334246</v>
      </c>
      <c r="D7089">
        <v>-7118.4</v>
      </c>
    </row>
    <row r="7090" spans="1:4" x14ac:dyDescent="0.3">
      <c r="A7090" t="s">
        <v>689</v>
      </c>
      <c r="B7090" t="s">
        <v>58</v>
      </c>
      <c r="C7090" s="1">
        <f>HYPERLINK("https://cao.dolgi.msk.ru/account/1011334107/", 1011334107)</f>
        <v>1011334107</v>
      </c>
      <c r="D7090">
        <v>1722.68</v>
      </c>
    </row>
    <row r="7091" spans="1:4" hidden="1" x14ac:dyDescent="0.3">
      <c r="A7091" t="s">
        <v>689</v>
      </c>
      <c r="B7091" t="s">
        <v>59</v>
      </c>
      <c r="C7091" s="1">
        <f>HYPERLINK("https://cao.dolgi.msk.ru/account/1011334297/", 1011334297)</f>
        <v>1011334297</v>
      </c>
      <c r="D7091">
        <v>-2241.58</v>
      </c>
    </row>
    <row r="7092" spans="1:4" x14ac:dyDescent="0.3">
      <c r="A7092" t="s">
        <v>689</v>
      </c>
      <c r="B7092" t="s">
        <v>60</v>
      </c>
      <c r="C7092" s="1">
        <f>HYPERLINK("https://cao.dolgi.msk.ru/account/1011333999/", 1011333999)</f>
        <v>1011333999</v>
      </c>
      <c r="D7092">
        <v>37486.5</v>
      </c>
    </row>
    <row r="7093" spans="1:4" hidden="1" x14ac:dyDescent="0.3">
      <c r="A7093" t="s">
        <v>689</v>
      </c>
      <c r="B7093" t="s">
        <v>61</v>
      </c>
      <c r="C7093" s="1">
        <f>HYPERLINK("https://cao.dolgi.msk.ru/account/1011334094/", 1011334094)</f>
        <v>1011334094</v>
      </c>
      <c r="D7093">
        <v>-2330.3000000000002</v>
      </c>
    </row>
    <row r="7094" spans="1:4" hidden="1" x14ac:dyDescent="0.3">
      <c r="A7094" t="s">
        <v>689</v>
      </c>
      <c r="B7094" t="s">
        <v>62</v>
      </c>
      <c r="C7094" s="1">
        <f>HYPERLINK("https://cao.dolgi.msk.ru/account/1011333585/", 1011333585)</f>
        <v>1011333585</v>
      </c>
      <c r="D7094">
        <v>-11257</v>
      </c>
    </row>
    <row r="7095" spans="1:4" hidden="1" x14ac:dyDescent="0.3">
      <c r="A7095" t="s">
        <v>689</v>
      </c>
      <c r="B7095" t="s">
        <v>63</v>
      </c>
      <c r="C7095" s="1">
        <f>HYPERLINK("https://cao.dolgi.msk.ru/account/1011334035/", 1011334035)</f>
        <v>1011334035</v>
      </c>
      <c r="D7095">
        <v>-888.52</v>
      </c>
    </row>
    <row r="7096" spans="1:4" hidden="1" x14ac:dyDescent="0.3">
      <c r="A7096" t="s">
        <v>689</v>
      </c>
      <c r="B7096" t="s">
        <v>64</v>
      </c>
      <c r="C7096" s="1">
        <f>HYPERLINK("https://cao.dolgi.msk.ru/account/1011334131/", 1011334131)</f>
        <v>1011334131</v>
      </c>
      <c r="D7096">
        <v>-2312.4899999999998</v>
      </c>
    </row>
    <row r="7097" spans="1:4" x14ac:dyDescent="0.3">
      <c r="A7097" t="s">
        <v>689</v>
      </c>
      <c r="B7097" t="s">
        <v>65</v>
      </c>
      <c r="C7097" s="1">
        <f>HYPERLINK("https://cao.dolgi.msk.ru/account/1011333921/", 1011333921)</f>
        <v>1011333921</v>
      </c>
      <c r="D7097">
        <v>4387.13</v>
      </c>
    </row>
    <row r="7098" spans="1:4" hidden="1" x14ac:dyDescent="0.3">
      <c r="A7098" t="s">
        <v>689</v>
      </c>
      <c r="B7098" t="s">
        <v>66</v>
      </c>
      <c r="C7098" s="1">
        <f>HYPERLINK("https://cao.dolgi.msk.ru/account/1011334377/", 1011334377)</f>
        <v>1011334377</v>
      </c>
      <c r="D7098">
        <v>-2135.16</v>
      </c>
    </row>
    <row r="7099" spans="1:4" hidden="1" x14ac:dyDescent="0.3">
      <c r="A7099" t="s">
        <v>689</v>
      </c>
      <c r="B7099" t="s">
        <v>67</v>
      </c>
      <c r="C7099" s="1">
        <f>HYPERLINK("https://cao.dolgi.msk.ru/account/1011333796/", 1011333796)</f>
        <v>1011333796</v>
      </c>
      <c r="D7099">
        <v>-5732.71</v>
      </c>
    </row>
    <row r="7100" spans="1:4" hidden="1" x14ac:dyDescent="0.3">
      <c r="A7100" t="s">
        <v>689</v>
      </c>
      <c r="B7100" t="s">
        <v>68</v>
      </c>
      <c r="C7100" s="1">
        <f>HYPERLINK("https://cao.dolgi.msk.ru/account/1011333817/", 1011333817)</f>
        <v>1011333817</v>
      </c>
      <c r="D7100">
        <v>-17466.57</v>
      </c>
    </row>
    <row r="7101" spans="1:4" hidden="1" x14ac:dyDescent="0.3">
      <c r="A7101" t="s">
        <v>689</v>
      </c>
      <c r="B7101" t="s">
        <v>69</v>
      </c>
      <c r="C7101" s="1">
        <f>HYPERLINK("https://cao.dolgi.msk.ru/account/1011333964/", 1011333964)</f>
        <v>1011333964</v>
      </c>
      <c r="D7101">
        <v>-1724.12</v>
      </c>
    </row>
    <row r="7102" spans="1:4" hidden="1" x14ac:dyDescent="0.3">
      <c r="A7102" t="s">
        <v>689</v>
      </c>
      <c r="B7102" t="s">
        <v>70</v>
      </c>
      <c r="C7102" s="1">
        <f>HYPERLINK("https://cao.dolgi.msk.ru/account/1011333833/", 1011333833)</f>
        <v>1011333833</v>
      </c>
      <c r="D7102">
        <v>-9232.23</v>
      </c>
    </row>
    <row r="7103" spans="1:4" hidden="1" x14ac:dyDescent="0.3">
      <c r="A7103" t="s">
        <v>689</v>
      </c>
      <c r="B7103" t="s">
        <v>259</v>
      </c>
      <c r="C7103" s="1">
        <f>HYPERLINK("https://cao.dolgi.msk.ru/account/1011333948/", 1011333948)</f>
        <v>1011333948</v>
      </c>
      <c r="D7103">
        <v>-2353.9</v>
      </c>
    </row>
    <row r="7104" spans="1:4" hidden="1" x14ac:dyDescent="0.3">
      <c r="A7104" t="s">
        <v>689</v>
      </c>
      <c r="B7104" t="s">
        <v>100</v>
      </c>
      <c r="C7104" s="1">
        <f>HYPERLINK("https://cao.dolgi.msk.ru/account/1011333649/", 1011333649)</f>
        <v>1011333649</v>
      </c>
      <c r="D7104">
        <v>-2247.48</v>
      </c>
    </row>
    <row r="7105" spans="1:4" hidden="1" x14ac:dyDescent="0.3">
      <c r="A7105" t="s">
        <v>689</v>
      </c>
      <c r="B7105" t="s">
        <v>72</v>
      </c>
      <c r="C7105" s="1">
        <f>HYPERLINK("https://cao.dolgi.msk.ru/account/1011334254/", 1011334254)</f>
        <v>1011334254</v>
      </c>
      <c r="D7105">
        <v>-1307.08</v>
      </c>
    </row>
    <row r="7106" spans="1:4" hidden="1" x14ac:dyDescent="0.3">
      <c r="A7106" t="s">
        <v>689</v>
      </c>
      <c r="B7106" t="s">
        <v>73</v>
      </c>
      <c r="C7106" s="1">
        <f>HYPERLINK("https://cao.dolgi.msk.ru/account/1011333606/", 1011333606)</f>
        <v>1011333606</v>
      </c>
      <c r="D7106">
        <v>-2324.4</v>
      </c>
    </row>
    <row r="7107" spans="1:4" hidden="1" x14ac:dyDescent="0.3">
      <c r="A7107" t="s">
        <v>689</v>
      </c>
      <c r="B7107" t="s">
        <v>74</v>
      </c>
      <c r="C7107" s="1">
        <f>HYPERLINK("https://cao.dolgi.msk.ru/account/1011334393/", 1011334393)</f>
        <v>1011334393</v>
      </c>
      <c r="D7107">
        <v>-2407.11</v>
      </c>
    </row>
    <row r="7108" spans="1:4" hidden="1" x14ac:dyDescent="0.3">
      <c r="A7108" t="s">
        <v>689</v>
      </c>
      <c r="B7108" t="s">
        <v>75</v>
      </c>
      <c r="C7108" s="1">
        <f>HYPERLINK("https://cao.dolgi.msk.ru/account/1011334203/", 1011334203)</f>
        <v>1011334203</v>
      </c>
      <c r="D7108">
        <v>-5029.6000000000004</v>
      </c>
    </row>
    <row r="7109" spans="1:4" hidden="1" x14ac:dyDescent="0.3">
      <c r="A7109" t="s">
        <v>689</v>
      </c>
      <c r="B7109" t="s">
        <v>76</v>
      </c>
      <c r="C7109" s="1">
        <f>HYPERLINK("https://cao.dolgi.msk.ru/account/1011334166/", 1011334166)</f>
        <v>1011334166</v>
      </c>
      <c r="D7109">
        <v>-1449.01</v>
      </c>
    </row>
    <row r="7110" spans="1:4" hidden="1" x14ac:dyDescent="0.3">
      <c r="A7110" t="s">
        <v>689</v>
      </c>
      <c r="B7110" t="s">
        <v>77</v>
      </c>
      <c r="C7110" s="1">
        <f>HYPERLINK("https://cao.dolgi.msk.ru/account/1011334174/", 1011334174)</f>
        <v>1011334174</v>
      </c>
      <c r="D7110">
        <v>-1147.45</v>
      </c>
    </row>
    <row r="7111" spans="1:4" hidden="1" x14ac:dyDescent="0.3">
      <c r="A7111" t="s">
        <v>689</v>
      </c>
      <c r="B7111" t="s">
        <v>78</v>
      </c>
      <c r="C7111" s="1">
        <f>HYPERLINK("https://cao.dolgi.msk.ru/account/1011334086/", 1011334086)</f>
        <v>1011334086</v>
      </c>
      <c r="D7111">
        <v>-1312.98</v>
      </c>
    </row>
    <row r="7112" spans="1:4" hidden="1" x14ac:dyDescent="0.3">
      <c r="A7112" t="s">
        <v>689</v>
      </c>
      <c r="B7112" t="s">
        <v>79</v>
      </c>
      <c r="C7112" s="1">
        <f>HYPERLINK("https://cao.dolgi.msk.ru/account/1011333884/", 1011333884)</f>
        <v>1011333884</v>
      </c>
      <c r="D7112">
        <v>-2265.1799999999998</v>
      </c>
    </row>
    <row r="7113" spans="1:4" hidden="1" x14ac:dyDescent="0.3">
      <c r="A7113" t="s">
        <v>689</v>
      </c>
      <c r="B7113" t="s">
        <v>80</v>
      </c>
      <c r="C7113" s="1">
        <f>HYPERLINK("https://cao.dolgi.msk.ru/account/1011333761/", 1011333761)</f>
        <v>1011333761</v>
      </c>
      <c r="D7113">
        <v>-3448.62</v>
      </c>
    </row>
    <row r="7114" spans="1:4" hidden="1" x14ac:dyDescent="0.3">
      <c r="A7114" t="s">
        <v>689</v>
      </c>
      <c r="B7114" t="s">
        <v>81</v>
      </c>
      <c r="C7114" s="1">
        <f>HYPERLINK("https://cao.dolgi.msk.ru/account/1011334019/", 1011334019)</f>
        <v>1011334019</v>
      </c>
      <c r="D7114">
        <v>-2460.3200000000002</v>
      </c>
    </row>
    <row r="7115" spans="1:4" x14ac:dyDescent="0.3">
      <c r="A7115" t="s">
        <v>690</v>
      </c>
      <c r="B7115" t="s">
        <v>6</v>
      </c>
      <c r="C7115" s="1">
        <f>HYPERLINK("https://cao.dolgi.msk.ru/account/1011401082/", 1011401082)</f>
        <v>1011401082</v>
      </c>
      <c r="D7115">
        <v>156685.26999999999</v>
      </c>
    </row>
    <row r="7116" spans="1:4" hidden="1" x14ac:dyDescent="0.3">
      <c r="A7116" t="s">
        <v>690</v>
      </c>
      <c r="B7116" t="s">
        <v>5</v>
      </c>
      <c r="C7116" s="1">
        <f>HYPERLINK("https://cao.dolgi.msk.ru/account/1011401111/", 1011401111)</f>
        <v>1011401111</v>
      </c>
      <c r="D7116">
        <v>0</v>
      </c>
    </row>
    <row r="7117" spans="1:4" hidden="1" x14ac:dyDescent="0.3">
      <c r="A7117" t="s">
        <v>690</v>
      </c>
      <c r="B7117" t="s">
        <v>7</v>
      </c>
      <c r="C7117" s="1">
        <f>HYPERLINK("https://cao.dolgi.msk.ru/account/1011401103/", 1011401103)</f>
        <v>1011401103</v>
      </c>
      <c r="D7117">
        <v>0</v>
      </c>
    </row>
    <row r="7118" spans="1:4" hidden="1" x14ac:dyDescent="0.3">
      <c r="A7118" t="s">
        <v>690</v>
      </c>
      <c r="B7118" t="s">
        <v>8</v>
      </c>
      <c r="C7118" s="1">
        <f>HYPERLINK("https://cao.dolgi.msk.ru/account/1011401146/", 1011401146)</f>
        <v>1011401146</v>
      </c>
      <c r="D7118">
        <v>-6217.2</v>
      </c>
    </row>
    <row r="7119" spans="1:4" x14ac:dyDescent="0.3">
      <c r="A7119" t="s">
        <v>690</v>
      </c>
      <c r="B7119" t="s">
        <v>31</v>
      </c>
      <c r="C7119" s="1">
        <f>HYPERLINK("https://cao.dolgi.msk.ru/account/1011401189/", 1011401189)</f>
        <v>1011401189</v>
      </c>
      <c r="D7119">
        <v>18337.79</v>
      </c>
    </row>
    <row r="7120" spans="1:4" x14ac:dyDescent="0.3">
      <c r="A7120" t="s">
        <v>690</v>
      </c>
      <c r="B7120" t="s">
        <v>9</v>
      </c>
      <c r="C7120" s="1">
        <f>HYPERLINK("https://cao.dolgi.msk.ru/account/1011401162/", 1011401162)</f>
        <v>1011401162</v>
      </c>
      <c r="D7120">
        <v>27</v>
      </c>
    </row>
    <row r="7121" spans="1:4" hidden="1" x14ac:dyDescent="0.3">
      <c r="A7121" t="s">
        <v>690</v>
      </c>
      <c r="B7121" t="s">
        <v>10</v>
      </c>
      <c r="C7121" s="1">
        <f>HYPERLINK("https://cao.dolgi.msk.ru/account/1011401066/", 1011401066)</f>
        <v>1011401066</v>
      </c>
      <c r="D7121">
        <v>0</v>
      </c>
    </row>
    <row r="7122" spans="1:4" hidden="1" x14ac:dyDescent="0.3">
      <c r="A7122" t="s">
        <v>690</v>
      </c>
      <c r="B7122" t="s">
        <v>11</v>
      </c>
      <c r="C7122" s="1">
        <f>HYPERLINK("https://cao.dolgi.msk.ru/account/1011401074/", 1011401074)</f>
        <v>1011401074</v>
      </c>
      <c r="D7122">
        <v>0</v>
      </c>
    </row>
    <row r="7123" spans="1:4" hidden="1" x14ac:dyDescent="0.3">
      <c r="A7123" t="s">
        <v>690</v>
      </c>
      <c r="B7123" t="s">
        <v>12</v>
      </c>
      <c r="C7123" s="1">
        <f>HYPERLINK("https://cao.dolgi.msk.ru/account/1011401138/", 1011401138)</f>
        <v>1011401138</v>
      </c>
      <c r="D7123">
        <v>0</v>
      </c>
    </row>
    <row r="7124" spans="1:4" hidden="1" x14ac:dyDescent="0.3">
      <c r="A7124" t="s">
        <v>690</v>
      </c>
      <c r="B7124" t="s">
        <v>23</v>
      </c>
      <c r="C7124" s="1">
        <f>HYPERLINK("https://cao.dolgi.msk.ru/account/1011401154/", 1011401154)</f>
        <v>1011401154</v>
      </c>
      <c r="D7124">
        <v>0</v>
      </c>
    </row>
    <row r="7125" spans="1:4" hidden="1" x14ac:dyDescent="0.3">
      <c r="A7125" t="s">
        <v>691</v>
      </c>
      <c r="B7125" t="s">
        <v>89</v>
      </c>
      <c r="C7125" s="1">
        <f>HYPERLINK("https://cao.dolgi.msk.ru/account/1011196816/", 1011196816)</f>
        <v>1011196816</v>
      </c>
      <c r="D7125">
        <v>0</v>
      </c>
    </row>
    <row r="7126" spans="1:4" hidden="1" x14ac:dyDescent="0.3">
      <c r="A7126" t="s">
        <v>691</v>
      </c>
      <c r="B7126" t="s">
        <v>90</v>
      </c>
      <c r="C7126" s="1">
        <f>HYPERLINK("https://cao.dolgi.msk.ru/account/1011196808/", 1011196808)</f>
        <v>1011196808</v>
      </c>
      <c r="D7126">
        <v>-2553.9699999999998</v>
      </c>
    </row>
    <row r="7127" spans="1:4" hidden="1" x14ac:dyDescent="0.3">
      <c r="A7127" t="s">
        <v>691</v>
      </c>
      <c r="B7127" t="s">
        <v>96</v>
      </c>
      <c r="C7127" s="1">
        <f>HYPERLINK("https://cao.dolgi.msk.ru/account/1011196824/", 1011196824)</f>
        <v>1011196824</v>
      </c>
      <c r="D7127">
        <v>0</v>
      </c>
    </row>
    <row r="7128" spans="1:4" hidden="1" x14ac:dyDescent="0.3">
      <c r="A7128" t="s">
        <v>691</v>
      </c>
      <c r="B7128" t="s">
        <v>97</v>
      </c>
      <c r="C7128" s="1">
        <f>HYPERLINK("https://cao.dolgi.msk.ru/account/1011196787/", 1011196787)</f>
        <v>1011196787</v>
      </c>
      <c r="D7128">
        <v>-989.71</v>
      </c>
    </row>
    <row r="7129" spans="1:4" hidden="1" x14ac:dyDescent="0.3">
      <c r="A7129" t="s">
        <v>691</v>
      </c>
      <c r="B7129" t="s">
        <v>98</v>
      </c>
      <c r="C7129" s="1">
        <f>HYPERLINK("https://cao.dolgi.msk.ru/account/1011196779/", 1011196779)</f>
        <v>1011196779</v>
      </c>
      <c r="D7129">
        <v>0</v>
      </c>
    </row>
    <row r="7130" spans="1:4" x14ac:dyDescent="0.3">
      <c r="A7130" t="s">
        <v>691</v>
      </c>
      <c r="B7130" t="s">
        <v>98</v>
      </c>
      <c r="C7130" s="1">
        <f>HYPERLINK("https://cao.dolgi.msk.ru/account/1011196832/", 1011196832)</f>
        <v>1011196832</v>
      </c>
      <c r="D7130">
        <v>6418.84</v>
      </c>
    </row>
    <row r="7131" spans="1:4" hidden="1" x14ac:dyDescent="0.3">
      <c r="A7131" t="s">
        <v>691</v>
      </c>
      <c r="B7131" t="s">
        <v>58</v>
      </c>
      <c r="C7131" s="1">
        <f>HYPERLINK("https://cao.dolgi.msk.ru/account/1011196795/", 1011196795)</f>
        <v>1011196795</v>
      </c>
      <c r="D7131">
        <v>-5343.62</v>
      </c>
    </row>
    <row r="7132" spans="1:4" hidden="1" x14ac:dyDescent="0.3">
      <c r="A7132" t="s">
        <v>692</v>
      </c>
      <c r="B7132" t="s">
        <v>60</v>
      </c>
      <c r="C7132" s="1">
        <f>HYPERLINK("https://cao.dolgi.msk.ru/account/1011088794/", 1011088794)</f>
        <v>1011088794</v>
      </c>
      <c r="D7132">
        <v>-14132.88</v>
      </c>
    </row>
    <row r="7133" spans="1:4" x14ac:dyDescent="0.3">
      <c r="A7133" t="s">
        <v>692</v>
      </c>
      <c r="B7133" t="s">
        <v>61</v>
      </c>
      <c r="C7133" s="1">
        <f>HYPERLINK("https://cao.dolgi.msk.ru/account/1011088831/", 1011088831)</f>
        <v>1011088831</v>
      </c>
      <c r="D7133">
        <v>364.77</v>
      </c>
    </row>
    <row r="7134" spans="1:4" hidden="1" x14ac:dyDescent="0.3">
      <c r="A7134" t="s">
        <v>692</v>
      </c>
      <c r="B7134" t="s">
        <v>62</v>
      </c>
      <c r="C7134" s="1">
        <f>HYPERLINK("https://cao.dolgi.msk.ru/account/1011088938/", 1011088938)</f>
        <v>1011088938</v>
      </c>
      <c r="D7134">
        <v>0</v>
      </c>
    </row>
    <row r="7135" spans="1:4" hidden="1" x14ac:dyDescent="0.3">
      <c r="A7135" t="s">
        <v>692</v>
      </c>
      <c r="B7135" t="s">
        <v>63</v>
      </c>
      <c r="C7135" s="1">
        <f>HYPERLINK("https://cao.dolgi.msk.ru/account/1011088815/", 1011088815)</f>
        <v>1011088815</v>
      </c>
      <c r="D7135">
        <v>-7207.28</v>
      </c>
    </row>
    <row r="7136" spans="1:4" hidden="1" x14ac:dyDescent="0.3">
      <c r="A7136" t="s">
        <v>692</v>
      </c>
      <c r="B7136" t="s">
        <v>63</v>
      </c>
      <c r="C7136" s="1">
        <f>HYPERLINK("https://cao.dolgi.msk.ru/account/1011088946/", 1011088946)</f>
        <v>1011088946</v>
      </c>
      <c r="D7136">
        <v>-2815.15</v>
      </c>
    </row>
    <row r="7137" spans="1:4" hidden="1" x14ac:dyDescent="0.3">
      <c r="A7137" t="s">
        <v>692</v>
      </c>
      <c r="B7137" t="s">
        <v>64</v>
      </c>
      <c r="C7137" s="1">
        <f>HYPERLINK("https://cao.dolgi.msk.ru/account/1011088858/", 1011088858)</f>
        <v>1011088858</v>
      </c>
      <c r="D7137">
        <v>-9911.44</v>
      </c>
    </row>
    <row r="7138" spans="1:4" x14ac:dyDescent="0.3">
      <c r="A7138" t="s">
        <v>692</v>
      </c>
      <c r="B7138" t="s">
        <v>65</v>
      </c>
      <c r="C7138" s="1">
        <f>HYPERLINK("https://cao.dolgi.msk.ru/account/1011088874/", 1011088874)</f>
        <v>1011088874</v>
      </c>
      <c r="D7138">
        <v>425.96</v>
      </c>
    </row>
    <row r="7139" spans="1:4" hidden="1" x14ac:dyDescent="0.3">
      <c r="A7139" t="s">
        <v>692</v>
      </c>
      <c r="B7139" t="s">
        <v>66</v>
      </c>
      <c r="C7139" s="1">
        <f>HYPERLINK("https://cao.dolgi.msk.ru/account/1011088954/", 1011088954)</f>
        <v>1011088954</v>
      </c>
      <c r="D7139">
        <v>0</v>
      </c>
    </row>
    <row r="7140" spans="1:4" hidden="1" x14ac:dyDescent="0.3">
      <c r="A7140" t="s">
        <v>692</v>
      </c>
      <c r="B7140" t="s">
        <v>67</v>
      </c>
      <c r="C7140" s="1">
        <f>HYPERLINK("https://cao.dolgi.msk.ru/account/1011088962/", 1011088962)</f>
        <v>1011088962</v>
      </c>
      <c r="D7140">
        <v>-6490.5</v>
      </c>
    </row>
    <row r="7141" spans="1:4" hidden="1" x14ac:dyDescent="0.3">
      <c r="A7141" t="s">
        <v>692</v>
      </c>
      <c r="B7141" t="s">
        <v>68</v>
      </c>
      <c r="C7141" s="1">
        <f>HYPERLINK("https://cao.dolgi.msk.ru/account/1011088903/", 1011088903)</f>
        <v>1011088903</v>
      </c>
      <c r="D7141">
        <v>-6018.51</v>
      </c>
    </row>
    <row r="7142" spans="1:4" x14ac:dyDescent="0.3">
      <c r="A7142" t="s">
        <v>692</v>
      </c>
      <c r="B7142" t="s">
        <v>69</v>
      </c>
      <c r="C7142" s="1">
        <f>HYPERLINK("https://cao.dolgi.msk.ru/account/1011088911/", 1011088911)</f>
        <v>1011088911</v>
      </c>
      <c r="D7142">
        <v>4259.74</v>
      </c>
    </row>
    <row r="7143" spans="1:4" hidden="1" x14ac:dyDescent="0.3">
      <c r="A7143" t="s">
        <v>692</v>
      </c>
      <c r="B7143" t="s">
        <v>70</v>
      </c>
      <c r="C7143" s="1">
        <f>HYPERLINK("https://cao.dolgi.msk.ru/account/1011088989/", 1011088989)</f>
        <v>1011088989</v>
      </c>
      <c r="D7143">
        <v>0</v>
      </c>
    </row>
    <row r="7144" spans="1:4" hidden="1" x14ac:dyDescent="0.3">
      <c r="A7144" t="s">
        <v>692</v>
      </c>
      <c r="B7144" t="s">
        <v>259</v>
      </c>
      <c r="C7144" s="1">
        <f>HYPERLINK("https://cao.dolgi.msk.ru/account/1011088882/", 1011088882)</f>
        <v>1011088882</v>
      </c>
      <c r="D7144">
        <v>0</v>
      </c>
    </row>
    <row r="7145" spans="1:4" hidden="1" x14ac:dyDescent="0.3">
      <c r="A7145" t="s">
        <v>692</v>
      </c>
      <c r="B7145" t="s">
        <v>259</v>
      </c>
      <c r="C7145" s="1">
        <f>HYPERLINK("https://cao.dolgi.msk.ru/account/1011097084/", 1011097084)</f>
        <v>1011097084</v>
      </c>
      <c r="D7145">
        <v>0</v>
      </c>
    </row>
    <row r="7146" spans="1:4" hidden="1" x14ac:dyDescent="0.3">
      <c r="A7146" t="s">
        <v>692</v>
      </c>
      <c r="B7146" t="s">
        <v>100</v>
      </c>
      <c r="C7146" s="1">
        <f>HYPERLINK("https://cao.dolgi.msk.ru/account/1011088997/", 1011088997)</f>
        <v>1011088997</v>
      </c>
      <c r="D7146">
        <v>0</v>
      </c>
    </row>
    <row r="7147" spans="1:4" hidden="1" x14ac:dyDescent="0.3">
      <c r="A7147" t="s">
        <v>692</v>
      </c>
      <c r="B7147" t="s">
        <v>72</v>
      </c>
      <c r="C7147" s="1">
        <f>HYPERLINK("https://cao.dolgi.msk.ru/account/1011088823/", 1011088823)</f>
        <v>1011088823</v>
      </c>
      <c r="D7147">
        <v>0</v>
      </c>
    </row>
    <row r="7148" spans="1:4" x14ac:dyDescent="0.3">
      <c r="A7148" t="s">
        <v>692</v>
      </c>
      <c r="B7148" t="s">
        <v>73</v>
      </c>
      <c r="C7148" s="1">
        <f>HYPERLINK("https://cao.dolgi.msk.ru/account/1011089009/", 1011089009)</f>
        <v>1011089009</v>
      </c>
      <c r="D7148">
        <v>37456.53</v>
      </c>
    </row>
    <row r="7149" spans="1:4" hidden="1" x14ac:dyDescent="0.3">
      <c r="A7149" t="s">
        <v>693</v>
      </c>
      <c r="B7149" t="s">
        <v>35</v>
      </c>
      <c r="C7149" s="1">
        <f>HYPERLINK("https://cao.dolgi.msk.ru/account/1010701948/", 1010701948)</f>
        <v>1010701948</v>
      </c>
      <c r="D7149">
        <v>-9843.7999999999993</v>
      </c>
    </row>
    <row r="7150" spans="1:4" x14ac:dyDescent="0.3">
      <c r="A7150" t="s">
        <v>693</v>
      </c>
      <c r="B7150" t="s">
        <v>7</v>
      </c>
      <c r="C7150" s="1">
        <f>HYPERLINK("https://cao.dolgi.msk.ru/account/1010701964/", 1010701964)</f>
        <v>1010701964</v>
      </c>
      <c r="D7150">
        <v>5024.47</v>
      </c>
    </row>
    <row r="7151" spans="1:4" hidden="1" x14ac:dyDescent="0.3">
      <c r="A7151" t="s">
        <v>693</v>
      </c>
      <c r="B7151" t="s">
        <v>8</v>
      </c>
      <c r="C7151" s="1">
        <f>HYPERLINK("https://cao.dolgi.msk.ru/account/1010701972/", 1010701972)</f>
        <v>1010701972</v>
      </c>
      <c r="D7151">
        <v>0</v>
      </c>
    </row>
    <row r="7152" spans="1:4" hidden="1" x14ac:dyDescent="0.3">
      <c r="A7152" t="s">
        <v>693</v>
      </c>
      <c r="B7152" t="s">
        <v>31</v>
      </c>
      <c r="C7152" s="1">
        <f>HYPERLINK("https://cao.dolgi.msk.ru/account/1010701999/", 1010701999)</f>
        <v>1010701999</v>
      </c>
      <c r="D7152">
        <v>0</v>
      </c>
    </row>
    <row r="7153" spans="1:4" hidden="1" x14ac:dyDescent="0.3">
      <c r="A7153" t="s">
        <v>693</v>
      </c>
      <c r="B7153" t="s">
        <v>9</v>
      </c>
      <c r="C7153" s="1">
        <f>HYPERLINK("https://cao.dolgi.msk.ru/account/1010702019/", 1010702019)</f>
        <v>1010702019</v>
      </c>
      <c r="D7153">
        <v>0</v>
      </c>
    </row>
    <row r="7154" spans="1:4" hidden="1" x14ac:dyDescent="0.3">
      <c r="A7154" t="s">
        <v>693</v>
      </c>
      <c r="B7154" t="s">
        <v>10</v>
      </c>
      <c r="C7154" s="1">
        <f>HYPERLINK("https://cao.dolgi.msk.ru/account/1010702027/", 1010702027)</f>
        <v>1010702027</v>
      </c>
      <c r="D7154">
        <v>0</v>
      </c>
    </row>
    <row r="7155" spans="1:4" hidden="1" x14ac:dyDescent="0.3">
      <c r="A7155" t="s">
        <v>693</v>
      </c>
      <c r="B7155" t="s">
        <v>11</v>
      </c>
      <c r="C7155" s="1">
        <f>HYPERLINK("https://cao.dolgi.msk.ru/account/1010702035/", 1010702035)</f>
        <v>1010702035</v>
      </c>
      <c r="D7155">
        <v>0</v>
      </c>
    </row>
    <row r="7156" spans="1:4" x14ac:dyDescent="0.3">
      <c r="A7156" t="s">
        <v>693</v>
      </c>
      <c r="B7156" t="s">
        <v>12</v>
      </c>
      <c r="C7156" s="1">
        <f>HYPERLINK("https://cao.dolgi.msk.ru/account/1010702043/", 1010702043)</f>
        <v>1010702043</v>
      </c>
      <c r="D7156">
        <v>10872.43</v>
      </c>
    </row>
    <row r="7157" spans="1:4" hidden="1" x14ac:dyDescent="0.3">
      <c r="A7157" t="s">
        <v>693</v>
      </c>
      <c r="B7157" t="s">
        <v>23</v>
      </c>
      <c r="C7157" s="1">
        <f>HYPERLINK("https://cao.dolgi.msk.ru/account/1010702051/", 1010702051)</f>
        <v>1010702051</v>
      </c>
      <c r="D7157">
        <v>-3880.88</v>
      </c>
    </row>
    <row r="7158" spans="1:4" hidden="1" x14ac:dyDescent="0.3">
      <c r="A7158" t="s">
        <v>693</v>
      </c>
      <c r="B7158" t="s">
        <v>13</v>
      </c>
      <c r="C7158" s="1">
        <f>HYPERLINK("https://cao.dolgi.msk.ru/account/1010702078/", 1010702078)</f>
        <v>1010702078</v>
      </c>
      <c r="D7158">
        <v>0</v>
      </c>
    </row>
    <row r="7159" spans="1:4" hidden="1" x14ac:dyDescent="0.3">
      <c r="A7159" t="s">
        <v>693</v>
      </c>
      <c r="B7159" t="s">
        <v>14</v>
      </c>
      <c r="C7159" s="1">
        <f>HYPERLINK("https://cao.dolgi.msk.ru/account/1010702086/", 1010702086)</f>
        <v>1010702086</v>
      </c>
      <c r="D7159">
        <v>-7829.88</v>
      </c>
    </row>
    <row r="7160" spans="1:4" hidden="1" x14ac:dyDescent="0.3">
      <c r="A7160" t="s">
        <v>693</v>
      </c>
      <c r="B7160" t="s">
        <v>16</v>
      </c>
      <c r="C7160" s="1">
        <f>HYPERLINK("https://cao.dolgi.msk.ru/account/1010702094/", 1010702094)</f>
        <v>1010702094</v>
      </c>
      <c r="D7160">
        <v>-644.44000000000005</v>
      </c>
    </row>
    <row r="7161" spans="1:4" hidden="1" x14ac:dyDescent="0.3">
      <c r="A7161" t="s">
        <v>693</v>
      </c>
      <c r="B7161" t="s">
        <v>17</v>
      </c>
      <c r="C7161" s="1">
        <f>HYPERLINK("https://cao.dolgi.msk.ru/account/1010702107/", 1010702107)</f>
        <v>1010702107</v>
      </c>
      <c r="D7161">
        <v>0</v>
      </c>
    </row>
    <row r="7162" spans="1:4" hidden="1" x14ac:dyDescent="0.3">
      <c r="A7162" t="s">
        <v>693</v>
      </c>
      <c r="B7162" t="s">
        <v>18</v>
      </c>
      <c r="C7162" s="1">
        <f>HYPERLINK("https://cao.dolgi.msk.ru/account/1010702115/", 1010702115)</f>
        <v>1010702115</v>
      </c>
      <c r="D7162">
        <v>-48220.959999999999</v>
      </c>
    </row>
    <row r="7163" spans="1:4" hidden="1" x14ac:dyDescent="0.3">
      <c r="A7163" t="s">
        <v>693</v>
      </c>
      <c r="B7163" t="s">
        <v>19</v>
      </c>
      <c r="C7163" s="1">
        <f>HYPERLINK("https://cao.dolgi.msk.ru/account/1010702123/", 1010702123)</f>
        <v>1010702123</v>
      </c>
      <c r="D7163">
        <v>0</v>
      </c>
    </row>
    <row r="7164" spans="1:4" hidden="1" x14ac:dyDescent="0.3">
      <c r="A7164" t="s">
        <v>693</v>
      </c>
      <c r="B7164" t="s">
        <v>20</v>
      </c>
      <c r="C7164" s="1">
        <f>HYPERLINK("https://cao.dolgi.msk.ru/account/1010702131/", 1010702131)</f>
        <v>1010702131</v>
      </c>
      <c r="D7164">
        <v>0</v>
      </c>
    </row>
    <row r="7165" spans="1:4" hidden="1" x14ac:dyDescent="0.3">
      <c r="A7165" t="s">
        <v>693</v>
      </c>
      <c r="B7165" t="s">
        <v>21</v>
      </c>
      <c r="C7165" s="1">
        <f>HYPERLINK("https://cao.dolgi.msk.ru/account/1010702158/", 1010702158)</f>
        <v>1010702158</v>
      </c>
      <c r="D7165">
        <v>0</v>
      </c>
    </row>
    <row r="7166" spans="1:4" x14ac:dyDescent="0.3">
      <c r="A7166" t="s">
        <v>693</v>
      </c>
      <c r="B7166" t="s">
        <v>24</v>
      </c>
      <c r="C7166" s="1">
        <f>HYPERLINK("https://cao.dolgi.msk.ru/account/1010702166/", 1010702166)</f>
        <v>1010702166</v>
      </c>
      <c r="D7166">
        <v>8458.6200000000008</v>
      </c>
    </row>
    <row r="7167" spans="1:4" hidden="1" x14ac:dyDescent="0.3">
      <c r="A7167" t="s">
        <v>693</v>
      </c>
      <c r="B7167" t="s">
        <v>25</v>
      </c>
      <c r="C7167" s="1">
        <f>HYPERLINK("https://cao.dolgi.msk.ru/account/1010702174/", 1010702174)</f>
        <v>1010702174</v>
      </c>
      <c r="D7167">
        <v>0</v>
      </c>
    </row>
    <row r="7168" spans="1:4" hidden="1" x14ac:dyDescent="0.3">
      <c r="A7168" t="s">
        <v>693</v>
      </c>
      <c r="B7168" t="s">
        <v>26</v>
      </c>
      <c r="C7168" s="1">
        <f>HYPERLINK("https://cao.dolgi.msk.ru/account/1010702182/", 1010702182)</f>
        <v>1010702182</v>
      </c>
      <c r="D7168">
        <v>-13033.74</v>
      </c>
    </row>
    <row r="7169" spans="1:4" hidden="1" x14ac:dyDescent="0.3">
      <c r="A7169" t="s">
        <v>693</v>
      </c>
      <c r="B7169" t="s">
        <v>27</v>
      </c>
      <c r="C7169" s="1">
        <f>HYPERLINK("https://cao.dolgi.msk.ru/account/1010702203/", 1010702203)</f>
        <v>1010702203</v>
      </c>
      <c r="D7169">
        <v>0</v>
      </c>
    </row>
    <row r="7170" spans="1:4" x14ac:dyDescent="0.3">
      <c r="A7170" t="s">
        <v>693</v>
      </c>
      <c r="B7170" t="s">
        <v>29</v>
      </c>
      <c r="C7170" s="1">
        <f>HYPERLINK("https://cao.dolgi.msk.ru/account/1010702211/", 1010702211)</f>
        <v>1010702211</v>
      </c>
      <c r="D7170">
        <v>20147.09</v>
      </c>
    </row>
    <row r="7171" spans="1:4" hidden="1" x14ac:dyDescent="0.3">
      <c r="A7171" t="s">
        <v>693</v>
      </c>
      <c r="B7171" t="s">
        <v>38</v>
      </c>
      <c r="C7171" s="1">
        <f>HYPERLINK("https://cao.dolgi.msk.ru/account/1010702238/", 1010702238)</f>
        <v>1010702238</v>
      </c>
      <c r="D7171">
        <v>-11069.51</v>
      </c>
    </row>
    <row r="7172" spans="1:4" x14ac:dyDescent="0.3">
      <c r="A7172" t="s">
        <v>693</v>
      </c>
      <c r="B7172" t="s">
        <v>39</v>
      </c>
      <c r="C7172" s="1">
        <f>HYPERLINK("https://cao.dolgi.msk.ru/account/1010702246/", 1010702246)</f>
        <v>1010702246</v>
      </c>
      <c r="D7172">
        <v>4945.7</v>
      </c>
    </row>
    <row r="7173" spans="1:4" hidden="1" x14ac:dyDescent="0.3">
      <c r="A7173" t="s">
        <v>693</v>
      </c>
      <c r="B7173" t="s">
        <v>40</v>
      </c>
      <c r="C7173" s="1">
        <f>HYPERLINK("https://cao.dolgi.msk.ru/account/1010702254/", 1010702254)</f>
        <v>1010702254</v>
      </c>
      <c r="D7173">
        <v>0</v>
      </c>
    </row>
    <row r="7174" spans="1:4" x14ac:dyDescent="0.3">
      <c r="A7174" t="s">
        <v>694</v>
      </c>
      <c r="B7174" t="s">
        <v>10</v>
      </c>
      <c r="C7174" s="1">
        <f>HYPERLINK("https://cao.dolgi.msk.ru/account/1010702289/", 1010702289)</f>
        <v>1010702289</v>
      </c>
      <c r="D7174">
        <v>34508.75</v>
      </c>
    </row>
    <row r="7175" spans="1:4" x14ac:dyDescent="0.3">
      <c r="A7175" t="s">
        <v>694</v>
      </c>
      <c r="B7175" t="s">
        <v>695</v>
      </c>
      <c r="C7175" s="1">
        <f>HYPERLINK("https://cao.dolgi.msk.ru/account/1011018323/", 1011018323)</f>
        <v>1011018323</v>
      </c>
      <c r="D7175">
        <v>12350.77</v>
      </c>
    </row>
    <row r="7176" spans="1:4" hidden="1" x14ac:dyDescent="0.3">
      <c r="A7176" t="s">
        <v>694</v>
      </c>
      <c r="B7176" t="s">
        <v>11</v>
      </c>
      <c r="C7176" s="1">
        <f>HYPERLINK("https://cao.dolgi.msk.ru/account/1010702297/", 1010702297)</f>
        <v>1010702297</v>
      </c>
      <c r="D7176">
        <v>0</v>
      </c>
    </row>
    <row r="7177" spans="1:4" hidden="1" x14ac:dyDescent="0.3">
      <c r="A7177" t="s">
        <v>694</v>
      </c>
      <c r="B7177" t="s">
        <v>18</v>
      </c>
      <c r="C7177" s="1">
        <f>HYPERLINK("https://cao.dolgi.msk.ru/account/1010702318/", 1010702318)</f>
        <v>1010702318</v>
      </c>
      <c r="D7177">
        <v>-34.22</v>
      </c>
    </row>
    <row r="7178" spans="1:4" x14ac:dyDescent="0.3">
      <c r="A7178" t="s">
        <v>694</v>
      </c>
      <c r="B7178" t="s">
        <v>19</v>
      </c>
      <c r="C7178" s="1">
        <f>HYPERLINK("https://cao.dolgi.msk.ru/account/1010702326/", 1010702326)</f>
        <v>1010702326</v>
      </c>
      <c r="D7178">
        <v>4010.22</v>
      </c>
    </row>
    <row r="7179" spans="1:4" hidden="1" x14ac:dyDescent="0.3">
      <c r="A7179" t="s">
        <v>694</v>
      </c>
      <c r="B7179" t="s">
        <v>20</v>
      </c>
      <c r="C7179" s="1">
        <f>HYPERLINK("https://cao.dolgi.msk.ru/account/1010702334/", 1010702334)</f>
        <v>1010702334</v>
      </c>
      <c r="D7179">
        <v>-9716.84</v>
      </c>
    </row>
    <row r="7180" spans="1:4" hidden="1" x14ac:dyDescent="0.3">
      <c r="A7180" t="s">
        <v>694</v>
      </c>
      <c r="B7180" t="s">
        <v>21</v>
      </c>
      <c r="C7180" s="1">
        <f>HYPERLINK("https://cao.dolgi.msk.ru/account/1010702342/", 1010702342)</f>
        <v>1010702342</v>
      </c>
      <c r="D7180">
        <v>-141.77000000000001</v>
      </c>
    </row>
    <row r="7181" spans="1:4" hidden="1" x14ac:dyDescent="0.3">
      <c r="A7181" t="s">
        <v>694</v>
      </c>
      <c r="B7181" t="s">
        <v>22</v>
      </c>
      <c r="C7181" s="1">
        <f>HYPERLINK("https://cao.dolgi.msk.ru/account/1010702369/", 1010702369)</f>
        <v>1010702369</v>
      </c>
      <c r="D7181">
        <v>-106.98</v>
      </c>
    </row>
    <row r="7182" spans="1:4" hidden="1" x14ac:dyDescent="0.3">
      <c r="A7182" t="s">
        <v>694</v>
      </c>
      <c r="B7182" t="s">
        <v>24</v>
      </c>
      <c r="C7182" s="1">
        <f>HYPERLINK("https://cao.dolgi.msk.ru/account/1010702377/", 1010702377)</f>
        <v>1010702377</v>
      </c>
      <c r="D7182">
        <v>-265.89999999999998</v>
      </c>
    </row>
    <row r="7183" spans="1:4" x14ac:dyDescent="0.3">
      <c r="A7183" t="s">
        <v>696</v>
      </c>
      <c r="B7183" t="s">
        <v>6</v>
      </c>
      <c r="C7183" s="1">
        <f>HYPERLINK("https://cao.dolgi.msk.ru/account/1011123334/", 1011123334)</f>
        <v>1011123334</v>
      </c>
      <c r="D7183">
        <v>3753.95</v>
      </c>
    </row>
    <row r="7184" spans="1:4" hidden="1" x14ac:dyDescent="0.3">
      <c r="A7184" t="s">
        <v>696</v>
      </c>
      <c r="B7184" t="s">
        <v>28</v>
      </c>
      <c r="C7184" s="1">
        <f>HYPERLINK("https://cao.dolgi.msk.ru/account/1011123617/", 1011123617)</f>
        <v>1011123617</v>
      </c>
      <c r="D7184">
        <v>-4800.28</v>
      </c>
    </row>
    <row r="7185" spans="1:4" hidden="1" x14ac:dyDescent="0.3">
      <c r="A7185" t="s">
        <v>696</v>
      </c>
      <c r="B7185" t="s">
        <v>35</v>
      </c>
      <c r="C7185" s="1">
        <f>HYPERLINK("https://cao.dolgi.msk.ru/account/1011123756/", 1011123756)</f>
        <v>1011123756</v>
      </c>
      <c r="D7185">
        <v>0</v>
      </c>
    </row>
    <row r="7186" spans="1:4" hidden="1" x14ac:dyDescent="0.3">
      <c r="A7186" t="s">
        <v>696</v>
      </c>
      <c r="B7186" t="s">
        <v>5</v>
      </c>
      <c r="C7186" s="1">
        <f>HYPERLINK("https://cao.dolgi.msk.ru/account/1011123481/", 1011123481)</f>
        <v>1011123481</v>
      </c>
      <c r="D7186">
        <v>-7357.61</v>
      </c>
    </row>
    <row r="7187" spans="1:4" hidden="1" x14ac:dyDescent="0.3">
      <c r="A7187" t="s">
        <v>696</v>
      </c>
      <c r="B7187" t="s">
        <v>7</v>
      </c>
      <c r="C7187" s="1">
        <f>HYPERLINK("https://cao.dolgi.msk.ru/account/1011123414/", 1011123414)</f>
        <v>1011123414</v>
      </c>
      <c r="D7187">
        <v>-6593.3</v>
      </c>
    </row>
    <row r="7188" spans="1:4" x14ac:dyDescent="0.3">
      <c r="A7188" t="s">
        <v>696</v>
      </c>
      <c r="B7188" t="s">
        <v>8</v>
      </c>
      <c r="C7188" s="1">
        <f>HYPERLINK("https://cao.dolgi.msk.ru/account/1011123545/", 1011123545)</f>
        <v>1011123545</v>
      </c>
      <c r="D7188">
        <v>5837.24</v>
      </c>
    </row>
    <row r="7189" spans="1:4" x14ac:dyDescent="0.3">
      <c r="A7189" t="s">
        <v>696</v>
      </c>
      <c r="B7189" t="s">
        <v>31</v>
      </c>
      <c r="C7189" s="1">
        <f>HYPERLINK("https://cao.dolgi.msk.ru/account/1011123684/", 1011123684)</f>
        <v>1011123684</v>
      </c>
      <c r="D7189">
        <v>9483.8700000000008</v>
      </c>
    </row>
    <row r="7190" spans="1:4" hidden="1" x14ac:dyDescent="0.3">
      <c r="A7190" t="s">
        <v>696</v>
      </c>
      <c r="B7190" t="s">
        <v>9</v>
      </c>
      <c r="C7190" s="1">
        <f>HYPERLINK("https://cao.dolgi.msk.ru/account/1011123422/", 1011123422)</f>
        <v>1011123422</v>
      </c>
      <c r="D7190">
        <v>-14.18</v>
      </c>
    </row>
    <row r="7191" spans="1:4" hidden="1" x14ac:dyDescent="0.3">
      <c r="A7191" t="s">
        <v>696</v>
      </c>
      <c r="B7191" t="s">
        <v>10</v>
      </c>
      <c r="C7191" s="1">
        <f>HYPERLINK("https://cao.dolgi.msk.ru/account/1011123625/", 1011123625)</f>
        <v>1011123625</v>
      </c>
      <c r="D7191">
        <v>0</v>
      </c>
    </row>
    <row r="7192" spans="1:4" hidden="1" x14ac:dyDescent="0.3">
      <c r="A7192" t="s">
        <v>696</v>
      </c>
      <c r="B7192" t="s">
        <v>11</v>
      </c>
      <c r="C7192" s="1">
        <f>HYPERLINK("https://cao.dolgi.msk.ru/account/1011123342/", 1011123342)</f>
        <v>1011123342</v>
      </c>
      <c r="D7192">
        <v>-5572.21</v>
      </c>
    </row>
    <row r="7193" spans="1:4" hidden="1" x14ac:dyDescent="0.3">
      <c r="A7193" t="s">
        <v>696</v>
      </c>
      <c r="B7193" t="s">
        <v>12</v>
      </c>
      <c r="C7193" s="1">
        <f>HYPERLINK("https://cao.dolgi.msk.ru/account/1011123764/", 1011123764)</f>
        <v>1011123764</v>
      </c>
      <c r="D7193">
        <v>-7258.03</v>
      </c>
    </row>
    <row r="7194" spans="1:4" hidden="1" x14ac:dyDescent="0.3">
      <c r="A7194" t="s">
        <v>696</v>
      </c>
      <c r="B7194" t="s">
        <v>23</v>
      </c>
      <c r="C7194" s="1">
        <f>HYPERLINK("https://cao.dolgi.msk.ru/account/1011123369/", 1011123369)</f>
        <v>1011123369</v>
      </c>
      <c r="D7194">
        <v>-5975.4</v>
      </c>
    </row>
    <row r="7195" spans="1:4" hidden="1" x14ac:dyDescent="0.3">
      <c r="A7195" t="s">
        <v>696</v>
      </c>
      <c r="B7195" t="s">
        <v>13</v>
      </c>
      <c r="C7195" s="1">
        <f>HYPERLINK("https://cao.dolgi.msk.ru/account/1011123377/", 1011123377)</f>
        <v>1011123377</v>
      </c>
      <c r="D7195">
        <v>0</v>
      </c>
    </row>
    <row r="7196" spans="1:4" hidden="1" x14ac:dyDescent="0.3">
      <c r="A7196" t="s">
        <v>696</v>
      </c>
      <c r="B7196" t="s">
        <v>14</v>
      </c>
      <c r="C7196" s="1">
        <f>HYPERLINK("https://cao.dolgi.msk.ru/account/1011123633/", 1011123633)</f>
        <v>1011123633</v>
      </c>
      <c r="D7196">
        <v>0</v>
      </c>
    </row>
    <row r="7197" spans="1:4" hidden="1" x14ac:dyDescent="0.3">
      <c r="A7197" t="s">
        <v>696</v>
      </c>
      <c r="B7197" t="s">
        <v>16</v>
      </c>
      <c r="C7197" s="1">
        <f>HYPERLINK("https://cao.dolgi.msk.ru/account/1011123385/", 1011123385)</f>
        <v>1011123385</v>
      </c>
      <c r="D7197">
        <v>0</v>
      </c>
    </row>
    <row r="7198" spans="1:4" x14ac:dyDescent="0.3">
      <c r="A7198" t="s">
        <v>696</v>
      </c>
      <c r="B7198" t="s">
        <v>17</v>
      </c>
      <c r="C7198" s="1">
        <f>HYPERLINK("https://cao.dolgi.msk.ru/account/1011123502/", 1011123502)</f>
        <v>1011123502</v>
      </c>
      <c r="D7198">
        <v>5737.67</v>
      </c>
    </row>
    <row r="7199" spans="1:4" hidden="1" x14ac:dyDescent="0.3">
      <c r="A7199" t="s">
        <v>696</v>
      </c>
      <c r="B7199" t="s">
        <v>18</v>
      </c>
      <c r="C7199" s="1">
        <f>HYPERLINK("https://cao.dolgi.msk.ru/account/1011123692/", 1011123692)</f>
        <v>1011123692</v>
      </c>
      <c r="D7199">
        <v>-4954.42</v>
      </c>
    </row>
    <row r="7200" spans="1:4" x14ac:dyDescent="0.3">
      <c r="A7200" t="s">
        <v>696</v>
      </c>
      <c r="B7200" t="s">
        <v>19</v>
      </c>
      <c r="C7200" s="1">
        <f>HYPERLINK("https://cao.dolgi.msk.ru/account/1011123641/", 1011123641)</f>
        <v>1011123641</v>
      </c>
      <c r="D7200">
        <v>6169.27</v>
      </c>
    </row>
    <row r="7201" spans="1:4" hidden="1" x14ac:dyDescent="0.3">
      <c r="A7201" t="s">
        <v>696</v>
      </c>
      <c r="B7201" t="s">
        <v>20</v>
      </c>
      <c r="C7201" s="1">
        <f>HYPERLINK("https://cao.dolgi.msk.ru/account/1011123449/", 1011123449)</f>
        <v>1011123449</v>
      </c>
      <c r="D7201">
        <v>-465.99</v>
      </c>
    </row>
    <row r="7202" spans="1:4" hidden="1" x14ac:dyDescent="0.3">
      <c r="A7202" t="s">
        <v>696</v>
      </c>
      <c r="B7202" t="s">
        <v>21</v>
      </c>
      <c r="C7202" s="1">
        <f>HYPERLINK("https://cao.dolgi.msk.ru/account/1011123393/", 1011123393)</f>
        <v>1011123393</v>
      </c>
      <c r="D7202">
        <v>0</v>
      </c>
    </row>
    <row r="7203" spans="1:4" hidden="1" x14ac:dyDescent="0.3">
      <c r="A7203" t="s">
        <v>696</v>
      </c>
      <c r="B7203" t="s">
        <v>22</v>
      </c>
      <c r="C7203" s="1">
        <f>HYPERLINK("https://cao.dolgi.msk.ru/account/1011123772/", 1011123772)</f>
        <v>1011123772</v>
      </c>
      <c r="D7203">
        <v>0</v>
      </c>
    </row>
    <row r="7204" spans="1:4" hidden="1" x14ac:dyDescent="0.3">
      <c r="A7204" t="s">
        <v>696</v>
      </c>
      <c r="B7204" t="s">
        <v>24</v>
      </c>
      <c r="C7204" s="1">
        <f>HYPERLINK("https://cao.dolgi.msk.ru/account/1011123553/", 1011123553)</f>
        <v>1011123553</v>
      </c>
      <c r="D7204">
        <v>-9255.57</v>
      </c>
    </row>
    <row r="7205" spans="1:4" hidden="1" x14ac:dyDescent="0.3">
      <c r="A7205" t="s">
        <v>696</v>
      </c>
      <c r="B7205" t="s">
        <v>25</v>
      </c>
      <c r="C7205" s="1">
        <f>HYPERLINK("https://cao.dolgi.msk.ru/account/1011123705/", 1011123705)</f>
        <v>1011123705</v>
      </c>
      <c r="D7205">
        <v>0</v>
      </c>
    </row>
    <row r="7206" spans="1:4" hidden="1" x14ac:dyDescent="0.3">
      <c r="A7206" t="s">
        <v>696</v>
      </c>
      <c r="B7206" t="s">
        <v>26</v>
      </c>
      <c r="C7206" s="1">
        <f>HYPERLINK("https://cao.dolgi.msk.ru/account/1011123799/", 1011123799)</f>
        <v>1011123799</v>
      </c>
      <c r="D7206">
        <v>0</v>
      </c>
    </row>
    <row r="7207" spans="1:4" hidden="1" x14ac:dyDescent="0.3">
      <c r="A7207" t="s">
        <v>696</v>
      </c>
      <c r="B7207" t="s">
        <v>27</v>
      </c>
      <c r="C7207" s="1">
        <f>HYPERLINK("https://cao.dolgi.msk.ru/account/1011123561/", 1011123561)</f>
        <v>1011123561</v>
      </c>
      <c r="D7207">
        <v>0</v>
      </c>
    </row>
    <row r="7208" spans="1:4" hidden="1" x14ac:dyDescent="0.3">
      <c r="A7208" t="s">
        <v>696</v>
      </c>
      <c r="B7208" t="s">
        <v>29</v>
      </c>
      <c r="C7208" s="1">
        <f>HYPERLINK("https://cao.dolgi.msk.ru/account/1011123529/", 1011123529)</f>
        <v>1011123529</v>
      </c>
      <c r="D7208">
        <v>0</v>
      </c>
    </row>
    <row r="7209" spans="1:4" hidden="1" x14ac:dyDescent="0.3">
      <c r="A7209" t="s">
        <v>696</v>
      </c>
      <c r="B7209" t="s">
        <v>38</v>
      </c>
      <c r="C7209" s="1">
        <f>HYPERLINK("https://cao.dolgi.msk.ru/account/1011123801/", 1011123801)</f>
        <v>1011123801</v>
      </c>
      <c r="D7209">
        <v>0</v>
      </c>
    </row>
    <row r="7210" spans="1:4" hidden="1" x14ac:dyDescent="0.3">
      <c r="A7210" t="s">
        <v>696</v>
      </c>
      <c r="B7210" t="s">
        <v>39</v>
      </c>
      <c r="C7210" s="1">
        <f>HYPERLINK("https://cao.dolgi.msk.ru/account/1011123895/", 1011123895)</f>
        <v>1011123895</v>
      </c>
      <c r="D7210">
        <v>-6727.76</v>
      </c>
    </row>
    <row r="7211" spans="1:4" hidden="1" x14ac:dyDescent="0.3">
      <c r="A7211" t="s">
        <v>696</v>
      </c>
      <c r="B7211" t="s">
        <v>40</v>
      </c>
      <c r="C7211" s="1">
        <f>HYPERLINK("https://cao.dolgi.msk.ru/account/1011542467/", 1011542467)</f>
        <v>1011542467</v>
      </c>
      <c r="D7211">
        <v>0</v>
      </c>
    </row>
    <row r="7212" spans="1:4" hidden="1" x14ac:dyDescent="0.3">
      <c r="A7212" t="s">
        <v>696</v>
      </c>
      <c r="B7212" t="s">
        <v>41</v>
      </c>
      <c r="C7212" s="1">
        <f>HYPERLINK("https://cao.dolgi.msk.ru/account/1011123836/", 1011123836)</f>
        <v>1011123836</v>
      </c>
      <c r="D7212">
        <v>-475.28</v>
      </c>
    </row>
    <row r="7213" spans="1:4" hidden="1" x14ac:dyDescent="0.3">
      <c r="A7213" t="s">
        <v>696</v>
      </c>
      <c r="B7213" t="s">
        <v>51</v>
      </c>
      <c r="C7213" s="1">
        <f>HYPERLINK("https://cao.dolgi.msk.ru/account/1011123588/", 1011123588)</f>
        <v>1011123588</v>
      </c>
      <c r="D7213">
        <v>0</v>
      </c>
    </row>
    <row r="7214" spans="1:4" hidden="1" x14ac:dyDescent="0.3">
      <c r="A7214" t="s">
        <v>696</v>
      </c>
      <c r="B7214" t="s">
        <v>52</v>
      </c>
      <c r="C7214" s="1">
        <f>HYPERLINK("https://cao.dolgi.msk.ru/account/1011123596/", 1011123596)</f>
        <v>1011123596</v>
      </c>
      <c r="D7214">
        <v>-24.32</v>
      </c>
    </row>
    <row r="7215" spans="1:4" hidden="1" x14ac:dyDescent="0.3">
      <c r="A7215" t="s">
        <v>696</v>
      </c>
      <c r="B7215" t="s">
        <v>53</v>
      </c>
      <c r="C7215" s="1">
        <f>HYPERLINK("https://cao.dolgi.msk.ru/account/1011123609/", 1011123609)</f>
        <v>1011123609</v>
      </c>
      <c r="D7215">
        <v>0</v>
      </c>
    </row>
    <row r="7216" spans="1:4" hidden="1" x14ac:dyDescent="0.3">
      <c r="A7216" t="s">
        <v>696</v>
      </c>
      <c r="B7216" t="s">
        <v>54</v>
      </c>
      <c r="C7216" s="1">
        <f>HYPERLINK("https://cao.dolgi.msk.ru/account/1011123844/", 1011123844)</f>
        <v>1011123844</v>
      </c>
      <c r="D7216">
        <v>0</v>
      </c>
    </row>
    <row r="7217" spans="1:4" hidden="1" x14ac:dyDescent="0.3">
      <c r="A7217" t="s">
        <v>696</v>
      </c>
      <c r="B7217" t="s">
        <v>55</v>
      </c>
      <c r="C7217" s="1">
        <f>HYPERLINK("https://cao.dolgi.msk.ru/account/1011123406/", 1011123406)</f>
        <v>1011123406</v>
      </c>
      <c r="D7217">
        <v>0</v>
      </c>
    </row>
    <row r="7218" spans="1:4" hidden="1" x14ac:dyDescent="0.3">
      <c r="A7218" t="s">
        <v>696</v>
      </c>
      <c r="B7218" t="s">
        <v>56</v>
      </c>
      <c r="C7218" s="1">
        <f>HYPERLINK("https://cao.dolgi.msk.ru/account/1011123908/", 1011123908)</f>
        <v>1011123908</v>
      </c>
      <c r="D7218">
        <v>0</v>
      </c>
    </row>
    <row r="7219" spans="1:4" hidden="1" x14ac:dyDescent="0.3">
      <c r="A7219" t="s">
        <v>696</v>
      </c>
      <c r="B7219" t="s">
        <v>87</v>
      </c>
      <c r="C7219" s="1">
        <f>HYPERLINK("https://cao.dolgi.msk.ru/account/1011123668/", 1011123668)</f>
        <v>1011123668</v>
      </c>
      <c r="D7219">
        <v>-7824.6</v>
      </c>
    </row>
    <row r="7220" spans="1:4" x14ac:dyDescent="0.3">
      <c r="A7220" t="s">
        <v>696</v>
      </c>
      <c r="B7220" t="s">
        <v>88</v>
      </c>
      <c r="C7220" s="1">
        <f>HYPERLINK("https://cao.dolgi.msk.ru/account/1011123852/", 1011123852)</f>
        <v>1011123852</v>
      </c>
      <c r="D7220">
        <v>68242.559999999998</v>
      </c>
    </row>
    <row r="7221" spans="1:4" hidden="1" x14ac:dyDescent="0.3">
      <c r="A7221" t="s">
        <v>696</v>
      </c>
      <c r="B7221" t="s">
        <v>89</v>
      </c>
      <c r="C7221" s="1">
        <f>HYPERLINK("https://cao.dolgi.msk.ru/account/1011123676/", 1011123676)</f>
        <v>1011123676</v>
      </c>
      <c r="D7221">
        <v>0</v>
      </c>
    </row>
    <row r="7222" spans="1:4" hidden="1" x14ac:dyDescent="0.3">
      <c r="A7222" t="s">
        <v>696</v>
      </c>
      <c r="B7222" t="s">
        <v>90</v>
      </c>
      <c r="C7222" s="1">
        <f>HYPERLINK("https://cao.dolgi.msk.ru/account/1011123713/", 1011123713)</f>
        <v>1011123713</v>
      </c>
      <c r="D7222">
        <v>0</v>
      </c>
    </row>
    <row r="7223" spans="1:4" x14ac:dyDescent="0.3">
      <c r="A7223" t="s">
        <v>696</v>
      </c>
      <c r="B7223" t="s">
        <v>96</v>
      </c>
      <c r="C7223" s="1">
        <f>HYPERLINK("https://cao.dolgi.msk.ru/account/1011123721/", 1011123721)</f>
        <v>1011123721</v>
      </c>
      <c r="D7223">
        <v>6528.57</v>
      </c>
    </row>
    <row r="7224" spans="1:4" hidden="1" x14ac:dyDescent="0.3">
      <c r="A7224" t="s">
        <v>696</v>
      </c>
      <c r="B7224" t="s">
        <v>97</v>
      </c>
      <c r="C7224" s="1">
        <f>HYPERLINK("https://cao.dolgi.msk.ru/account/1011123748/", 1011123748)</f>
        <v>1011123748</v>
      </c>
      <c r="D7224">
        <v>-37113.43</v>
      </c>
    </row>
    <row r="7225" spans="1:4" x14ac:dyDescent="0.3">
      <c r="A7225" t="s">
        <v>696</v>
      </c>
      <c r="B7225" t="s">
        <v>98</v>
      </c>
      <c r="C7225" s="1">
        <f>HYPERLINK("https://cao.dolgi.msk.ru/account/1011123457/", 1011123457)</f>
        <v>1011123457</v>
      </c>
      <c r="D7225">
        <v>7957.49</v>
      </c>
    </row>
    <row r="7226" spans="1:4" hidden="1" x14ac:dyDescent="0.3">
      <c r="A7226" t="s">
        <v>696</v>
      </c>
      <c r="B7226" t="s">
        <v>58</v>
      </c>
      <c r="C7226" s="1">
        <f>HYPERLINK("https://cao.dolgi.msk.ru/account/1011123465/", 1011123465)</f>
        <v>1011123465</v>
      </c>
      <c r="D7226">
        <v>-5337.62</v>
      </c>
    </row>
    <row r="7227" spans="1:4" x14ac:dyDescent="0.3">
      <c r="A7227" t="s">
        <v>696</v>
      </c>
      <c r="B7227" t="s">
        <v>59</v>
      </c>
      <c r="C7227" s="1">
        <f>HYPERLINK("https://cao.dolgi.msk.ru/account/1011123879/", 1011123879)</f>
        <v>1011123879</v>
      </c>
      <c r="D7227">
        <v>4732.13</v>
      </c>
    </row>
    <row r="7228" spans="1:4" hidden="1" x14ac:dyDescent="0.3">
      <c r="A7228" t="s">
        <v>696</v>
      </c>
      <c r="B7228" t="s">
        <v>60</v>
      </c>
      <c r="C7228" s="1">
        <f>HYPERLINK("https://cao.dolgi.msk.ru/account/1011123473/", 1011123473)</f>
        <v>1011123473</v>
      </c>
      <c r="D7228">
        <v>-9551.99</v>
      </c>
    </row>
    <row r="7229" spans="1:4" hidden="1" x14ac:dyDescent="0.3">
      <c r="A7229" t="s">
        <v>696</v>
      </c>
      <c r="B7229" t="s">
        <v>61</v>
      </c>
      <c r="C7229" s="1">
        <f>HYPERLINK("https://cao.dolgi.msk.ru/account/1011123887/", 1011123887)</f>
        <v>1011123887</v>
      </c>
      <c r="D7229">
        <v>-8404.4</v>
      </c>
    </row>
    <row r="7230" spans="1:4" hidden="1" x14ac:dyDescent="0.3">
      <c r="A7230" t="s">
        <v>696</v>
      </c>
      <c r="B7230" t="s">
        <v>62</v>
      </c>
      <c r="C7230" s="1">
        <f>HYPERLINK("https://cao.dolgi.msk.ru/account/1011123537/", 1011123537)</f>
        <v>1011123537</v>
      </c>
      <c r="D7230">
        <v>0</v>
      </c>
    </row>
    <row r="7231" spans="1:4" hidden="1" x14ac:dyDescent="0.3">
      <c r="A7231" t="s">
        <v>697</v>
      </c>
      <c r="B7231" t="s">
        <v>6</v>
      </c>
      <c r="C7231" s="1">
        <f>HYPERLINK("https://cao.dolgi.msk.ru/account/1011342916/", 1011342916)</f>
        <v>1011342916</v>
      </c>
      <c r="D7231">
        <v>0</v>
      </c>
    </row>
    <row r="7232" spans="1:4" hidden="1" x14ac:dyDescent="0.3">
      <c r="A7232" t="s">
        <v>697</v>
      </c>
      <c r="B7232" t="s">
        <v>28</v>
      </c>
      <c r="C7232" s="1">
        <f>HYPERLINK("https://cao.dolgi.msk.ru/account/1011343089/", 1011343089)</f>
        <v>1011343089</v>
      </c>
      <c r="D7232">
        <v>0</v>
      </c>
    </row>
    <row r="7233" spans="1:4" hidden="1" x14ac:dyDescent="0.3">
      <c r="A7233" t="s">
        <v>697</v>
      </c>
      <c r="B7233" t="s">
        <v>35</v>
      </c>
      <c r="C7233" s="1">
        <f>HYPERLINK("https://cao.dolgi.msk.ru/account/1011342529/", 1011342529)</f>
        <v>1011342529</v>
      </c>
      <c r="D7233">
        <v>0</v>
      </c>
    </row>
    <row r="7234" spans="1:4" x14ac:dyDescent="0.3">
      <c r="A7234" t="s">
        <v>697</v>
      </c>
      <c r="B7234" t="s">
        <v>5</v>
      </c>
      <c r="C7234" s="1">
        <f>HYPERLINK("https://cao.dolgi.msk.ru/account/1011342641/", 1011342641)</f>
        <v>1011342641</v>
      </c>
      <c r="D7234">
        <v>9595.61</v>
      </c>
    </row>
    <row r="7235" spans="1:4" hidden="1" x14ac:dyDescent="0.3">
      <c r="A7235" t="s">
        <v>697</v>
      </c>
      <c r="B7235" t="s">
        <v>7</v>
      </c>
      <c r="C7235" s="1">
        <f>HYPERLINK("https://cao.dolgi.msk.ru/account/1011342422/", 1011342422)</f>
        <v>1011342422</v>
      </c>
      <c r="D7235">
        <v>0</v>
      </c>
    </row>
    <row r="7236" spans="1:4" hidden="1" x14ac:dyDescent="0.3">
      <c r="A7236" t="s">
        <v>697</v>
      </c>
      <c r="B7236" t="s">
        <v>8</v>
      </c>
      <c r="C7236" s="1">
        <f>HYPERLINK("https://cao.dolgi.msk.ru/account/1011343062/", 1011343062)</f>
        <v>1011343062</v>
      </c>
      <c r="D7236">
        <v>0</v>
      </c>
    </row>
    <row r="7237" spans="1:4" hidden="1" x14ac:dyDescent="0.3">
      <c r="A7237" t="s">
        <v>697</v>
      </c>
      <c r="B7237" t="s">
        <v>31</v>
      </c>
      <c r="C7237" s="1">
        <f>HYPERLINK("https://cao.dolgi.msk.ru/account/1011342879/", 1011342879)</f>
        <v>1011342879</v>
      </c>
      <c r="D7237">
        <v>-9804.0400000000009</v>
      </c>
    </row>
    <row r="7238" spans="1:4" x14ac:dyDescent="0.3">
      <c r="A7238" t="s">
        <v>697</v>
      </c>
      <c r="B7238" t="s">
        <v>9</v>
      </c>
      <c r="C7238" s="1">
        <f>HYPERLINK("https://cao.dolgi.msk.ru/account/1011342342/", 1011342342)</f>
        <v>1011342342</v>
      </c>
      <c r="D7238">
        <v>26447.64</v>
      </c>
    </row>
    <row r="7239" spans="1:4" hidden="1" x14ac:dyDescent="0.3">
      <c r="A7239" t="s">
        <v>697</v>
      </c>
      <c r="B7239" t="s">
        <v>10</v>
      </c>
      <c r="C7239" s="1">
        <f>HYPERLINK("https://cao.dolgi.msk.ru/account/1011342983/", 1011342983)</f>
        <v>1011342983</v>
      </c>
      <c r="D7239">
        <v>-9170.65</v>
      </c>
    </row>
    <row r="7240" spans="1:4" hidden="1" x14ac:dyDescent="0.3">
      <c r="A7240" t="s">
        <v>697</v>
      </c>
      <c r="B7240" t="s">
        <v>11</v>
      </c>
      <c r="C7240" s="1">
        <f>HYPERLINK("https://cao.dolgi.msk.ru/account/1011342609/", 1011342609)</f>
        <v>1011342609</v>
      </c>
      <c r="D7240">
        <v>0</v>
      </c>
    </row>
    <row r="7241" spans="1:4" hidden="1" x14ac:dyDescent="0.3">
      <c r="A7241" t="s">
        <v>697</v>
      </c>
      <c r="B7241" t="s">
        <v>12</v>
      </c>
      <c r="C7241" s="1">
        <f>HYPERLINK("https://cao.dolgi.msk.ru/account/1011343054/", 1011343054)</f>
        <v>1011343054</v>
      </c>
      <c r="D7241">
        <v>0</v>
      </c>
    </row>
    <row r="7242" spans="1:4" hidden="1" x14ac:dyDescent="0.3">
      <c r="A7242" t="s">
        <v>697</v>
      </c>
      <c r="B7242" t="s">
        <v>23</v>
      </c>
      <c r="C7242" s="1">
        <f>HYPERLINK("https://cao.dolgi.msk.ru/account/1011343003/", 1011343003)</f>
        <v>1011343003</v>
      </c>
      <c r="D7242">
        <v>0</v>
      </c>
    </row>
    <row r="7243" spans="1:4" hidden="1" x14ac:dyDescent="0.3">
      <c r="A7243" t="s">
        <v>697</v>
      </c>
      <c r="B7243" t="s">
        <v>13</v>
      </c>
      <c r="C7243" s="1">
        <f>HYPERLINK("https://cao.dolgi.msk.ru/account/1011342414/", 1011342414)</f>
        <v>1011342414</v>
      </c>
      <c r="D7243">
        <v>-17885.07</v>
      </c>
    </row>
    <row r="7244" spans="1:4" x14ac:dyDescent="0.3">
      <c r="A7244" t="s">
        <v>697</v>
      </c>
      <c r="B7244" t="s">
        <v>14</v>
      </c>
      <c r="C7244" s="1">
        <f>HYPERLINK("https://cao.dolgi.msk.ru/account/1011342481/", 1011342481)</f>
        <v>1011342481</v>
      </c>
      <c r="D7244">
        <v>21724.560000000001</v>
      </c>
    </row>
    <row r="7245" spans="1:4" hidden="1" x14ac:dyDescent="0.3">
      <c r="A7245" t="s">
        <v>697</v>
      </c>
      <c r="B7245" t="s">
        <v>16</v>
      </c>
      <c r="C7245" s="1">
        <f>HYPERLINK("https://cao.dolgi.msk.ru/account/1011342502/", 1011342502)</f>
        <v>1011342502</v>
      </c>
      <c r="D7245">
        <v>0</v>
      </c>
    </row>
    <row r="7246" spans="1:4" hidden="1" x14ac:dyDescent="0.3">
      <c r="A7246" t="s">
        <v>697</v>
      </c>
      <c r="B7246" t="s">
        <v>17</v>
      </c>
      <c r="C7246" s="1">
        <f>HYPERLINK("https://cao.dolgi.msk.ru/account/1011342297/", 1011342297)</f>
        <v>1011342297</v>
      </c>
      <c r="D7246">
        <v>0</v>
      </c>
    </row>
    <row r="7247" spans="1:4" x14ac:dyDescent="0.3">
      <c r="A7247" t="s">
        <v>697</v>
      </c>
      <c r="B7247" t="s">
        <v>18</v>
      </c>
      <c r="C7247" s="1">
        <f>HYPERLINK("https://cao.dolgi.msk.ru/account/1011342924/", 1011342924)</f>
        <v>1011342924</v>
      </c>
      <c r="D7247">
        <v>236673.01</v>
      </c>
    </row>
    <row r="7248" spans="1:4" hidden="1" x14ac:dyDescent="0.3">
      <c r="A7248" t="s">
        <v>697</v>
      </c>
      <c r="B7248" t="s">
        <v>19</v>
      </c>
      <c r="C7248" s="1">
        <f>HYPERLINK("https://cao.dolgi.msk.ru/account/1011342975/", 1011342975)</f>
        <v>1011342975</v>
      </c>
      <c r="D7248">
        <v>0</v>
      </c>
    </row>
    <row r="7249" spans="1:4" hidden="1" x14ac:dyDescent="0.3">
      <c r="A7249" t="s">
        <v>697</v>
      </c>
      <c r="B7249" t="s">
        <v>20</v>
      </c>
      <c r="C7249" s="1">
        <f>HYPERLINK("https://cao.dolgi.msk.ru/account/1011343177/", 1011343177)</f>
        <v>1011343177</v>
      </c>
      <c r="D7249">
        <v>0</v>
      </c>
    </row>
    <row r="7250" spans="1:4" hidden="1" x14ac:dyDescent="0.3">
      <c r="A7250" t="s">
        <v>697</v>
      </c>
      <c r="B7250" t="s">
        <v>21</v>
      </c>
      <c r="C7250" s="1">
        <f>HYPERLINK("https://cao.dolgi.msk.ru/account/1011342617/", 1011342617)</f>
        <v>1011342617</v>
      </c>
      <c r="D7250">
        <v>0</v>
      </c>
    </row>
    <row r="7251" spans="1:4" hidden="1" x14ac:dyDescent="0.3">
      <c r="A7251" t="s">
        <v>697</v>
      </c>
      <c r="B7251" t="s">
        <v>22</v>
      </c>
      <c r="C7251" s="1">
        <f>HYPERLINK("https://cao.dolgi.msk.ru/account/1011343142/", 1011343142)</f>
        <v>1011343142</v>
      </c>
      <c r="D7251">
        <v>0</v>
      </c>
    </row>
    <row r="7252" spans="1:4" x14ac:dyDescent="0.3">
      <c r="A7252" t="s">
        <v>697</v>
      </c>
      <c r="B7252" t="s">
        <v>24</v>
      </c>
      <c r="C7252" s="1">
        <f>HYPERLINK("https://cao.dolgi.msk.ru/account/1011342684/", 1011342684)</f>
        <v>1011342684</v>
      </c>
      <c r="D7252">
        <v>4508.8</v>
      </c>
    </row>
    <row r="7253" spans="1:4" hidden="1" x14ac:dyDescent="0.3">
      <c r="A7253" t="s">
        <v>697</v>
      </c>
      <c r="B7253" t="s">
        <v>25</v>
      </c>
      <c r="C7253" s="1">
        <f>HYPERLINK("https://cao.dolgi.msk.ru/account/1011342836/", 1011342836)</f>
        <v>1011342836</v>
      </c>
      <c r="D7253">
        <v>-1050.6199999999999</v>
      </c>
    </row>
    <row r="7254" spans="1:4" hidden="1" x14ac:dyDescent="0.3">
      <c r="A7254" t="s">
        <v>697</v>
      </c>
      <c r="B7254" t="s">
        <v>26</v>
      </c>
      <c r="C7254" s="1">
        <f>HYPERLINK("https://cao.dolgi.msk.ru/account/1011342895/", 1011342895)</f>
        <v>1011342895</v>
      </c>
      <c r="D7254">
        <v>0</v>
      </c>
    </row>
    <row r="7255" spans="1:4" x14ac:dyDescent="0.3">
      <c r="A7255" t="s">
        <v>697</v>
      </c>
      <c r="B7255" t="s">
        <v>27</v>
      </c>
      <c r="C7255" s="1">
        <f>HYPERLINK("https://cao.dolgi.msk.ru/account/1011342668/", 1011342668)</f>
        <v>1011342668</v>
      </c>
      <c r="D7255">
        <v>12973.22</v>
      </c>
    </row>
    <row r="7256" spans="1:4" hidden="1" x14ac:dyDescent="0.3">
      <c r="A7256" t="s">
        <v>697</v>
      </c>
      <c r="B7256" t="s">
        <v>29</v>
      </c>
      <c r="C7256" s="1">
        <f>HYPERLINK("https://cao.dolgi.msk.ru/account/1011343046/", 1011343046)</f>
        <v>1011343046</v>
      </c>
      <c r="D7256">
        <v>-8295.69</v>
      </c>
    </row>
    <row r="7257" spans="1:4" hidden="1" x14ac:dyDescent="0.3">
      <c r="A7257" t="s">
        <v>697</v>
      </c>
      <c r="B7257" t="s">
        <v>38</v>
      </c>
      <c r="C7257" s="1">
        <f>HYPERLINK("https://cao.dolgi.msk.ru/account/1011342385/", 1011342385)</f>
        <v>1011342385</v>
      </c>
      <c r="D7257">
        <v>-3843.89</v>
      </c>
    </row>
    <row r="7258" spans="1:4" hidden="1" x14ac:dyDescent="0.3">
      <c r="A7258" t="s">
        <v>697</v>
      </c>
      <c r="B7258" t="s">
        <v>39</v>
      </c>
      <c r="C7258" s="1">
        <f>HYPERLINK("https://cao.dolgi.msk.ru/account/1011342334/", 1011342334)</f>
        <v>1011342334</v>
      </c>
      <c r="D7258">
        <v>-4030.93</v>
      </c>
    </row>
    <row r="7259" spans="1:4" hidden="1" x14ac:dyDescent="0.3">
      <c r="A7259" t="s">
        <v>697</v>
      </c>
      <c r="B7259" t="s">
        <v>39</v>
      </c>
      <c r="C7259" s="1">
        <f>HYPERLINK("https://cao.dolgi.msk.ru/account/1011342705/", 1011342705)</f>
        <v>1011342705</v>
      </c>
      <c r="D7259">
        <v>-4290.93</v>
      </c>
    </row>
    <row r="7260" spans="1:4" hidden="1" x14ac:dyDescent="0.3">
      <c r="A7260" t="s">
        <v>697</v>
      </c>
      <c r="B7260" t="s">
        <v>40</v>
      </c>
      <c r="C7260" s="1">
        <f>HYPERLINK("https://cao.dolgi.msk.ru/account/1011342959/", 1011342959)</f>
        <v>1011342959</v>
      </c>
      <c r="D7260">
        <v>0</v>
      </c>
    </row>
    <row r="7261" spans="1:4" hidden="1" x14ac:dyDescent="0.3">
      <c r="A7261" t="s">
        <v>697</v>
      </c>
      <c r="B7261" t="s">
        <v>41</v>
      </c>
      <c r="C7261" s="1">
        <f>HYPERLINK("https://cao.dolgi.msk.ru/account/1011342692/", 1011342692)</f>
        <v>1011342692</v>
      </c>
      <c r="D7261">
        <v>-5749.2</v>
      </c>
    </row>
    <row r="7262" spans="1:4" x14ac:dyDescent="0.3">
      <c r="A7262" t="s">
        <v>697</v>
      </c>
      <c r="B7262" t="s">
        <v>51</v>
      </c>
      <c r="C7262" s="1">
        <f>HYPERLINK("https://cao.dolgi.msk.ru/account/1011342449/", 1011342449)</f>
        <v>1011342449</v>
      </c>
      <c r="D7262">
        <v>50288.15</v>
      </c>
    </row>
    <row r="7263" spans="1:4" hidden="1" x14ac:dyDescent="0.3">
      <c r="A7263" t="s">
        <v>697</v>
      </c>
      <c r="B7263" t="s">
        <v>52</v>
      </c>
      <c r="C7263" s="1">
        <f>HYPERLINK("https://cao.dolgi.msk.ru/account/1011342633/", 1011342633)</f>
        <v>1011342633</v>
      </c>
      <c r="D7263">
        <v>0</v>
      </c>
    </row>
    <row r="7264" spans="1:4" x14ac:dyDescent="0.3">
      <c r="A7264" t="s">
        <v>697</v>
      </c>
      <c r="B7264" t="s">
        <v>53</v>
      </c>
      <c r="C7264" s="1">
        <f>HYPERLINK("https://cao.dolgi.msk.ru/account/1011342756/", 1011342756)</f>
        <v>1011342756</v>
      </c>
      <c r="D7264">
        <v>4800.0200000000004</v>
      </c>
    </row>
    <row r="7265" spans="1:4" hidden="1" x14ac:dyDescent="0.3">
      <c r="A7265" t="s">
        <v>697</v>
      </c>
      <c r="B7265" t="s">
        <v>54</v>
      </c>
      <c r="C7265" s="1">
        <f>HYPERLINK("https://cao.dolgi.msk.ru/account/1011342844/", 1011342844)</f>
        <v>1011342844</v>
      </c>
      <c r="D7265">
        <v>0</v>
      </c>
    </row>
    <row r="7266" spans="1:4" hidden="1" x14ac:dyDescent="0.3">
      <c r="A7266" t="s">
        <v>697</v>
      </c>
      <c r="B7266" t="s">
        <v>55</v>
      </c>
      <c r="C7266" s="1">
        <f>HYPERLINK("https://cao.dolgi.msk.ru/account/1011342537/", 1011342537)</f>
        <v>1011342537</v>
      </c>
      <c r="D7266">
        <v>-3272.29</v>
      </c>
    </row>
    <row r="7267" spans="1:4" hidden="1" x14ac:dyDescent="0.3">
      <c r="A7267" t="s">
        <v>697</v>
      </c>
      <c r="B7267" t="s">
        <v>56</v>
      </c>
      <c r="C7267" s="1">
        <f>HYPERLINK("https://cao.dolgi.msk.ru/account/1011385588/", 1011385588)</f>
        <v>1011385588</v>
      </c>
      <c r="D7267">
        <v>0</v>
      </c>
    </row>
    <row r="7268" spans="1:4" hidden="1" x14ac:dyDescent="0.3">
      <c r="A7268" t="s">
        <v>697</v>
      </c>
      <c r="B7268" t="s">
        <v>87</v>
      </c>
      <c r="C7268" s="1">
        <f>HYPERLINK("https://cao.dolgi.msk.ru/account/1011343169/", 1011343169)</f>
        <v>1011343169</v>
      </c>
      <c r="D7268">
        <v>0</v>
      </c>
    </row>
    <row r="7269" spans="1:4" x14ac:dyDescent="0.3">
      <c r="A7269" t="s">
        <v>697</v>
      </c>
      <c r="B7269" t="s">
        <v>88</v>
      </c>
      <c r="C7269" s="1">
        <f>HYPERLINK("https://cao.dolgi.msk.ru/account/1011343126/", 1011343126)</f>
        <v>1011343126</v>
      </c>
      <c r="D7269">
        <v>22152.240000000002</v>
      </c>
    </row>
    <row r="7270" spans="1:4" hidden="1" x14ac:dyDescent="0.3">
      <c r="A7270" t="s">
        <v>697</v>
      </c>
      <c r="B7270" t="s">
        <v>89</v>
      </c>
      <c r="C7270" s="1">
        <f>HYPERLINK("https://cao.dolgi.msk.ru/account/1011342406/", 1011342406)</f>
        <v>1011342406</v>
      </c>
      <c r="D7270">
        <v>0</v>
      </c>
    </row>
    <row r="7271" spans="1:4" hidden="1" x14ac:dyDescent="0.3">
      <c r="A7271" t="s">
        <v>697</v>
      </c>
      <c r="B7271" t="s">
        <v>90</v>
      </c>
      <c r="C7271" s="1">
        <f>HYPERLINK("https://cao.dolgi.msk.ru/account/1011342799/", 1011342799)</f>
        <v>1011342799</v>
      </c>
      <c r="D7271">
        <v>0</v>
      </c>
    </row>
    <row r="7272" spans="1:4" hidden="1" x14ac:dyDescent="0.3">
      <c r="A7272" t="s">
        <v>697</v>
      </c>
      <c r="B7272" t="s">
        <v>96</v>
      </c>
      <c r="C7272" s="1">
        <f>HYPERLINK("https://cao.dolgi.msk.ru/account/1011342588/", 1011342588)</f>
        <v>1011342588</v>
      </c>
      <c r="D7272">
        <v>0</v>
      </c>
    </row>
    <row r="7273" spans="1:4" x14ac:dyDescent="0.3">
      <c r="A7273" t="s">
        <v>697</v>
      </c>
      <c r="B7273" t="s">
        <v>97</v>
      </c>
      <c r="C7273" s="1">
        <f>HYPERLINK("https://cao.dolgi.msk.ru/account/1011342465/", 1011342465)</f>
        <v>1011342465</v>
      </c>
      <c r="D7273">
        <v>1407.68</v>
      </c>
    </row>
    <row r="7274" spans="1:4" hidden="1" x14ac:dyDescent="0.3">
      <c r="A7274" t="s">
        <v>697</v>
      </c>
      <c r="B7274" t="s">
        <v>98</v>
      </c>
      <c r="C7274" s="1">
        <f>HYPERLINK("https://cao.dolgi.msk.ru/account/1011342545/", 1011342545)</f>
        <v>1011342545</v>
      </c>
      <c r="D7274">
        <v>0</v>
      </c>
    </row>
    <row r="7275" spans="1:4" hidden="1" x14ac:dyDescent="0.3">
      <c r="A7275" t="s">
        <v>697</v>
      </c>
      <c r="B7275" t="s">
        <v>58</v>
      </c>
      <c r="C7275" s="1">
        <f>HYPERLINK("https://cao.dolgi.msk.ru/account/1011342828/", 1011342828)</f>
        <v>1011342828</v>
      </c>
      <c r="D7275">
        <v>0</v>
      </c>
    </row>
    <row r="7276" spans="1:4" hidden="1" x14ac:dyDescent="0.3">
      <c r="A7276" t="s">
        <v>697</v>
      </c>
      <c r="B7276" t="s">
        <v>59</v>
      </c>
      <c r="C7276" s="1">
        <f>HYPERLINK("https://cao.dolgi.msk.ru/account/1011342991/", 1011342991)</f>
        <v>1011342991</v>
      </c>
      <c r="D7276">
        <v>-558</v>
      </c>
    </row>
    <row r="7277" spans="1:4" hidden="1" x14ac:dyDescent="0.3">
      <c r="A7277" t="s">
        <v>697</v>
      </c>
      <c r="B7277" t="s">
        <v>60</v>
      </c>
      <c r="C7277" s="1">
        <f>HYPERLINK("https://cao.dolgi.msk.ru/account/1011342457/", 1011342457)</f>
        <v>1011342457</v>
      </c>
      <c r="D7277">
        <v>-8917.52</v>
      </c>
    </row>
    <row r="7278" spans="1:4" hidden="1" x14ac:dyDescent="0.3">
      <c r="A7278" t="s">
        <v>697</v>
      </c>
      <c r="B7278" t="s">
        <v>61</v>
      </c>
      <c r="C7278" s="1">
        <f>HYPERLINK("https://cao.dolgi.msk.ru/account/1011342369/", 1011342369)</f>
        <v>1011342369</v>
      </c>
      <c r="D7278">
        <v>0</v>
      </c>
    </row>
    <row r="7279" spans="1:4" x14ac:dyDescent="0.3">
      <c r="A7279" t="s">
        <v>697</v>
      </c>
      <c r="B7279" t="s">
        <v>62</v>
      </c>
      <c r="C7279" s="1">
        <f>HYPERLINK("https://cao.dolgi.msk.ru/account/1011342473/", 1011342473)</f>
        <v>1011342473</v>
      </c>
      <c r="D7279">
        <v>11991.24</v>
      </c>
    </row>
    <row r="7280" spans="1:4" x14ac:dyDescent="0.3">
      <c r="A7280" t="s">
        <v>697</v>
      </c>
      <c r="B7280" t="s">
        <v>63</v>
      </c>
      <c r="C7280" s="1">
        <f>HYPERLINK("https://cao.dolgi.msk.ru/account/1011342713/", 1011342713)</f>
        <v>1011342713</v>
      </c>
      <c r="D7280">
        <v>111301.68</v>
      </c>
    </row>
    <row r="7281" spans="1:4" hidden="1" x14ac:dyDescent="0.3">
      <c r="A7281" t="s">
        <v>697</v>
      </c>
      <c r="B7281" t="s">
        <v>64</v>
      </c>
      <c r="C7281" s="1">
        <f>HYPERLINK("https://cao.dolgi.msk.ru/account/1011342908/", 1011342908)</f>
        <v>1011342908</v>
      </c>
      <c r="D7281">
        <v>-4308.25</v>
      </c>
    </row>
    <row r="7282" spans="1:4" hidden="1" x14ac:dyDescent="0.3">
      <c r="A7282" t="s">
        <v>697</v>
      </c>
      <c r="B7282" t="s">
        <v>65</v>
      </c>
      <c r="C7282" s="1">
        <f>HYPERLINK("https://cao.dolgi.msk.ru/account/1011342967/", 1011342967)</f>
        <v>1011342967</v>
      </c>
      <c r="D7282">
        <v>0</v>
      </c>
    </row>
    <row r="7283" spans="1:4" hidden="1" x14ac:dyDescent="0.3">
      <c r="A7283" t="s">
        <v>697</v>
      </c>
      <c r="B7283" t="s">
        <v>66</v>
      </c>
      <c r="C7283" s="1">
        <f>HYPERLINK("https://cao.dolgi.msk.ru/account/1011343118/", 1011343118)</f>
        <v>1011343118</v>
      </c>
      <c r="D7283">
        <v>0</v>
      </c>
    </row>
    <row r="7284" spans="1:4" hidden="1" x14ac:dyDescent="0.3">
      <c r="A7284" t="s">
        <v>697</v>
      </c>
      <c r="B7284" t="s">
        <v>67</v>
      </c>
      <c r="C7284" s="1">
        <f>HYPERLINK("https://cao.dolgi.msk.ru/account/1011342721/", 1011342721)</f>
        <v>1011342721</v>
      </c>
      <c r="D7284">
        <v>0</v>
      </c>
    </row>
    <row r="7285" spans="1:4" hidden="1" x14ac:dyDescent="0.3">
      <c r="A7285" t="s">
        <v>697</v>
      </c>
      <c r="B7285" t="s">
        <v>68</v>
      </c>
      <c r="C7285" s="1">
        <f>HYPERLINK("https://cao.dolgi.msk.ru/account/1011342553/", 1011342553)</f>
        <v>1011342553</v>
      </c>
      <c r="D7285">
        <v>0</v>
      </c>
    </row>
    <row r="7286" spans="1:4" hidden="1" x14ac:dyDescent="0.3">
      <c r="A7286" t="s">
        <v>697</v>
      </c>
      <c r="B7286" t="s">
        <v>69</v>
      </c>
      <c r="C7286" s="1">
        <f>HYPERLINK("https://cao.dolgi.msk.ru/account/1011342764/", 1011342764)</f>
        <v>1011342764</v>
      </c>
      <c r="D7286">
        <v>-6346.92</v>
      </c>
    </row>
    <row r="7287" spans="1:4" hidden="1" x14ac:dyDescent="0.3">
      <c r="A7287" t="s">
        <v>697</v>
      </c>
      <c r="B7287" t="s">
        <v>70</v>
      </c>
      <c r="C7287" s="1">
        <f>HYPERLINK("https://cao.dolgi.msk.ru/account/1011342377/", 1011342377)</f>
        <v>1011342377</v>
      </c>
      <c r="D7287">
        <v>0</v>
      </c>
    </row>
    <row r="7288" spans="1:4" x14ac:dyDescent="0.3">
      <c r="A7288" t="s">
        <v>697</v>
      </c>
      <c r="B7288" t="s">
        <v>259</v>
      </c>
      <c r="C7288" s="1">
        <f>HYPERLINK("https://cao.dolgi.msk.ru/account/1011342326/", 1011342326)</f>
        <v>1011342326</v>
      </c>
      <c r="D7288">
        <v>324</v>
      </c>
    </row>
    <row r="7289" spans="1:4" hidden="1" x14ac:dyDescent="0.3">
      <c r="A7289" t="s">
        <v>697</v>
      </c>
      <c r="B7289" t="s">
        <v>100</v>
      </c>
      <c r="C7289" s="1">
        <f>HYPERLINK("https://cao.dolgi.msk.ru/account/1011342625/", 1011342625)</f>
        <v>1011342625</v>
      </c>
      <c r="D7289">
        <v>0</v>
      </c>
    </row>
    <row r="7290" spans="1:4" x14ac:dyDescent="0.3">
      <c r="A7290" t="s">
        <v>697</v>
      </c>
      <c r="B7290" t="s">
        <v>72</v>
      </c>
      <c r="C7290" s="1">
        <f>HYPERLINK("https://cao.dolgi.msk.ru/account/1011342932/", 1011342932)</f>
        <v>1011342932</v>
      </c>
      <c r="D7290">
        <v>3796.44</v>
      </c>
    </row>
    <row r="7291" spans="1:4" hidden="1" x14ac:dyDescent="0.3">
      <c r="A7291" t="s">
        <v>697</v>
      </c>
      <c r="B7291" t="s">
        <v>73</v>
      </c>
      <c r="C7291" s="1">
        <f>HYPERLINK("https://cao.dolgi.msk.ru/account/1011342801/", 1011342801)</f>
        <v>1011342801</v>
      </c>
      <c r="D7291">
        <v>-1377.9</v>
      </c>
    </row>
    <row r="7292" spans="1:4" hidden="1" x14ac:dyDescent="0.3">
      <c r="A7292" t="s">
        <v>697</v>
      </c>
      <c r="B7292" t="s">
        <v>74</v>
      </c>
      <c r="C7292" s="1">
        <f>HYPERLINK("https://cao.dolgi.msk.ru/account/1011342318/", 1011342318)</f>
        <v>1011342318</v>
      </c>
      <c r="D7292">
        <v>0</v>
      </c>
    </row>
    <row r="7293" spans="1:4" hidden="1" x14ac:dyDescent="0.3">
      <c r="A7293" t="s">
        <v>697</v>
      </c>
      <c r="B7293" t="s">
        <v>75</v>
      </c>
      <c r="C7293" s="1">
        <f>HYPERLINK("https://cao.dolgi.msk.ru/account/1011342393/", 1011342393)</f>
        <v>1011342393</v>
      </c>
      <c r="D7293">
        <v>0</v>
      </c>
    </row>
    <row r="7294" spans="1:4" hidden="1" x14ac:dyDescent="0.3">
      <c r="A7294" t="s">
        <v>697</v>
      </c>
      <c r="B7294" t="s">
        <v>76</v>
      </c>
      <c r="C7294" s="1">
        <f>HYPERLINK("https://cao.dolgi.msk.ru/account/1011342596/", 1011342596)</f>
        <v>1011342596</v>
      </c>
      <c r="D7294">
        <v>0</v>
      </c>
    </row>
    <row r="7295" spans="1:4" x14ac:dyDescent="0.3">
      <c r="A7295" t="s">
        <v>697</v>
      </c>
      <c r="B7295" t="s">
        <v>77</v>
      </c>
      <c r="C7295" s="1">
        <f>HYPERLINK("https://cao.dolgi.msk.ru/account/1011342748/", 1011342748)</f>
        <v>1011342748</v>
      </c>
      <c r="D7295">
        <v>2187.2199999999998</v>
      </c>
    </row>
    <row r="7296" spans="1:4" x14ac:dyDescent="0.3">
      <c r="A7296" t="s">
        <v>697</v>
      </c>
      <c r="B7296" t="s">
        <v>78</v>
      </c>
      <c r="C7296" s="1">
        <f>HYPERLINK("https://cao.dolgi.msk.ru/account/1011342561/", 1011342561)</f>
        <v>1011342561</v>
      </c>
      <c r="D7296">
        <v>19757.919999999998</v>
      </c>
    </row>
    <row r="7297" spans="1:4" hidden="1" x14ac:dyDescent="0.3">
      <c r="A7297" t="s">
        <v>697</v>
      </c>
      <c r="B7297" t="s">
        <v>79</v>
      </c>
      <c r="C7297" s="1">
        <f>HYPERLINK("https://cao.dolgi.msk.ru/account/1011343038/", 1011343038)</f>
        <v>1011343038</v>
      </c>
      <c r="D7297">
        <v>0</v>
      </c>
    </row>
    <row r="7298" spans="1:4" x14ac:dyDescent="0.3">
      <c r="A7298" t="s">
        <v>697</v>
      </c>
      <c r="B7298" t="s">
        <v>80</v>
      </c>
      <c r="C7298" s="1">
        <f>HYPERLINK("https://cao.dolgi.msk.ru/account/1011343134/", 1011343134)</f>
        <v>1011343134</v>
      </c>
      <c r="D7298">
        <v>4956.8599999999997</v>
      </c>
    </row>
    <row r="7299" spans="1:4" hidden="1" x14ac:dyDescent="0.3">
      <c r="A7299" t="s">
        <v>697</v>
      </c>
      <c r="B7299" t="s">
        <v>81</v>
      </c>
      <c r="C7299" s="1">
        <f>HYPERLINK("https://cao.dolgi.msk.ru/account/1011342852/", 1011342852)</f>
        <v>1011342852</v>
      </c>
      <c r="D7299">
        <v>-4265.04</v>
      </c>
    </row>
    <row r="7300" spans="1:4" hidden="1" x14ac:dyDescent="0.3">
      <c r="A7300" t="s">
        <v>697</v>
      </c>
      <c r="B7300" t="s">
        <v>101</v>
      </c>
      <c r="C7300" s="1">
        <f>HYPERLINK("https://cao.dolgi.msk.ru/account/1011342887/", 1011342887)</f>
        <v>1011342887</v>
      </c>
      <c r="D7300">
        <v>0</v>
      </c>
    </row>
    <row r="7301" spans="1:4" hidden="1" x14ac:dyDescent="0.3">
      <c r="A7301" t="s">
        <v>697</v>
      </c>
      <c r="B7301" t="s">
        <v>82</v>
      </c>
      <c r="C7301" s="1">
        <f>HYPERLINK("https://cao.dolgi.msk.ru/account/1011343011/", 1011343011)</f>
        <v>1011343011</v>
      </c>
      <c r="D7301">
        <v>0</v>
      </c>
    </row>
    <row r="7302" spans="1:4" hidden="1" x14ac:dyDescent="0.3">
      <c r="A7302" t="s">
        <v>697</v>
      </c>
      <c r="B7302" t="s">
        <v>83</v>
      </c>
      <c r="C7302" s="1">
        <f>HYPERLINK("https://cao.dolgi.msk.ru/account/1011343097/", 1011343097)</f>
        <v>1011343097</v>
      </c>
      <c r="D7302">
        <v>-528.70000000000005</v>
      </c>
    </row>
    <row r="7303" spans="1:4" hidden="1" x14ac:dyDescent="0.3">
      <c r="A7303" t="s">
        <v>697</v>
      </c>
      <c r="B7303" t="s">
        <v>698</v>
      </c>
      <c r="C7303" s="1">
        <f>HYPERLINK("https://cao.dolgi.msk.ru/account/1011342772/", 1011342772)</f>
        <v>1011342772</v>
      </c>
      <c r="D7303">
        <v>0</v>
      </c>
    </row>
    <row r="7304" spans="1:4" hidden="1" x14ac:dyDescent="0.3">
      <c r="A7304" t="s">
        <v>699</v>
      </c>
      <c r="B7304" t="s">
        <v>84</v>
      </c>
      <c r="C7304" s="1">
        <f>HYPERLINK("https://cao.dolgi.msk.ru/account/1011196939/", 1011196939)</f>
        <v>1011196939</v>
      </c>
      <c r="D7304">
        <v>0</v>
      </c>
    </row>
    <row r="7305" spans="1:4" hidden="1" x14ac:dyDescent="0.3">
      <c r="A7305" t="s">
        <v>699</v>
      </c>
      <c r="B7305" t="s">
        <v>85</v>
      </c>
      <c r="C7305" s="1">
        <f>HYPERLINK("https://cao.dolgi.msk.ru/account/1011196947/", 1011196947)</f>
        <v>1011196947</v>
      </c>
      <c r="D7305">
        <v>-277.92</v>
      </c>
    </row>
    <row r="7306" spans="1:4" hidden="1" x14ac:dyDescent="0.3">
      <c r="A7306" t="s">
        <v>699</v>
      </c>
      <c r="B7306" t="s">
        <v>102</v>
      </c>
      <c r="C7306" s="1">
        <f>HYPERLINK("https://cao.dolgi.msk.ru/account/1011197376/", 1011197376)</f>
        <v>1011197376</v>
      </c>
      <c r="D7306">
        <v>0</v>
      </c>
    </row>
    <row r="7307" spans="1:4" hidden="1" x14ac:dyDescent="0.3">
      <c r="A7307" t="s">
        <v>699</v>
      </c>
      <c r="B7307" t="s">
        <v>103</v>
      </c>
      <c r="C7307" s="1">
        <f>HYPERLINK("https://cao.dolgi.msk.ru/account/1011197245/", 1011197245)</f>
        <v>1011197245</v>
      </c>
      <c r="D7307">
        <v>-41.47</v>
      </c>
    </row>
    <row r="7308" spans="1:4" hidden="1" x14ac:dyDescent="0.3">
      <c r="A7308" t="s">
        <v>699</v>
      </c>
      <c r="B7308" t="s">
        <v>104</v>
      </c>
      <c r="C7308" s="1">
        <f>HYPERLINK("https://cao.dolgi.msk.ru/account/1011197384/", 1011197384)</f>
        <v>1011197384</v>
      </c>
      <c r="D7308">
        <v>-5588.6</v>
      </c>
    </row>
    <row r="7309" spans="1:4" hidden="1" x14ac:dyDescent="0.3">
      <c r="A7309" t="s">
        <v>699</v>
      </c>
      <c r="B7309" t="s">
        <v>105</v>
      </c>
      <c r="C7309" s="1">
        <f>HYPERLINK("https://cao.dolgi.msk.ru/account/1011197464/", 1011197464)</f>
        <v>1011197464</v>
      </c>
      <c r="D7309">
        <v>-983.57</v>
      </c>
    </row>
    <row r="7310" spans="1:4" hidden="1" x14ac:dyDescent="0.3">
      <c r="A7310" t="s">
        <v>699</v>
      </c>
      <c r="B7310" t="s">
        <v>106</v>
      </c>
      <c r="C7310" s="1">
        <f>HYPERLINK("https://cao.dolgi.msk.ru/account/1011197253/", 1011197253)</f>
        <v>1011197253</v>
      </c>
      <c r="D7310">
        <v>0</v>
      </c>
    </row>
    <row r="7311" spans="1:4" hidden="1" x14ac:dyDescent="0.3">
      <c r="A7311" t="s">
        <v>699</v>
      </c>
      <c r="B7311" t="s">
        <v>107</v>
      </c>
      <c r="C7311" s="1">
        <f>HYPERLINK("https://cao.dolgi.msk.ru/account/1011196859/", 1011196859)</f>
        <v>1011196859</v>
      </c>
      <c r="D7311">
        <v>0</v>
      </c>
    </row>
    <row r="7312" spans="1:4" hidden="1" x14ac:dyDescent="0.3">
      <c r="A7312" t="s">
        <v>699</v>
      </c>
      <c r="B7312" t="s">
        <v>108</v>
      </c>
      <c r="C7312" s="1">
        <f>HYPERLINK("https://cao.dolgi.msk.ru/account/1011197261/", 1011197261)</f>
        <v>1011197261</v>
      </c>
      <c r="D7312">
        <v>-9077</v>
      </c>
    </row>
    <row r="7313" spans="1:4" hidden="1" x14ac:dyDescent="0.3">
      <c r="A7313" t="s">
        <v>699</v>
      </c>
      <c r="B7313" t="s">
        <v>109</v>
      </c>
      <c r="C7313" s="1">
        <f>HYPERLINK("https://cao.dolgi.msk.ru/account/1011197392/", 1011197392)</f>
        <v>1011197392</v>
      </c>
      <c r="D7313">
        <v>0</v>
      </c>
    </row>
    <row r="7314" spans="1:4" hidden="1" x14ac:dyDescent="0.3">
      <c r="A7314" t="s">
        <v>699</v>
      </c>
      <c r="B7314" t="s">
        <v>110</v>
      </c>
      <c r="C7314" s="1">
        <f>HYPERLINK("https://cao.dolgi.msk.ru/account/1011197093/", 1011197093)</f>
        <v>1011197093</v>
      </c>
      <c r="D7314">
        <v>0</v>
      </c>
    </row>
    <row r="7315" spans="1:4" hidden="1" x14ac:dyDescent="0.3">
      <c r="A7315" t="s">
        <v>699</v>
      </c>
      <c r="B7315" t="s">
        <v>110</v>
      </c>
      <c r="C7315" s="1">
        <f>HYPERLINK("https://cao.dolgi.msk.ru/account/1011197368/", 1011197368)</f>
        <v>1011197368</v>
      </c>
      <c r="D7315">
        <v>0</v>
      </c>
    </row>
    <row r="7316" spans="1:4" x14ac:dyDescent="0.3">
      <c r="A7316" t="s">
        <v>699</v>
      </c>
      <c r="B7316" t="s">
        <v>111</v>
      </c>
      <c r="C7316" s="1">
        <f>HYPERLINK("https://cao.dolgi.msk.ru/account/1011197288/", 1011197288)</f>
        <v>1011197288</v>
      </c>
      <c r="D7316">
        <v>11964.77</v>
      </c>
    </row>
    <row r="7317" spans="1:4" hidden="1" x14ac:dyDescent="0.3">
      <c r="A7317" t="s">
        <v>699</v>
      </c>
      <c r="B7317" t="s">
        <v>112</v>
      </c>
      <c r="C7317" s="1">
        <f>HYPERLINK("https://cao.dolgi.msk.ru/account/1011197579/", 1011197579)</f>
        <v>1011197579</v>
      </c>
      <c r="D7317">
        <v>-7879.96</v>
      </c>
    </row>
    <row r="7318" spans="1:4" x14ac:dyDescent="0.3">
      <c r="A7318" t="s">
        <v>699</v>
      </c>
      <c r="B7318" t="s">
        <v>113</v>
      </c>
      <c r="C7318" s="1">
        <f>HYPERLINK("https://cao.dolgi.msk.ru/account/1011197472/", 1011197472)</f>
        <v>1011197472</v>
      </c>
      <c r="D7318">
        <v>4154.2</v>
      </c>
    </row>
    <row r="7319" spans="1:4" hidden="1" x14ac:dyDescent="0.3">
      <c r="A7319" t="s">
        <v>699</v>
      </c>
      <c r="B7319" t="s">
        <v>114</v>
      </c>
      <c r="C7319" s="1">
        <f>HYPERLINK("https://cao.dolgi.msk.ru/account/1011196955/", 1011196955)</f>
        <v>1011196955</v>
      </c>
      <c r="D7319">
        <v>0</v>
      </c>
    </row>
    <row r="7320" spans="1:4" hidden="1" x14ac:dyDescent="0.3">
      <c r="A7320" t="s">
        <v>699</v>
      </c>
      <c r="B7320" t="s">
        <v>115</v>
      </c>
      <c r="C7320" s="1">
        <f>HYPERLINK("https://cao.dolgi.msk.ru/account/1011197499/", 1011197499)</f>
        <v>1011197499</v>
      </c>
      <c r="D7320">
        <v>0</v>
      </c>
    </row>
    <row r="7321" spans="1:4" x14ac:dyDescent="0.3">
      <c r="A7321" t="s">
        <v>699</v>
      </c>
      <c r="B7321" t="s">
        <v>116</v>
      </c>
      <c r="C7321" s="1">
        <f>HYPERLINK("https://cao.dolgi.msk.ru/account/1011197405/", 1011197405)</f>
        <v>1011197405</v>
      </c>
      <c r="D7321">
        <v>13027.46</v>
      </c>
    </row>
    <row r="7322" spans="1:4" hidden="1" x14ac:dyDescent="0.3">
      <c r="A7322" t="s">
        <v>699</v>
      </c>
      <c r="B7322" t="s">
        <v>266</v>
      </c>
      <c r="C7322" s="1">
        <f>HYPERLINK("https://cao.dolgi.msk.ru/account/1011197106/", 1011197106)</f>
        <v>1011197106</v>
      </c>
      <c r="D7322">
        <v>0</v>
      </c>
    </row>
    <row r="7323" spans="1:4" hidden="1" x14ac:dyDescent="0.3">
      <c r="A7323" t="s">
        <v>699</v>
      </c>
      <c r="B7323" t="s">
        <v>117</v>
      </c>
      <c r="C7323" s="1">
        <f>HYPERLINK("https://cao.dolgi.msk.ru/account/1011197587/", 1011197587)</f>
        <v>1011197587</v>
      </c>
      <c r="D7323">
        <v>0</v>
      </c>
    </row>
    <row r="7324" spans="1:4" hidden="1" x14ac:dyDescent="0.3">
      <c r="A7324" t="s">
        <v>699</v>
      </c>
      <c r="B7324" t="s">
        <v>118</v>
      </c>
      <c r="C7324" s="1">
        <f>HYPERLINK("https://cao.dolgi.msk.ru/account/1011197501/", 1011197501)</f>
        <v>1011197501</v>
      </c>
      <c r="D7324">
        <v>-7384.59</v>
      </c>
    </row>
    <row r="7325" spans="1:4" x14ac:dyDescent="0.3">
      <c r="A7325" t="s">
        <v>699</v>
      </c>
      <c r="B7325" t="s">
        <v>119</v>
      </c>
      <c r="C7325" s="1">
        <f>HYPERLINK("https://cao.dolgi.msk.ru/account/1011197114/", 1011197114)</f>
        <v>1011197114</v>
      </c>
      <c r="D7325">
        <v>402201.36</v>
      </c>
    </row>
    <row r="7326" spans="1:4" hidden="1" x14ac:dyDescent="0.3">
      <c r="A7326" t="s">
        <v>699</v>
      </c>
      <c r="B7326" t="s">
        <v>120</v>
      </c>
      <c r="C7326" s="1">
        <f>HYPERLINK("https://cao.dolgi.msk.ru/account/1011196963/", 1011196963)</f>
        <v>1011196963</v>
      </c>
      <c r="D7326">
        <v>0</v>
      </c>
    </row>
    <row r="7327" spans="1:4" x14ac:dyDescent="0.3">
      <c r="A7327" t="s">
        <v>699</v>
      </c>
      <c r="B7327" t="s">
        <v>121</v>
      </c>
      <c r="C7327" s="1">
        <f>HYPERLINK("https://cao.dolgi.msk.ru/account/1011197528/", 1011197528)</f>
        <v>1011197528</v>
      </c>
      <c r="D7327">
        <v>5018.55</v>
      </c>
    </row>
    <row r="7328" spans="1:4" hidden="1" x14ac:dyDescent="0.3">
      <c r="A7328" t="s">
        <v>699</v>
      </c>
      <c r="B7328" t="s">
        <v>122</v>
      </c>
      <c r="C7328" s="1">
        <f>HYPERLINK("https://cao.dolgi.msk.ru/account/1011197296/", 1011197296)</f>
        <v>1011197296</v>
      </c>
      <c r="D7328">
        <v>-14506.67</v>
      </c>
    </row>
    <row r="7329" spans="1:4" hidden="1" x14ac:dyDescent="0.3">
      <c r="A7329" t="s">
        <v>699</v>
      </c>
      <c r="B7329" t="s">
        <v>123</v>
      </c>
      <c r="C7329" s="1">
        <f>HYPERLINK("https://cao.dolgi.msk.ru/account/1011196971/", 1011196971)</f>
        <v>1011196971</v>
      </c>
      <c r="D7329">
        <v>0</v>
      </c>
    </row>
    <row r="7330" spans="1:4" hidden="1" x14ac:dyDescent="0.3">
      <c r="A7330" t="s">
        <v>699</v>
      </c>
      <c r="B7330" t="s">
        <v>124</v>
      </c>
      <c r="C7330" s="1">
        <f>HYPERLINK("https://cao.dolgi.msk.ru/account/1011196867/", 1011196867)</f>
        <v>1011196867</v>
      </c>
      <c r="D7330">
        <v>0</v>
      </c>
    </row>
    <row r="7331" spans="1:4" hidden="1" x14ac:dyDescent="0.3">
      <c r="A7331" t="s">
        <v>699</v>
      </c>
      <c r="B7331" t="s">
        <v>125</v>
      </c>
      <c r="C7331" s="1">
        <f>HYPERLINK("https://cao.dolgi.msk.ru/account/1011197122/", 1011197122)</f>
        <v>1011197122</v>
      </c>
      <c r="D7331">
        <v>-7610.27</v>
      </c>
    </row>
    <row r="7332" spans="1:4" x14ac:dyDescent="0.3">
      <c r="A7332" t="s">
        <v>699</v>
      </c>
      <c r="B7332" t="s">
        <v>126</v>
      </c>
      <c r="C7332" s="1">
        <f>HYPERLINK("https://cao.dolgi.msk.ru/account/1011197659/", 1011197659)</f>
        <v>1011197659</v>
      </c>
      <c r="D7332">
        <v>122404.69</v>
      </c>
    </row>
    <row r="7333" spans="1:4" hidden="1" x14ac:dyDescent="0.3">
      <c r="A7333" t="s">
        <v>699</v>
      </c>
      <c r="B7333" t="s">
        <v>127</v>
      </c>
      <c r="C7333" s="1">
        <f>HYPERLINK("https://cao.dolgi.msk.ru/account/1011197149/", 1011197149)</f>
        <v>1011197149</v>
      </c>
      <c r="D7333">
        <v>0</v>
      </c>
    </row>
    <row r="7334" spans="1:4" hidden="1" x14ac:dyDescent="0.3">
      <c r="A7334" t="s">
        <v>699</v>
      </c>
      <c r="B7334" t="s">
        <v>262</v>
      </c>
      <c r="C7334" s="1">
        <f>HYPERLINK("https://cao.dolgi.msk.ru/account/1011197595/", 1011197595)</f>
        <v>1011197595</v>
      </c>
      <c r="D7334">
        <v>0</v>
      </c>
    </row>
    <row r="7335" spans="1:4" hidden="1" x14ac:dyDescent="0.3">
      <c r="A7335" t="s">
        <v>699</v>
      </c>
      <c r="B7335" t="s">
        <v>128</v>
      </c>
      <c r="C7335" s="1">
        <f>HYPERLINK("https://cao.dolgi.msk.ru/account/1011197157/", 1011197157)</f>
        <v>1011197157</v>
      </c>
      <c r="D7335">
        <v>-696.84</v>
      </c>
    </row>
    <row r="7336" spans="1:4" hidden="1" x14ac:dyDescent="0.3">
      <c r="A7336" t="s">
        <v>699</v>
      </c>
      <c r="B7336" t="s">
        <v>129</v>
      </c>
      <c r="C7336" s="1">
        <f>HYPERLINK("https://cao.dolgi.msk.ru/account/1011197536/", 1011197536)</f>
        <v>1011197536</v>
      </c>
      <c r="D7336">
        <v>-8951.76</v>
      </c>
    </row>
    <row r="7337" spans="1:4" hidden="1" x14ac:dyDescent="0.3">
      <c r="A7337" t="s">
        <v>699</v>
      </c>
      <c r="B7337" t="s">
        <v>130</v>
      </c>
      <c r="C7337" s="1">
        <f>HYPERLINK("https://cao.dolgi.msk.ru/account/1011197608/", 1011197608)</f>
        <v>1011197608</v>
      </c>
      <c r="D7337">
        <v>0</v>
      </c>
    </row>
    <row r="7338" spans="1:4" hidden="1" x14ac:dyDescent="0.3">
      <c r="A7338" t="s">
        <v>699</v>
      </c>
      <c r="B7338" t="s">
        <v>131</v>
      </c>
      <c r="C7338" s="1">
        <f>HYPERLINK("https://cao.dolgi.msk.ru/account/1011196875/", 1011196875)</f>
        <v>1011196875</v>
      </c>
      <c r="D7338">
        <v>0</v>
      </c>
    </row>
    <row r="7339" spans="1:4" x14ac:dyDescent="0.3">
      <c r="A7339" t="s">
        <v>699</v>
      </c>
      <c r="B7339" t="s">
        <v>132</v>
      </c>
      <c r="C7339" s="1">
        <f>HYPERLINK("https://cao.dolgi.msk.ru/account/1011197165/", 1011197165)</f>
        <v>1011197165</v>
      </c>
      <c r="D7339">
        <v>6372.86</v>
      </c>
    </row>
    <row r="7340" spans="1:4" x14ac:dyDescent="0.3">
      <c r="A7340" t="s">
        <v>699</v>
      </c>
      <c r="B7340" t="s">
        <v>133</v>
      </c>
      <c r="C7340" s="1">
        <f>HYPERLINK("https://cao.dolgi.msk.ru/account/1011197667/", 1011197667)</f>
        <v>1011197667</v>
      </c>
      <c r="D7340">
        <v>465.61</v>
      </c>
    </row>
    <row r="7341" spans="1:4" x14ac:dyDescent="0.3">
      <c r="A7341" t="s">
        <v>699</v>
      </c>
      <c r="B7341" t="s">
        <v>134</v>
      </c>
      <c r="C7341" s="1">
        <f>HYPERLINK("https://cao.dolgi.msk.ru/account/1011196998/", 1011196998)</f>
        <v>1011196998</v>
      </c>
      <c r="D7341">
        <v>11197.36</v>
      </c>
    </row>
    <row r="7342" spans="1:4" hidden="1" x14ac:dyDescent="0.3">
      <c r="A7342" t="s">
        <v>699</v>
      </c>
      <c r="B7342" t="s">
        <v>135</v>
      </c>
      <c r="C7342" s="1">
        <f>HYPERLINK("https://cao.dolgi.msk.ru/account/1011197544/", 1011197544)</f>
        <v>1011197544</v>
      </c>
      <c r="D7342">
        <v>-5293.23</v>
      </c>
    </row>
    <row r="7343" spans="1:4" hidden="1" x14ac:dyDescent="0.3">
      <c r="A7343" t="s">
        <v>699</v>
      </c>
      <c r="B7343" t="s">
        <v>264</v>
      </c>
      <c r="C7343" s="1">
        <f>HYPERLINK("https://cao.dolgi.msk.ru/account/1011197616/", 1011197616)</f>
        <v>1011197616</v>
      </c>
      <c r="D7343">
        <v>0</v>
      </c>
    </row>
    <row r="7344" spans="1:4" hidden="1" x14ac:dyDescent="0.3">
      <c r="A7344" t="s">
        <v>699</v>
      </c>
      <c r="B7344" t="s">
        <v>136</v>
      </c>
      <c r="C7344" s="1">
        <f>HYPERLINK("https://cao.dolgi.msk.ru/account/1011197309/", 1011197309)</f>
        <v>1011197309</v>
      </c>
      <c r="D7344">
        <v>-11311.81</v>
      </c>
    </row>
    <row r="7345" spans="1:4" hidden="1" x14ac:dyDescent="0.3">
      <c r="A7345" t="s">
        <v>699</v>
      </c>
      <c r="B7345" t="s">
        <v>137</v>
      </c>
      <c r="C7345" s="1">
        <f>HYPERLINK("https://cao.dolgi.msk.ru/account/1011197675/", 1011197675)</f>
        <v>1011197675</v>
      </c>
      <c r="D7345">
        <v>0</v>
      </c>
    </row>
    <row r="7346" spans="1:4" hidden="1" x14ac:dyDescent="0.3">
      <c r="A7346" t="s">
        <v>699</v>
      </c>
      <c r="B7346" t="s">
        <v>138</v>
      </c>
      <c r="C7346" s="1">
        <f>HYPERLINK("https://cao.dolgi.msk.ru/account/1011197173/", 1011197173)</f>
        <v>1011197173</v>
      </c>
      <c r="D7346">
        <v>0</v>
      </c>
    </row>
    <row r="7347" spans="1:4" hidden="1" x14ac:dyDescent="0.3">
      <c r="A7347" t="s">
        <v>699</v>
      </c>
      <c r="B7347" t="s">
        <v>139</v>
      </c>
      <c r="C7347" s="1">
        <f>HYPERLINK("https://cao.dolgi.msk.ru/account/1011197018/", 1011197018)</f>
        <v>1011197018</v>
      </c>
      <c r="D7347">
        <v>0</v>
      </c>
    </row>
    <row r="7348" spans="1:4" hidden="1" x14ac:dyDescent="0.3">
      <c r="A7348" t="s">
        <v>699</v>
      </c>
      <c r="B7348" t="s">
        <v>140</v>
      </c>
      <c r="C7348" s="1">
        <f>HYPERLINK("https://cao.dolgi.msk.ru/account/1011197317/", 1011197317)</f>
        <v>1011197317</v>
      </c>
      <c r="D7348">
        <v>0</v>
      </c>
    </row>
    <row r="7349" spans="1:4" hidden="1" x14ac:dyDescent="0.3">
      <c r="A7349" t="s">
        <v>699</v>
      </c>
      <c r="B7349" t="s">
        <v>141</v>
      </c>
      <c r="C7349" s="1">
        <f>HYPERLINK("https://cao.dolgi.msk.ru/account/1011196883/", 1011196883)</f>
        <v>1011196883</v>
      </c>
      <c r="D7349">
        <v>-11502.8</v>
      </c>
    </row>
    <row r="7350" spans="1:4" hidden="1" x14ac:dyDescent="0.3">
      <c r="A7350" t="s">
        <v>699</v>
      </c>
      <c r="B7350" t="s">
        <v>142</v>
      </c>
      <c r="C7350" s="1">
        <f>HYPERLINK("https://cao.dolgi.msk.ru/account/1011196891/", 1011196891)</f>
        <v>1011196891</v>
      </c>
      <c r="D7350">
        <v>-9669.19</v>
      </c>
    </row>
    <row r="7351" spans="1:4" hidden="1" x14ac:dyDescent="0.3">
      <c r="A7351" t="s">
        <v>699</v>
      </c>
      <c r="B7351" t="s">
        <v>143</v>
      </c>
      <c r="C7351" s="1">
        <f>HYPERLINK("https://cao.dolgi.msk.ru/account/1011196904/", 1011196904)</f>
        <v>1011196904</v>
      </c>
      <c r="D7351">
        <v>0</v>
      </c>
    </row>
    <row r="7352" spans="1:4" hidden="1" x14ac:dyDescent="0.3">
      <c r="A7352" t="s">
        <v>699</v>
      </c>
      <c r="B7352" t="s">
        <v>144</v>
      </c>
      <c r="C7352" s="1">
        <f>HYPERLINK("https://cao.dolgi.msk.ru/account/1011197026/", 1011197026)</f>
        <v>1011197026</v>
      </c>
      <c r="D7352">
        <v>-7138.9</v>
      </c>
    </row>
    <row r="7353" spans="1:4" hidden="1" x14ac:dyDescent="0.3">
      <c r="A7353" t="s">
        <v>699</v>
      </c>
      <c r="B7353" t="s">
        <v>145</v>
      </c>
      <c r="C7353" s="1">
        <f>HYPERLINK("https://cao.dolgi.msk.ru/account/1011197413/", 1011197413)</f>
        <v>1011197413</v>
      </c>
      <c r="D7353">
        <v>-11904.15</v>
      </c>
    </row>
    <row r="7354" spans="1:4" x14ac:dyDescent="0.3">
      <c r="A7354" t="s">
        <v>699</v>
      </c>
      <c r="B7354" t="s">
        <v>146</v>
      </c>
      <c r="C7354" s="1">
        <f>HYPERLINK("https://cao.dolgi.msk.ru/account/1011197034/", 1011197034)</f>
        <v>1011197034</v>
      </c>
      <c r="D7354">
        <v>12796.97</v>
      </c>
    </row>
    <row r="7355" spans="1:4" hidden="1" x14ac:dyDescent="0.3">
      <c r="A7355" t="s">
        <v>699</v>
      </c>
      <c r="B7355" t="s">
        <v>147</v>
      </c>
      <c r="C7355" s="1">
        <f>HYPERLINK("https://cao.dolgi.msk.ru/account/1011197181/", 1011197181)</f>
        <v>1011197181</v>
      </c>
      <c r="D7355">
        <v>-7025</v>
      </c>
    </row>
    <row r="7356" spans="1:4" hidden="1" x14ac:dyDescent="0.3">
      <c r="A7356" t="s">
        <v>699</v>
      </c>
      <c r="B7356" t="s">
        <v>148</v>
      </c>
      <c r="C7356" s="1">
        <f>HYPERLINK("https://cao.dolgi.msk.ru/account/1011197325/", 1011197325)</f>
        <v>1011197325</v>
      </c>
      <c r="D7356">
        <v>0</v>
      </c>
    </row>
    <row r="7357" spans="1:4" hidden="1" x14ac:dyDescent="0.3">
      <c r="A7357" t="s">
        <v>699</v>
      </c>
      <c r="B7357" t="s">
        <v>149</v>
      </c>
      <c r="C7357" s="1">
        <f>HYPERLINK("https://cao.dolgi.msk.ru/account/1011197333/", 1011197333)</f>
        <v>1011197333</v>
      </c>
      <c r="D7357">
        <v>0</v>
      </c>
    </row>
    <row r="7358" spans="1:4" hidden="1" x14ac:dyDescent="0.3">
      <c r="A7358" t="s">
        <v>699</v>
      </c>
      <c r="B7358" t="s">
        <v>150</v>
      </c>
      <c r="C7358" s="1">
        <f>HYPERLINK("https://cao.dolgi.msk.ru/account/1011197341/", 1011197341)</f>
        <v>1011197341</v>
      </c>
      <c r="D7358">
        <v>0</v>
      </c>
    </row>
    <row r="7359" spans="1:4" x14ac:dyDescent="0.3">
      <c r="A7359" t="s">
        <v>699</v>
      </c>
      <c r="B7359" t="s">
        <v>151</v>
      </c>
      <c r="C7359" s="1">
        <f>HYPERLINK("https://cao.dolgi.msk.ru/account/1011197042/", 1011197042)</f>
        <v>1011197042</v>
      </c>
      <c r="D7359">
        <v>10519.01</v>
      </c>
    </row>
    <row r="7360" spans="1:4" hidden="1" x14ac:dyDescent="0.3">
      <c r="A7360" t="s">
        <v>699</v>
      </c>
      <c r="B7360" t="s">
        <v>152</v>
      </c>
      <c r="C7360" s="1">
        <f>HYPERLINK("https://cao.dolgi.msk.ru/account/1011197069/", 1011197069)</f>
        <v>1011197069</v>
      </c>
      <c r="D7360">
        <v>-703.66</v>
      </c>
    </row>
    <row r="7361" spans="1:4" hidden="1" x14ac:dyDescent="0.3">
      <c r="A7361" t="s">
        <v>699</v>
      </c>
      <c r="B7361" t="s">
        <v>153</v>
      </c>
      <c r="C7361" s="1">
        <f>HYPERLINK("https://cao.dolgi.msk.ru/account/1011197421/", 1011197421)</f>
        <v>1011197421</v>
      </c>
      <c r="D7361">
        <v>-4467.1400000000003</v>
      </c>
    </row>
    <row r="7362" spans="1:4" x14ac:dyDescent="0.3">
      <c r="A7362" t="s">
        <v>699</v>
      </c>
      <c r="B7362" t="s">
        <v>154</v>
      </c>
      <c r="C7362" s="1">
        <f>HYPERLINK("https://cao.dolgi.msk.ru/account/1011197683/", 1011197683)</f>
        <v>1011197683</v>
      </c>
      <c r="D7362">
        <v>26416.73</v>
      </c>
    </row>
    <row r="7363" spans="1:4" hidden="1" x14ac:dyDescent="0.3">
      <c r="A7363" t="s">
        <v>699</v>
      </c>
      <c r="B7363" t="s">
        <v>155</v>
      </c>
      <c r="C7363" s="1">
        <f>HYPERLINK("https://cao.dolgi.msk.ru/account/1011197077/", 1011197077)</f>
        <v>1011197077</v>
      </c>
      <c r="D7363">
        <v>-7194.98</v>
      </c>
    </row>
    <row r="7364" spans="1:4" x14ac:dyDescent="0.3">
      <c r="A7364" t="s">
        <v>699</v>
      </c>
      <c r="B7364" t="s">
        <v>156</v>
      </c>
      <c r="C7364" s="1">
        <f>HYPERLINK("https://cao.dolgi.msk.ru/account/1011197202/", 1011197202)</f>
        <v>1011197202</v>
      </c>
      <c r="D7364">
        <v>10147.61</v>
      </c>
    </row>
    <row r="7365" spans="1:4" hidden="1" x14ac:dyDescent="0.3">
      <c r="A7365" t="s">
        <v>699</v>
      </c>
      <c r="B7365" t="s">
        <v>157</v>
      </c>
      <c r="C7365" s="1">
        <f>HYPERLINK("https://cao.dolgi.msk.ru/account/1011197229/", 1011197229)</f>
        <v>1011197229</v>
      </c>
      <c r="D7365">
        <v>-0.02</v>
      </c>
    </row>
    <row r="7366" spans="1:4" hidden="1" x14ac:dyDescent="0.3">
      <c r="A7366" t="s">
        <v>699</v>
      </c>
      <c r="B7366" t="s">
        <v>158</v>
      </c>
      <c r="C7366" s="1">
        <f>HYPERLINK("https://cao.dolgi.msk.ru/account/1011197456/", 1011197456)</f>
        <v>1011197456</v>
      </c>
      <c r="D7366">
        <v>-7951.99</v>
      </c>
    </row>
    <row r="7367" spans="1:4" hidden="1" x14ac:dyDescent="0.3">
      <c r="A7367" t="s">
        <v>699</v>
      </c>
      <c r="B7367" t="s">
        <v>159</v>
      </c>
      <c r="C7367" s="1">
        <f>HYPERLINK("https://cao.dolgi.msk.ru/account/1011197448/", 1011197448)</f>
        <v>1011197448</v>
      </c>
      <c r="D7367">
        <v>0</v>
      </c>
    </row>
    <row r="7368" spans="1:4" hidden="1" x14ac:dyDescent="0.3">
      <c r="A7368" t="s">
        <v>699</v>
      </c>
      <c r="B7368" t="s">
        <v>160</v>
      </c>
      <c r="C7368" s="1">
        <f>HYPERLINK("https://cao.dolgi.msk.ru/account/1011197691/", 1011197691)</f>
        <v>1011197691</v>
      </c>
      <c r="D7368">
        <v>-4184.5600000000004</v>
      </c>
    </row>
    <row r="7369" spans="1:4" hidden="1" x14ac:dyDescent="0.3">
      <c r="A7369" t="s">
        <v>699</v>
      </c>
      <c r="B7369" t="s">
        <v>161</v>
      </c>
      <c r="C7369" s="1">
        <f>HYPERLINK("https://cao.dolgi.msk.ru/account/1011196912/", 1011196912)</f>
        <v>1011196912</v>
      </c>
      <c r="D7369">
        <v>0</v>
      </c>
    </row>
    <row r="7370" spans="1:4" hidden="1" x14ac:dyDescent="0.3">
      <c r="A7370" t="s">
        <v>699</v>
      </c>
      <c r="B7370" t="s">
        <v>162</v>
      </c>
      <c r="C7370" s="1">
        <f>HYPERLINK("https://cao.dolgi.msk.ru/account/1011197085/", 1011197085)</f>
        <v>1011197085</v>
      </c>
      <c r="D7370">
        <v>-7871.32</v>
      </c>
    </row>
    <row r="7371" spans="1:4" hidden="1" x14ac:dyDescent="0.3">
      <c r="A7371" t="s">
        <v>699</v>
      </c>
      <c r="B7371" t="s">
        <v>163</v>
      </c>
      <c r="C7371" s="1">
        <f>HYPERLINK("https://cao.dolgi.msk.ru/account/1011197624/", 1011197624)</f>
        <v>1011197624</v>
      </c>
      <c r="D7371">
        <v>-6704.31</v>
      </c>
    </row>
    <row r="7372" spans="1:4" hidden="1" x14ac:dyDescent="0.3">
      <c r="A7372" t="s">
        <v>699</v>
      </c>
      <c r="B7372" t="s">
        <v>164</v>
      </c>
      <c r="C7372" s="1">
        <f>HYPERLINK("https://cao.dolgi.msk.ru/account/1011197237/", 1011197237)</f>
        <v>1011197237</v>
      </c>
      <c r="D7372">
        <v>0</v>
      </c>
    </row>
    <row r="7373" spans="1:4" hidden="1" x14ac:dyDescent="0.3">
      <c r="A7373" t="s">
        <v>699</v>
      </c>
      <c r="B7373" t="s">
        <v>165</v>
      </c>
      <c r="C7373" s="1">
        <f>HYPERLINK("https://cao.dolgi.msk.ru/account/1011197552/", 1011197552)</f>
        <v>1011197552</v>
      </c>
      <c r="D7373">
        <v>0</v>
      </c>
    </row>
    <row r="7374" spans="1:4" hidden="1" x14ac:dyDescent="0.3">
      <c r="A7374" t="s">
        <v>699</v>
      </c>
      <c r="B7374" t="s">
        <v>166</v>
      </c>
      <c r="C7374" s="1">
        <f>HYPERLINK("https://cao.dolgi.msk.ru/account/1011197704/", 1011197704)</f>
        <v>1011197704</v>
      </c>
      <c r="D7374">
        <v>-27990.17</v>
      </c>
    </row>
    <row r="7375" spans="1:4" hidden="1" x14ac:dyDescent="0.3">
      <c r="A7375" t="s">
        <v>699</v>
      </c>
      <c r="B7375" t="s">
        <v>167</v>
      </c>
      <c r="C7375" s="1">
        <f>HYPERLINK("https://cao.dolgi.msk.ru/account/1011197632/", 1011197632)</f>
        <v>1011197632</v>
      </c>
      <c r="D7375">
        <v>0</v>
      </c>
    </row>
    <row r="7376" spans="1:4" hidden="1" x14ac:dyDescent="0.3">
      <c r="A7376" t="s">
        <v>699</v>
      </c>
      <c r="B7376" t="s">
        <v>168</v>
      </c>
      <c r="C7376" s="1">
        <f>HYPERLINK("https://cao.dolgi.msk.ru/account/1011197712/", 1011197712)</f>
        <v>1011197712</v>
      </c>
      <c r="D7376">
        <v>-46.22</v>
      </c>
    </row>
    <row r="7377" spans="1:4" hidden="1" x14ac:dyDescent="0.3">
      <c r="A7377" t="s">
        <v>700</v>
      </c>
      <c r="B7377" t="s">
        <v>28</v>
      </c>
      <c r="C7377" s="1">
        <f>HYPERLINK("https://cao.dolgi.msk.ru/account/1011123983/", 1011123983)</f>
        <v>1011123983</v>
      </c>
      <c r="D7377">
        <v>0</v>
      </c>
    </row>
    <row r="7378" spans="1:4" hidden="1" x14ac:dyDescent="0.3">
      <c r="A7378" t="s">
        <v>700</v>
      </c>
      <c r="B7378" t="s">
        <v>35</v>
      </c>
      <c r="C7378" s="1">
        <f>HYPERLINK("https://cao.dolgi.msk.ru/account/1011123932/", 1011123932)</f>
        <v>1011123932</v>
      </c>
      <c r="D7378">
        <v>-4041.44</v>
      </c>
    </row>
    <row r="7379" spans="1:4" hidden="1" x14ac:dyDescent="0.3">
      <c r="A7379" t="s">
        <v>700</v>
      </c>
      <c r="B7379" t="s">
        <v>7</v>
      </c>
      <c r="C7379" s="1">
        <f>HYPERLINK("https://cao.dolgi.msk.ru/account/1011123959/", 1011123959)</f>
        <v>1011123959</v>
      </c>
      <c r="D7379">
        <v>0</v>
      </c>
    </row>
    <row r="7380" spans="1:4" hidden="1" x14ac:dyDescent="0.3">
      <c r="A7380" t="s">
        <v>700</v>
      </c>
      <c r="B7380" t="s">
        <v>8</v>
      </c>
      <c r="C7380" s="1">
        <f>HYPERLINK("https://cao.dolgi.msk.ru/account/1011124011/", 1011124011)</f>
        <v>1011124011</v>
      </c>
      <c r="D7380">
        <v>0</v>
      </c>
    </row>
    <row r="7381" spans="1:4" hidden="1" x14ac:dyDescent="0.3">
      <c r="A7381" t="s">
        <v>700</v>
      </c>
      <c r="B7381" t="s">
        <v>31</v>
      </c>
      <c r="C7381" s="1">
        <f>HYPERLINK("https://cao.dolgi.msk.ru/account/1011123991/", 1011123991)</f>
        <v>1011123991</v>
      </c>
      <c r="D7381">
        <v>0</v>
      </c>
    </row>
    <row r="7382" spans="1:4" hidden="1" x14ac:dyDescent="0.3">
      <c r="A7382" t="s">
        <v>700</v>
      </c>
      <c r="B7382" t="s">
        <v>9</v>
      </c>
      <c r="C7382" s="1">
        <f>HYPERLINK("https://cao.dolgi.msk.ru/account/1011123916/", 1011123916)</f>
        <v>1011123916</v>
      </c>
      <c r="D7382">
        <v>-8498.5300000000007</v>
      </c>
    </row>
    <row r="7383" spans="1:4" hidden="1" x14ac:dyDescent="0.3">
      <c r="A7383" t="s">
        <v>700</v>
      </c>
      <c r="B7383" t="s">
        <v>10</v>
      </c>
      <c r="C7383" s="1">
        <f>HYPERLINK("https://cao.dolgi.msk.ru/account/1011123967/", 1011123967)</f>
        <v>1011123967</v>
      </c>
      <c r="D7383">
        <v>-14659.67</v>
      </c>
    </row>
    <row r="7384" spans="1:4" hidden="1" x14ac:dyDescent="0.3">
      <c r="A7384" t="s">
        <v>700</v>
      </c>
      <c r="B7384" t="s">
        <v>11</v>
      </c>
      <c r="C7384" s="1">
        <f>HYPERLINK("https://cao.dolgi.msk.ru/account/1011124003/", 1011124003)</f>
        <v>1011124003</v>
      </c>
      <c r="D7384">
        <v>-4400</v>
      </c>
    </row>
    <row r="7385" spans="1:4" hidden="1" x14ac:dyDescent="0.3">
      <c r="A7385" t="s">
        <v>700</v>
      </c>
      <c r="B7385" t="s">
        <v>12</v>
      </c>
      <c r="C7385" s="1">
        <f>HYPERLINK("https://cao.dolgi.msk.ru/account/1011123975/", 1011123975)</f>
        <v>1011123975</v>
      </c>
      <c r="D7385">
        <v>-23139.79</v>
      </c>
    </row>
    <row r="7386" spans="1:4" x14ac:dyDescent="0.3">
      <c r="A7386" t="s">
        <v>700</v>
      </c>
      <c r="B7386" t="s">
        <v>23</v>
      </c>
      <c r="C7386" s="1">
        <f>HYPERLINK("https://cao.dolgi.msk.ru/account/1011123924/", 1011123924)</f>
        <v>1011123924</v>
      </c>
      <c r="D7386">
        <v>15279.83</v>
      </c>
    </row>
    <row r="7387" spans="1:4" hidden="1" x14ac:dyDescent="0.3">
      <c r="A7387" t="s">
        <v>701</v>
      </c>
      <c r="B7387" t="s">
        <v>6</v>
      </c>
      <c r="C7387" s="1">
        <f>HYPERLINK("https://cao.dolgi.msk.ru/account/1011089121/", 1011089121)</f>
        <v>1011089121</v>
      </c>
      <c r="D7387">
        <v>-4611.18</v>
      </c>
    </row>
    <row r="7388" spans="1:4" hidden="1" x14ac:dyDescent="0.3">
      <c r="A7388" t="s">
        <v>701</v>
      </c>
      <c r="B7388" t="s">
        <v>28</v>
      </c>
      <c r="C7388" s="1">
        <f>HYPERLINK("https://cao.dolgi.msk.ru/account/1011089041/", 1011089041)</f>
        <v>1011089041</v>
      </c>
      <c r="D7388">
        <v>-3962.94</v>
      </c>
    </row>
    <row r="7389" spans="1:4" hidden="1" x14ac:dyDescent="0.3">
      <c r="A7389" t="s">
        <v>701</v>
      </c>
      <c r="B7389" t="s">
        <v>35</v>
      </c>
      <c r="C7389" s="1">
        <f>HYPERLINK("https://cao.dolgi.msk.ru/account/1011089076/", 1011089076)</f>
        <v>1011089076</v>
      </c>
      <c r="D7389">
        <v>0</v>
      </c>
    </row>
    <row r="7390" spans="1:4" hidden="1" x14ac:dyDescent="0.3">
      <c r="A7390" t="s">
        <v>701</v>
      </c>
      <c r="B7390" t="s">
        <v>5</v>
      </c>
      <c r="C7390" s="1">
        <f>HYPERLINK("https://cao.dolgi.msk.ru/account/1011089017/", 1011089017)</f>
        <v>1011089017</v>
      </c>
      <c r="D7390">
        <v>-7497.47</v>
      </c>
    </row>
    <row r="7391" spans="1:4" x14ac:dyDescent="0.3">
      <c r="A7391" t="s">
        <v>701</v>
      </c>
      <c r="B7391" t="s">
        <v>7</v>
      </c>
      <c r="C7391" s="1">
        <f>HYPERLINK("https://cao.dolgi.msk.ru/account/1011089105/", 1011089105)</f>
        <v>1011089105</v>
      </c>
      <c r="D7391">
        <v>6012.72</v>
      </c>
    </row>
    <row r="7392" spans="1:4" hidden="1" x14ac:dyDescent="0.3">
      <c r="A7392" t="s">
        <v>701</v>
      </c>
      <c r="B7392" t="s">
        <v>8</v>
      </c>
      <c r="C7392" s="1">
        <f>HYPERLINK("https://cao.dolgi.msk.ru/account/1011089148/", 1011089148)</f>
        <v>1011089148</v>
      </c>
      <c r="D7392">
        <v>0</v>
      </c>
    </row>
    <row r="7393" spans="1:4" hidden="1" x14ac:dyDescent="0.3">
      <c r="A7393" t="s">
        <v>701</v>
      </c>
      <c r="B7393" t="s">
        <v>31</v>
      </c>
      <c r="C7393" s="1">
        <f>HYPERLINK("https://cao.dolgi.msk.ru/account/1011089068/", 1011089068)</f>
        <v>1011089068</v>
      </c>
      <c r="D7393">
        <v>0</v>
      </c>
    </row>
    <row r="7394" spans="1:4" hidden="1" x14ac:dyDescent="0.3">
      <c r="A7394" t="s">
        <v>701</v>
      </c>
      <c r="B7394" t="s">
        <v>9</v>
      </c>
      <c r="C7394" s="1">
        <f>HYPERLINK("https://cao.dolgi.msk.ru/account/1011089092/", 1011089092)</f>
        <v>1011089092</v>
      </c>
      <c r="D7394">
        <v>-5363.61</v>
      </c>
    </row>
    <row r="7395" spans="1:4" hidden="1" x14ac:dyDescent="0.3">
      <c r="A7395" t="s">
        <v>701</v>
      </c>
      <c r="B7395" t="s">
        <v>9</v>
      </c>
      <c r="C7395" s="1">
        <f>HYPERLINK("https://cao.dolgi.msk.ru/account/1011117911/", 1011117911)</f>
        <v>1011117911</v>
      </c>
      <c r="D7395">
        <v>0</v>
      </c>
    </row>
    <row r="7396" spans="1:4" hidden="1" x14ac:dyDescent="0.3">
      <c r="A7396" t="s">
        <v>701</v>
      </c>
      <c r="B7396" t="s">
        <v>9</v>
      </c>
      <c r="C7396" s="1">
        <f>HYPERLINK("https://cao.dolgi.msk.ru/account/1011117938/", 1011117938)</f>
        <v>1011117938</v>
      </c>
      <c r="D7396">
        <v>0</v>
      </c>
    </row>
    <row r="7397" spans="1:4" hidden="1" x14ac:dyDescent="0.3">
      <c r="A7397" t="s">
        <v>701</v>
      </c>
      <c r="B7397" t="s">
        <v>10</v>
      </c>
      <c r="C7397" s="1">
        <f>HYPERLINK("https://cao.dolgi.msk.ru/account/1011089025/", 1011089025)</f>
        <v>1011089025</v>
      </c>
      <c r="D7397">
        <v>0</v>
      </c>
    </row>
    <row r="7398" spans="1:4" hidden="1" x14ac:dyDescent="0.3">
      <c r="A7398" t="s">
        <v>701</v>
      </c>
      <c r="B7398" t="s">
        <v>11</v>
      </c>
      <c r="C7398" s="1">
        <f>HYPERLINK("https://cao.dolgi.msk.ru/account/1011089113/", 1011089113)</f>
        <v>1011089113</v>
      </c>
      <c r="D7398">
        <v>-8968.7900000000009</v>
      </c>
    </row>
    <row r="7399" spans="1:4" hidden="1" x14ac:dyDescent="0.3">
      <c r="A7399" t="s">
        <v>701</v>
      </c>
      <c r="B7399" t="s">
        <v>12</v>
      </c>
      <c r="C7399" s="1">
        <f>HYPERLINK("https://cao.dolgi.msk.ru/account/1011089156/", 1011089156)</f>
        <v>1011089156</v>
      </c>
      <c r="D7399">
        <v>-8454.41</v>
      </c>
    </row>
    <row r="7400" spans="1:4" hidden="1" x14ac:dyDescent="0.3">
      <c r="A7400" t="s">
        <v>701</v>
      </c>
      <c r="B7400" t="s">
        <v>23</v>
      </c>
      <c r="C7400" s="1">
        <f>HYPERLINK("https://cao.dolgi.msk.ru/account/1011089033/", 1011089033)</f>
        <v>1011089033</v>
      </c>
      <c r="D7400">
        <v>-108.66</v>
      </c>
    </row>
    <row r="7401" spans="1:4" x14ac:dyDescent="0.3">
      <c r="A7401" t="s">
        <v>702</v>
      </c>
      <c r="B7401" t="s">
        <v>6</v>
      </c>
      <c r="C7401" s="1">
        <f>HYPERLINK("https://cao.dolgi.msk.ru/account/1011497678/", 1011497678)</f>
        <v>1011497678</v>
      </c>
      <c r="D7401">
        <v>8861.8700000000008</v>
      </c>
    </row>
    <row r="7402" spans="1:4" hidden="1" x14ac:dyDescent="0.3">
      <c r="A7402" t="s">
        <v>702</v>
      </c>
      <c r="B7402" t="s">
        <v>35</v>
      </c>
      <c r="C7402" s="1">
        <f>HYPERLINK("https://cao.dolgi.msk.ru/account/1011497715/", 1011497715)</f>
        <v>1011497715</v>
      </c>
      <c r="D7402">
        <v>0</v>
      </c>
    </row>
    <row r="7403" spans="1:4" x14ac:dyDescent="0.3">
      <c r="A7403" t="s">
        <v>702</v>
      </c>
      <c r="B7403" t="s">
        <v>5</v>
      </c>
      <c r="C7403" s="1">
        <f>HYPERLINK("https://cao.dolgi.msk.ru/account/1011497686/", 1011497686)</f>
        <v>1011497686</v>
      </c>
      <c r="D7403">
        <v>10124.32</v>
      </c>
    </row>
    <row r="7404" spans="1:4" hidden="1" x14ac:dyDescent="0.3">
      <c r="A7404" t="s">
        <v>702</v>
      </c>
      <c r="B7404" t="s">
        <v>7</v>
      </c>
      <c r="C7404" s="1">
        <f>HYPERLINK("https://cao.dolgi.msk.ru/account/1011497694/", 1011497694)</f>
        <v>1011497694</v>
      </c>
      <c r="D7404">
        <v>0</v>
      </c>
    </row>
    <row r="7405" spans="1:4" hidden="1" x14ac:dyDescent="0.3">
      <c r="A7405" t="s">
        <v>702</v>
      </c>
      <c r="B7405" t="s">
        <v>7</v>
      </c>
      <c r="C7405" s="1">
        <f>HYPERLINK("https://cao.dolgi.msk.ru/account/1011497723/", 1011497723)</f>
        <v>1011497723</v>
      </c>
      <c r="D7405">
        <v>0</v>
      </c>
    </row>
    <row r="7406" spans="1:4" hidden="1" x14ac:dyDescent="0.3">
      <c r="A7406" t="s">
        <v>702</v>
      </c>
      <c r="B7406" t="s">
        <v>8</v>
      </c>
      <c r="C7406" s="1">
        <f>HYPERLINK("https://cao.dolgi.msk.ru/account/1011497766/", 1011497766)</f>
        <v>1011497766</v>
      </c>
      <c r="D7406">
        <v>0</v>
      </c>
    </row>
    <row r="7407" spans="1:4" hidden="1" x14ac:dyDescent="0.3">
      <c r="A7407" t="s">
        <v>702</v>
      </c>
      <c r="B7407" t="s">
        <v>678</v>
      </c>
      <c r="C7407" s="1">
        <f>HYPERLINK("https://cao.dolgi.msk.ru/account/1011497758/", 1011497758)</f>
        <v>1011497758</v>
      </c>
      <c r="D7407">
        <v>-1575.77</v>
      </c>
    </row>
    <row r="7408" spans="1:4" hidden="1" x14ac:dyDescent="0.3">
      <c r="A7408" t="s">
        <v>702</v>
      </c>
      <c r="B7408" t="s">
        <v>17</v>
      </c>
      <c r="C7408" s="1">
        <f>HYPERLINK("https://cao.dolgi.msk.ru/account/1011497774/", 1011497774)</f>
        <v>1011497774</v>
      </c>
      <c r="D7408">
        <v>-7021.89</v>
      </c>
    </row>
    <row r="7409" spans="1:4" hidden="1" x14ac:dyDescent="0.3">
      <c r="A7409" t="s">
        <v>702</v>
      </c>
      <c r="B7409" t="s">
        <v>18</v>
      </c>
      <c r="C7409" s="1">
        <f>HYPERLINK("https://cao.dolgi.msk.ru/account/1011497707/", 1011497707)</f>
        <v>1011497707</v>
      </c>
      <c r="D7409">
        <v>0</v>
      </c>
    </row>
    <row r="7410" spans="1:4" hidden="1" x14ac:dyDescent="0.3">
      <c r="A7410" t="s">
        <v>702</v>
      </c>
      <c r="B7410" t="s">
        <v>19</v>
      </c>
      <c r="C7410" s="1">
        <f>HYPERLINK("https://cao.dolgi.msk.ru/account/1011497651/", 1011497651)</f>
        <v>1011497651</v>
      </c>
      <c r="D7410">
        <v>-15567.68</v>
      </c>
    </row>
    <row r="7411" spans="1:4" hidden="1" x14ac:dyDescent="0.3">
      <c r="A7411" t="s">
        <v>702</v>
      </c>
      <c r="B7411" t="s">
        <v>681</v>
      </c>
      <c r="C7411" s="1">
        <f>HYPERLINK("https://cao.dolgi.msk.ru/account/1011497782/", 1011497782)</f>
        <v>1011497782</v>
      </c>
      <c r="D7411">
        <v>-12972.21</v>
      </c>
    </row>
    <row r="7412" spans="1:4" hidden="1" x14ac:dyDescent="0.3">
      <c r="A7412" t="s">
        <v>702</v>
      </c>
      <c r="B7412" t="s">
        <v>20</v>
      </c>
      <c r="C7412" s="1">
        <f>HYPERLINK("https://cao.dolgi.msk.ru/account/1011497731/", 1011497731)</f>
        <v>1011497731</v>
      </c>
      <c r="D7412">
        <v>0</v>
      </c>
    </row>
    <row r="7413" spans="1:4" hidden="1" x14ac:dyDescent="0.3">
      <c r="A7413" t="s">
        <v>703</v>
      </c>
      <c r="B7413" t="s">
        <v>6</v>
      </c>
      <c r="C7413" s="1">
        <f>HYPERLINK("https://cao.dolgi.msk.ru/account/1011197851/", 1011197851)</f>
        <v>1011197851</v>
      </c>
      <c r="D7413">
        <v>-151.97</v>
      </c>
    </row>
    <row r="7414" spans="1:4" hidden="1" x14ac:dyDescent="0.3">
      <c r="A7414" t="s">
        <v>703</v>
      </c>
      <c r="B7414" t="s">
        <v>28</v>
      </c>
      <c r="C7414" s="1">
        <f>HYPERLINK("https://cao.dolgi.msk.ru/account/1011197763/", 1011197763)</f>
        <v>1011197763</v>
      </c>
      <c r="D7414">
        <v>0</v>
      </c>
    </row>
    <row r="7415" spans="1:4" x14ac:dyDescent="0.3">
      <c r="A7415" t="s">
        <v>703</v>
      </c>
      <c r="B7415" t="s">
        <v>35</v>
      </c>
      <c r="C7415" s="1">
        <f>HYPERLINK("https://cao.dolgi.msk.ru/account/1011197819/", 1011197819)</f>
        <v>1011197819</v>
      </c>
      <c r="D7415">
        <v>14873.18</v>
      </c>
    </row>
    <row r="7416" spans="1:4" hidden="1" x14ac:dyDescent="0.3">
      <c r="A7416" t="s">
        <v>703</v>
      </c>
      <c r="B7416" t="s">
        <v>5</v>
      </c>
      <c r="C7416" s="1">
        <f>HYPERLINK("https://cao.dolgi.msk.ru/account/1011197827/", 1011197827)</f>
        <v>1011197827</v>
      </c>
      <c r="D7416">
        <v>-2417.21</v>
      </c>
    </row>
    <row r="7417" spans="1:4" hidden="1" x14ac:dyDescent="0.3">
      <c r="A7417" t="s">
        <v>703</v>
      </c>
      <c r="B7417" t="s">
        <v>7</v>
      </c>
      <c r="C7417" s="1">
        <f>HYPERLINK("https://cao.dolgi.msk.ru/account/1011197771/", 1011197771)</f>
        <v>1011197771</v>
      </c>
      <c r="D7417">
        <v>0</v>
      </c>
    </row>
    <row r="7418" spans="1:4" x14ac:dyDescent="0.3">
      <c r="A7418" t="s">
        <v>703</v>
      </c>
      <c r="B7418" t="s">
        <v>8</v>
      </c>
      <c r="C7418" s="1">
        <f>HYPERLINK("https://cao.dolgi.msk.ru/account/1011197739/", 1011197739)</f>
        <v>1011197739</v>
      </c>
      <c r="D7418">
        <v>14221.64</v>
      </c>
    </row>
    <row r="7419" spans="1:4" hidden="1" x14ac:dyDescent="0.3">
      <c r="A7419" t="s">
        <v>703</v>
      </c>
      <c r="B7419" t="s">
        <v>31</v>
      </c>
      <c r="C7419" s="1">
        <f>HYPERLINK("https://cao.dolgi.msk.ru/account/1011197747/", 1011197747)</f>
        <v>1011197747</v>
      </c>
      <c r="D7419">
        <v>-18477.7</v>
      </c>
    </row>
    <row r="7420" spans="1:4" hidden="1" x14ac:dyDescent="0.3">
      <c r="A7420" t="s">
        <v>703</v>
      </c>
      <c r="B7420" t="s">
        <v>9</v>
      </c>
      <c r="C7420" s="1">
        <f>HYPERLINK("https://cao.dolgi.msk.ru/account/1011197878/", 1011197878)</f>
        <v>1011197878</v>
      </c>
      <c r="D7420">
        <v>-14715.55</v>
      </c>
    </row>
    <row r="7421" spans="1:4" x14ac:dyDescent="0.3">
      <c r="A7421" t="s">
        <v>703</v>
      </c>
      <c r="B7421" t="s">
        <v>10</v>
      </c>
      <c r="C7421" s="1">
        <f>HYPERLINK("https://cao.dolgi.msk.ru/account/1011197835/", 1011197835)</f>
        <v>1011197835</v>
      </c>
      <c r="D7421">
        <v>97947.13</v>
      </c>
    </row>
    <row r="7422" spans="1:4" hidden="1" x14ac:dyDescent="0.3">
      <c r="A7422" t="s">
        <v>703</v>
      </c>
      <c r="B7422" t="s">
        <v>11</v>
      </c>
      <c r="C7422" s="1">
        <f>HYPERLINK("https://cao.dolgi.msk.ru/account/1011510449/", 1011510449)</f>
        <v>1011510449</v>
      </c>
      <c r="D7422">
        <v>-2593.34</v>
      </c>
    </row>
    <row r="7423" spans="1:4" hidden="1" x14ac:dyDescent="0.3">
      <c r="A7423" t="s">
        <v>703</v>
      </c>
      <c r="B7423" t="s">
        <v>12</v>
      </c>
      <c r="C7423" s="1">
        <f>HYPERLINK("https://cao.dolgi.msk.ru/account/1011197798/", 1011197798)</f>
        <v>1011197798</v>
      </c>
      <c r="D7423">
        <v>0</v>
      </c>
    </row>
    <row r="7424" spans="1:4" hidden="1" x14ac:dyDescent="0.3">
      <c r="A7424" t="s">
        <v>703</v>
      </c>
      <c r="B7424" t="s">
        <v>23</v>
      </c>
      <c r="C7424" s="1">
        <f>HYPERLINK("https://cao.dolgi.msk.ru/account/1011197843/", 1011197843)</f>
        <v>1011197843</v>
      </c>
      <c r="D7424">
        <v>-8175.62</v>
      </c>
    </row>
    <row r="7425" spans="1:4" hidden="1" x14ac:dyDescent="0.3">
      <c r="A7425" t="s">
        <v>704</v>
      </c>
      <c r="B7425" t="s">
        <v>6</v>
      </c>
      <c r="C7425" s="1">
        <f>HYPERLINK("https://cao.dolgi.msk.ru/account/1011349915/", 1011349915)</f>
        <v>1011349915</v>
      </c>
      <c r="D7425">
        <v>-6618.32</v>
      </c>
    </row>
    <row r="7426" spans="1:4" x14ac:dyDescent="0.3">
      <c r="A7426" t="s">
        <v>704</v>
      </c>
      <c r="B7426" t="s">
        <v>28</v>
      </c>
      <c r="C7426" s="1">
        <f>HYPERLINK("https://cao.dolgi.msk.ru/account/1011349691/", 1011349691)</f>
        <v>1011349691</v>
      </c>
      <c r="D7426">
        <v>9259.67</v>
      </c>
    </row>
    <row r="7427" spans="1:4" hidden="1" x14ac:dyDescent="0.3">
      <c r="A7427" t="s">
        <v>704</v>
      </c>
      <c r="B7427" t="s">
        <v>35</v>
      </c>
      <c r="C7427" s="1">
        <f>HYPERLINK("https://cao.dolgi.msk.ru/account/1011349595/", 1011349595)</f>
        <v>1011349595</v>
      </c>
      <c r="D7427">
        <v>-125.46</v>
      </c>
    </row>
    <row r="7428" spans="1:4" hidden="1" x14ac:dyDescent="0.3">
      <c r="A7428" t="s">
        <v>704</v>
      </c>
      <c r="B7428" t="s">
        <v>5</v>
      </c>
      <c r="C7428" s="1">
        <f>HYPERLINK("https://cao.dolgi.msk.ru/account/1011349755/", 1011349755)</f>
        <v>1011349755</v>
      </c>
      <c r="D7428">
        <v>-5112.6499999999996</v>
      </c>
    </row>
    <row r="7429" spans="1:4" hidden="1" x14ac:dyDescent="0.3">
      <c r="A7429" t="s">
        <v>704</v>
      </c>
      <c r="B7429" t="s">
        <v>7</v>
      </c>
      <c r="C7429" s="1">
        <f>HYPERLINK("https://cao.dolgi.msk.ru/account/1011349448/", 1011349448)</f>
        <v>1011349448</v>
      </c>
      <c r="D7429">
        <v>0</v>
      </c>
    </row>
    <row r="7430" spans="1:4" hidden="1" x14ac:dyDescent="0.3">
      <c r="A7430" t="s">
        <v>704</v>
      </c>
      <c r="B7430" t="s">
        <v>8</v>
      </c>
      <c r="C7430" s="1">
        <f>HYPERLINK("https://cao.dolgi.msk.ru/account/1011349616/", 1011349616)</f>
        <v>1011349616</v>
      </c>
      <c r="D7430">
        <v>-8622.9500000000007</v>
      </c>
    </row>
    <row r="7431" spans="1:4" hidden="1" x14ac:dyDescent="0.3">
      <c r="A7431" t="s">
        <v>704</v>
      </c>
      <c r="B7431" t="s">
        <v>31</v>
      </c>
      <c r="C7431" s="1">
        <f>HYPERLINK("https://cao.dolgi.msk.ru/account/1011349464/", 1011349464)</f>
        <v>1011349464</v>
      </c>
      <c r="D7431">
        <v>0</v>
      </c>
    </row>
    <row r="7432" spans="1:4" hidden="1" x14ac:dyDescent="0.3">
      <c r="A7432" t="s">
        <v>704</v>
      </c>
      <c r="B7432" t="s">
        <v>9</v>
      </c>
      <c r="C7432" s="1">
        <f>HYPERLINK("https://cao.dolgi.msk.ru/account/1011349472/", 1011349472)</f>
        <v>1011349472</v>
      </c>
      <c r="D7432">
        <v>0</v>
      </c>
    </row>
    <row r="7433" spans="1:4" hidden="1" x14ac:dyDescent="0.3">
      <c r="A7433" t="s">
        <v>704</v>
      </c>
      <c r="B7433" t="s">
        <v>10</v>
      </c>
      <c r="C7433" s="1">
        <f>HYPERLINK("https://cao.dolgi.msk.ru/account/1011349333/", 1011349333)</f>
        <v>1011349333</v>
      </c>
      <c r="D7433">
        <v>0</v>
      </c>
    </row>
    <row r="7434" spans="1:4" x14ac:dyDescent="0.3">
      <c r="A7434" t="s">
        <v>704</v>
      </c>
      <c r="B7434" t="s">
        <v>11</v>
      </c>
      <c r="C7434" s="1">
        <f>HYPERLINK("https://cao.dolgi.msk.ru/account/1011349739/", 1011349739)</f>
        <v>1011349739</v>
      </c>
      <c r="D7434">
        <v>27971.18</v>
      </c>
    </row>
    <row r="7435" spans="1:4" hidden="1" x14ac:dyDescent="0.3">
      <c r="A7435" t="s">
        <v>704</v>
      </c>
      <c r="B7435" t="s">
        <v>12</v>
      </c>
      <c r="C7435" s="1">
        <f>HYPERLINK("https://cao.dolgi.msk.ru/account/1011349499/", 1011349499)</f>
        <v>1011349499</v>
      </c>
      <c r="D7435">
        <v>0</v>
      </c>
    </row>
    <row r="7436" spans="1:4" hidden="1" x14ac:dyDescent="0.3">
      <c r="A7436" t="s">
        <v>704</v>
      </c>
      <c r="B7436" t="s">
        <v>23</v>
      </c>
      <c r="C7436" s="1">
        <f>HYPERLINK("https://cao.dolgi.msk.ru/account/1011349253/", 1011349253)</f>
        <v>1011349253</v>
      </c>
      <c r="D7436">
        <v>-163.16</v>
      </c>
    </row>
    <row r="7437" spans="1:4" hidden="1" x14ac:dyDescent="0.3">
      <c r="A7437" t="s">
        <v>704</v>
      </c>
      <c r="B7437" t="s">
        <v>13</v>
      </c>
      <c r="C7437" s="1">
        <f>HYPERLINK("https://cao.dolgi.msk.ru/account/1011349624/", 1011349624)</f>
        <v>1011349624</v>
      </c>
      <c r="D7437">
        <v>0</v>
      </c>
    </row>
    <row r="7438" spans="1:4" hidden="1" x14ac:dyDescent="0.3">
      <c r="A7438" t="s">
        <v>704</v>
      </c>
      <c r="B7438" t="s">
        <v>14</v>
      </c>
      <c r="C7438" s="1">
        <f>HYPERLINK("https://cao.dolgi.msk.ru/account/1011349157/", 1011349157)</f>
        <v>1011349157</v>
      </c>
      <c r="D7438">
        <v>0</v>
      </c>
    </row>
    <row r="7439" spans="1:4" x14ac:dyDescent="0.3">
      <c r="A7439" t="s">
        <v>704</v>
      </c>
      <c r="B7439" t="s">
        <v>16</v>
      </c>
      <c r="C7439" s="1">
        <f>HYPERLINK("https://cao.dolgi.msk.ru/account/1011349851/", 1011349851)</f>
        <v>1011349851</v>
      </c>
      <c r="D7439">
        <v>10452.64</v>
      </c>
    </row>
    <row r="7440" spans="1:4" hidden="1" x14ac:dyDescent="0.3">
      <c r="A7440" t="s">
        <v>704</v>
      </c>
      <c r="B7440" t="s">
        <v>17</v>
      </c>
      <c r="C7440" s="1">
        <f>HYPERLINK("https://cao.dolgi.msk.ru/account/1011349878/", 1011349878)</f>
        <v>1011349878</v>
      </c>
      <c r="D7440">
        <v>-4276.83</v>
      </c>
    </row>
    <row r="7441" spans="1:4" hidden="1" x14ac:dyDescent="0.3">
      <c r="A7441" t="s">
        <v>704</v>
      </c>
      <c r="B7441" t="s">
        <v>18</v>
      </c>
      <c r="C7441" s="1">
        <f>HYPERLINK("https://cao.dolgi.msk.ru/account/1011349536/", 1011349536)</f>
        <v>1011349536</v>
      </c>
      <c r="D7441">
        <v>-39.700000000000003</v>
      </c>
    </row>
    <row r="7442" spans="1:4" hidden="1" x14ac:dyDescent="0.3">
      <c r="A7442" t="s">
        <v>704</v>
      </c>
      <c r="B7442" t="s">
        <v>19</v>
      </c>
      <c r="C7442" s="1">
        <f>HYPERLINK("https://cao.dolgi.msk.ru/account/1011349659/", 1011349659)</f>
        <v>1011349659</v>
      </c>
      <c r="D7442">
        <v>0</v>
      </c>
    </row>
    <row r="7443" spans="1:4" hidden="1" x14ac:dyDescent="0.3">
      <c r="A7443" t="s">
        <v>704</v>
      </c>
      <c r="B7443" t="s">
        <v>20</v>
      </c>
      <c r="C7443" s="1">
        <f>HYPERLINK("https://cao.dolgi.msk.ru/account/1011349771/", 1011349771)</f>
        <v>1011349771</v>
      </c>
      <c r="D7443">
        <v>0</v>
      </c>
    </row>
    <row r="7444" spans="1:4" x14ac:dyDescent="0.3">
      <c r="A7444" t="s">
        <v>704</v>
      </c>
      <c r="B7444" t="s">
        <v>21</v>
      </c>
      <c r="C7444" s="1">
        <f>HYPERLINK("https://cao.dolgi.msk.ru/account/1011349819/", 1011349819)</f>
        <v>1011349819</v>
      </c>
      <c r="D7444">
        <v>35579.56</v>
      </c>
    </row>
    <row r="7445" spans="1:4" hidden="1" x14ac:dyDescent="0.3">
      <c r="A7445" t="s">
        <v>704</v>
      </c>
      <c r="B7445" t="s">
        <v>22</v>
      </c>
      <c r="C7445" s="1">
        <f>HYPERLINK("https://cao.dolgi.msk.ru/account/1011349608/", 1011349608)</f>
        <v>1011349608</v>
      </c>
      <c r="D7445">
        <v>-9036.7999999999993</v>
      </c>
    </row>
    <row r="7446" spans="1:4" hidden="1" x14ac:dyDescent="0.3">
      <c r="A7446" t="s">
        <v>704</v>
      </c>
      <c r="B7446" t="s">
        <v>24</v>
      </c>
      <c r="C7446" s="1">
        <f>HYPERLINK("https://cao.dolgi.msk.ru/account/1011349413/", 1011349413)</f>
        <v>1011349413</v>
      </c>
      <c r="D7446">
        <v>-83.01</v>
      </c>
    </row>
    <row r="7447" spans="1:4" hidden="1" x14ac:dyDescent="0.3">
      <c r="A7447" t="s">
        <v>704</v>
      </c>
      <c r="B7447" t="s">
        <v>25</v>
      </c>
      <c r="C7447" s="1">
        <f>HYPERLINK("https://cao.dolgi.msk.ru/account/1011349843/", 1011349843)</f>
        <v>1011349843</v>
      </c>
      <c r="D7447">
        <v>0</v>
      </c>
    </row>
    <row r="7448" spans="1:4" hidden="1" x14ac:dyDescent="0.3">
      <c r="A7448" t="s">
        <v>704</v>
      </c>
      <c r="B7448" t="s">
        <v>26</v>
      </c>
      <c r="C7448" s="1">
        <f>HYPERLINK("https://cao.dolgi.msk.ru/account/1011349798/", 1011349798)</f>
        <v>1011349798</v>
      </c>
      <c r="D7448">
        <v>-4153.0600000000004</v>
      </c>
    </row>
    <row r="7449" spans="1:4" hidden="1" x14ac:dyDescent="0.3">
      <c r="A7449" t="s">
        <v>704</v>
      </c>
      <c r="B7449" t="s">
        <v>27</v>
      </c>
      <c r="C7449" s="1">
        <f>HYPERLINK("https://cao.dolgi.msk.ru/account/1011349421/", 1011349421)</f>
        <v>1011349421</v>
      </c>
      <c r="D7449">
        <v>-121.88</v>
      </c>
    </row>
    <row r="7450" spans="1:4" hidden="1" x14ac:dyDescent="0.3">
      <c r="A7450" t="s">
        <v>704</v>
      </c>
      <c r="B7450" t="s">
        <v>29</v>
      </c>
      <c r="C7450" s="1">
        <f>HYPERLINK("https://cao.dolgi.msk.ru/account/1011349368/", 1011349368)</f>
        <v>1011349368</v>
      </c>
      <c r="D7450">
        <v>0</v>
      </c>
    </row>
    <row r="7451" spans="1:4" hidden="1" x14ac:dyDescent="0.3">
      <c r="A7451" t="s">
        <v>704</v>
      </c>
      <c r="B7451" t="s">
        <v>38</v>
      </c>
      <c r="C7451" s="1">
        <f>HYPERLINK("https://cao.dolgi.msk.ru/account/1011349907/", 1011349907)</f>
        <v>1011349907</v>
      </c>
      <c r="D7451">
        <v>-9667.0499999999993</v>
      </c>
    </row>
    <row r="7452" spans="1:4" hidden="1" x14ac:dyDescent="0.3">
      <c r="A7452" t="s">
        <v>704</v>
      </c>
      <c r="B7452" t="s">
        <v>39</v>
      </c>
      <c r="C7452" s="1">
        <f>HYPERLINK("https://cao.dolgi.msk.ru/account/1011349237/", 1011349237)</f>
        <v>1011349237</v>
      </c>
      <c r="D7452">
        <v>-64.27</v>
      </c>
    </row>
    <row r="7453" spans="1:4" hidden="1" x14ac:dyDescent="0.3">
      <c r="A7453" t="s">
        <v>704</v>
      </c>
      <c r="B7453" t="s">
        <v>40</v>
      </c>
      <c r="C7453" s="1">
        <f>HYPERLINK("https://cao.dolgi.msk.ru/account/1011349181/", 1011349181)</f>
        <v>1011349181</v>
      </c>
      <c r="D7453">
        <v>-6149.75</v>
      </c>
    </row>
    <row r="7454" spans="1:4" hidden="1" x14ac:dyDescent="0.3">
      <c r="A7454" t="s">
        <v>704</v>
      </c>
      <c r="B7454" t="s">
        <v>41</v>
      </c>
      <c r="C7454" s="1">
        <f>HYPERLINK("https://cao.dolgi.msk.ru/account/1011349747/", 1011349747)</f>
        <v>1011349747</v>
      </c>
      <c r="D7454">
        <v>0</v>
      </c>
    </row>
    <row r="7455" spans="1:4" hidden="1" x14ac:dyDescent="0.3">
      <c r="A7455" t="s">
        <v>704</v>
      </c>
      <c r="B7455" t="s">
        <v>51</v>
      </c>
      <c r="C7455" s="1">
        <f>HYPERLINK("https://cao.dolgi.msk.ru/account/1011349683/", 1011349683)</f>
        <v>1011349683</v>
      </c>
      <c r="D7455">
        <v>0</v>
      </c>
    </row>
    <row r="7456" spans="1:4" hidden="1" x14ac:dyDescent="0.3">
      <c r="A7456" t="s">
        <v>704</v>
      </c>
      <c r="B7456" t="s">
        <v>52</v>
      </c>
      <c r="C7456" s="1">
        <f>HYPERLINK("https://cao.dolgi.msk.ru/account/1011349202/", 1011349202)</f>
        <v>1011349202</v>
      </c>
      <c r="D7456">
        <v>-45378.03</v>
      </c>
    </row>
    <row r="7457" spans="1:4" hidden="1" x14ac:dyDescent="0.3">
      <c r="A7457" t="s">
        <v>704</v>
      </c>
      <c r="B7457" t="s">
        <v>53</v>
      </c>
      <c r="C7457" s="1">
        <f>HYPERLINK("https://cao.dolgi.msk.ru/account/1011349296/", 1011349296)</f>
        <v>1011349296</v>
      </c>
      <c r="D7457">
        <v>0</v>
      </c>
    </row>
    <row r="7458" spans="1:4" hidden="1" x14ac:dyDescent="0.3">
      <c r="A7458" t="s">
        <v>704</v>
      </c>
      <c r="B7458" t="s">
        <v>54</v>
      </c>
      <c r="C7458" s="1">
        <f>HYPERLINK("https://cao.dolgi.msk.ru/account/1011349704/", 1011349704)</f>
        <v>1011349704</v>
      </c>
      <c r="D7458">
        <v>-61.06</v>
      </c>
    </row>
    <row r="7459" spans="1:4" hidden="1" x14ac:dyDescent="0.3">
      <c r="A7459" t="s">
        <v>704</v>
      </c>
      <c r="B7459" t="s">
        <v>55</v>
      </c>
      <c r="C7459" s="1">
        <f>HYPERLINK("https://cao.dolgi.msk.ru/account/1011541595/", 1011541595)</f>
        <v>1011541595</v>
      </c>
      <c r="D7459">
        <v>-8212.06</v>
      </c>
    </row>
    <row r="7460" spans="1:4" x14ac:dyDescent="0.3">
      <c r="A7460" t="s">
        <v>704</v>
      </c>
      <c r="B7460" t="s">
        <v>56</v>
      </c>
      <c r="C7460" s="1">
        <f>HYPERLINK("https://cao.dolgi.msk.ru/account/1011349165/", 1011349165)</f>
        <v>1011349165</v>
      </c>
      <c r="D7460">
        <v>17882.59</v>
      </c>
    </row>
    <row r="7461" spans="1:4" hidden="1" x14ac:dyDescent="0.3">
      <c r="A7461" t="s">
        <v>704</v>
      </c>
      <c r="B7461" t="s">
        <v>87</v>
      </c>
      <c r="C7461" s="1">
        <f>HYPERLINK("https://cao.dolgi.msk.ru/account/1011349229/", 1011349229)</f>
        <v>1011349229</v>
      </c>
      <c r="D7461">
        <v>-9636.32</v>
      </c>
    </row>
    <row r="7462" spans="1:4" x14ac:dyDescent="0.3">
      <c r="A7462" t="s">
        <v>704</v>
      </c>
      <c r="B7462" t="s">
        <v>88</v>
      </c>
      <c r="C7462" s="1">
        <f>HYPERLINK("https://cao.dolgi.msk.ru/account/1011349501/", 1011349501)</f>
        <v>1011349501</v>
      </c>
      <c r="D7462">
        <v>267.18</v>
      </c>
    </row>
    <row r="7463" spans="1:4" hidden="1" x14ac:dyDescent="0.3">
      <c r="A7463" t="s">
        <v>704</v>
      </c>
      <c r="B7463" t="s">
        <v>89</v>
      </c>
      <c r="C7463" s="1">
        <f>HYPERLINK("https://cao.dolgi.msk.ru/account/1011349325/", 1011349325)</f>
        <v>1011349325</v>
      </c>
      <c r="D7463">
        <v>-8872.98</v>
      </c>
    </row>
    <row r="7464" spans="1:4" hidden="1" x14ac:dyDescent="0.3">
      <c r="A7464" t="s">
        <v>704</v>
      </c>
      <c r="B7464" t="s">
        <v>90</v>
      </c>
      <c r="C7464" s="1">
        <f>HYPERLINK("https://cao.dolgi.msk.ru/account/1011349712/", 1011349712)</f>
        <v>1011349712</v>
      </c>
      <c r="D7464">
        <v>-6388.6</v>
      </c>
    </row>
    <row r="7465" spans="1:4" x14ac:dyDescent="0.3">
      <c r="A7465" t="s">
        <v>704</v>
      </c>
      <c r="B7465" t="s">
        <v>96</v>
      </c>
      <c r="C7465" s="1">
        <f>HYPERLINK("https://cao.dolgi.msk.ru/account/1011349886/", 1011349886)</f>
        <v>1011349886</v>
      </c>
      <c r="D7465">
        <v>20299.09</v>
      </c>
    </row>
    <row r="7466" spans="1:4" x14ac:dyDescent="0.3">
      <c r="A7466" t="s">
        <v>704</v>
      </c>
      <c r="B7466" t="s">
        <v>97</v>
      </c>
      <c r="C7466" s="1">
        <f>HYPERLINK("https://cao.dolgi.msk.ru/account/1011349675/", 1011349675)</f>
        <v>1011349675</v>
      </c>
      <c r="D7466">
        <v>22055.59</v>
      </c>
    </row>
    <row r="7467" spans="1:4" hidden="1" x14ac:dyDescent="0.3">
      <c r="A7467" t="s">
        <v>704</v>
      </c>
      <c r="B7467" t="s">
        <v>98</v>
      </c>
      <c r="C7467" s="1">
        <f>HYPERLINK("https://cao.dolgi.msk.ru/account/1011349544/", 1011349544)</f>
        <v>1011349544</v>
      </c>
      <c r="D7467">
        <v>0</v>
      </c>
    </row>
    <row r="7468" spans="1:4" hidden="1" x14ac:dyDescent="0.3">
      <c r="A7468" t="s">
        <v>704</v>
      </c>
      <c r="B7468" t="s">
        <v>58</v>
      </c>
      <c r="C7468" s="1">
        <f>HYPERLINK("https://cao.dolgi.msk.ru/account/1011349456/", 1011349456)</f>
        <v>1011349456</v>
      </c>
      <c r="D7468">
        <v>0</v>
      </c>
    </row>
    <row r="7469" spans="1:4" hidden="1" x14ac:dyDescent="0.3">
      <c r="A7469" t="s">
        <v>704</v>
      </c>
      <c r="B7469" t="s">
        <v>59</v>
      </c>
      <c r="C7469" s="1">
        <f>HYPERLINK("https://cao.dolgi.msk.ru/account/1011349552/", 1011349552)</f>
        <v>1011349552</v>
      </c>
      <c r="D7469">
        <v>0</v>
      </c>
    </row>
    <row r="7470" spans="1:4" hidden="1" x14ac:dyDescent="0.3">
      <c r="A7470" t="s">
        <v>704</v>
      </c>
      <c r="B7470" t="s">
        <v>60</v>
      </c>
      <c r="C7470" s="1">
        <f>HYPERLINK("https://cao.dolgi.msk.ru/account/1011349827/", 1011349827)</f>
        <v>1011349827</v>
      </c>
      <c r="D7470">
        <v>-2716.34</v>
      </c>
    </row>
    <row r="7471" spans="1:4" hidden="1" x14ac:dyDescent="0.3">
      <c r="A7471" t="s">
        <v>704</v>
      </c>
      <c r="B7471" t="s">
        <v>61</v>
      </c>
      <c r="C7471" s="1">
        <f>HYPERLINK("https://cao.dolgi.msk.ru/account/1011349405/", 1011349405)</f>
        <v>1011349405</v>
      </c>
      <c r="D7471">
        <v>0</v>
      </c>
    </row>
    <row r="7472" spans="1:4" hidden="1" x14ac:dyDescent="0.3">
      <c r="A7472" t="s">
        <v>704</v>
      </c>
      <c r="B7472" t="s">
        <v>61</v>
      </c>
      <c r="C7472" s="1">
        <f>HYPERLINK("https://cao.dolgi.msk.ru/account/1011494071/", 1011494071)</f>
        <v>1011494071</v>
      </c>
      <c r="D7472">
        <v>0</v>
      </c>
    </row>
    <row r="7473" spans="1:4" hidden="1" x14ac:dyDescent="0.3">
      <c r="A7473" t="s">
        <v>704</v>
      </c>
      <c r="B7473" t="s">
        <v>62</v>
      </c>
      <c r="C7473" s="1">
        <f>HYPERLINK("https://cao.dolgi.msk.ru/account/1011349376/", 1011349376)</f>
        <v>1011349376</v>
      </c>
      <c r="D7473">
        <v>-129.9</v>
      </c>
    </row>
    <row r="7474" spans="1:4" x14ac:dyDescent="0.3">
      <c r="A7474" t="s">
        <v>704</v>
      </c>
      <c r="B7474" t="s">
        <v>63</v>
      </c>
      <c r="C7474" s="1">
        <f>HYPERLINK("https://cao.dolgi.msk.ru/account/1011349173/", 1011349173)</f>
        <v>1011349173</v>
      </c>
      <c r="D7474">
        <v>11991.59</v>
      </c>
    </row>
    <row r="7475" spans="1:4" hidden="1" x14ac:dyDescent="0.3">
      <c r="A7475" t="s">
        <v>704</v>
      </c>
      <c r="B7475" t="s">
        <v>64</v>
      </c>
      <c r="C7475" s="1">
        <f>HYPERLINK("https://cao.dolgi.msk.ru/account/1011349261/", 1011349261)</f>
        <v>1011349261</v>
      </c>
      <c r="D7475">
        <v>-80.400000000000006</v>
      </c>
    </row>
    <row r="7476" spans="1:4" hidden="1" x14ac:dyDescent="0.3">
      <c r="A7476" t="s">
        <v>704</v>
      </c>
      <c r="B7476" t="s">
        <v>65</v>
      </c>
      <c r="C7476" s="1">
        <f>HYPERLINK("https://cao.dolgi.msk.ru/account/1011349632/", 1011349632)</f>
        <v>1011349632</v>
      </c>
      <c r="D7476">
        <v>0</v>
      </c>
    </row>
    <row r="7477" spans="1:4" hidden="1" x14ac:dyDescent="0.3">
      <c r="A7477" t="s">
        <v>704</v>
      </c>
      <c r="B7477" t="s">
        <v>66</v>
      </c>
      <c r="C7477" s="1">
        <f>HYPERLINK("https://cao.dolgi.msk.ru/account/1011349288/", 1011349288)</f>
        <v>1011349288</v>
      </c>
      <c r="D7477">
        <v>-7377.84</v>
      </c>
    </row>
    <row r="7478" spans="1:4" hidden="1" x14ac:dyDescent="0.3">
      <c r="A7478" t="s">
        <v>704</v>
      </c>
      <c r="B7478" t="s">
        <v>67</v>
      </c>
      <c r="C7478" s="1">
        <f>HYPERLINK("https://cao.dolgi.msk.ru/account/1011349384/", 1011349384)</f>
        <v>1011349384</v>
      </c>
      <c r="D7478">
        <v>0</v>
      </c>
    </row>
    <row r="7479" spans="1:4" hidden="1" x14ac:dyDescent="0.3">
      <c r="A7479" t="s">
        <v>704</v>
      </c>
      <c r="B7479" t="s">
        <v>68</v>
      </c>
      <c r="C7479" s="1">
        <f>HYPERLINK("https://cao.dolgi.msk.ru/account/1011349763/", 1011349763)</f>
        <v>1011349763</v>
      </c>
      <c r="D7479">
        <v>0</v>
      </c>
    </row>
    <row r="7480" spans="1:4" hidden="1" x14ac:dyDescent="0.3">
      <c r="A7480" t="s">
        <v>704</v>
      </c>
      <c r="B7480" t="s">
        <v>69</v>
      </c>
      <c r="C7480" s="1">
        <f>HYPERLINK("https://cao.dolgi.msk.ru/account/1011349309/", 1011349309)</f>
        <v>1011349309</v>
      </c>
      <c r="D7480">
        <v>0</v>
      </c>
    </row>
    <row r="7481" spans="1:4" hidden="1" x14ac:dyDescent="0.3">
      <c r="A7481" t="s">
        <v>704</v>
      </c>
      <c r="B7481" t="s">
        <v>70</v>
      </c>
      <c r="C7481" s="1">
        <f>HYPERLINK("https://cao.dolgi.msk.ru/account/1011349835/", 1011349835)</f>
        <v>1011349835</v>
      </c>
      <c r="D7481">
        <v>-83.11</v>
      </c>
    </row>
    <row r="7482" spans="1:4" hidden="1" x14ac:dyDescent="0.3">
      <c r="A7482" t="s">
        <v>704</v>
      </c>
      <c r="B7482" t="s">
        <v>259</v>
      </c>
      <c r="C7482" s="1">
        <f>HYPERLINK("https://cao.dolgi.msk.ru/account/1011349528/", 1011349528)</f>
        <v>1011349528</v>
      </c>
      <c r="D7482">
        <v>0</v>
      </c>
    </row>
    <row r="7483" spans="1:4" hidden="1" x14ac:dyDescent="0.3">
      <c r="A7483" t="s">
        <v>704</v>
      </c>
      <c r="B7483" t="s">
        <v>100</v>
      </c>
      <c r="C7483" s="1">
        <f>HYPERLINK("https://cao.dolgi.msk.ru/account/1011349392/", 1011349392)</f>
        <v>1011349392</v>
      </c>
      <c r="D7483">
        <v>-7935.89</v>
      </c>
    </row>
    <row r="7484" spans="1:4" hidden="1" x14ac:dyDescent="0.3">
      <c r="A7484" t="s">
        <v>704</v>
      </c>
      <c r="B7484" t="s">
        <v>72</v>
      </c>
      <c r="C7484" s="1">
        <f>HYPERLINK("https://cao.dolgi.msk.ru/account/1011349317/", 1011349317)</f>
        <v>1011349317</v>
      </c>
      <c r="D7484">
        <v>-6410.38</v>
      </c>
    </row>
    <row r="7485" spans="1:4" hidden="1" x14ac:dyDescent="0.3">
      <c r="A7485" t="s">
        <v>704</v>
      </c>
      <c r="B7485" t="s">
        <v>73</v>
      </c>
      <c r="C7485" s="1">
        <f>HYPERLINK("https://cao.dolgi.msk.ru/account/1011349341/", 1011349341)</f>
        <v>1011349341</v>
      </c>
      <c r="D7485">
        <v>-81.86</v>
      </c>
    </row>
    <row r="7486" spans="1:4" hidden="1" x14ac:dyDescent="0.3">
      <c r="A7486" t="s">
        <v>704</v>
      </c>
      <c r="B7486" t="s">
        <v>74</v>
      </c>
      <c r="C7486" s="1">
        <f>HYPERLINK("https://cao.dolgi.msk.ru/account/1011349579/", 1011349579)</f>
        <v>1011349579</v>
      </c>
      <c r="D7486">
        <v>-19948.22</v>
      </c>
    </row>
    <row r="7487" spans="1:4" hidden="1" x14ac:dyDescent="0.3">
      <c r="A7487" t="s">
        <v>704</v>
      </c>
      <c r="B7487" t="s">
        <v>75</v>
      </c>
      <c r="C7487" s="1">
        <f>HYPERLINK("https://cao.dolgi.msk.ru/account/1011349587/", 1011349587)</f>
        <v>1011349587</v>
      </c>
      <c r="D7487">
        <v>0</v>
      </c>
    </row>
    <row r="7488" spans="1:4" hidden="1" x14ac:dyDescent="0.3">
      <c r="A7488" t="s">
        <v>705</v>
      </c>
      <c r="B7488" t="s">
        <v>6</v>
      </c>
      <c r="C7488" s="1">
        <f>HYPERLINK("https://cao.dolgi.msk.ru/account/1011433666/", 1011433666)</f>
        <v>1011433666</v>
      </c>
      <c r="D7488">
        <v>-30047.71</v>
      </c>
    </row>
    <row r="7489" spans="1:4" hidden="1" x14ac:dyDescent="0.3">
      <c r="A7489" t="s">
        <v>705</v>
      </c>
      <c r="B7489" t="s">
        <v>28</v>
      </c>
      <c r="C7489" s="1">
        <f>HYPERLINK("https://cao.dolgi.msk.ru/account/1011433877/", 1011433877)</f>
        <v>1011433877</v>
      </c>
      <c r="D7489">
        <v>0</v>
      </c>
    </row>
    <row r="7490" spans="1:4" hidden="1" x14ac:dyDescent="0.3">
      <c r="A7490" t="s">
        <v>705</v>
      </c>
      <c r="B7490" t="s">
        <v>35</v>
      </c>
      <c r="C7490" s="1">
        <f>HYPERLINK("https://cao.dolgi.msk.ru/account/1011433375/", 1011433375)</f>
        <v>1011433375</v>
      </c>
      <c r="D7490">
        <v>0</v>
      </c>
    </row>
    <row r="7491" spans="1:4" hidden="1" x14ac:dyDescent="0.3">
      <c r="A7491" t="s">
        <v>705</v>
      </c>
      <c r="B7491" t="s">
        <v>5</v>
      </c>
      <c r="C7491" s="1">
        <f>HYPERLINK("https://cao.dolgi.msk.ru/account/1011433789/", 1011433789)</f>
        <v>1011433789</v>
      </c>
      <c r="D7491">
        <v>0</v>
      </c>
    </row>
    <row r="7492" spans="1:4" x14ac:dyDescent="0.3">
      <c r="A7492" t="s">
        <v>705</v>
      </c>
      <c r="B7492" t="s">
        <v>7</v>
      </c>
      <c r="C7492" s="1">
        <f>HYPERLINK("https://cao.dolgi.msk.ru/account/1011433703/", 1011433703)</f>
        <v>1011433703</v>
      </c>
      <c r="D7492">
        <v>4766.82</v>
      </c>
    </row>
    <row r="7493" spans="1:4" hidden="1" x14ac:dyDescent="0.3">
      <c r="A7493" t="s">
        <v>705</v>
      </c>
      <c r="B7493" t="s">
        <v>8</v>
      </c>
      <c r="C7493" s="1">
        <f>HYPERLINK("https://cao.dolgi.msk.ru/account/1011433826/", 1011433826)</f>
        <v>1011433826</v>
      </c>
      <c r="D7493">
        <v>-5784.64</v>
      </c>
    </row>
    <row r="7494" spans="1:4" hidden="1" x14ac:dyDescent="0.3">
      <c r="A7494" t="s">
        <v>705</v>
      </c>
      <c r="B7494" t="s">
        <v>31</v>
      </c>
      <c r="C7494" s="1">
        <f>HYPERLINK("https://cao.dolgi.msk.ru/account/1011433519/", 1011433519)</f>
        <v>1011433519</v>
      </c>
      <c r="D7494">
        <v>0</v>
      </c>
    </row>
    <row r="7495" spans="1:4" hidden="1" x14ac:dyDescent="0.3">
      <c r="A7495" t="s">
        <v>705</v>
      </c>
      <c r="B7495" t="s">
        <v>9</v>
      </c>
      <c r="C7495" s="1">
        <f>HYPERLINK("https://cao.dolgi.msk.ru/account/1011434079/", 1011434079)</f>
        <v>1011434079</v>
      </c>
      <c r="D7495">
        <v>0</v>
      </c>
    </row>
    <row r="7496" spans="1:4" x14ac:dyDescent="0.3">
      <c r="A7496" t="s">
        <v>705</v>
      </c>
      <c r="B7496" t="s">
        <v>10</v>
      </c>
      <c r="C7496" s="1">
        <f>HYPERLINK("https://cao.dolgi.msk.ru/account/1011434159/", 1011434159)</f>
        <v>1011434159</v>
      </c>
      <c r="D7496">
        <v>6469.74</v>
      </c>
    </row>
    <row r="7497" spans="1:4" hidden="1" x14ac:dyDescent="0.3">
      <c r="A7497" t="s">
        <v>705</v>
      </c>
      <c r="B7497" t="s">
        <v>11</v>
      </c>
      <c r="C7497" s="1">
        <f>HYPERLINK("https://cao.dolgi.msk.ru/account/1011433578/", 1011433578)</f>
        <v>1011433578</v>
      </c>
      <c r="D7497">
        <v>-10479.31</v>
      </c>
    </row>
    <row r="7498" spans="1:4" hidden="1" x14ac:dyDescent="0.3">
      <c r="A7498" t="s">
        <v>705</v>
      </c>
      <c r="B7498" t="s">
        <v>12</v>
      </c>
      <c r="C7498" s="1">
        <f>HYPERLINK("https://cao.dolgi.msk.ru/account/1011433324/", 1011433324)</f>
        <v>1011433324</v>
      </c>
      <c r="D7498">
        <v>0</v>
      </c>
    </row>
    <row r="7499" spans="1:4" hidden="1" x14ac:dyDescent="0.3">
      <c r="A7499" t="s">
        <v>705</v>
      </c>
      <c r="B7499" t="s">
        <v>23</v>
      </c>
      <c r="C7499" s="1">
        <f>HYPERLINK("https://cao.dolgi.msk.ru/account/1011433172/", 1011433172)</f>
        <v>1011433172</v>
      </c>
      <c r="D7499">
        <v>-2310.2600000000002</v>
      </c>
    </row>
    <row r="7500" spans="1:4" hidden="1" x14ac:dyDescent="0.3">
      <c r="A7500" t="s">
        <v>705</v>
      </c>
      <c r="B7500" t="s">
        <v>13</v>
      </c>
      <c r="C7500" s="1">
        <f>HYPERLINK("https://cao.dolgi.msk.ru/account/1011433615/", 1011433615)</f>
        <v>1011433615</v>
      </c>
      <c r="D7500">
        <v>-4685.9799999999996</v>
      </c>
    </row>
    <row r="7501" spans="1:4" hidden="1" x14ac:dyDescent="0.3">
      <c r="A7501" t="s">
        <v>705</v>
      </c>
      <c r="B7501" t="s">
        <v>14</v>
      </c>
      <c r="C7501" s="1">
        <f>HYPERLINK("https://cao.dolgi.msk.ru/account/1011433383/", 1011433383)</f>
        <v>1011433383</v>
      </c>
      <c r="D7501">
        <v>0</v>
      </c>
    </row>
    <row r="7502" spans="1:4" hidden="1" x14ac:dyDescent="0.3">
      <c r="A7502" t="s">
        <v>705</v>
      </c>
      <c r="B7502" t="s">
        <v>16</v>
      </c>
      <c r="C7502" s="1">
        <f>HYPERLINK("https://cao.dolgi.msk.ru/account/1011433287/", 1011433287)</f>
        <v>1011433287</v>
      </c>
      <c r="D7502">
        <v>0</v>
      </c>
    </row>
    <row r="7503" spans="1:4" hidden="1" x14ac:dyDescent="0.3">
      <c r="A7503" t="s">
        <v>705</v>
      </c>
      <c r="B7503" t="s">
        <v>17</v>
      </c>
      <c r="C7503" s="1">
        <f>HYPERLINK("https://cao.dolgi.msk.ru/account/1011433471/", 1011433471)</f>
        <v>1011433471</v>
      </c>
      <c r="D7503">
        <v>-2.1</v>
      </c>
    </row>
    <row r="7504" spans="1:4" hidden="1" x14ac:dyDescent="0.3">
      <c r="A7504" t="s">
        <v>705</v>
      </c>
      <c r="B7504" t="s">
        <v>18</v>
      </c>
      <c r="C7504" s="1">
        <f>HYPERLINK("https://cao.dolgi.msk.ru/account/1011434095/", 1011434095)</f>
        <v>1011434095</v>
      </c>
      <c r="D7504">
        <v>0</v>
      </c>
    </row>
    <row r="7505" spans="1:4" x14ac:dyDescent="0.3">
      <c r="A7505" t="s">
        <v>705</v>
      </c>
      <c r="B7505" t="s">
        <v>19</v>
      </c>
      <c r="C7505" s="1">
        <f>HYPERLINK("https://cao.dolgi.msk.ru/account/1011433893/", 1011433893)</f>
        <v>1011433893</v>
      </c>
      <c r="D7505">
        <v>5915.82</v>
      </c>
    </row>
    <row r="7506" spans="1:4" hidden="1" x14ac:dyDescent="0.3">
      <c r="A7506" t="s">
        <v>705</v>
      </c>
      <c r="B7506" t="s">
        <v>20</v>
      </c>
      <c r="C7506" s="1">
        <f>HYPERLINK("https://cao.dolgi.msk.ru/account/1011433586/", 1011433586)</f>
        <v>1011433586</v>
      </c>
      <c r="D7506">
        <v>-6715.73</v>
      </c>
    </row>
    <row r="7507" spans="1:4" hidden="1" x14ac:dyDescent="0.3">
      <c r="A7507" t="s">
        <v>705</v>
      </c>
      <c r="B7507" t="s">
        <v>21</v>
      </c>
      <c r="C7507" s="1">
        <f>HYPERLINK("https://cao.dolgi.msk.ru/account/1011433316/", 1011433316)</f>
        <v>1011433316</v>
      </c>
      <c r="D7507">
        <v>-64.010000000000005</v>
      </c>
    </row>
    <row r="7508" spans="1:4" hidden="1" x14ac:dyDescent="0.3">
      <c r="A7508" t="s">
        <v>705</v>
      </c>
      <c r="B7508" t="s">
        <v>22</v>
      </c>
      <c r="C7508" s="1">
        <f>HYPERLINK("https://cao.dolgi.msk.ru/account/1011433674/", 1011433674)</f>
        <v>1011433674</v>
      </c>
      <c r="D7508">
        <v>0</v>
      </c>
    </row>
    <row r="7509" spans="1:4" hidden="1" x14ac:dyDescent="0.3">
      <c r="A7509" t="s">
        <v>705</v>
      </c>
      <c r="B7509" t="s">
        <v>24</v>
      </c>
      <c r="C7509" s="1">
        <f>HYPERLINK("https://cao.dolgi.msk.ru/account/1011433535/", 1011433535)</f>
        <v>1011433535</v>
      </c>
      <c r="D7509">
        <v>0</v>
      </c>
    </row>
    <row r="7510" spans="1:4" hidden="1" x14ac:dyDescent="0.3">
      <c r="A7510" t="s">
        <v>705</v>
      </c>
      <c r="B7510" t="s">
        <v>25</v>
      </c>
      <c r="C7510" s="1">
        <f>HYPERLINK("https://cao.dolgi.msk.ru/account/1011433623/", 1011433623)</f>
        <v>1011433623</v>
      </c>
      <c r="D7510">
        <v>0</v>
      </c>
    </row>
    <row r="7511" spans="1:4" hidden="1" x14ac:dyDescent="0.3">
      <c r="A7511" t="s">
        <v>705</v>
      </c>
      <c r="B7511" t="s">
        <v>26</v>
      </c>
      <c r="C7511" s="1">
        <f>HYPERLINK("https://cao.dolgi.msk.ru/account/1011434028/", 1011434028)</f>
        <v>1011434028</v>
      </c>
      <c r="D7511">
        <v>0</v>
      </c>
    </row>
    <row r="7512" spans="1:4" hidden="1" x14ac:dyDescent="0.3">
      <c r="A7512" t="s">
        <v>705</v>
      </c>
      <c r="B7512" t="s">
        <v>27</v>
      </c>
      <c r="C7512" s="1">
        <f>HYPERLINK("https://cao.dolgi.msk.ru/account/1011433527/", 1011433527)</f>
        <v>1011433527</v>
      </c>
      <c r="D7512">
        <v>0</v>
      </c>
    </row>
    <row r="7513" spans="1:4" x14ac:dyDescent="0.3">
      <c r="A7513" t="s">
        <v>705</v>
      </c>
      <c r="B7513" t="s">
        <v>29</v>
      </c>
      <c r="C7513" s="1">
        <f>HYPERLINK("https://cao.dolgi.msk.ru/account/1011434108/", 1011434108)</f>
        <v>1011434108</v>
      </c>
      <c r="D7513">
        <v>3562.04</v>
      </c>
    </row>
    <row r="7514" spans="1:4" hidden="1" x14ac:dyDescent="0.3">
      <c r="A7514" t="s">
        <v>705</v>
      </c>
      <c r="B7514" t="s">
        <v>38</v>
      </c>
      <c r="C7514" s="1">
        <f>HYPERLINK("https://cao.dolgi.msk.ru/account/1011433906/", 1011433906)</f>
        <v>1011433906</v>
      </c>
      <c r="D7514">
        <v>0</v>
      </c>
    </row>
    <row r="7515" spans="1:4" hidden="1" x14ac:dyDescent="0.3">
      <c r="A7515" t="s">
        <v>705</v>
      </c>
      <c r="B7515" t="s">
        <v>39</v>
      </c>
      <c r="C7515" s="1">
        <f>HYPERLINK("https://cao.dolgi.msk.ru/account/1011433498/", 1011433498)</f>
        <v>1011433498</v>
      </c>
      <c r="D7515">
        <v>0</v>
      </c>
    </row>
    <row r="7516" spans="1:4" hidden="1" x14ac:dyDescent="0.3">
      <c r="A7516" t="s">
        <v>705</v>
      </c>
      <c r="B7516" t="s">
        <v>40</v>
      </c>
      <c r="C7516" s="1">
        <f>HYPERLINK("https://cao.dolgi.msk.ru/account/1011433711/", 1011433711)</f>
        <v>1011433711</v>
      </c>
      <c r="D7516">
        <v>-2645.29</v>
      </c>
    </row>
    <row r="7517" spans="1:4" hidden="1" x14ac:dyDescent="0.3">
      <c r="A7517" t="s">
        <v>705</v>
      </c>
      <c r="B7517" t="s">
        <v>41</v>
      </c>
      <c r="C7517" s="1">
        <f>HYPERLINK("https://cao.dolgi.msk.ru/account/1011433041/", 1011433041)</f>
        <v>1011433041</v>
      </c>
      <c r="D7517">
        <v>-87.63</v>
      </c>
    </row>
    <row r="7518" spans="1:4" hidden="1" x14ac:dyDescent="0.3">
      <c r="A7518" t="s">
        <v>705</v>
      </c>
      <c r="B7518" t="s">
        <v>51</v>
      </c>
      <c r="C7518" s="1">
        <f>HYPERLINK("https://cao.dolgi.msk.ru/account/1011433957/", 1011433957)</f>
        <v>1011433957</v>
      </c>
      <c r="D7518">
        <v>0</v>
      </c>
    </row>
    <row r="7519" spans="1:4" hidden="1" x14ac:dyDescent="0.3">
      <c r="A7519" t="s">
        <v>705</v>
      </c>
      <c r="B7519" t="s">
        <v>52</v>
      </c>
      <c r="C7519" s="1">
        <f>HYPERLINK("https://cao.dolgi.msk.ru/account/1011433164/", 1011433164)</f>
        <v>1011433164</v>
      </c>
      <c r="D7519">
        <v>-174.41</v>
      </c>
    </row>
    <row r="7520" spans="1:4" hidden="1" x14ac:dyDescent="0.3">
      <c r="A7520" t="s">
        <v>705</v>
      </c>
      <c r="B7520" t="s">
        <v>53</v>
      </c>
      <c r="C7520" s="1">
        <f>HYPERLINK("https://cao.dolgi.msk.ru/account/1011433236/", 1011433236)</f>
        <v>1011433236</v>
      </c>
      <c r="D7520">
        <v>-32.01</v>
      </c>
    </row>
    <row r="7521" spans="1:4" x14ac:dyDescent="0.3">
      <c r="A7521" t="s">
        <v>705</v>
      </c>
      <c r="B7521" t="s">
        <v>54</v>
      </c>
      <c r="C7521" s="1">
        <f>HYPERLINK("https://cao.dolgi.msk.ru/account/1011433965/", 1011433965)</f>
        <v>1011433965</v>
      </c>
      <c r="D7521">
        <v>15930.69</v>
      </c>
    </row>
    <row r="7522" spans="1:4" hidden="1" x14ac:dyDescent="0.3">
      <c r="A7522" t="s">
        <v>705</v>
      </c>
      <c r="B7522" t="s">
        <v>55</v>
      </c>
      <c r="C7522" s="1">
        <f>HYPERLINK("https://cao.dolgi.msk.ru/account/1011433834/", 1011433834)</f>
        <v>1011433834</v>
      </c>
      <c r="D7522">
        <v>-245.88</v>
      </c>
    </row>
    <row r="7523" spans="1:4" hidden="1" x14ac:dyDescent="0.3">
      <c r="A7523" t="s">
        <v>705</v>
      </c>
      <c r="B7523" t="s">
        <v>56</v>
      </c>
      <c r="C7523" s="1">
        <f>HYPERLINK("https://cao.dolgi.msk.ru/account/1011434124/", 1011434124)</f>
        <v>1011434124</v>
      </c>
      <c r="D7523">
        <v>0</v>
      </c>
    </row>
    <row r="7524" spans="1:4" hidden="1" x14ac:dyDescent="0.3">
      <c r="A7524" t="s">
        <v>705</v>
      </c>
      <c r="B7524" t="s">
        <v>87</v>
      </c>
      <c r="C7524" s="1">
        <f>HYPERLINK("https://cao.dolgi.msk.ru/account/1011433332/", 1011433332)</f>
        <v>1011433332</v>
      </c>
      <c r="D7524">
        <v>-32.01</v>
      </c>
    </row>
    <row r="7525" spans="1:4" hidden="1" x14ac:dyDescent="0.3">
      <c r="A7525" t="s">
        <v>705</v>
      </c>
      <c r="B7525" t="s">
        <v>88</v>
      </c>
      <c r="C7525" s="1">
        <f>HYPERLINK("https://cao.dolgi.msk.ru/account/1011433295/", 1011433295)</f>
        <v>1011433295</v>
      </c>
      <c r="D7525">
        <v>-876.77</v>
      </c>
    </row>
    <row r="7526" spans="1:4" hidden="1" x14ac:dyDescent="0.3">
      <c r="A7526" t="s">
        <v>705</v>
      </c>
      <c r="B7526" t="s">
        <v>89</v>
      </c>
      <c r="C7526" s="1">
        <f>HYPERLINK("https://cao.dolgi.msk.ru/account/1011433156/", 1011433156)</f>
        <v>1011433156</v>
      </c>
      <c r="D7526">
        <v>-1015.16</v>
      </c>
    </row>
    <row r="7527" spans="1:4" hidden="1" x14ac:dyDescent="0.3">
      <c r="A7527" t="s">
        <v>705</v>
      </c>
      <c r="B7527" t="s">
        <v>90</v>
      </c>
      <c r="C7527" s="1">
        <f>HYPERLINK("https://cao.dolgi.msk.ru/account/1011433594/", 1011433594)</f>
        <v>1011433594</v>
      </c>
      <c r="D7527">
        <v>0</v>
      </c>
    </row>
    <row r="7528" spans="1:4" hidden="1" x14ac:dyDescent="0.3">
      <c r="A7528" t="s">
        <v>705</v>
      </c>
      <c r="B7528" t="s">
        <v>96</v>
      </c>
      <c r="C7528" s="1">
        <f>HYPERLINK("https://cao.dolgi.msk.ru/account/1011433068/", 1011433068)</f>
        <v>1011433068</v>
      </c>
      <c r="D7528">
        <v>-64.010000000000005</v>
      </c>
    </row>
    <row r="7529" spans="1:4" hidden="1" x14ac:dyDescent="0.3">
      <c r="A7529" t="s">
        <v>705</v>
      </c>
      <c r="B7529" t="s">
        <v>97</v>
      </c>
      <c r="C7529" s="1">
        <f>HYPERLINK("https://cao.dolgi.msk.ru/account/1011433359/", 1011433359)</f>
        <v>1011433359</v>
      </c>
      <c r="D7529">
        <v>0</v>
      </c>
    </row>
    <row r="7530" spans="1:4" hidden="1" x14ac:dyDescent="0.3">
      <c r="A7530" t="s">
        <v>705</v>
      </c>
      <c r="B7530" t="s">
        <v>98</v>
      </c>
      <c r="C7530" s="1">
        <f>HYPERLINK("https://cao.dolgi.msk.ru/account/1011433973/", 1011433973)</f>
        <v>1011433973</v>
      </c>
      <c r="D7530">
        <v>-5043.5200000000004</v>
      </c>
    </row>
    <row r="7531" spans="1:4" hidden="1" x14ac:dyDescent="0.3">
      <c r="A7531" t="s">
        <v>705</v>
      </c>
      <c r="B7531" t="s">
        <v>58</v>
      </c>
      <c r="C7531" s="1">
        <f>HYPERLINK("https://cao.dolgi.msk.ru/account/1011433201/", 1011433201)</f>
        <v>1011433201</v>
      </c>
      <c r="D7531">
        <v>-37.92</v>
      </c>
    </row>
    <row r="7532" spans="1:4" hidden="1" x14ac:dyDescent="0.3">
      <c r="A7532" t="s">
        <v>705</v>
      </c>
      <c r="B7532" t="s">
        <v>59</v>
      </c>
      <c r="C7532" s="1">
        <f>HYPERLINK("https://cao.dolgi.msk.ru/account/1011433244/", 1011433244)</f>
        <v>1011433244</v>
      </c>
      <c r="D7532">
        <v>-1838.7</v>
      </c>
    </row>
    <row r="7533" spans="1:4" hidden="1" x14ac:dyDescent="0.3">
      <c r="A7533" t="s">
        <v>705</v>
      </c>
      <c r="B7533" t="s">
        <v>60</v>
      </c>
      <c r="C7533" s="1">
        <f>HYPERLINK("https://cao.dolgi.msk.ru/account/1011433228/", 1011433228)</f>
        <v>1011433228</v>
      </c>
      <c r="D7533">
        <v>0</v>
      </c>
    </row>
    <row r="7534" spans="1:4" hidden="1" x14ac:dyDescent="0.3">
      <c r="A7534" t="s">
        <v>705</v>
      </c>
      <c r="B7534" t="s">
        <v>61</v>
      </c>
      <c r="C7534" s="1">
        <f>HYPERLINK("https://cao.dolgi.msk.ru/account/1011433455/", 1011433455)</f>
        <v>1011433455</v>
      </c>
      <c r="D7534">
        <v>0</v>
      </c>
    </row>
    <row r="7535" spans="1:4" hidden="1" x14ac:dyDescent="0.3">
      <c r="A7535" t="s">
        <v>705</v>
      </c>
      <c r="B7535" t="s">
        <v>62</v>
      </c>
      <c r="C7535" s="1">
        <f>HYPERLINK("https://cao.dolgi.msk.ru/account/1011433199/", 1011433199)</f>
        <v>1011433199</v>
      </c>
      <c r="D7535">
        <v>-64.010000000000005</v>
      </c>
    </row>
    <row r="7536" spans="1:4" hidden="1" x14ac:dyDescent="0.3">
      <c r="A7536" t="s">
        <v>705</v>
      </c>
      <c r="B7536" t="s">
        <v>63</v>
      </c>
      <c r="C7536" s="1">
        <f>HYPERLINK("https://cao.dolgi.msk.ru/account/1011434036/", 1011434036)</f>
        <v>1011434036</v>
      </c>
      <c r="D7536">
        <v>0</v>
      </c>
    </row>
    <row r="7537" spans="1:4" x14ac:dyDescent="0.3">
      <c r="A7537" t="s">
        <v>705</v>
      </c>
      <c r="B7537" t="s">
        <v>64</v>
      </c>
      <c r="C7537" s="1">
        <f>HYPERLINK("https://cao.dolgi.msk.ru/account/1011433914/", 1011433914)</f>
        <v>1011433914</v>
      </c>
      <c r="D7537">
        <v>2934.18</v>
      </c>
    </row>
    <row r="7538" spans="1:4" x14ac:dyDescent="0.3">
      <c r="A7538" t="s">
        <v>705</v>
      </c>
      <c r="B7538" t="s">
        <v>65</v>
      </c>
      <c r="C7538" s="1">
        <f>HYPERLINK("https://cao.dolgi.msk.ru/account/1011434052/", 1011434052)</f>
        <v>1011434052</v>
      </c>
      <c r="D7538">
        <v>313621.88</v>
      </c>
    </row>
    <row r="7539" spans="1:4" hidden="1" x14ac:dyDescent="0.3">
      <c r="A7539" t="s">
        <v>705</v>
      </c>
      <c r="B7539" t="s">
        <v>66</v>
      </c>
      <c r="C7539" s="1">
        <f>HYPERLINK("https://cao.dolgi.msk.ru/account/1011433631/", 1011433631)</f>
        <v>1011433631</v>
      </c>
      <c r="D7539">
        <v>-4835.29</v>
      </c>
    </row>
    <row r="7540" spans="1:4" hidden="1" x14ac:dyDescent="0.3">
      <c r="A7540" t="s">
        <v>705</v>
      </c>
      <c r="B7540" t="s">
        <v>67</v>
      </c>
      <c r="C7540" s="1">
        <f>HYPERLINK("https://cao.dolgi.msk.ru/account/1011433842/", 1011433842)</f>
        <v>1011433842</v>
      </c>
      <c r="D7540">
        <v>0</v>
      </c>
    </row>
    <row r="7541" spans="1:4" x14ac:dyDescent="0.3">
      <c r="A7541" t="s">
        <v>705</v>
      </c>
      <c r="B7541" t="s">
        <v>68</v>
      </c>
      <c r="C7541" s="1">
        <f>HYPERLINK("https://cao.dolgi.msk.ru/account/1011433818/", 1011433818)</f>
        <v>1011433818</v>
      </c>
      <c r="D7541">
        <v>62318.32</v>
      </c>
    </row>
    <row r="7542" spans="1:4" hidden="1" x14ac:dyDescent="0.3">
      <c r="A7542" t="s">
        <v>705</v>
      </c>
      <c r="B7542" t="s">
        <v>69</v>
      </c>
      <c r="C7542" s="1">
        <f>HYPERLINK("https://cao.dolgi.msk.ru/account/1011433252/", 1011433252)</f>
        <v>1011433252</v>
      </c>
      <c r="D7542">
        <v>0</v>
      </c>
    </row>
    <row r="7543" spans="1:4" hidden="1" x14ac:dyDescent="0.3">
      <c r="A7543" t="s">
        <v>705</v>
      </c>
      <c r="B7543" t="s">
        <v>70</v>
      </c>
      <c r="C7543" s="1">
        <f>HYPERLINK("https://cao.dolgi.msk.ru/account/1011433121/", 1011433121)</f>
        <v>1011433121</v>
      </c>
      <c r="D7543">
        <v>-64.010000000000005</v>
      </c>
    </row>
    <row r="7544" spans="1:4" x14ac:dyDescent="0.3">
      <c r="A7544" t="s">
        <v>705</v>
      </c>
      <c r="B7544" t="s">
        <v>259</v>
      </c>
      <c r="C7544" s="1">
        <f>HYPERLINK("https://cao.dolgi.msk.ru/account/1011433981/", 1011433981)</f>
        <v>1011433981</v>
      </c>
      <c r="D7544">
        <v>3921.31</v>
      </c>
    </row>
    <row r="7545" spans="1:4" hidden="1" x14ac:dyDescent="0.3">
      <c r="A7545" t="s">
        <v>705</v>
      </c>
      <c r="B7545" t="s">
        <v>100</v>
      </c>
      <c r="C7545" s="1">
        <f>HYPERLINK("https://cao.dolgi.msk.ru/account/1011433658/", 1011433658)</f>
        <v>1011433658</v>
      </c>
      <c r="D7545">
        <v>-4770.16</v>
      </c>
    </row>
    <row r="7546" spans="1:4" hidden="1" x14ac:dyDescent="0.3">
      <c r="A7546" t="s">
        <v>705</v>
      </c>
      <c r="B7546" t="s">
        <v>72</v>
      </c>
      <c r="C7546" s="1">
        <f>HYPERLINK("https://cao.dolgi.msk.ru/account/1011433869/", 1011433869)</f>
        <v>1011433869</v>
      </c>
      <c r="D7546">
        <v>0</v>
      </c>
    </row>
    <row r="7547" spans="1:4" hidden="1" x14ac:dyDescent="0.3">
      <c r="A7547" t="s">
        <v>705</v>
      </c>
      <c r="B7547" t="s">
        <v>73</v>
      </c>
      <c r="C7547" s="1">
        <f>HYPERLINK("https://cao.dolgi.msk.ru/account/1011433754/", 1011433754)</f>
        <v>1011433754</v>
      </c>
      <c r="D7547">
        <v>0</v>
      </c>
    </row>
    <row r="7548" spans="1:4" hidden="1" x14ac:dyDescent="0.3">
      <c r="A7548" t="s">
        <v>705</v>
      </c>
      <c r="B7548" t="s">
        <v>74</v>
      </c>
      <c r="C7548" s="1">
        <f>HYPERLINK("https://cao.dolgi.msk.ru/account/1011434087/", 1011434087)</f>
        <v>1011434087</v>
      </c>
      <c r="D7548">
        <v>0</v>
      </c>
    </row>
    <row r="7549" spans="1:4" hidden="1" x14ac:dyDescent="0.3">
      <c r="A7549" t="s">
        <v>705</v>
      </c>
      <c r="B7549" t="s">
        <v>75</v>
      </c>
      <c r="C7549" s="1">
        <f>HYPERLINK("https://cao.dolgi.msk.ru/account/1011433391/", 1011433391)</f>
        <v>1011433391</v>
      </c>
      <c r="D7549">
        <v>-3240.01</v>
      </c>
    </row>
    <row r="7550" spans="1:4" x14ac:dyDescent="0.3">
      <c r="A7550" t="s">
        <v>705</v>
      </c>
      <c r="B7550" t="s">
        <v>76</v>
      </c>
      <c r="C7550" s="1">
        <f>HYPERLINK("https://cao.dolgi.msk.ru/account/1011433439/", 1011433439)</f>
        <v>1011433439</v>
      </c>
      <c r="D7550">
        <v>1092.75</v>
      </c>
    </row>
    <row r="7551" spans="1:4" hidden="1" x14ac:dyDescent="0.3">
      <c r="A7551" t="s">
        <v>705</v>
      </c>
      <c r="B7551" t="s">
        <v>77</v>
      </c>
      <c r="C7551" s="1">
        <f>HYPERLINK("https://cao.dolgi.msk.ru/account/1011433084/", 1011433084)</f>
        <v>1011433084</v>
      </c>
      <c r="D7551">
        <v>0</v>
      </c>
    </row>
    <row r="7552" spans="1:4" hidden="1" x14ac:dyDescent="0.3">
      <c r="A7552" t="s">
        <v>705</v>
      </c>
      <c r="B7552" t="s">
        <v>78</v>
      </c>
      <c r="C7552" s="1">
        <f>HYPERLINK("https://cao.dolgi.msk.ru/account/1011433949/", 1011433949)</f>
        <v>1011433949</v>
      </c>
      <c r="D7552">
        <v>0</v>
      </c>
    </row>
    <row r="7553" spans="1:4" hidden="1" x14ac:dyDescent="0.3">
      <c r="A7553" t="s">
        <v>705</v>
      </c>
      <c r="B7553" t="s">
        <v>79</v>
      </c>
      <c r="C7553" s="1">
        <f>HYPERLINK("https://cao.dolgi.msk.ru/account/1011433279/", 1011433279)</f>
        <v>1011433279</v>
      </c>
      <c r="D7553">
        <v>0</v>
      </c>
    </row>
    <row r="7554" spans="1:4" x14ac:dyDescent="0.3">
      <c r="A7554" t="s">
        <v>705</v>
      </c>
      <c r="B7554" t="s">
        <v>80</v>
      </c>
      <c r="C7554" s="1">
        <f>HYPERLINK("https://cao.dolgi.msk.ru/account/1011433463/", 1011433463)</f>
        <v>1011433463</v>
      </c>
      <c r="D7554">
        <v>4497.76</v>
      </c>
    </row>
    <row r="7555" spans="1:4" hidden="1" x14ac:dyDescent="0.3">
      <c r="A7555" t="s">
        <v>705</v>
      </c>
      <c r="B7555" t="s">
        <v>80</v>
      </c>
      <c r="C7555" s="1">
        <f>HYPERLINK("https://cao.dolgi.msk.ru/account/1011433607/", 1011433607)</f>
        <v>1011433607</v>
      </c>
      <c r="D7555">
        <v>0</v>
      </c>
    </row>
    <row r="7556" spans="1:4" hidden="1" x14ac:dyDescent="0.3">
      <c r="A7556" t="s">
        <v>705</v>
      </c>
      <c r="B7556" t="s">
        <v>81</v>
      </c>
      <c r="C7556" s="1">
        <f>HYPERLINK("https://cao.dolgi.msk.ru/account/1011433762/", 1011433762)</f>
        <v>1011433762</v>
      </c>
      <c r="D7556">
        <v>0</v>
      </c>
    </row>
    <row r="7557" spans="1:4" hidden="1" x14ac:dyDescent="0.3">
      <c r="A7557" t="s">
        <v>705</v>
      </c>
      <c r="B7557" t="s">
        <v>101</v>
      </c>
      <c r="C7557" s="1">
        <f>HYPERLINK("https://cao.dolgi.msk.ru/account/1011433543/", 1011433543)</f>
        <v>1011433543</v>
      </c>
      <c r="D7557">
        <v>0</v>
      </c>
    </row>
    <row r="7558" spans="1:4" hidden="1" x14ac:dyDescent="0.3">
      <c r="A7558" t="s">
        <v>705</v>
      </c>
      <c r="B7558" t="s">
        <v>82</v>
      </c>
      <c r="C7558" s="1">
        <f>HYPERLINK("https://cao.dolgi.msk.ru/account/1011433092/", 1011433092)</f>
        <v>1011433092</v>
      </c>
      <c r="D7558">
        <v>-4785.34</v>
      </c>
    </row>
    <row r="7559" spans="1:4" x14ac:dyDescent="0.3">
      <c r="A7559" t="s">
        <v>705</v>
      </c>
      <c r="B7559" t="s">
        <v>83</v>
      </c>
      <c r="C7559" s="1">
        <f>HYPERLINK("https://cao.dolgi.msk.ru/account/1011433412/", 1011433412)</f>
        <v>1011433412</v>
      </c>
      <c r="D7559">
        <v>17234.419999999998</v>
      </c>
    </row>
    <row r="7560" spans="1:4" hidden="1" x14ac:dyDescent="0.3">
      <c r="A7560" t="s">
        <v>705</v>
      </c>
      <c r="B7560" t="s">
        <v>84</v>
      </c>
      <c r="C7560" s="1">
        <f>HYPERLINK("https://cao.dolgi.msk.ru/account/1011433738/", 1011433738)</f>
        <v>1011433738</v>
      </c>
      <c r="D7560">
        <v>-6466.77</v>
      </c>
    </row>
    <row r="7561" spans="1:4" x14ac:dyDescent="0.3">
      <c r="A7561" t="s">
        <v>705</v>
      </c>
      <c r="B7561" t="s">
        <v>85</v>
      </c>
      <c r="C7561" s="1">
        <f>HYPERLINK("https://cao.dolgi.msk.ru/account/1011433308/", 1011433308)</f>
        <v>1011433308</v>
      </c>
      <c r="D7561">
        <v>39102.65</v>
      </c>
    </row>
    <row r="7562" spans="1:4" hidden="1" x14ac:dyDescent="0.3">
      <c r="A7562" t="s">
        <v>705</v>
      </c>
      <c r="B7562" t="s">
        <v>102</v>
      </c>
      <c r="C7562" s="1">
        <f>HYPERLINK("https://cao.dolgi.msk.ru/account/1011516154/", 1011516154)</f>
        <v>1011516154</v>
      </c>
      <c r="D7562">
        <v>-9277.64</v>
      </c>
    </row>
    <row r="7563" spans="1:4" hidden="1" x14ac:dyDescent="0.3">
      <c r="A7563" t="s">
        <v>705</v>
      </c>
      <c r="B7563" t="s">
        <v>103</v>
      </c>
      <c r="C7563" s="1">
        <f>HYPERLINK("https://cao.dolgi.msk.ru/account/1011433076/", 1011433076)</f>
        <v>1011433076</v>
      </c>
      <c r="D7563">
        <v>-4368.1400000000003</v>
      </c>
    </row>
    <row r="7564" spans="1:4" hidden="1" x14ac:dyDescent="0.3">
      <c r="A7564" t="s">
        <v>705</v>
      </c>
      <c r="B7564" t="s">
        <v>104</v>
      </c>
      <c r="C7564" s="1">
        <f>HYPERLINK("https://cao.dolgi.msk.ru/account/1011434001/", 1011434001)</f>
        <v>1011434001</v>
      </c>
      <c r="D7564">
        <v>-32.01</v>
      </c>
    </row>
    <row r="7565" spans="1:4" x14ac:dyDescent="0.3">
      <c r="A7565" t="s">
        <v>705</v>
      </c>
      <c r="B7565" t="s">
        <v>105</v>
      </c>
      <c r="C7565" s="1">
        <f>HYPERLINK("https://cao.dolgi.msk.ru/account/1011433797/", 1011433797)</f>
        <v>1011433797</v>
      </c>
      <c r="D7565">
        <v>3550.67</v>
      </c>
    </row>
    <row r="7566" spans="1:4" hidden="1" x14ac:dyDescent="0.3">
      <c r="A7566" t="s">
        <v>705</v>
      </c>
      <c r="B7566" t="s">
        <v>106</v>
      </c>
      <c r="C7566" s="1">
        <f>HYPERLINK("https://cao.dolgi.msk.ru/account/1011433367/", 1011433367)</f>
        <v>1011433367</v>
      </c>
      <c r="D7566">
        <v>-1301.99</v>
      </c>
    </row>
    <row r="7567" spans="1:4" hidden="1" x14ac:dyDescent="0.3">
      <c r="A7567" t="s">
        <v>705</v>
      </c>
      <c r="B7567" t="s">
        <v>107</v>
      </c>
      <c r="C7567" s="1">
        <f>HYPERLINK("https://cao.dolgi.msk.ru/account/1011433885/", 1011433885)</f>
        <v>1011433885</v>
      </c>
      <c r="D7567">
        <v>0</v>
      </c>
    </row>
    <row r="7568" spans="1:4" hidden="1" x14ac:dyDescent="0.3">
      <c r="A7568" t="s">
        <v>705</v>
      </c>
      <c r="B7568" t="s">
        <v>108</v>
      </c>
      <c r="C7568" s="1">
        <f>HYPERLINK("https://cao.dolgi.msk.ru/account/1011433105/", 1011433105)</f>
        <v>1011433105</v>
      </c>
      <c r="D7568">
        <v>-7284.17</v>
      </c>
    </row>
    <row r="7569" spans="1:4" hidden="1" x14ac:dyDescent="0.3">
      <c r="A7569" t="s">
        <v>705</v>
      </c>
      <c r="B7569" t="s">
        <v>109</v>
      </c>
      <c r="C7569" s="1">
        <f>HYPERLINK("https://cao.dolgi.msk.ru/account/1011433148/", 1011433148)</f>
        <v>1011433148</v>
      </c>
      <c r="D7569">
        <v>0</v>
      </c>
    </row>
    <row r="7570" spans="1:4" hidden="1" x14ac:dyDescent="0.3">
      <c r="A7570" t="s">
        <v>705</v>
      </c>
      <c r="B7570" t="s">
        <v>109</v>
      </c>
      <c r="C7570" s="1">
        <f>HYPERLINK("https://cao.dolgi.msk.ru/account/1011433404/", 1011433404)</f>
        <v>1011433404</v>
      </c>
      <c r="D7570">
        <v>0</v>
      </c>
    </row>
    <row r="7571" spans="1:4" hidden="1" x14ac:dyDescent="0.3">
      <c r="A7571" t="s">
        <v>705</v>
      </c>
      <c r="B7571" t="s">
        <v>110</v>
      </c>
      <c r="C7571" s="1">
        <f>HYPERLINK("https://cao.dolgi.msk.ru/account/1011433551/", 1011433551)</f>
        <v>1011433551</v>
      </c>
      <c r="D7571">
        <v>0</v>
      </c>
    </row>
    <row r="7572" spans="1:4" hidden="1" x14ac:dyDescent="0.3">
      <c r="A7572" t="s">
        <v>705</v>
      </c>
      <c r="B7572" t="s">
        <v>111</v>
      </c>
      <c r="C7572" s="1">
        <f>HYPERLINK("https://cao.dolgi.msk.ru/account/1011434044/", 1011434044)</f>
        <v>1011434044</v>
      </c>
      <c r="D7572">
        <v>-117.96</v>
      </c>
    </row>
    <row r="7573" spans="1:4" hidden="1" x14ac:dyDescent="0.3">
      <c r="A7573" t="s">
        <v>705</v>
      </c>
      <c r="B7573" t="s">
        <v>112</v>
      </c>
      <c r="C7573" s="1">
        <f>HYPERLINK("https://cao.dolgi.msk.ru/account/1011433113/", 1011433113)</f>
        <v>1011433113</v>
      </c>
      <c r="D7573">
        <v>0</v>
      </c>
    </row>
    <row r="7574" spans="1:4" x14ac:dyDescent="0.3">
      <c r="A7574" t="s">
        <v>705</v>
      </c>
      <c r="B7574" t="s">
        <v>113</v>
      </c>
      <c r="C7574" s="1">
        <f>HYPERLINK("https://cao.dolgi.msk.ru/account/1011434116/", 1011434116)</f>
        <v>1011434116</v>
      </c>
      <c r="D7574">
        <v>18255.259999999998</v>
      </c>
    </row>
    <row r="7575" spans="1:4" hidden="1" x14ac:dyDescent="0.3">
      <c r="A7575" t="s">
        <v>705</v>
      </c>
      <c r="B7575" t="s">
        <v>114</v>
      </c>
      <c r="C7575" s="1">
        <f>HYPERLINK("https://cao.dolgi.msk.ru/account/1011433447/", 1011433447)</f>
        <v>1011433447</v>
      </c>
      <c r="D7575">
        <v>-156.94</v>
      </c>
    </row>
    <row r="7576" spans="1:4" x14ac:dyDescent="0.3">
      <c r="A7576" t="s">
        <v>705</v>
      </c>
      <c r="B7576" t="s">
        <v>115</v>
      </c>
      <c r="C7576" s="1">
        <f>HYPERLINK("https://cao.dolgi.msk.ru/account/1011433682/", 1011433682)</f>
        <v>1011433682</v>
      </c>
      <c r="D7576">
        <v>918.07</v>
      </c>
    </row>
    <row r="7577" spans="1:4" hidden="1" x14ac:dyDescent="0.3">
      <c r="A7577" t="s">
        <v>705</v>
      </c>
      <c r="B7577" t="s">
        <v>116</v>
      </c>
      <c r="C7577" s="1">
        <f>HYPERLINK("https://cao.dolgi.msk.ru/account/1011434132/", 1011434132)</f>
        <v>1011434132</v>
      </c>
      <c r="D7577">
        <v>0</v>
      </c>
    </row>
    <row r="7578" spans="1:4" hidden="1" x14ac:dyDescent="0.3">
      <c r="A7578" t="s">
        <v>705</v>
      </c>
      <c r="B7578" t="s">
        <v>266</v>
      </c>
      <c r="C7578" s="1">
        <f>HYPERLINK("https://cao.dolgi.msk.ru/account/1011434167/", 1011434167)</f>
        <v>1011434167</v>
      </c>
      <c r="D7578">
        <v>0</v>
      </c>
    </row>
    <row r="7579" spans="1:4" hidden="1" x14ac:dyDescent="0.3">
      <c r="A7579" t="s">
        <v>705</v>
      </c>
      <c r="B7579" t="s">
        <v>117</v>
      </c>
      <c r="C7579" s="1">
        <f>HYPERLINK("https://cao.dolgi.msk.ru/account/1011433746/", 1011433746)</f>
        <v>1011433746</v>
      </c>
      <c r="D7579">
        <v>0</v>
      </c>
    </row>
    <row r="7580" spans="1:4" hidden="1" x14ac:dyDescent="0.3">
      <c r="A7580" t="s">
        <v>706</v>
      </c>
      <c r="B7580" t="s">
        <v>31</v>
      </c>
      <c r="C7580" s="1">
        <f>HYPERLINK("https://cao.dolgi.msk.ru/account/1011370482/", 1011370482)</f>
        <v>1011370482</v>
      </c>
      <c r="D7580">
        <v>-78.849999999999994</v>
      </c>
    </row>
    <row r="7581" spans="1:4" hidden="1" x14ac:dyDescent="0.3">
      <c r="A7581" t="s">
        <v>706</v>
      </c>
      <c r="B7581" t="s">
        <v>10</v>
      </c>
      <c r="C7581" s="1">
        <f>HYPERLINK("https://cao.dolgi.msk.ru/account/1011370327/", 1011370327)</f>
        <v>1011370327</v>
      </c>
      <c r="D7581">
        <v>0</v>
      </c>
    </row>
    <row r="7582" spans="1:4" hidden="1" x14ac:dyDescent="0.3">
      <c r="A7582" t="s">
        <v>706</v>
      </c>
      <c r="B7582" t="s">
        <v>12</v>
      </c>
      <c r="C7582" s="1">
        <f>HYPERLINK("https://cao.dolgi.msk.ru/account/1011370474/", 1011370474)</f>
        <v>1011370474</v>
      </c>
      <c r="D7582">
        <v>0</v>
      </c>
    </row>
    <row r="7583" spans="1:4" hidden="1" x14ac:dyDescent="0.3">
      <c r="A7583" t="s">
        <v>706</v>
      </c>
      <c r="B7583" t="s">
        <v>23</v>
      </c>
      <c r="C7583" s="1">
        <f>HYPERLINK("https://cao.dolgi.msk.ru/account/1011370351/", 1011370351)</f>
        <v>1011370351</v>
      </c>
      <c r="D7583">
        <v>-14018.21</v>
      </c>
    </row>
    <row r="7584" spans="1:4" hidden="1" x14ac:dyDescent="0.3">
      <c r="A7584" t="s">
        <v>706</v>
      </c>
      <c r="B7584" t="s">
        <v>13</v>
      </c>
      <c r="C7584" s="1">
        <f>HYPERLINK("https://cao.dolgi.msk.ru/account/1011370263/", 1011370263)</f>
        <v>1011370263</v>
      </c>
      <c r="D7584">
        <v>0</v>
      </c>
    </row>
    <row r="7585" spans="1:4" hidden="1" x14ac:dyDescent="0.3">
      <c r="A7585" t="s">
        <v>706</v>
      </c>
      <c r="B7585" t="s">
        <v>14</v>
      </c>
      <c r="C7585" s="1">
        <f>HYPERLINK("https://cao.dolgi.msk.ru/account/1011370335/", 1011370335)</f>
        <v>1011370335</v>
      </c>
      <c r="D7585">
        <v>-326.5</v>
      </c>
    </row>
    <row r="7586" spans="1:4" hidden="1" x14ac:dyDescent="0.3">
      <c r="A7586" t="s">
        <v>706</v>
      </c>
      <c r="B7586" t="s">
        <v>16</v>
      </c>
      <c r="C7586" s="1">
        <f>HYPERLINK("https://cao.dolgi.msk.ru/account/1011370255/", 1011370255)</f>
        <v>1011370255</v>
      </c>
      <c r="D7586">
        <v>0</v>
      </c>
    </row>
    <row r="7587" spans="1:4" hidden="1" x14ac:dyDescent="0.3">
      <c r="A7587" t="s">
        <v>706</v>
      </c>
      <c r="B7587" t="s">
        <v>17</v>
      </c>
      <c r="C7587" s="1">
        <f>HYPERLINK("https://cao.dolgi.msk.ru/account/1011370378/", 1011370378)</f>
        <v>1011370378</v>
      </c>
      <c r="D7587">
        <v>-586.1</v>
      </c>
    </row>
    <row r="7588" spans="1:4" hidden="1" x14ac:dyDescent="0.3">
      <c r="A7588" t="s">
        <v>706</v>
      </c>
      <c r="B7588" t="s">
        <v>18</v>
      </c>
      <c r="C7588" s="1">
        <f>HYPERLINK("https://cao.dolgi.msk.ru/account/1011370538/", 1011370538)</f>
        <v>1011370538</v>
      </c>
      <c r="D7588">
        <v>0</v>
      </c>
    </row>
    <row r="7589" spans="1:4" hidden="1" x14ac:dyDescent="0.3">
      <c r="A7589" t="s">
        <v>706</v>
      </c>
      <c r="B7589" t="s">
        <v>19</v>
      </c>
      <c r="C7589" s="1">
        <f>HYPERLINK("https://cao.dolgi.msk.ru/account/1011370298/", 1011370298)</f>
        <v>1011370298</v>
      </c>
      <c r="D7589">
        <v>-14280.25</v>
      </c>
    </row>
    <row r="7590" spans="1:4" hidden="1" x14ac:dyDescent="0.3">
      <c r="A7590" t="s">
        <v>706</v>
      </c>
      <c r="B7590" t="s">
        <v>20</v>
      </c>
      <c r="C7590" s="1">
        <f>HYPERLINK("https://cao.dolgi.msk.ru/account/1011370247/", 1011370247)</f>
        <v>1011370247</v>
      </c>
      <c r="D7590">
        <v>-3600.85</v>
      </c>
    </row>
    <row r="7591" spans="1:4" x14ac:dyDescent="0.3">
      <c r="A7591" t="s">
        <v>706</v>
      </c>
      <c r="B7591" t="s">
        <v>20</v>
      </c>
      <c r="C7591" s="1">
        <f>HYPERLINK("https://cao.dolgi.msk.ru/account/1011370407/", 1011370407)</f>
        <v>1011370407</v>
      </c>
      <c r="D7591">
        <v>6119.15</v>
      </c>
    </row>
    <row r="7592" spans="1:4" hidden="1" x14ac:dyDescent="0.3">
      <c r="A7592" t="s">
        <v>706</v>
      </c>
      <c r="B7592" t="s">
        <v>21</v>
      </c>
      <c r="C7592" s="1">
        <f>HYPERLINK("https://cao.dolgi.msk.ru/account/1011370546/", 1011370546)</f>
        <v>1011370546</v>
      </c>
      <c r="D7592">
        <v>0</v>
      </c>
    </row>
    <row r="7593" spans="1:4" x14ac:dyDescent="0.3">
      <c r="A7593" t="s">
        <v>706</v>
      </c>
      <c r="B7593" t="s">
        <v>22</v>
      </c>
      <c r="C7593" s="1">
        <f>HYPERLINK("https://cao.dolgi.msk.ru/account/1011370386/", 1011370386)</f>
        <v>1011370386</v>
      </c>
      <c r="D7593">
        <v>8347.7000000000007</v>
      </c>
    </row>
    <row r="7594" spans="1:4" hidden="1" x14ac:dyDescent="0.3">
      <c r="A7594" t="s">
        <v>706</v>
      </c>
      <c r="B7594" t="s">
        <v>24</v>
      </c>
      <c r="C7594" s="1">
        <f>HYPERLINK("https://cao.dolgi.msk.ru/account/1011370458/", 1011370458)</f>
        <v>1011370458</v>
      </c>
      <c r="D7594">
        <v>0</v>
      </c>
    </row>
    <row r="7595" spans="1:4" hidden="1" x14ac:dyDescent="0.3">
      <c r="A7595" t="s">
        <v>706</v>
      </c>
      <c r="B7595" t="s">
        <v>25</v>
      </c>
      <c r="C7595" s="1">
        <f>HYPERLINK("https://cao.dolgi.msk.ru/account/1011370319/", 1011370319)</f>
        <v>1011370319</v>
      </c>
      <c r="D7595">
        <v>-11961.08</v>
      </c>
    </row>
    <row r="7596" spans="1:4" hidden="1" x14ac:dyDescent="0.3">
      <c r="A7596" t="s">
        <v>706</v>
      </c>
      <c r="B7596" t="s">
        <v>26</v>
      </c>
      <c r="C7596" s="1">
        <f>HYPERLINK("https://cao.dolgi.msk.ru/account/1011370423/", 1011370423)</f>
        <v>1011370423</v>
      </c>
      <c r="D7596">
        <v>-273.27999999999997</v>
      </c>
    </row>
    <row r="7597" spans="1:4" hidden="1" x14ac:dyDescent="0.3">
      <c r="A7597" t="s">
        <v>706</v>
      </c>
      <c r="B7597" t="s">
        <v>27</v>
      </c>
      <c r="C7597" s="1">
        <f>HYPERLINK("https://cao.dolgi.msk.ru/account/1011370503/", 1011370503)</f>
        <v>1011370503</v>
      </c>
      <c r="D7597">
        <v>-14327.84</v>
      </c>
    </row>
    <row r="7598" spans="1:4" hidden="1" x14ac:dyDescent="0.3">
      <c r="A7598" t="s">
        <v>706</v>
      </c>
      <c r="B7598" t="s">
        <v>29</v>
      </c>
      <c r="C7598" s="1">
        <f>HYPERLINK("https://cao.dolgi.msk.ru/account/1011370271/", 1011370271)</f>
        <v>1011370271</v>
      </c>
      <c r="D7598">
        <v>-13662.13</v>
      </c>
    </row>
    <row r="7599" spans="1:4" x14ac:dyDescent="0.3">
      <c r="A7599" t="s">
        <v>706</v>
      </c>
      <c r="B7599" t="s">
        <v>38</v>
      </c>
      <c r="C7599" s="1">
        <f>HYPERLINK("https://cao.dolgi.msk.ru/account/1011370431/", 1011370431)</f>
        <v>1011370431</v>
      </c>
      <c r="D7599">
        <v>7189.02</v>
      </c>
    </row>
    <row r="7600" spans="1:4" hidden="1" x14ac:dyDescent="0.3">
      <c r="A7600" t="s">
        <v>706</v>
      </c>
      <c r="B7600" t="s">
        <v>39</v>
      </c>
      <c r="C7600" s="1">
        <f>HYPERLINK("https://cao.dolgi.msk.ru/account/1011370394/", 1011370394)</f>
        <v>1011370394</v>
      </c>
      <c r="D7600">
        <v>-18994.34</v>
      </c>
    </row>
    <row r="7601" spans="1:4" hidden="1" x14ac:dyDescent="0.3">
      <c r="A7601" t="s">
        <v>706</v>
      </c>
      <c r="B7601" t="s">
        <v>40</v>
      </c>
      <c r="C7601" s="1">
        <f>HYPERLINK("https://cao.dolgi.msk.ru/account/1011370562/", 1011370562)</f>
        <v>1011370562</v>
      </c>
      <c r="D7601">
        <v>-12107.22</v>
      </c>
    </row>
    <row r="7602" spans="1:4" hidden="1" x14ac:dyDescent="0.3">
      <c r="A7602" t="s">
        <v>706</v>
      </c>
      <c r="B7602" t="s">
        <v>41</v>
      </c>
      <c r="C7602" s="1">
        <f>HYPERLINK("https://cao.dolgi.msk.ru/account/1011370554/", 1011370554)</f>
        <v>1011370554</v>
      </c>
      <c r="D7602">
        <v>-929.25</v>
      </c>
    </row>
    <row r="7603" spans="1:4" hidden="1" x14ac:dyDescent="0.3">
      <c r="A7603" t="s">
        <v>706</v>
      </c>
      <c r="B7603" t="s">
        <v>51</v>
      </c>
      <c r="C7603" s="1">
        <f>HYPERLINK("https://cao.dolgi.msk.ru/account/1011370511/", 1011370511)</f>
        <v>1011370511</v>
      </c>
      <c r="D7603">
        <v>-16239.03</v>
      </c>
    </row>
    <row r="7604" spans="1:4" hidden="1" x14ac:dyDescent="0.3">
      <c r="A7604" t="s">
        <v>706</v>
      </c>
      <c r="B7604" t="s">
        <v>52</v>
      </c>
      <c r="C7604" s="1">
        <f>HYPERLINK("https://cao.dolgi.msk.ru/account/1011370466/", 1011370466)</f>
        <v>1011370466</v>
      </c>
      <c r="D7604">
        <v>0</v>
      </c>
    </row>
    <row r="7605" spans="1:4" hidden="1" x14ac:dyDescent="0.3">
      <c r="A7605" t="s">
        <v>706</v>
      </c>
      <c r="B7605" t="s">
        <v>53</v>
      </c>
      <c r="C7605" s="1">
        <f>HYPERLINK("https://cao.dolgi.msk.ru/account/1011370343/", 1011370343)</f>
        <v>1011370343</v>
      </c>
      <c r="D7605">
        <v>-131.07</v>
      </c>
    </row>
    <row r="7606" spans="1:4" hidden="1" x14ac:dyDescent="0.3">
      <c r="A7606" t="s">
        <v>706</v>
      </c>
      <c r="B7606" t="s">
        <v>54</v>
      </c>
      <c r="C7606" s="1">
        <f>HYPERLINK("https://cao.dolgi.msk.ru/account/1011370415/", 1011370415)</f>
        <v>1011370415</v>
      </c>
      <c r="D7606">
        <v>0</v>
      </c>
    </row>
    <row r="7607" spans="1:4" x14ac:dyDescent="0.3">
      <c r="A7607" t="s">
        <v>707</v>
      </c>
      <c r="B7607" t="s">
        <v>28</v>
      </c>
      <c r="C7607" s="1">
        <f>HYPERLINK("https://cao.dolgi.msk.ru/account/1010746898/", 1010746898)</f>
        <v>1010746898</v>
      </c>
      <c r="D7607">
        <v>1</v>
      </c>
    </row>
    <row r="7608" spans="1:4" x14ac:dyDescent="0.3">
      <c r="A7608" t="s">
        <v>707</v>
      </c>
      <c r="B7608" t="s">
        <v>35</v>
      </c>
      <c r="C7608" s="1">
        <f>HYPERLINK("https://cao.dolgi.msk.ru/account/1010754206/", 1010754206)</f>
        <v>1010754206</v>
      </c>
      <c r="D7608">
        <v>1774.09</v>
      </c>
    </row>
    <row r="7609" spans="1:4" hidden="1" x14ac:dyDescent="0.3">
      <c r="A7609" t="s">
        <v>707</v>
      </c>
      <c r="B7609" t="s">
        <v>5</v>
      </c>
      <c r="C7609" s="1">
        <f>HYPERLINK("https://cao.dolgi.msk.ru/account/1010746951/", 1010746951)</f>
        <v>1010746951</v>
      </c>
      <c r="D7609">
        <v>0</v>
      </c>
    </row>
    <row r="7610" spans="1:4" hidden="1" x14ac:dyDescent="0.3">
      <c r="A7610" t="s">
        <v>707</v>
      </c>
      <c r="B7610" t="s">
        <v>7</v>
      </c>
      <c r="C7610" s="1">
        <f>HYPERLINK("https://cao.dolgi.msk.ru/account/1010746986/", 1010746986)</f>
        <v>1010746986</v>
      </c>
      <c r="D7610">
        <v>0</v>
      </c>
    </row>
    <row r="7611" spans="1:4" x14ac:dyDescent="0.3">
      <c r="A7611" t="s">
        <v>707</v>
      </c>
      <c r="B7611" t="s">
        <v>8</v>
      </c>
      <c r="C7611" s="1">
        <f>HYPERLINK("https://cao.dolgi.msk.ru/account/1011014613/", 1011014613)</f>
        <v>1011014613</v>
      </c>
      <c r="D7611">
        <v>32779.279999999999</v>
      </c>
    </row>
    <row r="7612" spans="1:4" x14ac:dyDescent="0.3">
      <c r="A7612" t="s">
        <v>707</v>
      </c>
      <c r="B7612" t="s">
        <v>31</v>
      </c>
      <c r="C7612" s="1">
        <f>HYPERLINK("https://cao.dolgi.msk.ru/account/1011014621/", 1011014621)</f>
        <v>1011014621</v>
      </c>
      <c r="D7612">
        <v>32826.01</v>
      </c>
    </row>
    <row r="7613" spans="1:4" x14ac:dyDescent="0.3">
      <c r="A7613" t="s">
        <v>707</v>
      </c>
      <c r="B7613" t="s">
        <v>9</v>
      </c>
      <c r="C7613" s="1">
        <f>HYPERLINK("https://cao.dolgi.msk.ru/account/1011117946/", 1011117946)</f>
        <v>1011117946</v>
      </c>
      <c r="D7613">
        <v>15893.62</v>
      </c>
    </row>
    <row r="7614" spans="1:4" x14ac:dyDescent="0.3">
      <c r="A7614" t="s">
        <v>707</v>
      </c>
      <c r="B7614" t="s">
        <v>10</v>
      </c>
      <c r="C7614" s="1">
        <f>HYPERLINK("https://cao.dolgi.msk.ru/account/1011014656/", 1011014656)</f>
        <v>1011014656</v>
      </c>
      <c r="D7614">
        <v>32685.79</v>
      </c>
    </row>
    <row r="7615" spans="1:4" hidden="1" x14ac:dyDescent="0.3">
      <c r="A7615" t="s">
        <v>708</v>
      </c>
      <c r="B7615" t="s">
        <v>13</v>
      </c>
      <c r="C7615" s="1">
        <f>HYPERLINK("https://cao.dolgi.msk.ru/account/1011486717/", 1011486717)</f>
        <v>1011486717</v>
      </c>
      <c r="D7615">
        <v>0</v>
      </c>
    </row>
    <row r="7616" spans="1:4" hidden="1" x14ac:dyDescent="0.3">
      <c r="A7616" t="s">
        <v>708</v>
      </c>
      <c r="B7616" t="s">
        <v>14</v>
      </c>
      <c r="C7616" s="1">
        <f>HYPERLINK("https://cao.dolgi.msk.ru/account/1011486696/", 1011486696)</f>
        <v>1011486696</v>
      </c>
      <c r="D7616">
        <v>0</v>
      </c>
    </row>
    <row r="7617" spans="1:4" hidden="1" x14ac:dyDescent="0.3">
      <c r="A7617" t="s">
        <v>708</v>
      </c>
      <c r="B7617" t="s">
        <v>14</v>
      </c>
      <c r="C7617" s="1">
        <f>HYPERLINK("https://cao.dolgi.msk.ru/account/1011486725/", 1011486725)</f>
        <v>1011486725</v>
      </c>
      <c r="D7617">
        <v>0</v>
      </c>
    </row>
    <row r="7618" spans="1:4" hidden="1" x14ac:dyDescent="0.3">
      <c r="A7618" t="s">
        <v>708</v>
      </c>
      <c r="B7618" t="s">
        <v>16</v>
      </c>
      <c r="C7618" s="1">
        <f>HYPERLINK("https://cao.dolgi.msk.ru/account/1011486709/", 1011486709)</f>
        <v>1011486709</v>
      </c>
      <c r="D7618">
        <v>-41.69</v>
      </c>
    </row>
    <row r="7619" spans="1:4" hidden="1" x14ac:dyDescent="0.3">
      <c r="A7619" t="s">
        <v>708</v>
      </c>
      <c r="B7619" t="s">
        <v>17</v>
      </c>
      <c r="C7619" s="1">
        <f>HYPERLINK("https://cao.dolgi.msk.ru/account/1011486653/", 1011486653)</f>
        <v>1011486653</v>
      </c>
      <c r="D7619">
        <v>0</v>
      </c>
    </row>
    <row r="7620" spans="1:4" hidden="1" x14ac:dyDescent="0.3">
      <c r="A7620" t="s">
        <v>708</v>
      </c>
      <c r="B7620" t="s">
        <v>18</v>
      </c>
      <c r="C7620" s="1">
        <f>HYPERLINK("https://cao.dolgi.msk.ru/account/1011486661/", 1011486661)</f>
        <v>1011486661</v>
      </c>
      <c r="D7620">
        <v>0</v>
      </c>
    </row>
    <row r="7621" spans="1:4" x14ac:dyDescent="0.3">
      <c r="A7621" t="s">
        <v>709</v>
      </c>
      <c r="B7621" t="s">
        <v>31</v>
      </c>
      <c r="C7621" s="1">
        <f>HYPERLINK("https://cao.dolgi.msk.ru/account/1011497598/", 1011497598)</f>
        <v>1011497598</v>
      </c>
      <c r="D7621">
        <v>5052.1499999999996</v>
      </c>
    </row>
    <row r="7622" spans="1:4" x14ac:dyDescent="0.3">
      <c r="A7622" t="s">
        <v>709</v>
      </c>
      <c r="B7622" t="s">
        <v>31</v>
      </c>
      <c r="C7622" s="1">
        <f>HYPERLINK("https://cao.dolgi.msk.ru/account/1011497643/", 1011497643)</f>
        <v>1011497643</v>
      </c>
      <c r="D7622">
        <v>2658.5</v>
      </c>
    </row>
    <row r="7623" spans="1:4" hidden="1" x14ac:dyDescent="0.3">
      <c r="A7623" t="s">
        <v>709</v>
      </c>
      <c r="B7623" t="s">
        <v>10</v>
      </c>
      <c r="C7623" s="1">
        <f>HYPERLINK("https://cao.dolgi.msk.ru/account/1011497619/", 1011497619)</f>
        <v>1011497619</v>
      </c>
      <c r="D7623">
        <v>-568.26</v>
      </c>
    </row>
    <row r="7624" spans="1:4" hidden="1" x14ac:dyDescent="0.3">
      <c r="A7624" t="s">
        <v>709</v>
      </c>
      <c r="B7624" t="s">
        <v>11</v>
      </c>
      <c r="C7624" s="1">
        <f>HYPERLINK("https://cao.dolgi.msk.ru/account/1011497555/", 1011497555)</f>
        <v>1011497555</v>
      </c>
      <c r="D7624">
        <v>-14200.24</v>
      </c>
    </row>
    <row r="7625" spans="1:4" hidden="1" x14ac:dyDescent="0.3">
      <c r="A7625" t="s">
        <v>709</v>
      </c>
      <c r="B7625" t="s">
        <v>12</v>
      </c>
      <c r="C7625" s="1">
        <f>HYPERLINK("https://cao.dolgi.msk.ru/account/1011497627/", 1011497627)</f>
        <v>1011497627</v>
      </c>
      <c r="D7625">
        <v>0</v>
      </c>
    </row>
    <row r="7626" spans="1:4" hidden="1" x14ac:dyDescent="0.3">
      <c r="A7626" t="s">
        <v>709</v>
      </c>
      <c r="B7626" t="s">
        <v>23</v>
      </c>
      <c r="C7626" s="1">
        <f>HYPERLINK("https://cao.dolgi.msk.ru/account/1011497635/", 1011497635)</f>
        <v>1011497635</v>
      </c>
      <c r="D7626">
        <v>-210.34</v>
      </c>
    </row>
    <row r="7627" spans="1:4" hidden="1" x14ac:dyDescent="0.3">
      <c r="A7627" t="s">
        <v>710</v>
      </c>
      <c r="B7627" t="s">
        <v>14</v>
      </c>
      <c r="C7627" s="1">
        <f>HYPERLINK("https://cao.dolgi.msk.ru/account/1011315547/", 1011315547)</f>
        <v>1011315547</v>
      </c>
      <c r="D7627">
        <v>0</v>
      </c>
    </row>
    <row r="7628" spans="1:4" x14ac:dyDescent="0.3">
      <c r="A7628" t="s">
        <v>710</v>
      </c>
      <c r="B7628" t="s">
        <v>14</v>
      </c>
      <c r="C7628" s="1">
        <f>HYPERLINK("https://cao.dolgi.msk.ru/account/1011315555/", 1011315555)</f>
        <v>1011315555</v>
      </c>
      <c r="D7628">
        <v>4219.76</v>
      </c>
    </row>
    <row r="7629" spans="1:4" hidden="1" x14ac:dyDescent="0.3">
      <c r="A7629" t="s">
        <v>710</v>
      </c>
      <c r="B7629" t="s">
        <v>14</v>
      </c>
      <c r="C7629" s="1">
        <f>HYPERLINK("https://cao.dolgi.msk.ru/account/1011315678/", 1011315678)</f>
        <v>1011315678</v>
      </c>
      <c r="D7629">
        <v>-3132.74</v>
      </c>
    </row>
    <row r="7630" spans="1:4" hidden="1" x14ac:dyDescent="0.3">
      <c r="A7630" t="s">
        <v>710</v>
      </c>
      <c r="B7630" t="s">
        <v>16</v>
      </c>
      <c r="C7630" s="1">
        <f>HYPERLINK("https://cao.dolgi.msk.ru/account/1011315715/", 1011315715)</f>
        <v>1011315715</v>
      </c>
      <c r="D7630">
        <v>0</v>
      </c>
    </row>
    <row r="7631" spans="1:4" hidden="1" x14ac:dyDescent="0.3">
      <c r="A7631" t="s">
        <v>710</v>
      </c>
      <c r="B7631" t="s">
        <v>17</v>
      </c>
      <c r="C7631" s="1">
        <f>HYPERLINK("https://cao.dolgi.msk.ru/account/1011315694/", 1011315694)</f>
        <v>1011315694</v>
      </c>
      <c r="D7631">
        <v>-8632.4500000000007</v>
      </c>
    </row>
    <row r="7632" spans="1:4" hidden="1" x14ac:dyDescent="0.3">
      <c r="A7632" t="s">
        <v>710</v>
      </c>
      <c r="B7632" t="s">
        <v>18</v>
      </c>
      <c r="C7632" s="1">
        <f>HYPERLINK("https://cao.dolgi.msk.ru/account/1011315707/", 1011315707)</f>
        <v>1011315707</v>
      </c>
      <c r="D7632">
        <v>0</v>
      </c>
    </row>
    <row r="7633" spans="1:4" x14ac:dyDescent="0.3">
      <c r="A7633" t="s">
        <v>710</v>
      </c>
      <c r="B7633" t="s">
        <v>19</v>
      </c>
      <c r="C7633" s="1">
        <f>HYPERLINK("https://cao.dolgi.msk.ru/account/1011315571/", 1011315571)</f>
        <v>1011315571</v>
      </c>
      <c r="D7633">
        <v>6776.26</v>
      </c>
    </row>
    <row r="7634" spans="1:4" hidden="1" x14ac:dyDescent="0.3">
      <c r="A7634" t="s">
        <v>710</v>
      </c>
      <c r="B7634" t="s">
        <v>20</v>
      </c>
      <c r="C7634" s="1">
        <f>HYPERLINK("https://cao.dolgi.msk.ru/account/1011315491/", 1011315491)</f>
        <v>1011315491</v>
      </c>
      <c r="D7634">
        <v>0</v>
      </c>
    </row>
    <row r="7635" spans="1:4" x14ac:dyDescent="0.3">
      <c r="A7635" t="s">
        <v>710</v>
      </c>
      <c r="B7635" t="s">
        <v>21</v>
      </c>
      <c r="C7635" s="1">
        <f>HYPERLINK("https://cao.dolgi.msk.ru/account/1011315598/", 1011315598)</f>
        <v>1011315598</v>
      </c>
      <c r="D7635">
        <v>12524.42</v>
      </c>
    </row>
    <row r="7636" spans="1:4" hidden="1" x14ac:dyDescent="0.3">
      <c r="A7636" t="s">
        <v>710</v>
      </c>
      <c r="B7636" t="s">
        <v>22</v>
      </c>
      <c r="C7636" s="1">
        <f>HYPERLINK("https://cao.dolgi.msk.ru/account/1011315475/", 1011315475)</f>
        <v>1011315475</v>
      </c>
      <c r="D7636">
        <v>0</v>
      </c>
    </row>
    <row r="7637" spans="1:4" hidden="1" x14ac:dyDescent="0.3">
      <c r="A7637" t="s">
        <v>710</v>
      </c>
      <c r="B7637" t="s">
        <v>24</v>
      </c>
      <c r="C7637" s="1">
        <f>HYPERLINK("https://cao.dolgi.msk.ru/account/1011315504/", 1011315504)</f>
        <v>1011315504</v>
      </c>
      <c r="D7637">
        <v>-7869.08</v>
      </c>
    </row>
    <row r="7638" spans="1:4" x14ac:dyDescent="0.3">
      <c r="A7638" t="s">
        <v>710</v>
      </c>
      <c r="B7638" t="s">
        <v>25</v>
      </c>
      <c r="C7638" s="1">
        <f>HYPERLINK("https://cao.dolgi.msk.ru/account/1011315459/", 1011315459)</f>
        <v>1011315459</v>
      </c>
      <c r="D7638">
        <v>4856.05</v>
      </c>
    </row>
    <row r="7639" spans="1:4" hidden="1" x14ac:dyDescent="0.3">
      <c r="A7639" t="s">
        <v>710</v>
      </c>
      <c r="B7639" t="s">
        <v>26</v>
      </c>
      <c r="C7639" s="1">
        <f>HYPERLINK("https://cao.dolgi.msk.ru/account/1011315563/", 1011315563)</f>
        <v>1011315563</v>
      </c>
      <c r="D7639">
        <v>0</v>
      </c>
    </row>
    <row r="7640" spans="1:4" hidden="1" x14ac:dyDescent="0.3">
      <c r="A7640" t="s">
        <v>710</v>
      </c>
      <c r="B7640" t="s">
        <v>27</v>
      </c>
      <c r="C7640" s="1">
        <f>HYPERLINK("https://cao.dolgi.msk.ru/account/1011315619/", 1011315619)</f>
        <v>1011315619</v>
      </c>
      <c r="D7640">
        <v>0</v>
      </c>
    </row>
    <row r="7641" spans="1:4" hidden="1" x14ac:dyDescent="0.3">
      <c r="A7641" t="s">
        <v>710</v>
      </c>
      <c r="B7641" t="s">
        <v>27</v>
      </c>
      <c r="C7641" s="1">
        <f>HYPERLINK("https://cao.dolgi.msk.ru/account/1011315635/", 1011315635)</f>
        <v>1011315635</v>
      </c>
      <c r="D7641">
        <v>0</v>
      </c>
    </row>
    <row r="7642" spans="1:4" hidden="1" x14ac:dyDescent="0.3">
      <c r="A7642" t="s">
        <v>710</v>
      </c>
      <c r="B7642" t="s">
        <v>29</v>
      </c>
      <c r="C7642" s="1">
        <f>HYPERLINK("https://cao.dolgi.msk.ru/account/1011315627/", 1011315627)</f>
        <v>1011315627</v>
      </c>
      <c r="D7642">
        <v>-9254.43</v>
      </c>
    </row>
    <row r="7643" spans="1:4" x14ac:dyDescent="0.3">
      <c r="A7643" t="s">
        <v>710</v>
      </c>
      <c r="B7643" t="s">
        <v>38</v>
      </c>
      <c r="C7643" s="1">
        <f>HYPERLINK("https://cao.dolgi.msk.ru/account/1011315483/", 1011315483)</f>
        <v>1011315483</v>
      </c>
      <c r="D7643">
        <v>9603.49</v>
      </c>
    </row>
    <row r="7644" spans="1:4" hidden="1" x14ac:dyDescent="0.3">
      <c r="A7644" t="s">
        <v>710</v>
      </c>
      <c r="B7644" t="s">
        <v>39</v>
      </c>
      <c r="C7644" s="1">
        <f>HYPERLINK("https://cao.dolgi.msk.ru/account/1011315723/", 1011315723)</f>
        <v>1011315723</v>
      </c>
      <c r="D7644">
        <v>0</v>
      </c>
    </row>
    <row r="7645" spans="1:4" x14ac:dyDescent="0.3">
      <c r="A7645" t="s">
        <v>710</v>
      </c>
      <c r="B7645" t="s">
        <v>40</v>
      </c>
      <c r="C7645" s="1">
        <f>HYPERLINK("https://cao.dolgi.msk.ru/account/1011315651/", 1011315651)</f>
        <v>1011315651</v>
      </c>
      <c r="D7645">
        <v>12077.73</v>
      </c>
    </row>
    <row r="7646" spans="1:4" hidden="1" x14ac:dyDescent="0.3">
      <c r="A7646" t="s">
        <v>710</v>
      </c>
      <c r="B7646" t="s">
        <v>41</v>
      </c>
      <c r="C7646" s="1">
        <f>HYPERLINK("https://cao.dolgi.msk.ru/account/1011315512/", 1011315512)</f>
        <v>1011315512</v>
      </c>
      <c r="D7646">
        <v>0</v>
      </c>
    </row>
    <row r="7647" spans="1:4" x14ac:dyDescent="0.3">
      <c r="A7647" t="s">
        <v>710</v>
      </c>
      <c r="B7647" t="s">
        <v>51</v>
      </c>
      <c r="C7647" s="1">
        <f>HYPERLINK("https://cao.dolgi.msk.ru/account/1011315467/", 1011315467)</f>
        <v>1011315467</v>
      </c>
      <c r="D7647">
        <v>10919.45</v>
      </c>
    </row>
    <row r="7648" spans="1:4" hidden="1" x14ac:dyDescent="0.3">
      <c r="A7648" t="s">
        <v>710</v>
      </c>
      <c r="B7648" t="s">
        <v>51</v>
      </c>
      <c r="C7648" s="1">
        <f>HYPERLINK("https://cao.dolgi.msk.ru/account/1011315643/", 1011315643)</f>
        <v>1011315643</v>
      </c>
      <c r="D7648">
        <v>-152.93</v>
      </c>
    </row>
    <row r="7649" spans="1:4" x14ac:dyDescent="0.3">
      <c r="A7649" t="s">
        <v>710</v>
      </c>
      <c r="B7649" t="s">
        <v>52</v>
      </c>
      <c r="C7649" s="1">
        <f>HYPERLINK("https://cao.dolgi.msk.ru/account/1011315432/", 1011315432)</f>
        <v>1011315432</v>
      </c>
      <c r="D7649">
        <v>44600.01</v>
      </c>
    </row>
    <row r="7650" spans="1:4" hidden="1" x14ac:dyDescent="0.3">
      <c r="A7650" t="s">
        <v>710</v>
      </c>
      <c r="B7650" t="s">
        <v>53</v>
      </c>
      <c r="C7650" s="1">
        <f>HYPERLINK("https://cao.dolgi.msk.ru/account/1011315686/", 1011315686)</f>
        <v>1011315686</v>
      </c>
      <c r="D7650">
        <v>0</v>
      </c>
    </row>
    <row r="7651" spans="1:4" x14ac:dyDescent="0.3">
      <c r="A7651" t="s">
        <v>710</v>
      </c>
      <c r="B7651" t="s">
        <v>54</v>
      </c>
      <c r="C7651" s="1">
        <f>HYPERLINK("https://cao.dolgi.msk.ru/account/1011315539/", 1011315539)</f>
        <v>1011315539</v>
      </c>
      <c r="D7651">
        <v>12977.32</v>
      </c>
    </row>
    <row r="7652" spans="1:4" hidden="1" x14ac:dyDescent="0.3">
      <c r="A7652" t="s">
        <v>711</v>
      </c>
      <c r="B7652" t="s">
        <v>6</v>
      </c>
      <c r="C7652" s="1">
        <f>HYPERLINK("https://cao.dolgi.msk.ru/account/1011197915/", 1011197915)</f>
        <v>1011197915</v>
      </c>
      <c r="D7652">
        <v>-6259.29</v>
      </c>
    </row>
    <row r="7653" spans="1:4" hidden="1" x14ac:dyDescent="0.3">
      <c r="A7653" t="s">
        <v>711</v>
      </c>
      <c r="B7653" t="s">
        <v>6</v>
      </c>
      <c r="C7653" s="1">
        <f>HYPERLINK("https://cao.dolgi.msk.ru/account/1011198168/", 1011198168)</f>
        <v>1011198168</v>
      </c>
      <c r="D7653">
        <v>-4105.6099999999997</v>
      </c>
    </row>
    <row r="7654" spans="1:4" hidden="1" x14ac:dyDescent="0.3">
      <c r="A7654" t="s">
        <v>711</v>
      </c>
      <c r="B7654" t="s">
        <v>28</v>
      </c>
      <c r="C7654" s="1">
        <f>HYPERLINK("https://cao.dolgi.msk.ru/account/1011197974/", 1011197974)</f>
        <v>1011197974</v>
      </c>
      <c r="D7654">
        <v>0</v>
      </c>
    </row>
    <row r="7655" spans="1:4" hidden="1" x14ac:dyDescent="0.3">
      <c r="A7655" t="s">
        <v>711</v>
      </c>
      <c r="B7655" t="s">
        <v>35</v>
      </c>
      <c r="C7655" s="1">
        <f>HYPERLINK("https://cao.dolgi.msk.ru/account/1011198133/", 1011198133)</f>
        <v>1011198133</v>
      </c>
      <c r="D7655">
        <v>-80.92</v>
      </c>
    </row>
    <row r="7656" spans="1:4" hidden="1" x14ac:dyDescent="0.3">
      <c r="A7656" t="s">
        <v>711</v>
      </c>
      <c r="B7656" t="s">
        <v>5</v>
      </c>
      <c r="C7656" s="1">
        <f>HYPERLINK("https://cao.dolgi.msk.ru/account/1011197923/", 1011197923)</f>
        <v>1011197923</v>
      </c>
      <c r="D7656">
        <v>0</v>
      </c>
    </row>
    <row r="7657" spans="1:4" hidden="1" x14ac:dyDescent="0.3">
      <c r="A7657" t="s">
        <v>711</v>
      </c>
      <c r="B7657" t="s">
        <v>7</v>
      </c>
      <c r="C7657" s="1">
        <f>HYPERLINK("https://cao.dolgi.msk.ru/account/1011198096/", 1011198096)</f>
        <v>1011198096</v>
      </c>
      <c r="D7657">
        <v>-35067.94</v>
      </c>
    </row>
    <row r="7658" spans="1:4" x14ac:dyDescent="0.3">
      <c r="A7658" t="s">
        <v>711</v>
      </c>
      <c r="B7658" t="s">
        <v>8</v>
      </c>
      <c r="C7658" s="1">
        <f>HYPERLINK("https://cao.dolgi.msk.ru/account/1011197982/", 1011197982)</f>
        <v>1011197982</v>
      </c>
      <c r="D7658">
        <v>14225.66</v>
      </c>
    </row>
    <row r="7659" spans="1:4" hidden="1" x14ac:dyDescent="0.3">
      <c r="A7659" t="s">
        <v>711</v>
      </c>
      <c r="B7659" t="s">
        <v>31</v>
      </c>
      <c r="C7659" s="1">
        <f>HYPERLINK("https://cao.dolgi.msk.ru/account/1011197886/", 1011197886)</f>
        <v>1011197886</v>
      </c>
      <c r="D7659">
        <v>-1267.08</v>
      </c>
    </row>
    <row r="7660" spans="1:4" hidden="1" x14ac:dyDescent="0.3">
      <c r="A7660" t="s">
        <v>711</v>
      </c>
      <c r="B7660" t="s">
        <v>9</v>
      </c>
      <c r="C7660" s="1">
        <f>HYPERLINK("https://cao.dolgi.msk.ru/account/1011197894/", 1011197894)</f>
        <v>1011197894</v>
      </c>
      <c r="D7660">
        <v>0</v>
      </c>
    </row>
    <row r="7661" spans="1:4" hidden="1" x14ac:dyDescent="0.3">
      <c r="A7661" t="s">
        <v>711</v>
      </c>
      <c r="B7661" t="s">
        <v>10</v>
      </c>
      <c r="C7661" s="1">
        <f>HYPERLINK("https://cao.dolgi.msk.ru/account/1011198053/", 1011198053)</f>
        <v>1011198053</v>
      </c>
      <c r="D7661">
        <v>-8593.85</v>
      </c>
    </row>
    <row r="7662" spans="1:4" x14ac:dyDescent="0.3">
      <c r="A7662" t="s">
        <v>711</v>
      </c>
      <c r="B7662" t="s">
        <v>11</v>
      </c>
      <c r="C7662" s="1">
        <f>HYPERLINK("https://cao.dolgi.msk.ru/account/1011198176/", 1011198176)</f>
        <v>1011198176</v>
      </c>
      <c r="D7662">
        <v>11657.29</v>
      </c>
    </row>
    <row r="7663" spans="1:4" hidden="1" x14ac:dyDescent="0.3">
      <c r="A7663" t="s">
        <v>711</v>
      </c>
      <c r="B7663" t="s">
        <v>12</v>
      </c>
      <c r="C7663" s="1">
        <f>HYPERLINK("https://cao.dolgi.msk.ru/account/1011198061/", 1011198061)</f>
        <v>1011198061</v>
      </c>
      <c r="D7663">
        <v>-4093.14</v>
      </c>
    </row>
    <row r="7664" spans="1:4" hidden="1" x14ac:dyDescent="0.3">
      <c r="A7664" t="s">
        <v>711</v>
      </c>
      <c r="B7664" t="s">
        <v>23</v>
      </c>
      <c r="C7664" s="1">
        <f>HYPERLINK("https://cao.dolgi.msk.ru/account/1011197931/", 1011197931)</f>
        <v>1011197931</v>
      </c>
      <c r="D7664">
        <v>0</v>
      </c>
    </row>
    <row r="7665" spans="1:4" x14ac:dyDescent="0.3">
      <c r="A7665" t="s">
        <v>711</v>
      </c>
      <c r="B7665" t="s">
        <v>13</v>
      </c>
      <c r="C7665" s="1">
        <f>HYPERLINK("https://cao.dolgi.msk.ru/account/1011198192/", 1011198192)</f>
        <v>1011198192</v>
      </c>
      <c r="D7665">
        <v>0.03</v>
      </c>
    </row>
    <row r="7666" spans="1:4" x14ac:dyDescent="0.3">
      <c r="A7666" t="s">
        <v>711</v>
      </c>
      <c r="B7666" t="s">
        <v>14</v>
      </c>
      <c r="C7666" s="1">
        <f>HYPERLINK("https://cao.dolgi.msk.ru/account/1011514095/", 1011514095)</f>
        <v>1011514095</v>
      </c>
      <c r="D7666">
        <v>29577.57</v>
      </c>
    </row>
    <row r="7667" spans="1:4" hidden="1" x14ac:dyDescent="0.3">
      <c r="A7667" t="s">
        <v>711</v>
      </c>
      <c r="B7667" t="s">
        <v>16</v>
      </c>
      <c r="C7667" s="1">
        <f>HYPERLINK("https://cao.dolgi.msk.ru/account/1011198205/", 1011198205)</f>
        <v>1011198205</v>
      </c>
      <c r="D7667">
        <v>-4505.1899999999996</v>
      </c>
    </row>
    <row r="7668" spans="1:4" hidden="1" x14ac:dyDescent="0.3">
      <c r="A7668" t="s">
        <v>711</v>
      </c>
      <c r="B7668" t="s">
        <v>17</v>
      </c>
      <c r="C7668" s="1">
        <f>HYPERLINK("https://cao.dolgi.msk.ru/account/1011198002/", 1011198002)</f>
        <v>1011198002</v>
      </c>
      <c r="D7668">
        <v>0</v>
      </c>
    </row>
    <row r="7669" spans="1:4" x14ac:dyDescent="0.3">
      <c r="A7669" t="s">
        <v>711</v>
      </c>
      <c r="B7669" t="s">
        <v>18</v>
      </c>
      <c r="C7669" s="1">
        <f>HYPERLINK("https://cao.dolgi.msk.ru/account/1011198117/", 1011198117)</f>
        <v>1011198117</v>
      </c>
      <c r="D7669">
        <v>16813.11</v>
      </c>
    </row>
    <row r="7670" spans="1:4" hidden="1" x14ac:dyDescent="0.3">
      <c r="A7670" t="s">
        <v>711</v>
      </c>
      <c r="B7670" t="s">
        <v>19</v>
      </c>
      <c r="C7670" s="1">
        <f>HYPERLINK("https://cao.dolgi.msk.ru/account/1011197958/", 1011197958)</f>
        <v>1011197958</v>
      </c>
      <c r="D7670">
        <v>0</v>
      </c>
    </row>
    <row r="7671" spans="1:4" x14ac:dyDescent="0.3">
      <c r="A7671" t="s">
        <v>711</v>
      </c>
      <c r="B7671" t="s">
        <v>20</v>
      </c>
      <c r="C7671" s="1">
        <f>HYPERLINK("https://cao.dolgi.msk.ru/account/1011198088/", 1011198088)</f>
        <v>1011198088</v>
      </c>
      <c r="D7671">
        <v>714</v>
      </c>
    </row>
    <row r="7672" spans="1:4" x14ac:dyDescent="0.3">
      <c r="A7672" t="s">
        <v>711</v>
      </c>
      <c r="B7672" t="s">
        <v>21</v>
      </c>
      <c r="C7672" s="1">
        <f>HYPERLINK("https://cao.dolgi.msk.ru/account/1011198029/", 1011198029)</f>
        <v>1011198029</v>
      </c>
      <c r="D7672">
        <v>12591.29</v>
      </c>
    </row>
    <row r="7673" spans="1:4" hidden="1" x14ac:dyDescent="0.3">
      <c r="A7673" t="s">
        <v>711</v>
      </c>
      <c r="B7673" t="s">
        <v>22</v>
      </c>
      <c r="C7673" s="1">
        <f>HYPERLINK("https://cao.dolgi.msk.ru/account/1011198125/", 1011198125)</f>
        <v>1011198125</v>
      </c>
      <c r="D7673">
        <v>0</v>
      </c>
    </row>
    <row r="7674" spans="1:4" hidden="1" x14ac:dyDescent="0.3">
      <c r="A7674" t="s">
        <v>711</v>
      </c>
      <c r="B7674" t="s">
        <v>24</v>
      </c>
      <c r="C7674" s="1">
        <f>HYPERLINK("https://cao.dolgi.msk.ru/account/1011198037/", 1011198037)</f>
        <v>1011198037</v>
      </c>
      <c r="D7674">
        <v>0</v>
      </c>
    </row>
    <row r="7675" spans="1:4" hidden="1" x14ac:dyDescent="0.3">
      <c r="A7675" t="s">
        <v>711</v>
      </c>
      <c r="B7675" t="s">
        <v>25</v>
      </c>
      <c r="C7675" s="1">
        <f>HYPERLINK("https://cao.dolgi.msk.ru/account/1011197907/", 1011197907)</f>
        <v>1011197907</v>
      </c>
      <c r="D7675">
        <v>0</v>
      </c>
    </row>
    <row r="7676" spans="1:4" hidden="1" x14ac:dyDescent="0.3">
      <c r="A7676" t="s">
        <v>711</v>
      </c>
      <c r="B7676" t="s">
        <v>26</v>
      </c>
      <c r="C7676" s="1">
        <f>HYPERLINK("https://cao.dolgi.msk.ru/account/1011198213/", 1011198213)</f>
        <v>1011198213</v>
      </c>
      <c r="D7676">
        <v>-94768.25</v>
      </c>
    </row>
    <row r="7677" spans="1:4" x14ac:dyDescent="0.3">
      <c r="A7677" t="s">
        <v>711</v>
      </c>
      <c r="B7677" t="s">
        <v>27</v>
      </c>
      <c r="C7677" s="1">
        <f>HYPERLINK("https://cao.dolgi.msk.ru/account/1011198184/", 1011198184)</f>
        <v>1011198184</v>
      </c>
      <c r="D7677">
        <v>18184.87</v>
      </c>
    </row>
    <row r="7678" spans="1:4" hidden="1" x14ac:dyDescent="0.3">
      <c r="A7678" t="s">
        <v>711</v>
      </c>
      <c r="B7678" t="s">
        <v>29</v>
      </c>
      <c r="C7678" s="1">
        <f>HYPERLINK("https://cao.dolgi.msk.ru/account/1011526686/", 1011526686)</f>
        <v>1011526686</v>
      </c>
      <c r="D7678">
        <v>0</v>
      </c>
    </row>
    <row r="7679" spans="1:4" hidden="1" x14ac:dyDescent="0.3">
      <c r="A7679" t="s">
        <v>711</v>
      </c>
      <c r="B7679" t="s">
        <v>38</v>
      </c>
      <c r="C7679" s="1">
        <f>HYPERLINK("https://cao.dolgi.msk.ru/account/1011197966/", 1011197966)</f>
        <v>1011197966</v>
      </c>
      <c r="D7679">
        <v>0</v>
      </c>
    </row>
    <row r="7680" spans="1:4" x14ac:dyDescent="0.3">
      <c r="A7680" t="s">
        <v>711</v>
      </c>
      <c r="B7680" t="s">
        <v>39</v>
      </c>
      <c r="C7680" s="1">
        <f>HYPERLINK("https://cao.dolgi.msk.ru/account/1011198045/", 1011198045)</f>
        <v>1011198045</v>
      </c>
      <c r="D7680">
        <v>22788.17</v>
      </c>
    </row>
    <row r="7681" spans="1:4" hidden="1" x14ac:dyDescent="0.3">
      <c r="A7681" t="s">
        <v>711</v>
      </c>
      <c r="B7681" t="s">
        <v>39</v>
      </c>
      <c r="C7681" s="1">
        <f>HYPERLINK("https://cao.dolgi.msk.ru/account/1011385617/", 1011385617)</f>
        <v>1011385617</v>
      </c>
      <c r="D7681">
        <v>0</v>
      </c>
    </row>
    <row r="7682" spans="1:4" hidden="1" x14ac:dyDescent="0.3">
      <c r="A7682" t="s">
        <v>712</v>
      </c>
      <c r="B7682" t="s">
        <v>6</v>
      </c>
      <c r="C7682" s="1">
        <f>HYPERLINK("https://cao.dolgi.msk.ru/account/1011382926/", 1011382926)</f>
        <v>1011382926</v>
      </c>
      <c r="D7682">
        <v>0</v>
      </c>
    </row>
    <row r="7683" spans="1:4" hidden="1" x14ac:dyDescent="0.3">
      <c r="A7683" t="s">
        <v>712</v>
      </c>
      <c r="B7683" t="s">
        <v>28</v>
      </c>
      <c r="C7683" s="1">
        <f>HYPERLINK("https://cao.dolgi.msk.ru/account/1011382766/", 1011382766)</f>
        <v>1011382766</v>
      </c>
      <c r="D7683">
        <v>-919</v>
      </c>
    </row>
    <row r="7684" spans="1:4" hidden="1" x14ac:dyDescent="0.3">
      <c r="A7684" t="s">
        <v>712</v>
      </c>
      <c r="B7684" t="s">
        <v>35</v>
      </c>
      <c r="C7684" s="1">
        <f>HYPERLINK("https://cao.dolgi.msk.ru/account/1011382774/", 1011382774)</f>
        <v>1011382774</v>
      </c>
      <c r="D7684">
        <v>-435.3</v>
      </c>
    </row>
    <row r="7685" spans="1:4" hidden="1" x14ac:dyDescent="0.3">
      <c r="A7685" t="s">
        <v>712</v>
      </c>
      <c r="B7685" t="s">
        <v>5</v>
      </c>
      <c r="C7685" s="1">
        <f>HYPERLINK("https://cao.dolgi.msk.ru/account/1011382782/", 1011382782)</f>
        <v>1011382782</v>
      </c>
      <c r="D7685">
        <v>-4128.38</v>
      </c>
    </row>
    <row r="7686" spans="1:4" hidden="1" x14ac:dyDescent="0.3">
      <c r="A7686" t="s">
        <v>712</v>
      </c>
      <c r="B7686" t="s">
        <v>5</v>
      </c>
      <c r="C7686" s="1">
        <f>HYPERLINK("https://cao.dolgi.msk.ru/account/1011382942/", 1011382942)</f>
        <v>1011382942</v>
      </c>
      <c r="D7686">
        <v>0</v>
      </c>
    </row>
    <row r="7687" spans="1:4" hidden="1" x14ac:dyDescent="0.3">
      <c r="A7687" t="s">
        <v>712</v>
      </c>
      <c r="B7687" t="s">
        <v>7</v>
      </c>
      <c r="C7687" s="1">
        <f>HYPERLINK("https://cao.dolgi.msk.ru/account/1011382811/", 1011382811)</f>
        <v>1011382811</v>
      </c>
      <c r="D7687">
        <v>0</v>
      </c>
    </row>
    <row r="7688" spans="1:4" x14ac:dyDescent="0.3">
      <c r="A7688" t="s">
        <v>712</v>
      </c>
      <c r="B7688" t="s">
        <v>8</v>
      </c>
      <c r="C7688" s="1">
        <f>HYPERLINK("https://cao.dolgi.msk.ru/account/1011382838/", 1011382838)</f>
        <v>1011382838</v>
      </c>
      <c r="D7688">
        <v>2913.4</v>
      </c>
    </row>
    <row r="7689" spans="1:4" hidden="1" x14ac:dyDescent="0.3">
      <c r="A7689" t="s">
        <v>712</v>
      </c>
      <c r="B7689" t="s">
        <v>31</v>
      </c>
      <c r="C7689" s="1">
        <f>HYPERLINK("https://cao.dolgi.msk.ru/account/1011382854/", 1011382854)</f>
        <v>1011382854</v>
      </c>
      <c r="D7689">
        <v>0</v>
      </c>
    </row>
    <row r="7690" spans="1:4" hidden="1" x14ac:dyDescent="0.3">
      <c r="A7690" t="s">
        <v>712</v>
      </c>
      <c r="B7690" t="s">
        <v>9</v>
      </c>
      <c r="C7690" s="1">
        <f>HYPERLINK("https://cao.dolgi.msk.ru/account/1011382934/", 1011382934)</f>
        <v>1011382934</v>
      </c>
      <c r="D7690">
        <v>-7687.47</v>
      </c>
    </row>
    <row r="7691" spans="1:4" hidden="1" x14ac:dyDescent="0.3">
      <c r="A7691" t="s">
        <v>712</v>
      </c>
      <c r="B7691" t="s">
        <v>10</v>
      </c>
      <c r="C7691" s="1">
        <f>HYPERLINK("https://cao.dolgi.msk.ru/account/1011382862/", 1011382862)</f>
        <v>1011382862</v>
      </c>
      <c r="D7691">
        <v>-7318.05</v>
      </c>
    </row>
    <row r="7692" spans="1:4" hidden="1" x14ac:dyDescent="0.3">
      <c r="A7692" t="s">
        <v>712</v>
      </c>
      <c r="B7692" t="s">
        <v>11</v>
      </c>
      <c r="C7692" s="1">
        <f>HYPERLINK("https://cao.dolgi.msk.ru/account/1011382803/", 1011382803)</f>
        <v>1011382803</v>
      </c>
      <c r="D7692">
        <v>-6155.55</v>
      </c>
    </row>
    <row r="7693" spans="1:4" hidden="1" x14ac:dyDescent="0.3">
      <c r="A7693" t="s">
        <v>712</v>
      </c>
      <c r="B7693" t="s">
        <v>12</v>
      </c>
      <c r="C7693" s="1">
        <f>HYPERLINK("https://cao.dolgi.msk.ru/account/1011382889/", 1011382889)</f>
        <v>1011382889</v>
      </c>
      <c r="D7693">
        <v>0</v>
      </c>
    </row>
    <row r="7694" spans="1:4" x14ac:dyDescent="0.3">
      <c r="A7694" t="s">
        <v>712</v>
      </c>
      <c r="B7694" t="s">
        <v>23</v>
      </c>
      <c r="C7694" s="1">
        <f>HYPERLINK("https://cao.dolgi.msk.ru/account/1011382897/", 1011382897)</f>
        <v>1011382897</v>
      </c>
      <c r="D7694">
        <v>6331.6</v>
      </c>
    </row>
    <row r="7695" spans="1:4" hidden="1" x14ac:dyDescent="0.3">
      <c r="A7695" t="s">
        <v>712</v>
      </c>
      <c r="B7695" t="s">
        <v>13</v>
      </c>
      <c r="C7695" s="1">
        <f>HYPERLINK("https://cao.dolgi.msk.ru/account/1011382918/", 1011382918)</f>
        <v>1011382918</v>
      </c>
      <c r="D7695">
        <v>-318.35000000000002</v>
      </c>
    </row>
    <row r="7696" spans="1:4" x14ac:dyDescent="0.3">
      <c r="A7696" t="s">
        <v>712</v>
      </c>
      <c r="B7696" t="s">
        <v>14</v>
      </c>
      <c r="C7696" s="1">
        <f>HYPERLINK("https://cao.dolgi.msk.ru/account/1011382969/", 1011382969)</f>
        <v>1011382969</v>
      </c>
      <c r="D7696">
        <v>36345.1</v>
      </c>
    </row>
    <row r="7697" spans="1:4" hidden="1" x14ac:dyDescent="0.3">
      <c r="A7697" t="s">
        <v>712</v>
      </c>
      <c r="B7697" t="s">
        <v>16</v>
      </c>
      <c r="C7697" s="1">
        <f>HYPERLINK("https://cao.dolgi.msk.ru/account/1011382846/", 1011382846)</f>
        <v>1011382846</v>
      </c>
      <c r="D7697">
        <v>-6308.94</v>
      </c>
    </row>
    <row r="7698" spans="1:4" x14ac:dyDescent="0.3">
      <c r="A7698" t="s">
        <v>713</v>
      </c>
      <c r="B7698" t="s">
        <v>28</v>
      </c>
      <c r="C7698" s="1">
        <f>HYPERLINK("https://cao.dolgi.msk.ru/account/1011473641/", 1011473641)</f>
        <v>1011473641</v>
      </c>
      <c r="D7698">
        <v>506822.79</v>
      </c>
    </row>
    <row r="7699" spans="1:4" hidden="1" x14ac:dyDescent="0.3">
      <c r="A7699" t="s">
        <v>713</v>
      </c>
      <c r="B7699" t="s">
        <v>28</v>
      </c>
      <c r="C7699" s="1">
        <f>HYPERLINK("https://cao.dolgi.msk.ru/account/1011473756/", 1011473756)</f>
        <v>1011473756</v>
      </c>
      <c r="D7699">
        <v>0</v>
      </c>
    </row>
    <row r="7700" spans="1:4" hidden="1" x14ac:dyDescent="0.3">
      <c r="A7700" t="s">
        <v>713</v>
      </c>
      <c r="B7700" t="s">
        <v>35</v>
      </c>
      <c r="C7700" s="1">
        <f>HYPERLINK("https://cao.dolgi.msk.ru/account/1011473617/", 1011473617)</f>
        <v>1011473617</v>
      </c>
      <c r="D7700">
        <v>-2500.94</v>
      </c>
    </row>
    <row r="7701" spans="1:4" x14ac:dyDescent="0.3">
      <c r="A7701" t="s">
        <v>713</v>
      </c>
      <c r="B7701" t="s">
        <v>35</v>
      </c>
      <c r="C7701" s="1">
        <f>HYPERLINK("https://cao.dolgi.msk.ru/account/1011473721/", 1011473721)</f>
        <v>1011473721</v>
      </c>
      <c r="D7701">
        <v>9477.5300000000007</v>
      </c>
    </row>
    <row r="7702" spans="1:4" x14ac:dyDescent="0.3">
      <c r="A7702" t="s">
        <v>713</v>
      </c>
      <c r="B7702" t="s">
        <v>5</v>
      </c>
      <c r="C7702" s="1">
        <f>HYPERLINK("https://cao.dolgi.msk.ru/account/1011473668/", 1011473668)</f>
        <v>1011473668</v>
      </c>
      <c r="D7702">
        <v>31439.72</v>
      </c>
    </row>
    <row r="7703" spans="1:4" x14ac:dyDescent="0.3">
      <c r="A7703" t="s">
        <v>713</v>
      </c>
      <c r="B7703" t="s">
        <v>5</v>
      </c>
      <c r="C7703" s="1">
        <f>HYPERLINK("https://cao.dolgi.msk.ru/account/1011473676/", 1011473676)</f>
        <v>1011473676</v>
      </c>
      <c r="D7703">
        <v>58125.25</v>
      </c>
    </row>
    <row r="7704" spans="1:4" x14ac:dyDescent="0.3">
      <c r="A7704" t="s">
        <v>713</v>
      </c>
      <c r="B7704" t="s">
        <v>5</v>
      </c>
      <c r="C7704" s="1">
        <f>HYPERLINK("https://cao.dolgi.msk.ru/account/1011473692/", 1011473692)</f>
        <v>1011473692</v>
      </c>
      <c r="D7704">
        <v>23395.54</v>
      </c>
    </row>
    <row r="7705" spans="1:4" hidden="1" x14ac:dyDescent="0.3">
      <c r="A7705" t="s">
        <v>713</v>
      </c>
      <c r="B7705" t="s">
        <v>7</v>
      </c>
      <c r="C7705" s="1">
        <f>HYPERLINK("https://cao.dolgi.msk.ru/account/1011473764/", 1011473764)</f>
        <v>1011473764</v>
      </c>
      <c r="D7705">
        <v>0</v>
      </c>
    </row>
    <row r="7706" spans="1:4" hidden="1" x14ac:dyDescent="0.3">
      <c r="A7706" t="s">
        <v>713</v>
      </c>
      <c r="B7706" t="s">
        <v>8</v>
      </c>
      <c r="C7706" s="1">
        <f>HYPERLINK("https://cao.dolgi.msk.ru/account/1011473713/", 1011473713)</f>
        <v>1011473713</v>
      </c>
      <c r="D7706">
        <v>0</v>
      </c>
    </row>
    <row r="7707" spans="1:4" x14ac:dyDescent="0.3">
      <c r="A7707" t="s">
        <v>713</v>
      </c>
      <c r="B7707" t="s">
        <v>31</v>
      </c>
      <c r="C7707" s="1">
        <f>HYPERLINK("https://cao.dolgi.msk.ru/account/1011473705/", 1011473705)</f>
        <v>1011473705</v>
      </c>
      <c r="D7707">
        <v>16852.18</v>
      </c>
    </row>
    <row r="7708" spans="1:4" x14ac:dyDescent="0.3">
      <c r="A7708" t="s">
        <v>713</v>
      </c>
      <c r="B7708" t="s">
        <v>9</v>
      </c>
      <c r="C7708" s="1">
        <f>HYPERLINK("https://cao.dolgi.msk.ru/account/1011473633/", 1011473633)</f>
        <v>1011473633</v>
      </c>
      <c r="D7708">
        <v>89802.12</v>
      </c>
    </row>
    <row r="7709" spans="1:4" hidden="1" x14ac:dyDescent="0.3">
      <c r="A7709" t="s">
        <v>713</v>
      </c>
      <c r="B7709" t="s">
        <v>10</v>
      </c>
      <c r="C7709" s="1">
        <f>HYPERLINK("https://cao.dolgi.msk.ru/account/1011473684/", 1011473684)</f>
        <v>1011473684</v>
      </c>
      <c r="D7709">
        <v>0</v>
      </c>
    </row>
    <row r="7710" spans="1:4" hidden="1" x14ac:dyDescent="0.3">
      <c r="A7710" t="s">
        <v>713</v>
      </c>
      <c r="B7710" t="s">
        <v>11</v>
      </c>
      <c r="C7710" s="1">
        <f>HYPERLINK("https://cao.dolgi.msk.ru/account/1011473748/", 1011473748)</f>
        <v>1011473748</v>
      </c>
      <c r="D7710">
        <v>-26678.63</v>
      </c>
    </row>
    <row r="7711" spans="1:4" hidden="1" x14ac:dyDescent="0.3">
      <c r="A7711" t="s">
        <v>714</v>
      </c>
      <c r="B7711" t="s">
        <v>6</v>
      </c>
      <c r="C7711" s="1">
        <f>HYPERLINK("https://cao.dolgi.msk.ru/account/1011498005/", 1011498005)</f>
        <v>1011498005</v>
      </c>
      <c r="D7711">
        <v>0</v>
      </c>
    </row>
    <row r="7712" spans="1:4" hidden="1" x14ac:dyDescent="0.3">
      <c r="A7712" t="s">
        <v>714</v>
      </c>
      <c r="B7712" t="s">
        <v>28</v>
      </c>
      <c r="C7712" s="1">
        <f>HYPERLINK("https://cao.dolgi.msk.ru/account/1011497985/", 1011497985)</f>
        <v>1011497985</v>
      </c>
      <c r="D7712">
        <v>-6355.01</v>
      </c>
    </row>
    <row r="7713" spans="1:4" hidden="1" x14ac:dyDescent="0.3">
      <c r="A7713" t="s">
        <v>714</v>
      </c>
      <c r="B7713" t="s">
        <v>35</v>
      </c>
      <c r="C7713" s="1">
        <f>HYPERLINK("https://cao.dolgi.msk.ru/account/1011497993/", 1011497993)</f>
        <v>1011497993</v>
      </c>
      <c r="D7713">
        <v>-20774.13</v>
      </c>
    </row>
    <row r="7714" spans="1:4" hidden="1" x14ac:dyDescent="0.3">
      <c r="A7714" t="s">
        <v>714</v>
      </c>
      <c r="B7714" t="s">
        <v>7</v>
      </c>
      <c r="C7714" s="1">
        <f>HYPERLINK("https://cao.dolgi.msk.ru/account/1011497811/", 1011497811)</f>
        <v>1011497811</v>
      </c>
      <c r="D7714">
        <v>0</v>
      </c>
    </row>
    <row r="7715" spans="1:4" hidden="1" x14ac:dyDescent="0.3">
      <c r="A7715" t="s">
        <v>714</v>
      </c>
      <c r="B7715" t="s">
        <v>8</v>
      </c>
      <c r="C7715" s="1">
        <f>HYPERLINK("https://cao.dolgi.msk.ru/account/1011497803/", 1011497803)</f>
        <v>1011497803</v>
      </c>
      <c r="D7715">
        <v>0</v>
      </c>
    </row>
    <row r="7716" spans="1:4" hidden="1" x14ac:dyDescent="0.3">
      <c r="A7716" t="s">
        <v>714</v>
      </c>
      <c r="B7716" t="s">
        <v>31</v>
      </c>
      <c r="C7716" s="1">
        <f>HYPERLINK("https://cao.dolgi.msk.ru/account/1011497838/", 1011497838)</f>
        <v>1011497838</v>
      </c>
      <c r="D7716">
        <v>0</v>
      </c>
    </row>
    <row r="7717" spans="1:4" hidden="1" x14ac:dyDescent="0.3">
      <c r="A7717" t="s">
        <v>714</v>
      </c>
      <c r="B7717" t="s">
        <v>9</v>
      </c>
      <c r="C7717" s="1">
        <f>HYPERLINK("https://cao.dolgi.msk.ru/account/1011497918/", 1011497918)</f>
        <v>1011497918</v>
      </c>
      <c r="D7717">
        <v>0</v>
      </c>
    </row>
    <row r="7718" spans="1:4" hidden="1" x14ac:dyDescent="0.3">
      <c r="A7718" t="s">
        <v>714</v>
      </c>
      <c r="B7718" t="s">
        <v>10</v>
      </c>
      <c r="C7718" s="1">
        <f>HYPERLINK("https://cao.dolgi.msk.ru/account/1011497846/", 1011497846)</f>
        <v>1011497846</v>
      </c>
      <c r="D7718">
        <v>-7842.14</v>
      </c>
    </row>
    <row r="7719" spans="1:4" hidden="1" x14ac:dyDescent="0.3">
      <c r="A7719" t="s">
        <v>714</v>
      </c>
      <c r="B7719" t="s">
        <v>11</v>
      </c>
      <c r="C7719" s="1">
        <f>HYPERLINK("https://cao.dolgi.msk.ru/account/1011497854/", 1011497854)</f>
        <v>1011497854</v>
      </c>
      <c r="D7719">
        <v>0</v>
      </c>
    </row>
    <row r="7720" spans="1:4" hidden="1" x14ac:dyDescent="0.3">
      <c r="A7720" t="s">
        <v>714</v>
      </c>
      <c r="B7720" t="s">
        <v>12</v>
      </c>
      <c r="C7720" s="1">
        <f>HYPERLINK("https://cao.dolgi.msk.ru/account/1011498021/", 1011498021)</f>
        <v>1011498021</v>
      </c>
      <c r="D7720">
        <v>0</v>
      </c>
    </row>
    <row r="7721" spans="1:4" hidden="1" x14ac:dyDescent="0.3">
      <c r="A7721" t="s">
        <v>714</v>
      </c>
      <c r="B7721" t="s">
        <v>23</v>
      </c>
      <c r="C7721" s="1">
        <f>HYPERLINK("https://cao.dolgi.msk.ru/account/1011497926/", 1011497926)</f>
        <v>1011497926</v>
      </c>
      <c r="D7721">
        <v>0</v>
      </c>
    </row>
    <row r="7722" spans="1:4" hidden="1" x14ac:dyDescent="0.3">
      <c r="A7722" t="s">
        <v>714</v>
      </c>
      <c r="B7722" t="s">
        <v>23</v>
      </c>
      <c r="C7722" s="1">
        <f>HYPERLINK("https://cao.dolgi.msk.ru/account/1011498048/", 1011498048)</f>
        <v>1011498048</v>
      </c>
      <c r="D7722">
        <v>0</v>
      </c>
    </row>
    <row r="7723" spans="1:4" hidden="1" x14ac:dyDescent="0.3">
      <c r="A7723" t="s">
        <v>714</v>
      </c>
      <c r="B7723" t="s">
        <v>13</v>
      </c>
      <c r="C7723" s="1">
        <f>HYPERLINK("https://cao.dolgi.msk.ru/account/1011497934/", 1011497934)</f>
        <v>1011497934</v>
      </c>
      <c r="D7723">
        <v>-7.54</v>
      </c>
    </row>
    <row r="7724" spans="1:4" hidden="1" x14ac:dyDescent="0.3">
      <c r="A7724" t="s">
        <v>714</v>
      </c>
      <c r="B7724" t="s">
        <v>14</v>
      </c>
      <c r="C7724" s="1">
        <f>HYPERLINK("https://cao.dolgi.msk.ru/account/1011497862/", 1011497862)</f>
        <v>1011497862</v>
      </c>
      <c r="D7724">
        <v>0</v>
      </c>
    </row>
    <row r="7725" spans="1:4" hidden="1" x14ac:dyDescent="0.3">
      <c r="A7725" t="s">
        <v>714</v>
      </c>
      <c r="B7725" t="s">
        <v>16</v>
      </c>
      <c r="C7725" s="1">
        <f>HYPERLINK("https://cao.dolgi.msk.ru/account/1011497889/", 1011497889)</f>
        <v>1011497889</v>
      </c>
      <c r="D7725">
        <v>0</v>
      </c>
    </row>
    <row r="7726" spans="1:4" x14ac:dyDescent="0.3">
      <c r="A7726" t="s">
        <v>714</v>
      </c>
      <c r="B7726" t="s">
        <v>17</v>
      </c>
      <c r="C7726" s="1">
        <f>HYPERLINK("https://cao.dolgi.msk.ru/account/1011498013/", 1011498013)</f>
        <v>1011498013</v>
      </c>
      <c r="D7726">
        <v>8053.29</v>
      </c>
    </row>
    <row r="7727" spans="1:4" hidden="1" x14ac:dyDescent="0.3">
      <c r="A7727" t="s">
        <v>714</v>
      </c>
      <c r="B7727" t="s">
        <v>18</v>
      </c>
      <c r="C7727" s="1">
        <f>HYPERLINK("https://cao.dolgi.msk.ru/account/1011497897/", 1011497897)</f>
        <v>1011497897</v>
      </c>
      <c r="D7727">
        <v>0</v>
      </c>
    </row>
    <row r="7728" spans="1:4" hidden="1" x14ac:dyDescent="0.3">
      <c r="A7728" t="s">
        <v>714</v>
      </c>
      <c r="B7728" t="s">
        <v>19</v>
      </c>
      <c r="C7728" s="1">
        <f>HYPERLINK("https://cao.dolgi.msk.ru/account/1011498064/", 1011498064)</f>
        <v>1011498064</v>
      </c>
      <c r="D7728">
        <v>-30.3</v>
      </c>
    </row>
    <row r="7729" spans="1:4" hidden="1" x14ac:dyDescent="0.3">
      <c r="A7729" t="s">
        <v>714</v>
      </c>
      <c r="B7729" t="s">
        <v>20</v>
      </c>
      <c r="C7729" s="1">
        <f>HYPERLINK("https://cao.dolgi.msk.ru/account/1011497942/", 1011497942)</f>
        <v>1011497942</v>
      </c>
      <c r="D7729">
        <v>-5473.22</v>
      </c>
    </row>
    <row r="7730" spans="1:4" x14ac:dyDescent="0.3">
      <c r="A7730" t="s">
        <v>714</v>
      </c>
      <c r="B7730" t="s">
        <v>21</v>
      </c>
      <c r="C7730" s="1">
        <f>HYPERLINK("https://cao.dolgi.msk.ru/account/1011497969/", 1011497969)</f>
        <v>1011497969</v>
      </c>
      <c r="D7730">
        <v>2639.84</v>
      </c>
    </row>
    <row r="7731" spans="1:4" hidden="1" x14ac:dyDescent="0.3">
      <c r="A7731" t="s">
        <v>714</v>
      </c>
      <c r="B7731" t="s">
        <v>21</v>
      </c>
      <c r="C7731" s="1">
        <f>HYPERLINK("https://cao.dolgi.msk.ru/account/1011497977/", 1011497977)</f>
        <v>1011497977</v>
      </c>
      <c r="D7731">
        <v>0</v>
      </c>
    </row>
    <row r="7732" spans="1:4" x14ac:dyDescent="0.3">
      <c r="A7732" t="s">
        <v>714</v>
      </c>
      <c r="B7732" t="s">
        <v>21</v>
      </c>
      <c r="C7732" s="1">
        <f>HYPERLINK("https://cao.dolgi.msk.ru/account/1011498056/", 1011498056)</f>
        <v>1011498056</v>
      </c>
      <c r="D7732">
        <v>15914.9</v>
      </c>
    </row>
    <row r="7733" spans="1:4" x14ac:dyDescent="0.3">
      <c r="A7733" t="s">
        <v>715</v>
      </c>
      <c r="B7733" t="s">
        <v>6</v>
      </c>
      <c r="C7733" s="1">
        <f>HYPERLINK("https://cao.dolgi.msk.ru/account/1011474046/", 1011474046)</f>
        <v>1011474046</v>
      </c>
      <c r="D7733">
        <v>52143.19</v>
      </c>
    </row>
    <row r="7734" spans="1:4" x14ac:dyDescent="0.3">
      <c r="A7734" t="s">
        <v>715</v>
      </c>
      <c r="B7734" t="s">
        <v>28</v>
      </c>
      <c r="C7734" s="1">
        <f>HYPERLINK("https://cao.dolgi.msk.ru/account/1011474054/", 1011474054)</f>
        <v>1011474054</v>
      </c>
      <c r="D7734">
        <v>44022.54</v>
      </c>
    </row>
    <row r="7735" spans="1:4" x14ac:dyDescent="0.3">
      <c r="A7735" t="s">
        <v>715</v>
      </c>
      <c r="B7735" t="s">
        <v>35</v>
      </c>
      <c r="C7735" s="1">
        <f>HYPERLINK("https://cao.dolgi.msk.ru/account/1011474062/", 1011474062)</f>
        <v>1011474062</v>
      </c>
      <c r="D7735">
        <v>116222.33</v>
      </c>
    </row>
    <row r="7736" spans="1:4" x14ac:dyDescent="0.3">
      <c r="A7736" t="s">
        <v>715</v>
      </c>
      <c r="B7736" t="s">
        <v>5</v>
      </c>
      <c r="C7736" s="1">
        <f>HYPERLINK("https://cao.dolgi.msk.ru/account/1011474089/", 1011474089)</f>
        <v>1011474089</v>
      </c>
      <c r="D7736">
        <v>25709.56</v>
      </c>
    </row>
    <row r="7737" spans="1:4" hidden="1" x14ac:dyDescent="0.3">
      <c r="A7737" t="s">
        <v>716</v>
      </c>
      <c r="B7737" t="s">
        <v>35</v>
      </c>
      <c r="C7737" s="1">
        <f>HYPERLINK("https://cao.dolgi.msk.ru/account/1011485853/", 1011485853)</f>
        <v>1011485853</v>
      </c>
      <c r="D7737">
        <v>0</v>
      </c>
    </row>
    <row r="7738" spans="1:4" hidden="1" x14ac:dyDescent="0.3">
      <c r="A7738" t="s">
        <v>716</v>
      </c>
      <c r="B7738" t="s">
        <v>5</v>
      </c>
      <c r="C7738" s="1">
        <f>HYPERLINK("https://cao.dolgi.msk.ru/account/1011485861/", 1011485861)</f>
        <v>1011485861</v>
      </c>
      <c r="D7738">
        <v>0</v>
      </c>
    </row>
    <row r="7739" spans="1:4" x14ac:dyDescent="0.3">
      <c r="A7739" t="s">
        <v>716</v>
      </c>
      <c r="B7739" t="s">
        <v>7</v>
      </c>
      <c r="C7739" s="1">
        <f>HYPERLINK("https://cao.dolgi.msk.ru/account/1011485888/", 1011485888)</f>
        <v>1011485888</v>
      </c>
      <c r="D7739">
        <v>8293.16</v>
      </c>
    </row>
    <row r="7740" spans="1:4" hidden="1" x14ac:dyDescent="0.3">
      <c r="A7740" t="s">
        <v>716</v>
      </c>
      <c r="B7740" t="s">
        <v>8</v>
      </c>
      <c r="C7740" s="1">
        <f>HYPERLINK("https://cao.dolgi.msk.ru/account/1011485722/", 1011485722)</f>
        <v>1011485722</v>
      </c>
      <c r="D7740">
        <v>0</v>
      </c>
    </row>
    <row r="7741" spans="1:4" x14ac:dyDescent="0.3">
      <c r="A7741" t="s">
        <v>716</v>
      </c>
      <c r="B7741" t="s">
        <v>31</v>
      </c>
      <c r="C7741" s="1">
        <f>HYPERLINK("https://cao.dolgi.msk.ru/account/1011486194/", 1011486194)</f>
        <v>1011486194</v>
      </c>
      <c r="D7741">
        <v>7983.11</v>
      </c>
    </row>
    <row r="7742" spans="1:4" hidden="1" x14ac:dyDescent="0.3">
      <c r="A7742" t="s">
        <v>716</v>
      </c>
      <c r="B7742" t="s">
        <v>9</v>
      </c>
      <c r="C7742" s="1">
        <f>HYPERLINK("https://cao.dolgi.msk.ru/account/1011486047/", 1011486047)</f>
        <v>1011486047</v>
      </c>
      <c r="D7742">
        <v>0</v>
      </c>
    </row>
    <row r="7743" spans="1:4" hidden="1" x14ac:dyDescent="0.3">
      <c r="A7743" t="s">
        <v>716</v>
      </c>
      <c r="B7743" t="s">
        <v>10</v>
      </c>
      <c r="C7743" s="1">
        <f>HYPERLINK("https://cao.dolgi.msk.ru/account/1011485773/", 1011485773)</f>
        <v>1011485773</v>
      </c>
      <c r="D7743">
        <v>0</v>
      </c>
    </row>
    <row r="7744" spans="1:4" hidden="1" x14ac:dyDescent="0.3">
      <c r="A7744" t="s">
        <v>716</v>
      </c>
      <c r="B7744" t="s">
        <v>12</v>
      </c>
      <c r="C7744" s="1">
        <f>HYPERLINK("https://cao.dolgi.msk.ru/account/1011485749/", 1011485749)</f>
        <v>1011485749</v>
      </c>
      <c r="D7744">
        <v>0</v>
      </c>
    </row>
    <row r="7745" spans="1:4" hidden="1" x14ac:dyDescent="0.3">
      <c r="A7745" t="s">
        <v>716</v>
      </c>
      <c r="B7745" t="s">
        <v>23</v>
      </c>
      <c r="C7745" s="1">
        <f>HYPERLINK("https://cao.dolgi.msk.ru/account/1011485845/", 1011485845)</f>
        <v>1011485845</v>
      </c>
      <c r="D7745">
        <v>-2328.56</v>
      </c>
    </row>
    <row r="7746" spans="1:4" hidden="1" x14ac:dyDescent="0.3">
      <c r="A7746" t="s">
        <v>716</v>
      </c>
      <c r="B7746" t="s">
        <v>23</v>
      </c>
      <c r="C7746" s="1">
        <f>HYPERLINK("https://cao.dolgi.msk.ru/account/1011486098/", 1011486098)</f>
        <v>1011486098</v>
      </c>
      <c r="D7746">
        <v>-3271.93</v>
      </c>
    </row>
    <row r="7747" spans="1:4" hidden="1" x14ac:dyDescent="0.3">
      <c r="A7747" t="s">
        <v>716</v>
      </c>
      <c r="B7747" t="s">
        <v>23</v>
      </c>
      <c r="C7747" s="1">
        <f>HYPERLINK("https://cao.dolgi.msk.ru/account/1011486119/", 1011486119)</f>
        <v>1011486119</v>
      </c>
      <c r="D7747">
        <v>-3620.04</v>
      </c>
    </row>
    <row r="7748" spans="1:4" hidden="1" x14ac:dyDescent="0.3">
      <c r="A7748" t="s">
        <v>716</v>
      </c>
      <c r="B7748" t="s">
        <v>13</v>
      </c>
      <c r="C7748" s="1">
        <f>HYPERLINK("https://cao.dolgi.msk.ru/account/1011486055/", 1011486055)</f>
        <v>1011486055</v>
      </c>
      <c r="D7748">
        <v>0</v>
      </c>
    </row>
    <row r="7749" spans="1:4" hidden="1" x14ac:dyDescent="0.3">
      <c r="A7749" t="s">
        <v>716</v>
      </c>
      <c r="B7749" t="s">
        <v>14</v>
      </c>
      <c r="C7749" s="1">
        <f>HYPERLINK("https://cao.dolgi.msk.ru/account/1011485917/", 1011485917)</f>
        <v>1011485917</v>
      </c>
      <c r="D7749">
        <v>0</v>
      </c>
    </row>
    <row r="7750" spans="1:4" hidden="1" x14ac:dyDescent="0.3">
      <c r="A7750" t="s">
        <v>716</v>
      </c>
      <c r="B7750" t="s">
        <v>18</v>
      </c>
      <c r="C7750" s="1">
        <f>HYPERLINK("https://cao.dolgi.msk.ru/account/1011485757/", 1011485757)</f>
        <v>1011485757</v>
      </c>
      <c r="D7750">
        <v>-62.52</v>
      </c>
    </row>
    <row r="7751" spans="1:4" hidden="1" x14ac:dyDescent="0.3">
      <c r="A7751" t="s">
        <v>716</v>
      </c>
      <c r="B7751" t="s">
        <v>19</v>
      </c>
      <c r="C7751" s="1">
        <f>HYPERLINK("https://cao.dolgi.msk.ru/account/1011485925/", 1011485925)</f>
        <v>1011485925</v>
      </c>
      <c r="D7751">
        <v>0</v>
      </c>
    </row>
    <row r="7752" spans="1:4" hidden="1" x14ac:dyDescent="0.3">
      <c r="A7752" t="s">
        <v>716</v>
      </c>
      <c r="B7752" t="s">
        <v>20</v>
      </c>
      <c r="C7752" s="1">
        <f>HYPERLINK("https://cao.dolgi.msk.ru/account/1011486127/", 1011486127)</f>
        <v>1011486127</v>
      </c>
      <c r="D7752">
        <v>0</v>
      </c>
    </row>
    <row r="7753" spans="1:4" hidden="1" x14ac:dyDescent="0.3">
      <c r="A7753" t="s">
        <v>716</v>
      </c>
      <c r="B7753" t="s">
        <v>21</v>
      </c>
      <c r="C7753" s="1">
        <f>HYPERLINK("https://cao.dolgi.msk.ru/account/1011485933/", 1011485933)</f>
        <v>1011485933</v>
      </c>
      <c r="D7753">
        <v>-4677.76</v>
      </c>
    </row>
    <row r="7754" spans="1:4" hidden="1" x14ac:dyDescent="0.3">
      <c r="A7754" t="s">
        <v>716</v>
      </c>
      <c r="B7754" t="s">
        <v>22</v>
      </c>
      <c r="C7754" s="1">
        <f>HYPERLINK("https://cao.dolgi.msk.ru/account/1011486135/", 1011486135)</f>
        <v>1011486135</v>
      </c>
      <c r="D7754">
        <v>0</v>
      </c>
    </row>
    <row r="7755" spans="1:4" hidden="1" x14ac:dyDescent="0.3">
      <c r="A7755" t="s">
        <v>716</v>
      </c>
      <c r="B7755" t="s">
        <v>24</v>
      </c>
      <c r="C7755" s="1">
        <f>HYPERLINK("https://cao.dolgi.msk.ru/account/1011486143/", 1011486143)</f>
        <v>1011486143</v>
      </c>
      <c r="D7755">
        <v>-7587.34</v>
      </c>
    </row>
    <row r="7756" spans="1:4" hidden="1" x14ac:dyDescent="0.3">
      <c r="A7756" t="s">
        <v>716</v>
      </c>
      <c r="B7756" t="s">
        <v>25</v>
      </c>
      <c r="C7756" s="1">
        <f>HYPERLINK("https://cao.dolgi.msk.ru/account/1011485896/", 1011485896)</f>
        <v>1011485896</v>
      </c>
      <c r="D7756">
        <v>-292.86</v>
      </c>
    </row>
    <row r="7757" spans="1:4" hidden="1" x14ac:dyDescent="0.3">
      <c r="A7757" t="s">
        <v>716</v>
      </c>
      <c r="B7757" t="s">
        <v>26</v>
      </c>
      <c r="C7757" s="1">
        <f>HYPERLINK("https://cao.dolgi.msk.ru/account/1011485941/", 1011485941)</f>
        <v>1011485941</v>
      </c>
      <c r="D7757">
        <v>0</v>
      </c>
    </row>
    <row r="7758" spans="1:4" hidden="1" x14ac:dyDescent="0.3">
      <c r="A7758" t="s">
        <v>716</v>
      </c>
      <c r="B7758" t="s">
        <v>27</v>
      </c>
      <c r="C7758" s="1">
        <f>HYPERLINK("https://cao.dolgi.msk.ru/account/1011486151/", 1011486151)</f>
        <v>1011486151</v>
      </c>
      <c r="D7758">
        <v>0</v>
      </c>
    </row>
    <row r="7759" spans="1:4" hidden="1" x14ac:dyDescent="0.3">
      <c r="A7759" t="s">
        <v>716</v>
      </c>
      <c r="B7759" t="s">
        <v>29</v>
      </c>
      <c r="C7759" s="1">
        <f>HYPERLINK("https://cao.dolgi.msk.ru/account/1011485968/", 1011485968)</f>
        <v>1011485968</v>
      </c>
      <c r="D7759">
        <v>0</v>
      </c>
    </row>
    <row r="7760" spans="1:4" hidden="1" x14ac:dyDescent="0.3">
      <c r="A7760" t="s">
        <v>716</v>
      </c>
      <c r="B7760" t="s">
        <v>38</v>
      </c>
      <c r="C7760" s="1">
        <f>HYPERLINK("https://cao.dolgi.msk.ru/account/1011485976/", 1011485976)</f>
        <v>1011485976</v>
      </c>
      <c r="D7760">
        <v>0</v>
      </c>
    </row>
    <row r="7761" spans="1:4" hidden="1" x14ac:dyDescent="0.3">
      <c r="A7761" t="s">
        <v>716</v>
      </c>
      <c r="B7761" t="s">
        <v>39</v>
      </c>
      <c r="C7761" s="1">
        <f>HYPERLINK("https://cao.dolgi.msk.ru/account/1011486004/", 1011486004)</f>
        <v>1011486004</v>
      </c>
      <c r="D7761">
        <v>-6710.75</v>
      </c>
    </row>
    <row r="7762" spans="1:4" hidden="1" x14ac:dyDescent="0.3">
      <c r="A7762" t="s">
        <v>716</v>
      </c>
      <c r="B7762" t="s">
        <v>101</v>
      </c>
      <c r="C7762" s="1">
        <f>HYPERLINK("https://cao.dolgi.msk.ru/account/1011486012/", 1011486012)</f>
        <v>1011486012</v>
      </c>
      <c r="D7762">
        <v>-6522.45</v>
      </c>
    </row>
    <row r="7763" spans="1:4" hidden="1" x14ac:dyDescent="0.3">
      <c r="A7763" t="s">
        <v>716</v>
      </c>
      <c r="B7763" t="s">
        <v>82</v>
      </c>
      <c r="C7763" s="1">
        <f>HYPERLINK("https://cao.dolgi.msk.ru/account/1011485781/", 1011485781)</f>
        <v>1011485781</v>
      </c>
      <c r="D7763">
        <v>0</v>
      </c>
    </row>
    <row r="7764" spans="1:4" hidden="1" x14ac:dyDescent="0.3">
      <c r="A7764" t="s">
        <v>716</v>
      </c>
      <c r="B7764" t="s">
        <v>82</v>
      </c>
      <c r="C7764" s="1">
        <f>HYPERLINK("https://cao.dolgi.msk.ru/account/1011486039/", 1011486039)</f>
        <v>1011486039</v>
      </c>
      <c r="D7764">
        <v>0</v>
      </c>
    </row>
    <row r="7765" spans="1:4" hidden="1" x14ac:dyDescent="0.3">
      <c r="A7765" t="s">
        <v>716</v>
      </c>
      <c r="B7765" t="s">
        <v>83</v>
      </c>
      <c r="C7765" s="1">
        <f>HYPERLINK("https://cao.dolgi.msk.ru/account/1011485909/", 1011485909)</f>
        <v>1011485909</v>
      </c>
      <c r="D7765">
        <v>0</v>
      </c>
    </row>
    <row r="7766" spans="1:4" hidden="1" x14ac:dyDescent="0.3">
      <c r="A7766" t="s">
        <v>716</v>
      </c>
      <c r="B7766" t="s">
        <v>84</v>
      </c>
      <c r="C7766" s="1">
        <f>HYPERLINK("https://cao.dolgi.msk.ru/account/1011485802/", 1011485802)</f>
        <v>1011485802</v>
      </c>
      <c r="D7766">
        <v>-7033.8</v>
      </c>
    </row>
    <row r="7767" spans="1:4" hidden="1" x14ac:dyDescent="0.3">
      <c r="A7767" t="s">
        <v>716</v>
      </c>
      <c r="B7767" t="s">
        <v>85</v>
      </c>
      <c r="C7767" s="1">
        <f>HYPERLINK("https://cao.dolgi.msk.ru/account/1011485984/", 1011485984)</f>
        <v>1011485984</v>
      </c>
      <c r="D7767">
        <v>-2481.63</v>
      </c>
    </row>
    <row r="7768" spans="1:4" hidden="1" x14ac:dyDescent="0.3">
      <c r="A7768" t="s">
        <v>716</v>
      </c>
      <c r="B7768" t="s">
        <v>102</v>
      </c>
      <c r="C7768" s="1">
        <f>HYPERLINK("https://cao.dolgi.msk.ru/account/1011485992/", 1011485992)</f>
        <v>1011485992</v>
      </c>
      <c r="D7768">
        <v>0</v>
      </c>
    </row>
    <row r="7769" spans="1:4" hidden="1" x14ac:dyDescent="0.3">
      <c r="A7769" t="s">
        <v>716</v>
      </c>
      <c r="B7769" t="s">
        <v>103</v>
      </c>
      <c r="C7769" s="1">
        <f>HYPERLINK("https://cao.dolgi.msk.ru/account/1011486178/", 1011486178)</f>
        <v>1011486178</v>
      </c>
      <c r="D7769">
        <v>0</v>
      </c>
    </row>
    <row r="7770" spans="1:4" hidden="1" x14ac:dyDescent="0.3">
      <c r="A7770" t="s">
        <v>716</v>
      </c>
      <c r="B7770" t="s">
        <v>104</v>
      </c>
      <c r="C7770" s="1">
        <f>HYPERLINK("https://cao.dolgi.msk.ru/account/1011486063/", 1011486063)</f>
        <v>1011486063</v>
      </c>
      <c r="D7770">
        <v>0</v>
      </c>
    </row>
    <row r="7771" spans="1:4" hidden="1" x14ac:dyDescent="0.3">
      <c r="A7771" t="s">
        <v>716</v>
      </c>
      <c r="B7771" t="s">
        <v>105</v>
      </c>
      <c r="C7771" s="1">
        <f>HYPERLINK("https://cao.dolgi.msk.ru/account/1011485765/", 1011485765)</f>
        <v>1011485765</v>
      </c>
      <c r="D7771">
        <v>0</v>
      </c>
    </row>
    <row r="7772" spans="1:4" hidden="1" x14ac:dyDescent="0.3">
      <c r="A7772" t="s">
        <v>716</v>
      </c>
      <c r="B7772" t="s">
        <v>106</v>
      </c>
      <c r="C7772" s="1">
        <f>HYPERLINK("https://cao.dolgi.msk.ru/account/1011485829/", 1011485829)</f>
        <v>1011485829</v>
      </c>
      <c r="D7772">
        <v>-1808.49</v>
      </c>
    </row>
    <row r="7773" spans="1:4" hidden="1" x14ac:dyDescent="0.3">
      <c r="A7773" t="s">
        <v>716</v>
      </c>
      <c r="B7773" t="s">
        <v>107</v>
      </c>
      <c r="C7773" s="1">
        <f>HYPERLINK("https://cao.dolgi.msk.ru/account/1011486186/", 1011486186)</f>
        <v>1011486186</v>
      </c>
      <c r="D7773">
        <v>0</v>
      </c>
    </row>
    <row r="7774" spans="1:4" hidden="1" x14ac:dyDescent="0.3">
      <c r="A7774" t="s">
        <v>716</v>
      </c>
      <c r="B7774" t="s">
        <v>108</v>
      </c>
      <c r="C7774" s="1">
        <f>HYPERLINK("https://cao.dolgi.msk.ru/account/1011486071/", 1011486071)</f>
        <v>1011486071</v>
      </c>
      <c r="D7774">
        <v>0</v>
      </c>
    </row>
    <row r="7775" spans="1:4" hidden="1" x14ac:dyDescent="0.3">
      <c r="A7775" t="s">
        <v>717</v>
      </c>
      <c r="B7775" t="s">
        <v>40</v>
      </c>
      <c r="C7775" s="1">
        <f>HYPERLINK("https://cao.dolgi.msk.ru/account/1011474425/", 1011474425)</f>
        <v>1011474425</v>
      </c>
      <c r="D7775">
        <v>-6726.8</v>
      </c>
    </row>
    <row r="7776" spans="1:4" hidden="1" x14ac:dyDescent="0.3">
      <c r="A7776" t="s">
        <v>717</v>
      </c>
      <c r="B7776" t="s">
        <v>41</v>
      </c>
      <c r="C7776" s="1">
        <f>HYPERLINK("https://cao.dolgi.msk.ru/account/1011474097/", 1011474097)</f>
        <v>1011474097</v>
      </c>
      <c r="D7776">
        <v>0</v>
      </c>
    </row>
    <row r="7777" spans="1:4" hidden="1" x14ac:dyDescent="0.3">
      <c r="A7777" t="s">
        <v>717</v>
      </c>
      <c r="B7777" t="s">
        <v>51</v>
      </c>
      <c r="C7777" s="1">
        <f>HYPERLINK("https://cao.dolgi.msk.ru/account/1011474302/", 1011474302)</f>
        <v>1011474302</v>
      </c>
      <c r="D7777">
        <v>0</v>
      </c>
    </row>
    <row r="7778" spans="1:4" hidden="1" x14ac:dyDescent="0.3">
      <c r="A7778" t="s">
        <v>717</v>
      </c>
      <c r="B7778" t="s">
        <v>52</v>
      </c>
      <c r="C7778" s="1">
        <f>HYPERLINK("https://cao.dolgi.msk.ru/account/1011474118/", 1011474118)</f>
        <v>1011474118</v>
      </c>
      <c r="D7778">
        <v>-4835.16</v>
      </c>
    </row>
    <row r="7779" spans="1:4" hidden="1" x14ac:dyDescent="0.3">
      <c r="A7779" t="s">
        <v>717</v>
      </c>
      <c r="B7779" t="s">
        <v>53</v>
      </c>
      <c r="C7779" s="1">
        <f>HYPERLINK("https://cao.dolgi.msk.ru/account/1011474177/", 1011474177)</f>
        <v>1011474177</v>
      </c>
      <c r="D7779">
        <v>0</v>
      </c>
    </row>
    <row r="7780" spans="1:4" x14ac:dyDescent="0.3">
      <c r="A7780" t="s">
        <v>717</v>
      </c>
      <c r="B7780" t="s">
        <v>54</v>
      </c>
      <c r="C7780" s="1">
        <f>HYPERLINK("https://cao.dolgi.msk.ru/account/1011474222/", 1011474222)</f>
        <v>1011474222</v>
      </c>
      <c r="D7780">
        <v>14750.34</v>
      </c>
    </row>
    <row r="7781" spans="1:4" x14ac:dyDescent="0.3">
      <c r="A7781" t="s">
        <v>717</v>
      </c>
      <c r="B7781" t="s">
        <v>55</v>
      </c>
      <c r="C7781" s="1">
        <f>HYPERLINK("https://cao.dolgi.msk.ru/account/1011474329/", 1011474329)</f>
        <v>1011474329</v>
      </c>
      <c r="D7781">
        <v>75943.820000000007</v>
      </c>
    </row>
    <row r="7782" spans="1:4" hidden="1" x14ac:dyDescent="0.3">
      <c r="A7782" t="s">
        <v>717</v>
      </c>
      <c r="B7782" t="s">
        <v>56</v>
      </c>
      <c r="C7782" s="1">
        <f>HYPERLINK("https://cao.dolgi.msk.ru/account/1011474433/", 1011474433)</f>
        <v>1011474433</v>
      </c>
      <c r="D7782">
        <v>0</v>
      </c>
    </row>
    <row r="7783" spans="1:4" hidden="1" x14ac:dyDescent="0.3">
      <c r="A7783" t="s">
        <v>717</v>
      </c>
      <c r="B7783" t="s">
        <v>87</v>
      </c>
      <c r="C7783" s="1">
        <f>HYPERLINK("https://cao.dolgi.msk.ru/account/1011474126/", 1011474126)</f>
        <v>1011474126</v>
      </c>
      <c r="D7783">
        <v>0</v>
      </c>
    </row>
    <row r="7784" spans="1:4" x14ac:dyDescent="0.3">
      <c r="A7784" t="s">
        <v>717</v>
      </c>
      <c r="B7784" t="s">
        <v>88</v>
      </c>
      <c r="C7784" s="1">
        <f>HYPERLINK("https://cao.dolgi.msk.ru/account/1011474249/", 1011474249)</f>
        <v>1011474249</v>
      </c>
      <c r="D7784">
        <v>9298.85</v>
      </c>
    </row>
    <row r="7785" spans="1:4" hidden="1" x14ac:dyDescent="0.3">
      <c r="A7785" t="s">
        <v>717</v>
      </c>
      <c r="B7785" t="s">
        <v>89</v>
      </c>
      <c r="C7785" s="1">
        <f>HYPERLINK("https://cao.dolgi.msk.ru/account/1011474257/", 1011474257)</f>
        <v>1011474257</v>
      </c>
      <c r="D7785">
        <v>-7609.77</v>
      </c>
    </row>
    <row r="7786" spans="1:4" hidden="1" x14ac:dyDescent="0.3">
      <c r="A7786" t="s">
        <v>717</v>
      </c>
      <c r="B7786" t="s">
        <v>90</v>
      </c>
      <c r="C7786" s="1">
        <f>HYPERLINK("https://cao.dolgi.msk.ru/account/1011474337/", 1011474337)</f>
        <v>1011474337</v>
      </c>
      <c r="D7786">
        <v>0</v>
      </c>
    </row>
    <row r="7787" spans="1:4" hidden="1" x14ac:dyDescent="0.3">
      <c r="A7787" t="s">
        <v>717</v>
      </c>
      <c r="B7787" t="s">
        <v>96</v>
      </c>
      <c r="C7787" s="1">
        <f>HYPERLINK("https://cao.dolgi.msk.ru/account/1011474441/", 1011474441)</f>
        <v>1011474441</v>
      </c>
      <c r="D7787">
        <v>0</v>
      </c>
    </row>
    <row r="7788" spans="1:4" hidden="1" x14ac:dyDescent="0.3">
      <c r="A7788" t="s">
        <v>717</v>
      </c>
      <c r="B7788" t="s">
        <v>97</v>
      </c>
      <c r="C7788" s="1">
        <f>HYPERLINK("https://cao.dolgi.msk.ru/account/1011474134/", 1011474134)</f>
        <v>1011474134</v>
      </c>
      <c r="D7788">
        <v>0</v>
      </c>
    </row>
    <row r="7789" spans="1:4" hidden="1" x14ac:dyDescent="0.3">
      <c r="A7789" t="s">
        <v>717</v>
      </c>
      <c r="B7789" t="s">
        <v>98</v>
      </c>
      <c r="C7789" s="1">
        <f>HYPERLINK("https://cao.dolgi.msk.ru/account/1011474513/", 1011474513)</f>
        <v>1011474513</v>
      </c>
      <c r="D7789">
        <v>-38.619999999999997</v>
      </c>
    </row>
    <row r="7790" spans="1:4" hidden="1" x14ac:dyDescent="0.3">
      <c r="A7790" t="s">
        <v>717</v>
      </c>
      <c r="B7790" t="s">
        <v>59</v>
      </c>
      <c r="C7790" s="1">
        <f>HYPERLINK("https://cao.dolgi.msk.ru/account/1011474468/", 1011474468)</f>
        <v>1011474468</v>
      </c>
      <c r="D7790">
        <v>0</v>
      </c>
    </row>
    <row r="7791" spans="1:4" x14ac:dyDescent="0.3">
      <c r="A7791" t="s">
        <v>717</v>
      </c>
      <c r="B7791" t="s">
        <v>60</v>
      </c>
      <c r="C7791" s="1">
        <f>HYPERLINK("https://cao.dolgi.msk.ru/account/1011474476/", 1011474476)</f>
        <v>1011474476</v>
      </c>
      <c r="D7791">
        <v>4415.3500000000004</v>
      </c>
    </row>
    <row r="7792" spans="1:4" hidden="1" x14ac:dyDescent="0.3">
      <c r="A7792" t="s">
        <v>717</v>
      </c>
      <c r="B7792" t="s">
        <v>61</v>
      </c>
      <c r="C7792" s="1">
        <f>HYPERLINK("https://cao.dolgi.msk.ru/account/1011474265/", 1011474265)</f>
        <v>1011474265</v>
      </c>
      <c r="D7792">
        <v>0</v>
      </c>
    </row>
    <row r="7793" spans="1:4" x14ac:dyDescent="0.3">
      <c r="A7793" t="s">
        <v>717</v>
      </c>
      <c r="B7793" t="s">
        <v>62</v>
      </c>
      <c r="C7793" s="1">
        <f>HYPERLINK("https://cao.dolgi.msk.ru/account/1011474345/", 1011474345)</f>
        <v>1011474345</v>
      </c>
      <c r="D7793">
        <v>6630.4</v>
      </c>
    </row>
    <row r="7794" spans="1:4" x14ac:dyDescent="0.3">
      <c r="A7794" t="s">
        <v>717</v>
      </c>
      <c r="B7794" t="s">
        <v>63</v>
      </c>
      <c r="C7794" s="1">
        <f>HYPERLINK("https://cao.dolgi.msk.ru/account/1011474484/", 1011474484)</f>
        <v>1011474484</v>
      </c>
      <c r="D7794">
        <v>7361.21</v>
      </c>
    </row>
    <row r="7795" spans="1:4" x14ac:dyDescent="0.3">
      <c r="A7795" t="s">
        <v>717</v>
      </c>
      <c r="B7795" t="s">
        <v>64</v>
      </c>
      <c r="C7795" s="1">
        <f>HYPERLINK("https://cao.dolgi.msk.ru/account/1011474193/", 1011474193)</f>
        <v>1011474193</v>
      </c>
      <c r="D7795">
        <v>26989.7</v>
      </c>
    </row>
    <row r="7796" spans="1:4" hidden="1" x14ac:dyDescent="0.3">
      <c r="A7796" t="s">
        <v>717</v>
      </c>
      <c r="B7796" t="s">
        <v>65</v>
      </c>
      <c r="C7796" s="1">
        <f>HYPERLINK("https://cao.dolgi.msk.ru/account/1011474492/", 1011474492)</f>
        <v>1011474492</v>
      </c>
      <c r="D7796">
        <v>-248.46</v>
      </c>
    </row>
    <row r="7797" spans="1:4" hidden="1" x14ac:dyDescent="0.3">
      <c r="A7797" t="s">
        <v>717</v>
      </c>
      <c r="B7797" t="s">
        <v>66</v>
      </c>
      <c r="C7797" s="1">
        <f>HYPERLINK("https://cao.dolgi.msk.ru/account/1011474505/", 1011474505)</f>
        <v>1011474505</v>
      </c>
      <c r="D7797">
        <v>-6955.07</v>
      </c>
    </row>
    <row r="7798" spans="1:4" hidden="1" x14ac:dyDescent="0.3">
      <c r="A7798" t="s">
        <v>717</v>
      </c>
      <c r="B7798" t="s">
        <v>67</v>
      </c>
      <c r="C7798" s="1">
        <f>HYPERLINK("https://cao.dolgi.msk.ru/account/1011474361/", 1011474361)</f>
        <v>1011474361</v>
      </c>
      <c r="D7798">
        <v>0</v>
      </c>
    </row>
    <row r="7799" spans="1:4" hidden="1" x14ac:dyDescent="0.3">
      <c r="A7799" t="s">
        <v>717</v>
      </c>
      <c r="B7799" t="s">
        <v>68</v>
      </c>
      <c r="C7799" s="1">
        <f>HYPERLINK("https://cao.dolgi.msk.ru/account/1011474417/", 1011474417)</f>
        <v>1011474417</v>
      </c>
      <c r="D7799">
        <v>0</v>
      </c>
    </row>
    <row r="7800" spans="1:4" hidden="1" x14ac:dyDescent="0.3">
      <c r="A7800" t="s">
        <v>717</v>
      </c>
      <c r="B7800" t="s">
        <v>69</v>
      </c>
      <c r="C7800" s="1">
        <f>HYPERLINK("https://cao.dolgi.msk.ru/account/1011474142/", 1011474142)</f>
        <v>1011474142</v>
      </c>
      <c r="D7800">
        <v>-2463.14</v>
      </c>
    </row>
    <row r="7801" spans="1:4" hidden="1" x14ac:dyDescent="0.3">
      <c r="A7801" t="s">
        <v>717</v>
      </c>
      <c r="B7801" t="s">
        <v>70</v>
      </c>
      <c r="C7801" s="1">
        <f>HYPERLINK("https://cao.dolgi.msk.ru/account/1011474273/", 1011474273)</f>
        <v>1011474273</v>
      </c>
      <c r="D7801">
        <v>0</v>
      </c>
    </row>
    <row r="7802" spans="1:4" hidden="1" x14ac:dyDescent="0.3">
      <c r="A7802" t="s">
        <v>717</v>
      </c>
      <c r="B7802" t="s">
        <v>259</v>
      </c>
      <c r="C7802" s="1">
        <f>HYPERLINK("https://cao.dolgi.msk.ru/account/1011474185/", 1011474185)</f>
        <v>1011474185</v>
      </c>
      <c r="D7802">
        <v>0</v>
      </c>
    </row>
    <row r="7803" spans="1:4" x14ac:dyDescent="0.3">
      <c r="A7803" t="s">
        <v>717</v>
      </c>
      <c r="B7803" t="s">
        <v>100</v>
      </c>
      <c r="C7803" s="1">
        <f>HYPERLINK("https://cao.dolgi.msk.ru/account/1011474353/", 1011474353)</f>
        <v>1011474353</v>
      </c>
      <c r="D7803">
        <v>8119.93</v>
      </c>
    </row>
    <row r="7804" spans="1:4" x14ac:dyDescent="0.3">
      <c r="A7804" t="s">
        <v>717</v>
      </c>
      <c r="B7804" t="s">
        <v>72</v>
      </c>
      <c r="C7804" s="1">
        <f>HYPERLINK("https://cao.dolgi.msk.ru/account/1011474521/", 1011474521)</f>
        <v>1011474521</v>
      </c>
      <c r="D7804">
        <v>6045.59</v>
      </c>
    </row>
    <row r="7805" spans="1:4" x14ac:dyDescent="0.3">
      <c r="A7805" t="s">
        <v>717</v>
      </c>
      <c r="B7805" t="s">
        <v>73</v>
      </c>
      <c r="C7805" s="1">
        <f>HYPERLINK("https://cao.dolgi.msk.ru/account/1011474388/", 1011474388)</f>
        <v>1011474388</v>
      </c>
      <c r="D7805">
        <v>64653.120000000003</v>
      </c>
    </row>
    <row r="7806" spans="1:4" hidden="1" x14ac:dyDescent="0.3">
      <c r="A7806" t="s">
        <v>717</v>
      </c>
      <c r="B7806" t="s">
        <v>74</v>
      </c>
      <c r="C7806" s="1">
        <f>HYPERLINK("https://cao.dolgi.msk.ru/account/1011474396/", 1011474396)</f>
        <v>1011474396</v>
      </c>
      <c r="D7806">
        <v>0</v>
      </c>
    </row>
    <row r="7807" spans="1:4" hidden="1" x14ac:dyDescent="0.3">
      <c r="A7807" t="s">
        <v>717</v>
      </c>
      <c r="B7807" t="s">
        <v>75</v>
      </c>
      <c r="C7807" s="1">
        <f>HYPERLINK("https://cao.dolgi.msk.ru/account/1011474409/", 1011474409)</f>
        <v>1011474409</v>
      </c>
      <c r="D7807">
        <v>-7737.67</v>
      </c>
    </row>
    <row r="7808" spans="1:4" hidden="1" x14ac:dyDescent="0.3">
      <c r="A7808" t="s">
        <v>717</v>
      </c>
      <c r="B7808" t="s">
        <v>76</v>
      </c>
      <c r="C7808" s="1">
        <f>HYPERLINK("https://cao.dolgi.msk.ru/account/1011474169/", 1011474169)</f>
        <v>1011474169</v>
      </c>
      <c r="D7808">
        <v>-8995.99</v>
      </c>
    </row>
    <row r="7809" spans="1:4" hidden="1" x14ac:dyDescent="0.3">
      <c r="A7809" t="s">
        <v>717</v>
      </c>
      <c r="B7809" t="s">
        <v>77</v>
      </c>
      <c r="C7809" s="1">
        <f>HYPERLINK("https://cao.dolgi.msk.ru/account/1011474206/", 1011474206)</f>
        <v>1011474206</v>
      </c>
      <c r="D7809">
        <v>0</v>
      </c>
    </row>
    <row r="7810" spans="1:4" hidden="1" x14ac:dyDescent="0.3">
      <c r="A7810" t="s">
        <v>717</v>
      </c>
      <c r="B7810" t="s">
        <v>78</v>
      </c>
      <c r="C7810" s="1">
        <f>HYPERLINK("https://cao.dolgi.msk.ru/account/1011474214/", 1011474214)</f>
        <v>1011474214</v>
      </c>
      <c r="D7810">
        <v>0</v>
      </c>
    </row>
    <row r="7811" spans="1:4" hidden="1" x14ac:dyDescent="0.3">
      <c r="A7811" t="s">
        <v>717</v>
      </c>
      <c r="B7811" t="s">
        <v>79</v>
      </c>
      <c r="C7811" s="1">
        <f>HYPERLINK("https://cao.dolgi.msk.ru/account/1011474281/", 1011474281)</f>
        <v>1011474281</v>
      </c>
      <c r="D7811">
        <v>0</v>
      </c>
    </row>
    <row r="7812" spans="1:4" hidden="1" x14ac:dyDescent="0.3">
      <c r="A7812" t="s">
        <v>717</v>
      </c>
      <c r="B7812" t="s">
        <v>80</v>
      </c>
      <c r="C7812" s="1">
        <f>HYPERLINK("https://cao.dolgi.msk.ru/account/1011474548/", 1011474548)</f>
        <v>1011474548</v>
      </c>
      <c r="D7812">
        <v>0</v>
      </c>
    </row>
    <row r="7813" spans="1:4" hidden="1" x14ac:dyDescent="0.3">
      <c r="A7813" t="s">
        <v>717</v>
      </c>
      <c r="B7813" t="s">
        <v>81</v>
      </c>
      <c r="C7813" s="1">
        <f>HYPERLINK("https://cao.dolgi.msk.ru/account/1011474556/", 1011474556)</f>
        <v>1011474556</v>
      </c>
      <c r="D7813">
        <v>0</v>
      </c>
    </row>
    <row r="7814" spans="1:4" hidden="1" x14ac:dyDescent="0.3">
      <c r="A7814" t="s">
        <v>718</v>
      </c>
      <c r="B7814" t="s">
        <v>28</v>
      </c>
      <c r="C7814" s="1">
        <f>HYPERLINK("https://cao.dolgi.msk.ru/account/1011474732/", 1011474732)</f>
        <v>1011474732</v>
      </c>
      <c r="D7814">
        <v>0</v>
      </c>
    </row>
    <row r="7815" spans="1:4" hidden="1" x14ac:dyDescent="0.3">
      <c r="A7815" t="s">
        <v>718</v>
      </c>
      <c r="B7815" t="s">
        <v>35</v>
      </c>
      <c r="C7815" s="1">
        <f>HYPERLINK("https://cao.dolgi.msk.ru/account/1011474812/", 1011474812)</f>
        <v>1011474812</v>
      </c>
      <c r="D7815">
        <v>0</v>
      </c>
    </row>
    <row r="7816" spans="1:4" x14ac:dyDescent="0.3">
      <c r="A7816" t="s">
        <v>718</v>
      </c>
      <c r="B7816" t="s">
        <v>5</v>
      </c>
      <c r="C7816" s="1">
        <f>HYPERLINK("https://cao.dolgi.msk.ru/account/1011474855/", 1011474855)</f>
        <v>1011474855</v>
      </c>
      <c r="D7816">
        <v>14361.12</v>
      </c>
    </row>
    <row r="7817" spans="1:4" hidden="1" x14ac:dyDescent="0.3">
      <c r="A7817" t="s">
        <v>718</v>
      </c>
      <c r="B7817" t="s">
        <v>7</v>
      </c>
      <c r="C7817" s="1">
        <f>HYPERLINK("https://cao.dolgi.msk.ru/account/1011474636/", 1011474636)</f>
        <v>1011474636</v>
      </c>
      <c r="D7817">
        <v>-21972.49</v>
      </c>
    </row>
    <row r="7818" spans="1:4" hidden="1" x14ac:dyDescent="0.3">
      <c r="A7818" t="s">
        <v>718</v>
      </c>
      <c r="B7818" t="s">
        <v>8</v>
      </c>
      <c r="C7818" s="1">
        <f>HYPERLINK("https://cao.dolgi.msk.ru/account/1011474695/", 1011474695)</f>
        <v>1011474695</v>
      </c>
      <c r="D7818">
        <v>-15696.76</v>
      </c>
    </row>
    <row r="7819" spans="1:4" x14ac:dyDescent="0.3">
      <c r="A7819" t="s">
        <v>718</v>
      </c>
      <c r="B7819" t="s">
        <v>31</v>
      </c>
      <c r="C7819" s="1">
        <f>HYPERLINK("https://cao.dolgi.msk.ru/account/1011474652/", 1011474652)</f>
        <v>1011474652</v>
      </c>
      <c r="D7819">
        <v>37128.68</v>
      </c>
    </row>
    <row r="7820" spans="1:4" x14ac:dyDescent="0.3">
      <c r="A7820" t="s">
        <v>718</v>
      </c>
      <c r="B7820" t="s">
        <v>9</v>
      </c>
      <c r="C7820" s="1">
        <f>HYPERLINK("https://cao.dolgi.msk.ru/account/1011474708/", 1011474708)</f>
        <v>1011474708</v>
      </c>
      <c r="D7820">
        <v>22731.02</v>
      </c>
    </row>
    <row r="7821" spans="1:4" x14ac:dyDescent="0.3">
      <c r="A7821" t="s">
        <v>718</v>
      </c>
      <c r="B7821" t="s">
        <v>10</v>
      </c>
      <c r="C7821" s="1">
        <f>HYPERLINK("https://cao.dolgi.msk.ru/account/1011474644/", 1011474644)</f>
        <v>1011474644</v>
      </c>
      <c r="D7821">
        <v>196.95</v>
      </c>
    </row>
    <row r="7822" spans="1:4" x14ac:dyDescent="0.3">
      <c r="A7822" t="s">
        <v>718</v>
      </c>
      <c r="B7822" t="s">
        <v>11</v>
      </c>
      <c r="C7822" s="1">
        <f>HYPERLINK("https://cao.dolgi.msk.ru/account/1011474564/", 1011474564)</f>
        <v>1011474564</v>
      </c>
      <c r="D7822">
        <v>17570.59</v>
      </c>
    </row>
    <row r="7823" spans="1:4" hidden="1" x14ac:dyDescent="0.3">
      <c r="A7823" t="s">
        <v>718</v>
      </c>
      <c r="B7823" t="s">
        <v>12</v>
      </c>
      <c r="C7823" s="1">
        <f>HYPERLINK("https://cao.dolgi.msk.ru/account/1011474898/", 1011474898)</f>
        <v>1011474898</v>
      </c>
      <c r="D7823">
        <v>0</v>
      </c>
    </row>
    <row r="7824" spans="1:4" hidden="1" x14ac:dyDescent="0.3">
      <c r="A7824" t="s">
        <v>718</v>
      </c>
      <c r="B7824" t="s">
        <v>23</v>
      </c>
      <c r="C7824" s="1">
        <f>HYPERLINK("https://cao.dolgi.msk.ru/account/1011474759/", 1011474759)</f>
        <v>1011474759</v>
      </c>
      <c r="D7824">
        <v>0</v>
      </c>
    </row>
    <row r="7825" spans="1:4" x14ac:dyDescent="0.3">
      <c r="A7825" t="s">
        <v>718</v>
      </c>
      <c r="B7825" t="s">
        <v>13</v>
      </c>
      <c r="C7825" s="1">
        <f>HYPERLINK("https://cao.dolgi.msk.ru/account/1011474951/", 1011474951)</f>
        <v>1011474951</v>
      </c>
      <c r="D7825">
        <v>43826.75</v>
      </c>
    </row>
    <row r="7826" spans="1:4" hidden="1" x14ac:dyDescent="0.3">
      <c r="A7826" t="s">
        <v>718</v>
      </c>
      <c r="B7826" t="s">
        <v>14</v>
      </c>
      <c r="C7826" s="1">
        <f>HYPERLINK("https://cao.dolgi.msk.ru/account/1011474572/", 1011474572)</f>
        <v>1011474572</v>
      </c>
      <c r="D7826">
        <v>0</v>
      </c>
    </row>
    <row r="7827" spans="1:4" x14ac:dyDescent="0.3">
      <c r="A7827" t="s">
        <v>718</v>
      </c>
      <c r="B7827" t="s">
        <v>16</v>
      </c>
      <c r="C7827" s="1">
        <f>HYPERLINK("https://cao.dolgi.msk.ru/account/1011474599/", 1011474599)</f>
        <v>1011474599</v>
      </c>
      <c r="D7827">
        <v>16102.03</v>
      </c>
    </row>
    <row r="7828" spans="1:4" hidden="1" x14ac:dyDescent="0.3">
      <c r="A7828" t="s">
        <v>718</v>
      </c>
      <c r="B7828" t="s">
        <v>17</v>
      </c>
      <c r="C7828" s="1">
        <f>HYPERLINK("https://cao.dolgi.msk.ru/account/1011474767/", 1011474767)</f>
        <v>1011474767</v>
      </c>
      <c r="D7828">
        <v>0</v>
      </c>
    </row>
    <row r="7829" spans="1:4" hidden="1" x14ac:dyDescent="0.3">
      <c r="A7829" t="s">
        <v>718</v>
      </c>
      <c r="B7829" t="s">
        <v>18</v>
      </c>
      <c r="C7829" s="1">
        <f>HYPERLINK("https://cao.dolgi.msk.ru/account/1011474919/", 1011474919)</f>
        <v>1011474919</v>
      </c>
      <c r="D7829">
        <v>0</v>
      </c>
    </row>
    <row r="7830" spans="1:4" hidden="1" x14ac:dyDescent="0.3">
      <c r="A7830" t="s">
        <v>718</v>
      </c>
      <c r="B7830" t="s">
        <v>19</v>
      </c>
      <c r="C7830" s="1">
        <f>HYPERLINK("https://cao.dolgi.msk.ru/account/1011474601/", 1011474601)</f>
        <v>1011474601</v>
      </c>
      <c r="D7830">
        <v>0</v>
      </c>
    </row>
    <row r="7831" spans="1:4" hidden="1" x14ac:dyDescent="0.3">
      <c r="A7831" t="s">
        <v>718</v>
      </c>
      <c r="B7831" t="s">
        <v>21</v>
      </c>
      <c r="C7831" s="1">
        <f>HYPERLINK("https://cao.dolgi.msk.ru/account/1011474716/", 1011474716)</f>
        <v>1011474716</v>
      </c>
      <c r="D7831">
        <v>-7888.17</v>
      </c>
    </row>
    <row r="7832" spans="1:4" x14ac:dyDescent="0.3">
      <c r="A7832" t="s">
        <v>718</v>
      </c>
      <c r="B7832" t="s">
        <v>21</v>
      </c>
      <c r="C7832" s="1">
        <f>HYPERLINK("https://cao.dolgi.msk.ru/account/1011474871/", 1011474871)</f>
        <v>1011474871</v>
      </c>
      <c r="D7832">
        <v>128059.3</v>
      </c>
    </row>
    <row r="7833" spans="1:4" hidden="1" x14ac:dyDescent="0.3">
      <c r="A7833" t="s">
        <v>718</v>
      </c>
      <c r="B7833" t="s">
        <v>24</v>
      </c>
      <c r="C7833" s="1">
        <f>HYPERLINK("https://cao.dolgi.msk.ru/account/1011474724/", 1011474724)</f>
        <v>1011474724</v>
      </c>
      <c r="D7833">
        <v>0</v>
      </c>
    </row>
    <row r="7834" spans="1:4" hidden="1" x14ac:dyDescent="0.3">
      <c r="A7834" t="s">
        <v>718</v>
      </c>
      <c r="B7834" t="s">
        <v>25</v>
      </c>
      <c r="C7834" s="1">
        <f>HYPERLINK("https://cao.dolgi.msk.ru/account/1011474775/", 1011474775)</f>
        <v>1011474775</v>
      </c>
      <c r="D7834">
        <v>0</v>
      </c>
    </row>
    <row r="7835" spans="1:4" hidden="1" x14ac:dyDescent="0.3">
      <c r="A7835" t="s">
        <v>718</v>
      </c>
      <c r="B7835" t="s">
        <v>26</v>
      </c>
      <c r="C7835" s="1">
        <f>HYPERLINK("https://cao.dolgi.msk.ru/account/1011474863/", 1011474863)</f>
        <v>1011474863</v>
      </c>
      <c r="D7835">
        <v>0</v>
      </c>
    </row>
    <row r="7836" spans="1:4" x14ac:dyDescent="0.3">
      <c r="A7836" t="s">
        <v>718</v>
      </c>
      <c r="B7836" t="s">
        <v>26</v>
      </c>
      <c r="C7836" s="1">
        <f>HYPERLINK("https://cao.dolgi.msk.ru/account/1011474935/", 1011474935)</f>
        <v>1011474935</v>
      </c>
      <c r="D7836">
        <v>4451.3100000000004</v>
      </c>
    </row>
    <row r="7837" spans="1:4" x14ac:dyDescent="0.3">
      <c r="A7837" t="s">
        <v>718</v>
      </c>
      <c r="B7837" t="s">
        <v>26</v>
      </c>
      <c r="C7837" s="1">
        <f>HYPERLINK("https://cao.dolgi.msk.ru/account/1011474978/", 1011474978)</f>
        <v>1011474978</v>
      </c>
      <c r="D7837">
        <v>9065.32</v>
      </c>
    </row>
    <row r="7838" spans="1:4" x14ac:dyDescent="0.3">
      <c r="A7838" t="s">
        <v>718</v>
      </c>
      <c r="B7838" t="s">
        <v>27</v>
      </c>
      <c r="C7838" s="1">
        <f>HYPERLINK("https://cao.dolgi.msk.ru/account/1011474679/", 1011474679)</f>
        <v>1011474679</v>
      </c>
      <c r="D7838">
        <v>15188.41</v>
      </c>
    </row>
    <row r="7839" spans="1:4" x14ac:dyDescent="0.3">
      <c r="A7839" t="s">
        <v>718</v>
      </c>
      <c r="B7839" t="s">
        <v>29</v>
      </c>
      <c r="C7839" s="1">
        <f>HYPERLINK("https://cao.dolgi.msk.ru/account/1011474839/", 1011474839)</f>
        <v>1011474839</v>
      </c>
      <c r="D7839">
        <v>17887.13</v>
      </c>
    </row>
    <row r="7840" spans="1:4" hidden="1" x14ac:dyDescent="0.3">
      <c r="A7840" t="s">
        <v>718</v>
      </c>
      <c r="B7840" t="s">
        <v>38</v>
      </c>
      <c r="C7840" s="1">
        <f>HYPERLINK("https://cao.dolgi.msk.ru/account/1011474791/", 1011474791)</f>
        <v>1011474791</v>
      </c>
      <c r="D7840">
        <v>0</v>
      </c>
    </row>
    <row r="7841" spans="1:4" x14ac:dyDescent="0.3">
      <c r="A7841" t="s">
        <v>718</v>
      </c>
      <c r="B7841" t="s">
        <v>39</v>
      </c>
      <c r="C7841" s="1">
        <f>HYPERLINK("https://cao.dolgi.msk.ru/account/1011474628/", 1011474628)</f>
        <v>1011474628</v>
      </c>
      <c r="D7841">
        <v>100217.43</v>
      </c>
    </row>
    <row r="7842" spans="1:4" x14ac:dyDescent="0.3">
      <c r="A7842" t="s">
        <v>718</v>
      </c>
      <c r="B7842" t="s">
        <v>40</v>
      </c>
      <c r="C7842" s="1">
        <f>HYPERLINK("https://cao.dolgi.msk.ru/account/1011474847/", 1011474847)</f>
        <v>1011474847</v>
      </c>
      <c r="D7842">
        <v>15273.19</v>
      </c>
    </row>
    <row r="7843" spans="1:4" hidden="1" x14ac:dyDescent="0.3">
      <c r="A7843" t="s">
        <v>718</v>
      </c>
      <c r="B7843" t="s">
        <v>41</v>
      </c>
      <c r="C7843" s="1">
        <f>HYPERLINK("https://cao.dolgi.msk.ru/account/1011474687/", 1011474687)</f>
        <v>1011474687</v>
      </c>
      <c r="D7843">
        <v>0</v>
      </c>
    </row>
    <row r="7844" spans="1:4" hidden="1" x14ac:dyDescent="0.3">
      <c r="A7844" t="s">
        <v>718</v>
      </c>
      <c r="B7844" t="s">
        <v>51</v>
      </c>
      <c r="C7844" s="1">
        <f>HYPERLINK("https://cao.dolgi.msk.ru/account/1011474943/", 1011474943)</f>
        <v>1011474943</v>
      </c>
      <c r="D7844">
        <v>-22926.560000000001</v>
      </c>
    </row>
    <row r="7845" spans="1:4" hidden="1" x14ac:dyDescent="0.3">
      <c r="A7845" t="s">
        <v>719</v>
      </c>
      <c r="B7845" t="s">
        <v>6</v>
      </c>
      <c r="C7845" s="1">
        <f>HYPERLINK("https://cao.dolgi.msk.ru/account/1011382993/", 1011382993)</f>
        <v>1011382993</v>
      </c>
      <c r="D7845">
        <v>-12959.28</v>
      </c>
    </row>
    <row r="7846" spans="1:4" hidden="1" x14ac:dyDescent="0.3">
      <c r="A7846" t="s">
        <v>719</v>
      </c>
      <c r="B7846" t="s">
        <v>28</v>
      </c>
      <c r="C7846" s="1">
        <f>HYPERLINK("https://cao.dolgi.msk.ru/account/1011383021/", 1011383021)</f>
        <v>1011383021</v>
      </c>
      <c r="D7846">
        <v>0</v>
      </c>
    </row>
    <row r="7847" spans="1:4" hidden="1" x14ac:dyDescent="0.3">
      <c r="A7847" t="s">
        <v>719</v>
      </c>
      <c r="B7847" t="s">
        <v>35</v>
      </c>
      <c r="C7847" s="1">
        <f>HYPERLINK("https://cao.dolgi.msk.ru/account/1011383101/", 1011383101)</f>
        <v>1011383101</v>
      </c>
      <c r="D7847">
        <v>-6243.77</v>
      </c>
    </row>
    <row r="7848" spans="1:4" hidden="1" x14ac:dyDescent="0.3">
      <c r="A7848" t="s">
        <v>719</v>
      </c>
      <c r="B7848" t="s">
        <v>5</v>
      </c>
      <c r="C7848" s="1">
        <f>HYPERLINK("https://cao.dolgi.msk.ru/account/1011383005/", 1011383005)</f>
        <v>1011383005</v>
      </c>
      <c r="D7848">
        <v>-7932.37</v>
      </c>
    </row>
    <row r="7849" spans="1:4" hidden="1" x14ac:dyDescent="0.3">
      <c r="A7849" t="s">
        <v>719</v>
      </c>
      <c r="B7849" t="s">
        <v>7</v>
      </c>
      <c r="C7849" s="1">
        <f>HYPERLINK("https://cao.dolgi.msk.ru/account/1011383099/", 1011383099)</f>
        <v>1011383099</v>
      </c>
      <c r="D7849">
        <v>-3.38</v>
      </c>
    </row>
    <row r="7850" spans="1:4" hidden="1" x14ac:dyDescent="0.3">
      <c r="A7850" t="s">
        <v>719</v>
      </c>
      <c r="B7850" t="s">
        <v>8</v>
      </c>
      <c r="C7850" s="1">
        <f>HYPERLINK("https://cao.dolgi.msk.ru/account/1011383048/", 1011383048)</f>
        <v>1011383048</v>
      </c>
      <c r="D7850">
        <v>0</v>
      </c>
    </row>
    <row r="7851" spans="1:4" hidden="1" x14ac:dyDescent="0.3">
      <c r="A7851" t="s">
        <v>719</v>
      </c>
      <c r="B7851" t="s">
        <v>31</v>
      </c>
      <c r="C7851" s="1">
        <f>HYPERLINK("https://cao.dolgi.msk.ru/account/1011383064/", 1011383064)</f>
        <v>1011383064</v>
      </c>
      <c r="D7851">
        <v>0</v>
      </c>
    </row>
    <row r="7852" spans="1:4" hidden="1" x14ac:dyDescent="0.3">
      <c r="A7852" t="s">
        <v>719</v>
      </c>
      <c r="B7852" t="s">
        <v>9</v>
      </c>
      <c r="C7852" s="1">
        <f>HYPERLINK("https://cao.dolgi.msk.ru/account/1011382985/", 1011382985)</f>
        <v>1011382985</v>
      </c>
      <c r="D7852">
        <v>-10610.67</v>
      </c>
    </row>
    <row r="7853" spans="1:4" hidden="1" x14ac:dyDescent="0.3">
      <c r="A7853" t="s">
        <v>719</v>
      </c>
      <c r="B7853" t="s">
        <v>10</v>
      </c>
      <c r="C7853" s="1">
        <f>HYPERLINK("https://cao.dolgi.msk.ru/account/1011383144/", 1011383144)</f>
        <v>1011383144</v>
      </c>
      <c r="D7853">
        <v>-2841.28</v>
      </c>
    </row>
    <row r="7854" spans="1:4" hidden="1" x14ac:dyDescent="0.3">
      <c r="A7854" t="s">
        <v>719</v>
      </c>
      <c r="B7854" t="s">
        <v>11</v>
      </c>
      <c r="C7854" s="1">
        <f>HYPERLINK("https://cao.dolgi.msk.ru/account/1011383152/", 1011383152)</f>
        <v>1011383152</v>
      </c>
      <c r="D7854">
        <v>0</v>
      </c>
    </row>
    <row r="7855" spans="1:4" hidden="1" x14ac:dyDescent="0.3">
      <c r="A7855" t="s">
        <v>719</v>
      </c>
      <c r="B7855" t="s">
        <v>12</v>
      </c>
      <c r="C7855" s="1">
        <f>HYPERLINK("https://cao.dolgi.msk.ru/account/1011383179/", 1011383179)</f>
        <v>1011383179</v>
      </c>
      <c r="D7855">
        <v>0</v>
      </c>
    </row>
    <row r="7856" spans="1:4" hidden="1" x14ac:dyDescent="0.3">
      <c r="A7856" t="s">
        <v>719</v>
      </c>
      <c r="B7856" t="s">
        <v>23</v>
      </c>
      <c r="C7856" s="1">
        <f>HYPERLINK("https://cao.dolgi.msk.ru/account/1011383056/", 1011383056)</f>
        <v>1011383056</v>
      </c>
      <c r="D7856">
        <v>0</v>
      </c>
    </row>
    <row r="7857" spans="1:4" hidden="1" x14ac:dyDescent="0.3">
      <c r="A7857" t="s">
        <v>719</v>
      </c>
      <c r="B7857" t="s">
        <v>13</v>
      </c>
      <c r="C7857" s="1">
        <f>HYPERLINK("https://cao.dolgi.msk.ru/account/1011383128/", 1011383128)</f>
        <v>1011383128</v>
      </c>
      <c r="D7857">
        <v>-580.05999999999995</v>
      </c>
    </row>
    <row r="7858" spans="1:4" x14ac:dyDescent="0.3">
      <c r="A7858" t="s">
        <v>719</v>
      </c>
      <c r="B7858" t="s">
        <v>14</v>
      </c>
      <c r="C7858" s="1">
        <f>HYPERLINK("https://cao.dolgi.msk.ru/account/1011383013/", 1011383013)</f>
        <v>1011383013</v>
      </c>
      <c r="D7858">
        <v>7368.26</v>
      </c>
    </row>
    <row r="7859" spans="1:4" hidden="1" x14ac:dyDescent="0.3">
      <c r="A7859" t="s">
        <v>719</v>
      </c>
      <c r="B7859" t="s">
        <v>16</v>
      </c>
      <c r="C7859" s="1">
        <f>HYPERLINK("https://cao.dolgi.msk.ru/account/1011383136/", 1011383136)</f>
        <v>1011383136</v>
      </c>
      <c r="D7859">
        <v>0</v>
      </c>
    </row>
    <row r="7860" spans="1:4" hidden="1" x14ac:dyDescent="0.3">
      <c r="A7860" t="s">
        <v>719</v>
      </c>
      <c r="B7860" t="s">
        <v>17</v>
      </c>
      <c r="C7860" s="1">
        <f>HYPERLINK("https://cao.dolgi.msk.ru/account/1011382977/", 1011382977)</f>
        <v>1011382977</v>
      </c>
      <c r="D7860">
        <v>0</v>
      </c>
    </row>
    <row r="7861" spans="1:4" hidden="1" x14ac:dyDescent="0.3">
      <c r="A7861" t="s">
        <v>719</v>
      </c>
      <c r="B7861" t="s">
        <v>18</v>
      </c>
      <c r="C7861" s="1">
        <f>HYPERLINK("https://cao.dolgi.msk.ru/account/1011383072/", 1011383072)</f>
        <v>1011383072</v>
      </c>
      <c r="D7861">
        <v>0</v>
      </c>
    </row>
    <row r="7862" spans="1:4" hidden="1" x14ac:dyDescent="0.3">
      <c r="A7862" t="s">
        <v>719</v>
      </c>
      <c r="B7862" t="s">
        <v>19</v>
      </c>
      <c r="C7862" s="1">
        <f>HYPERLINK("https://cao.dolgi.msk.ru/account/1011383187/", 1011383187)</f>
        <v>1011383187</v>
      </c>
      <c r="D7862">
        <v>-13.1</v>
      </c>
    </row>
    <row r="7863" spans="1:4" hidden="1" x14ac:dyDescent="0.3">
      <c r="A7863" t="s">
        <v>720</v>
      </c>
      <c r="B7863" t="s">
        <v>6</v>
      </c>
      <c r="C7863" s="1">
        <f>HYPERLINK("https://cao.dolgi.msk.ru/account/1011494178/", 1011494178)</f>
        <v>1011494178</v>
      </c>
      <c r="D7863">
        <v>0</v>
      </c>
    </row>
    <row r="7864" spans="1:4" hidden="1" x14ac:dyDescent="0.3">
      <c r="A7864" t="s">
        <v>720</v>
      </c>
      <c r="B7864" t="s">
        <v>28</v>
      </c>
      <c r="C7864" s="1">
        <f>HYPERLINK("https://cao.dolgi.msk.ru/account/1011494135/", 1011494135)</f>
        <v>1011494135</v>
      </c>
      <c r="D7864">
        <v>0</v>
      </c>
    </row>
    <row r="7865" spans="1:4" hidden="1" x14ac:dyDescent="0.3">
      <c r="A7865" t="s">
        <v>720</v>
      </c>
      <c r="B7865" t="s">
        <v>35</v>
      </c>
      <c r="C7865" s="1">
        <f>HYPERLINK("https://cao.dolgi.msk.ru/account/1011494186/", 1011494186)</f>
        <v>1011494186</v>
      </c>
      <c r="D7865">
        <v>-2.42</v>
      </c>
    </row>
    <row r="7866" spans="1:4" hidden="1" x14ac:dyDescent="0.3">
      <c r="A7866" t="s">
        <v>720</v>
      </c>
      <c r="B7866" t="s">
        <v>5</v>
      </c>
      <c r="C7866" s="1">
        <f>HYPERLINK("https://cao.dolgi.msk.ru/account/1011494151/", 1011494151)</f>
        <v>1011494151</v>
      </c>
      <c r="D7866">
        <v>-161.6</v>
      </c>
    </row>
    <row r="7867" spans="1:4" hidden="1" x14ac:dyDescent="0.3">
      <c r="A7867" t="s">
        <v>720</v>
      </c>
      <c r="B7867" t="s">
        <v>7</v>
      </c>
      <c r="C7867" s="1">
        <f>HYPERLINK("https://cao.dolgi.msk.ru/account/1011494143/", 1011494143)</f>
        <v>1011494143</v>
      </c>
      <c r="D7867">
        <v>0</v>
      </c>
    </row>
    <row r="7868" spans="1:4" hidden="1" x14ac:dyDescent="0.3">
      <c r="A7868" t="s">
        <v>720</v>
      </c>
      <c r="B7868" t="s">
        <v>8</v>
      </c>
      <c r="C7868" s="1">
        <f>HYPERLINK("https://cao.dolgi.msk.ru/account/1011494194/", 1011494194)</f>
        <v>1011494194</v>
      </c>
      <c r="D7868">
        <v>0</v>
      </c>
    </row>
    <row r="7869" spans="1:4" hidden="1" x14ac:dyDescent="0.3">
      <c r="A7869" t="s">
        <v>721</v>
      </c>
      <c r="B7869" t="s">
        <v>6</v>
      </c>
      <c r="C7869" s="1">
        <f>HYPERLINK("https://cao.dolgi.msk.ru/account/1011330974/", 1011330974)</f>
        <v>1011330974</v>
      </c>
      <c r="D7869">
        <v>-1194.58</v>
      </c>
    </row>
    <row r="7870" spans="1:4" hidden="1" x14ac:dyDescent="0.3">
      <c r="A7870" t="s">
        <v>721</v>
      </c>
      <c r="B7870" t="s">
        <v>28</v>
      </c>
      <c r="C7870" s="1">
        <f>HYPERLINK("https://cao.dolgi.msk.ru/account/1011331125/", 1011331125)</f>
        <v>1011331125</v>
      </c>
      <c r="D7870">
        <v>0</v>
      </c>
    </row>
    <row r="7871" spans="1:4" hidden="1" x14ac:dyDescent="0.3">
      <c r="A7871" t="s">
        <v>721</v>
      </c>
      <c r="B7871" t="s">
        <v>35</v>
      </c>
      <c r="C7871" s="1">
        <f>HYPERLINK("https://cao.dolgi.msk.ru/account/1011331088/", 1011331088)</f>
        <v>1011331088</v>
      </c>
      <c r="D7871">
        <v>0</v>
      </c>
    </row>
    <row r="7872" spans="1:4" hidden="1" x14ac:dyDescent="0.3">
      <c r="A7872" t="s">
        <v>721</v>
      </c>
      <c r="B7872" t="s">
        <v>5</v>
      </c>
      <c r="C7872" s="1">
        <f>HYPERLINK("https://cao.dolgi.msk.ru/account/1011331045/", 1011331045)</f>
        <v>1011331045</v>
      </c>
      <c r="D7872">
        <v>0</v>
      </c>
    </row>
    <row r="7873" spans="1:4" hidden="1" x14ac:dyDescent="0.3">
      <c r="A7873" t="s">
        <v>721</v>
      </c>
      <c r="B7873" t="s">
        <v>7</v>
      </c>
      <c r="C7873" s="1">
        <f>HYPERLINK("https://cao.dolgi.msk.ru/account/1011331053/", 1011331053)</f>
        <v>1011331053</v>
      </c>
      <c r="D7873">
        <v>-283.08</v>
      </c>
    </row>
    <row r="7874" spans="1:4" hidden="1" x14ac:dyDescent="0.3">
      <c r="A7874" t="s">
        <v>721</v>
      </c>
      <c r="B7874" t="s">
        <v>8</v>
      </c>
      <c r="C7874" s="1">
        <f>HYPERLINK("https://cao.dolgi.msk.ru/account/1011330982/", 1011330982)</f>
        <v>1011330982</v>
      </c>
      <c r="D7874">
        <v>0</v>
      </c>
    </row>
    <row r="7875" spans="1:4" hidden="1" x14ac:dyDescent="0.3">
      <c r="A7875" t="s">
        <v>721</v>
      </c>
      <c r="B7875" t="s">
        <v>31</v>
      </c>
      <c r="C7875" s="1">
        <f>HYPERLINK("https://cao.dolgi.msk.ru/account/1011331061/", 1011331061)</f>
        <v>1011331061</v>
      </c>
      <c r="D7875">
        <v>0</v>
      </c>
    </row>
    <row r="7876" spans="1:4" hidden="1" x14ac:dyDescent="0.3">
      <c r="A7876" t="s">
        <v>721</v>
      </c>
      <c r="B7876" t="s">
        <v>9</v>
      </c>
      <c r="C7876" s="1">
        <f>HYPERLINK("https://cao.dolgi.msk.ru/account/1011331133/", 1011331133)</f>
        <v>1011331133</v>
      </c>
      <c r="D7876">
        <v>0</v>
      </c>
    </row>
    <row r="7877" spans="1:4" hidden="1" x14ac:dyDescent="0.3">
      <c r="A7877" t="s">
        <v>721</v>
      </c>
      <c r="B7877" t="s">
        <v>10</v>
      </c>
      <c r="C7877" s="1">
        <f>HYPERLINK("https://cao.dolgi.msk.ru/account/1011331002/", 1011331002)</f>
        <v>1011331002</v>
      </c>
      <c r="D7877">
        <v>-4422.43</v>
      </c>
    </row>
    <row r="7878" spans="1:4" hidden="1" x14ac:dyDescent="0.3">
      <c r="A7878" t="s">
        <v>721</v>
      </c>
      <c r="B7878" t="s">
        <v>11</v>
      </c>
      <c r="C7878" s="1">
        <f>HYPERLINK("https://cao.dolgi.msk.ru/account/1011331096/", 1011331096)</f>
        <v>1011331096</v>
      </c>
      <c r="D7878">
        <v>0</v>
      </c>
    </row>
    <row r="7879" spans="1:4" hidden="1" x14ac:dyDescent="0.3">
      <c r="A7879" t="s">
        <v>721</v>
      </c>
      <c r="B7879" t="s">
        <v>12</v>
      </c>
      <c r="C7879" s="1">
        <f>HYPERLINK("https://cao.dolgi.msk.ru/account/1011331109/", 1011331109)</f>
        <v>1011331109</v>
      </c>
      <c r="D7879">
        <v>-8210.26</v>
      </c>
    </row>
    <row r="7880" spans="1:4" hidden="1" x14ac:dyDescent="0.3">
      <c r="A7880" t="s">
        <v>721</v>
      </c>
      <c r="B7880" t="s">
        <v>23</v>
      </c>
      <c r="C7880" s="1">
        <f>HYPERLINK("https://cao.dolgi.msk.ru/account/1011331184/", 1011331184)</f>
        <v>1011331184</v>
      </c>
      <c r="D7880">
        <v>0</v>
      </c>
    </row>
    <row r="7881" spans="1:4" hidden="1" x14ac:dyDescent="0.3">
      <c r="A7881" t="s">
        <v>721</v>
      </c>
      <c r="B7881" t="s">
        <v>13</v>
      </c>
      <c r="C7881" s="1">
        <f>HYPERLINK("https://cao.dolgi.msk.ru/account/1011331117/", 1011331117)</f>
        <v>1011331117</v>
      </c>
      <c r="D7881">
        <v>0</v>
      </c>
    </row>
    <row r="7882" spans="1:4" x14ac:dyDescent="0.3">
      <c r="A7882" t="s">
        <v>721</v>
      </c>
      <c r="B7882" t="s">
        <v>14</v>
      </c>
      <c r="C7882" s="1">
        <f>HYPERLINK("https://cao.dolgi.msk.ru/account/1011331029/", 1011331029)</f>
        <v>1011331029</v>
      </c>
      <c r="D7882">
        <v>27237.05</v>
      </c>
    </row>
    <row r="7883" spans="1:4" hidden="1" x14ac:dyDescent="0.3">
      <c r="A7883" t="s">
        <v>721</v>
      </c>
      <c r="B7883" t="s">
        <v>16</v>
      </c>
      <c r="C7883" s="1">
        <f>HYPERLINK("https://cao.dolgi.msk.ru/account/1011331141/", 1011331141)</f>
        <v>1011331141</v>
      </c>
      <c r="D7883">
        <v>0</v>
      </c>
    </row>
    <row r="7884" spans="1:4" hidden="1" x14ac:dyDescent="0.3">
      <c r="A7884" t="s">
        <v>721</v>
      </c>
      <c r="B7884" t="s">
        <v>17</v>
      </c>
      <c r="C7884" s="1">
        <f>HYPERLINK("https://cao.dolgi.msk.ru/account/1011331037/", 1011331037)</f>
        <v>1011331037</v>
      </c>
      <c r="D7884">
        <v>0</v>
      </c>
    </row>
    <row r="7885" spans="1:4" x14ac:dyDescent="0.3">
      <c r="A7885" t="s">
        <v>721</v>
      </c>
      <c r="B7885" t="s">
        <v>18</v>
      </c>
      <c r="C7885" s="1">
        <f>HYPERLINK("https://cao.dolgi.msk.ru/account/1011331176/", 1011331176)</f>
        <v>1011331176</v>
      </c>
      <c r="D7885">
        <v>138671.26999999999</v>
      </c>
    </row>
    <row r="7886" spans="1:4" hidden="1" x14ac:dyDescent="0.3">
      <c r="A7886" t="s">
        <v>721</v>
      </c>
      <c r="B7886" t="s">
        <v>19</v>
      </c>
      <c r="C7886" s="1">
        <f>HYPERLINK("https://cao.dolgi.msk.ru/account/1011331192/", 1011331192)</f>
        <v>1011331192</v>
      </c>
      <c r="D7886">
        <v>-332.62</v>
      </c>
    </row>
    <row r="7887" spans="1:4" hidden="1" x14ac:dyDescent="0.3">
      <c r="A7887" t="s">
        <v>721</v>
      </c>
      <c r="B7887" t="s">
        <v>20</v>
      </c>
      <c r="C7887" s="1">
        <f>HYPERLINK("https://cao.dolgi.msk.ru/account/1011331168/", 1011331168)</f>
        <v>1011331168</v>
      </c>
      <c r="D7887">
        <v>-5045.9799999999996</v>
      </c>
    </row>
    <row r="7888" spans="1:4" hidden="1" x14ac:dyDescent="0.3">
      <c r="A7888" t="s">
        <v>721</v>
      </c>
      <c r="B7888" t="s">
        <v>21</v>
      </c>
      <c r="C7888" s="1">
        <f>HYPERLINK("https://cao.dolgi.msk.ru/account/1011330966/", 1011330966)</f>
        <v>1011330966</v>
      </c>
      <c r="D7888">
        <v>0</v>
      </c>
    </row>
    <row r="7889" spans="1:4" hidden="1" x14ac:dyDescent="0.3">
      <c r="A7889" t="s">
        <v>722</v>
      </c>
      <c r="B7889" t="s">
        <v>6</v>
      </c>
      <c r="C7889" s="1">
        <f>HYPERLINK("https://cao.dolgi.msk.ru/account/1011345017/", 1011345017)</f>
        <v>1011345017</v>
      </c>
      <c r="D7889">
        <v>0</v>
      </c>
    </row>
    <row r="7890" spans="1:4" hidden="1" x14ac:dyDescent="0.3">
      <c r="A7890" t="s">
        <v>722</v>
      </c>
      <c r="B7890" t="s">
        <v>35</v>
      </c>
      <c r="C7890" s="1">
        <f>HYPERLINK("https://cao.dolgi.msk.ru/account/1011345199/", 1011345199)</f>
        <v>1011345199</v>
      </c>
      <c r="D7890">
        <v>-309.82</v>
      </c>
    </row>
    <row r="7891" spans="1:4" hidden="1" x14ac:dyDescent="0.3">
      <c r="A7891" t="s">
        <v>722</v>
      </c>
      <c r="B7891" t="s">
        <v>5</v>
      </c>
      <c r="C7891" s="1">
        <f>HYPERLINK("https://cao.dolgi.msk.ru/account/1011345252/", 1011345252)</f>
        <v>1011345252</v>
      </c>
      <c r="D7891">
        <v>0</v>
      </c>
    </row>
    <row r="7892" spans="1:4" hidden="1" x14ac:dyDescent="0.3">
      <c r="A7892" t="s">
        <v>722</v>
      </c>
      <c r="B7892" t="s">
        <v>7</v>
      </c>
      <c r="C7892" s="1">
        <f>HYPERLINK("https://cao.dolgi.msk.ru/account/1011344727/", 1011344727)</f>
        <v>1011344727</v>
      </c>
      <c r="D7892">
        <v>0</v>
      </c>
    </row>
    <row r="7893" spans="1:4" hidden="1" x14ac:dyDescent="0.3">
      <c r="A7893" t="s">
        <v>722</v>
      </c>
      <c r="B7893" t="s">
        <v>8</v>
      </c>
      <c r="C7893" s="1">
        <f>HYPERLINK("https://cao.dolgi.msk.ru/account/1011344954/", 1011344954)</f>
        <v>1011344954</v>
      </c>
      <c r="D7893">
        <v>0</v>
      </c>
    </row>
    <row r="7894" spans="1:4" hidden="1" x14ac:dyDescent="0.3">
      <c r="A7894" t="s">
        <v>722</v>
      </c>
      <c r="B7894" t="s">
        <v>31</v>
      </c>
      <c r="C7894" s="1">
        <f>HYPERLINK("https://cao.dolgi.msk.ru/account/1011344583/", 1011344583)</f>
        <v>1011344583</v>
      </c>
      <c r="D7894">
        <v>-4185.2700000000004</v>
      </c>
    </row>
    <row r="7895" spans="1:4" hidden="1" x14ac:dyDescent="0.3">
      <c r="A7895" t="s">
        <v>722</v>
      </c>
      <c r="B7895" t="s">
        <v>31</v>
      </c>
      <c r="C7895" s="1">
        <f>HYPERLINK("https://cao.dolgi.msk.ru/account/1011345164/", 1011345164)</f>
        <v>1011345164</v>
      </c>
      <c r="D7895">
        <v>-3629.81</v>
      </c>
    </row>
    <row r="7896" spans="1:4" hidden="1" x14ac:dyDescent="0.3">
      <c r="A7896" t="s">
        <v>722</v>
      </c>
      <c r="B7896" t="s">
        <v>31</v>
      </c>
      <c r="C7896" s="1">
        <f>HYPERLINK("https://cao.dolgi.msk.ru/account/1011345172/", 1011345172)</f>
        <v>1011345172</v>
      </c>
      <c r="D7896">
        <v>-2939.92</v>
      </c>
    </row>
    <row r="7897" spans="1:4" hidden="1" x14ac:dyDescent="0.3">
      <c r="A7897" t="s">
        <v>722</v>
      </c>
      <c r="B7897" t="s">
        <v>9</v>
      </c>
      <c r="C7897" s="1">
        <f>HYPERLINK("https://cao.dolgi.msk.ru/account/1011345201/", 1011345201)</f>
        <v>1011345201</v>
      </c>
      <c r="D7897">
        <v>-0.86</v>
      </c>
    </row>
    <row r="7898" spans="1:4" x14ac:dyDescent="0.3">
      <c r="A7898" t="s">
        <v>722</v>
      </c>
      <c r="B7898" t="s">
        <v>10</v>
      </c>
      <c r="C7898" s="1">
        <f>HYPERLINK("https://cao.dolgi.msk.ru/account/1011344516/", 1011344516)</f>
        <v>1011344516</v>
      </c>
      <c r="D7898">
        <v>11453.36</v>
      </c>
    </row>
    <row r="7899" spans="1:4" hidden="1" x14ac:dyDescent="0.3">
      <c r="A7899" t="s">
        <v>722</v>
      </c>
      <c r="B7899" t="s">
        <v>11</v>
      </c>
      <c r="C7899" s="1">
        <f>HYPERLINK("https://cao.dolgi.msk.ru/account/1011345121/", 1011345121)</f>
        <v>1011345121</v>
      </c>
      <c r="D7899">
        <v>0</v>
      </c>
    </row>
    <row r="7900" spans="1:4" hidden="1" x14ac:dyDescent="0.3">
      <c r="A7900" t="s">
        <v>722</v>
      </c>
      <c r="B7900" t="s">
        <v>12</v>
      </c>
      <c r="C7900" s="1">
        <f>HYPERLINK("https://cao.dolgi.msk.ru/account/1011345041/", 1011345041)</f>
        <v>1011345041</v>
      </c>
      <c r="D7900">
        <v>0</v>
      </c>
    </row>
    <row r="7901" spans="1:4" hidden="1" x14ac:dyDescent="0.3">
      <c r="A7901" t="s">
        <v>722</v>
      </c>
      <c r="B7901" t="s">
        <v>23</v>
      </c>
      <c r="C7901" s="1">
        <f>HYPERLINK("https://cao.dolgi.msk.ru/account/1011344751/", 1011344751)</f>
        <v>1011344751</v>
      </c>
      <c r="D7901">
        <v>-8467.99</v>
      </c>
    </row>
    <row r="7902" spans="1:4" hidden="1" x14ac:dyDescent="0.3">
      <c r="A7902" t="s">
        <v>722</v>
      </c>
      <c r="B7902" t="s">
        <v>13</v>
      </c>
      <c r="C7902" s="1">
        <f>HYPERLINK("https://cao.dolgi.msk.ru/account/1011345279/", 1011345279)</f>
        <v>1011345279</v>
      </c>
      <c r="D7902">
        <v>0</v>
      </c>
    </row>
    <row r="7903" spans="1:4" hidden="1" x14ac:dyDescent="0.3">
      <c r="A7903" t="s">
        <v>722</v>
      </c>
      <c r="B7903" t="s">
        <v>14</v>
      </c>
      <c r="C7903" s="1">
        <f>HYPERLINK("https://cao.dolgi.msk.ru/account/1011345308/", 1011345308)</f>
        <v>1011345308</v>
      </c>
      <c r="D7903">
        <v>0</v>
      </c>
    </row>
    <row r="7904" spans="1:4" hidden="1" x14ac:dyDescent="0.3">
      <c r="A7904" t="s">
        <v>722</v>
      </c>
      <c r="B7904" t="s">
        <v>16</v>
      </c>
      <c r="C7904" s="1">
        <f>HYPERLINK("https://cao.dolgi.msk.ru/account/1011345295/", 1011345295)</f>
        <v>1011345295</v>
      </c>
      <c r="D7904">
        <v>0</v>
      </c>
    </row>
    <row r="7905" spans="1:4" hidden="1" x14ac:dyDescent="0.3">
      <c r="A7905" t="s">
        <v>722</v>
      </c>
      <c r="B7905" t="s">
        <v>17</v>
      </c>
      <c r="C7905" s="1">
        <f>HYPERLINK("https://cao.dolgi.msk.ru/account/1011344815/", 1011344815)</f>
        <v>1011344815</v>
      </c>
      <c r="D7905">
        <v>0</v>
      </c>
    </row>
    <row r="7906" spans="1:4" x14ac:dyDescent="0.3">
      <c r="A7906" t="s">
        <v>722</v>
      </c>
      <c r="B7906" t="s">
        <v>18</v>
      </c>
      <c r="C7906" s="1">
        <f>HYPERLINK("https://cao.dolgi.msk.ru/account/1011344524/", 1011344524)</f>
        <v>1011344524</v>
      </c>
      <c r="D7906">
        <v>19583.82</v>
      </c>
    </row>
    <row r="7907" spans="1:4" hidden="1" x14ac:dyDescent="0.3">
      <c r="A7907" t="s">
        <v>722</v>
      </c>
      <c r="B7907" t="s">
        <v>18</v>
      </c>
      <c r="C7907" s="1">
        <f>HYPERLINK("https://cao.dolgi.msk.ru/account/1011344567/", 1011344567)</f>
        <v>1011344567</v>
      </c>
      <c r="D7907">
        <v>0</v>
      </c>
    </row>
    <row r="7908" spans="1:4" hidden="1" x14ac:dyDescent="0.3">
      <c r="A7908" t="s">
        <v>722</v>
      </c>
      <c r="B7908" t="s">
        <v>19</v>
      </c>
      <c r="C7908" s="1">
        <f>HYPERLINK("https://cao.dolgi.msk.ru/account/1011344743/", 1011344743)</f>
        <v>1011344743</v>
      </c>
      <c r="D7908">
        <v>0</v>
      </c>
    </row>
    <row r="7909" spans="1:4" hidden="1" x14ac:dyDescent="0.3">
      <c r="A7909" t="s">
        <v>722</v>
      </c>
      <c r="B7909" t="s">
        <v>19</v>
      </c>
      <c r="C7909" s="1">
        <f>HYPERLINK("https://cao.dolgi.msk.ru/account/1011344831/", 1011344831)</f>
        <v>1011344831</v>
      </c>
      <c r="D7909">
        <v>0</v>
      </c>
    </row>
    <row r="7910" spans="1:4" hidden="1" x14ac:dyDescent="0.3">
      <c r="A7910" t="s">
        <v>722</v>
      </c>
      <c r="B7910" t="s">
        <v>20</v>
      </c>
      <c r="C7910" s="1">
        <f>HYPERLINK("https://cao.dolgi.msk.ru/account/1011344807/", 1011344807)</f>
        <v>1011344807</v>
      </c>
      <c r="D7910">
        <v>-10318.52</v>
      </c>
    </row>
    <row r="7911" spans="1:4" hidden="1" x14ac:dyDescent="0.3">
      <c r="A7911" t="s">
        <v>722</v>
      </c>
      <c r="B7911" t="s">
        <v>21</v>
      </c>
      <c r="C7911" s="1">
        <f>HYPERLINK("https://cao.dolgi.msk.ru/account/1011344903/", 1011344903)</f>
        <v>1011344903</v>
      </c>
      <c r="D7911">
        <v>-13654.39</v>
      </c>
    </row>
    <row r="7912" spans="1:4" hidden="1" x14ac:dyDescent="0.3">
      <c r="A7912" t="s">
        <v>722</v>
      </c>
      <c r="B7912" t="s">
        <v>22</v>
      </c>
      <c r="C7912" s="1">
        <f>HYPERLINK("https://cao.dolgi.msk.ru/account/1011345009/", 1011345009)</f>
        <v>1011345009</v>
      </c>
      <c r="D7912">
        <v>0</v>
      </c>
    </row>
    <row r="7913" spans="1:4" hidden="1" x14ac:dyDescent="0.3">
      <c r="A7913" t="s">
        <v>722</v>
      </c>
      <c r="B7913" t="s">
        <v>24</v>
      </c>
      <c r="C7913" s="1">
        <f>HYPERLINK("https://cao.dolgi.msk.ru/account/1011344962/", 1011344962)</f>
        <v>1011344962</v>
      </c>
      <c r="D7913">
        <v>0</v>
      </c>
    </row>
    <row r="7914" spans="1:4" hidden="1" x14ac:dyDescent="0.3">
      <c r="A7914" t="s">
        <v>722</v>
      </c>
      <c r="B7914" t="s">
        <v>25</v>
      </c>
      <c r="C7914" s="1">
        <f>HYPERLINK("https://cao.dolgi.msk.ru/account/1011345316/", 1011345316)</f>
        <v>1011345316</v>
      </c>
      <c r="D7914">
        <v>0</v>
      </c>
    </row>
    <row r="7915" spans="1:4" hidden="1" x14ac:dyDescent="0.3">
      <c r="A7915" t="s">
        <v>722</v>
      </c>
      <c r="B7915" t="s">
        <v>26</v>
      </c>
      <c r="C7915" s="1">
        <f>HYPERLINK("https://cao.dolgi.msk.ru/account/1011344575/", 1011344575)</f>
        <v>1011344575</v>
      </c>
      <c r="D7915">
        <v>-23116.26</v>
      </c>
    </row>
    <row r="7916" spans="1:4" x14ac:dyDescent="0.3">
      <c r="A7916" t="s">
        <v>722</v>
      </c>
      <c r="B7916" t="s">
        <v>27</v>
      </c>
      <c r="C7916" s="1">
        <f>HYPERLINK("https://cao.dolgi.msk.ru/account/1011344874/", 1011344874)</f>
        <v>1011344874</v>
      </c>
      <c r="D7916">
        <v>487249.91</v>
      </c>
    </row>
    <row r="7917" spans="1:4" x14ac:dyDescent="0.3">
      <c r="A7917" t="s">
        <v>722</v>
      </c>
      <c r="B7917" t="s">
        <v>27</v>
      </c>
      <c r="C7917" s="1">
        <f>HYPERLINK("https://cao.dolgi.msk.ru/account/1011345228/", 1011345228)</f>
        <v>1011345228</v>
      </c>
      <c r="D7917">
        <v>106472.95</v>
      </c>
    </row>
    <row r="7918" spans="1:4" hidden="1" x14ac:dyDescent="0.3">
      <c r="A7918" t="s">
        <v>722</v>
      </c>
      <c r="B7918" t="s">
        <v>29</v>
      </c>
      <c r="C7918" s="1">
        <f>HYPERLINK("https://cao.dolgi.msk.ru/account/1011344612/", 1011344612)</f>
        <v>1011344612</v>
      </c>
      <c r="D7918">
        <v>0</v>
      </c>
    </row>
    <row r="7919" spans="1:4" hidden="1" x14ac:dyDescent="0.3">
      <c r="A7919" t="s">
        <v>722</v>
      </c>
      <c r="B7919" t="s">
        <v>38</v>
      </c>
      <c r="C7919" s="1">
        <f>HYPERLINK("https://cao.dolgi.msk.ru/account/1011344532/", 1011344532)</f>
        <v>1011344532</v>
      </c>
      <c r="D7919">
        <v>-13445.02</v>
      </c>
    </row>
    <row r="7920" spans="1:4" hidden="1" x14ac:dyDescent="0.3">
      <c r="A7920" t="s">
        <v>722</v>
      </c>
      <c r="B7920" t="s">
        <v>39</v>
      </c>
      <c r="C7920" s="1">
        <f>HYPERLINK("https://cao.dolgi.msk.ru/account/1011344604/", 1011344604)</f>
        <v>1011344604</v>
      </c>
      <c r="D7920">
        <v>0</v>
      </c>
    </row>
    <row r="7921" spans="1:4" hidden="1" x14ac:dyDescent="0.3">
      <c r="A7921" t="s">
        <v>722</v>
      </c>
      <c r="B7921" t="s">
        <v>40</v>
      </c>
      <c r="C7921" s="1">
        <f>HYPERLINK("https://cao.dolgi.msk.ru/account/1011344858/", 1011344858)</f>
        <v>1011344858</v>
      </c>
      <c r="D7921">
        <v>-18813.22</v>
      </c>
    </row>
    <row r="7922" spans="1:4" hidden="1" x14ac:dyDescent="0.3">
      <c r="A7922" t="s">
        <v>722</v>
      </c>
      <c r="B7922" t="s">
        <v>41</v>
      </c>
      <c r="C7922" s="1">
        <f>HYPERLINK("https://cao.dolgi.msk.ru/account/1011344911/", 1011344911)</f>
        <v>1011344911</v>
      </c>
      <c r="D7922">
        <v>0</v>
      </c>
    </row>
    <row r="7923" spans="1:4" hidden="1" x14ac:dyDescent="0.3">
      <c r="A7923" t="s">
        <v>722</v>
      </c>
      <c r="B7923" t="s">
        <v>52</v>
      </c>
      <c r="C7923" s="1">
        <f>HYPERLINK("https://cao.dolgi.msk.ru/account/1011344559/", 1011344559)</f>
        <v>1011344559</v>
      </c>
      <c r="D7923">
        <v>0</v>
      </c>
    </row>
    <row r="7924" spans="1:4" hidden="1" x14ac:dyDescent="0.3">
      <c r="A7924" t="s">
        <v>722</v>
      </c>
      <c r="B7924" t="s">
        <v>53</v>
      </c>
      <c r="C7924" s="1">
        <f>HYPERLINK("https://cao.dolgi.msk.ru/account/1011344946/", 1011344946)</f>
        <v>1011344946</v>
      </c>
      <c r="D7924">
        <v>0</v>
      </c>
    </row>
    <row r="7925" spans="1:4" hidden="1" x14ac:dyDescent="0.3">
      <c r="A7925" t="s">
        <v>722</v>
      </c>
      <c r="B7925" t="s">
        <v>54</v>
      </c>
      <c r="C7925" s="1">
        <f>HYPERLINK("https://cao.dolgi.msk.ru/account/1011345068/", 1011345068)</f>
        <v>1011345068</v>
      </c>
      <c r="D7925">
        <v>0</v>
      </c>
    </row>
    <row r="7926" spans="1:4" hidden="1" x14ac:dyDescent="0.3">
      <c r="A7926" t="s">
        <v>722</v>
      </c>
      <c r="B7926" t="s">
        <v>55</v>
      </c>
      <c r="C7926" s="1">
        <f>HYPERLINK("https://cao.dolgi.msk.ru/account/1011344882/", 1011344882)</f>
        <v>1011344882</v>
      </c>
      <c r="D7926">
        <v>-6187.33</v>
      </c>
    </row>
    <row r="7927" spans="1:4" x14ac:dyDescent="0.3">
      <c r="A7927" t="s">
        <v>722</v>
      </c>
      <c r="B7927" t="s">
        <v>55</v>
      </c>
      <c r="C7927" s="1">
        <f>HYPERLINK("https://cao.dolgi.msk.ru/account/1011344989/", 1011344989)</f>
        <v>1011344989</v>
      </c>
      <c r="D7927">
        <v>2926.43</v>
      </c>
    </row>
    <row r="7928" spans="1:4" hidden="1" x14ac:dyDescent="0.3">
      <c r="A7928" t="s">
        <v>722</v>
      </c>
      <c r="B7928" t="s">
        <v>56</v>
      </c>
      <c r="C7928" s="1">
        <f>HYPERLINK("https://cao.dolgi.msk.ru/account/1011344997/", 1011344997)</f>
        <v>1011344997</v>
      </c>
      <c r="D7928">
        <v>0</v>
      </c>
    </row>
    <row r="7929" spans="1:4" hidden="1" x14ac:dyDescent="0.3">
      <c r="A7929" t="s">
        <v>722</v>
      </c>
      <c r="B7929" t="s">
        <v>56</v>
      </c>
      <c r="C7929" s="1">
        <f>HYPERLINK("https://cao.dolgi.msk.ru/account/1011345287/", 1011345287)</f>
        <v>1011345287</v>
      </c>
      <c r="D7929">
        <v>0</v>
      </c>
    </row>
    <row r="7930" spans="1:4" hidden="1" x14ac:dyDescent="0.3">
      <c r="A7930" t="s">
        <v>722</v>
      </c>
      <c r="B7930" t="s">
        <v>87</v>
      </c>
      <c r="C7930" s="1">
        <f>HYPERLINK("https://cao.dolgi.msk.ru/account/1011344655/", 1011344655)</f>
        <v>1011344655</v>
      </c>
      <c r="D7930">
        <v>0</v>
      </c>
    </row>
    <row r="7931" spans="1:4" hidden="1" x14ac:dyDescent="0.3">
      <c r="A7931" t="s">
        <v>722</v>
      </c>
      <c r="B7931" t="s">
        <v>88</v>
      </c>
      <c r="C7931" s="1">
        <f>HYPERLINK("https://cao.dolgi.msk.ru/account/1011344698/", 1011344698)</f>
        <v>1011344698</v>
      </c>
      <c r="D7931">
        <v>-1505.74</v>
      </c>
    </row>
    <row r="7932" spans="1:4" hidden="1" x14ac:dyDescent="0.3">
      <c r="A7932" t="s">
        <v>722</v>
      </c>
      <c r="B7932" t="s">
        <v>88</v>
      </c>
      <c r="C7932" s="1">
        <f>HYPERLINK("https://cao.dolgi.msk.ru/account/1011345092/", 1011345092)</f>
        <v>1011345092</v>
      </c>
      <c r="D7932">
        <v>-7661.73</v>
      </c>
    </row>
    <row r="7933" spans="1:4" hidden="1" x14ac:dyDescent="0.3">
      <c r="A7933" t="s">
        <v>722</v>
      </c>
      <c r="B7933" t="s">
        <v>89</v>
      </c>
      <c r="C7933" s="1">
        <f>HYPERLINK("https://cao.dolgi.msk.ru/account/1011345105/", 1011345105)</f>
        <v>1011345105</v>
      </c>
      <c r="D7933">
        <v>0</v>
      </c>
    </row>
    <row r="7934" spans="1:4" x14ac:dyDescent="0.3">
      <c r="A7934" t="s">
        <v>722</v>
      </c>
      <c r="B7934" t="s">
        <v>90</v>
      </c>
      <c r="C7934" s="1">
        <f>HYPERLINK("https://cao.dolgi.msk.ru/account/1011344823/", 1011344823)</f>
        <v>1011344823</v>
      </c>
      <c r="D7934">
        <v>8421.35</v>
      </c>
    </row>
    <row r="7935" spans="1:4" x14ac:dyDescent="0.3">
      <c r="A7935" t="s">
        <v>722</v>
      </c>
      <c r="B7935" t="s">
        <v>96</v>
      </c>
      <c r="C7935" s="1">
        <f>HYPERLINK("https://cao.dolgi.msk.ru/account/1011344866/", 1011344866)</f>
        <v>1011344866</v>
      </c>
      <c r="D7935">
        <v>219.75</v>
      </c>
    </row>
    <row r="7936" spans="1:4" hidden="1" x14ac:dyDescent="0.3">
      <c r="A7936" t="s">
        <v>722</v>
      </c>
      <c r="B7936" t="s">
        <v>97</v>
      </c>
      <c r="C7936" s="1">
        <f>HYPERLINK("https://cao.dolgi.msk.ru/account/1011345033/", 1011345033)</f>
        <v>1011345033</v>
      </c>
      <c r="D7936">
        <v>-92368.01</v>
      </c>
    </row>
    <row r="7937" spans="1:4" hidden="1" x14ac:dyDescent="0.3">
      <c r="A7937" t="s">
        <v>722</v>
      </c>
      <c r="B7937" t="s">
        <v>98</v>
      </c>
      <c r="C7937" s="1">
        <f>HYPERLINK("https://cao.dolgi.msk.ru/account/1011344719/", 1011344719)</f>
        <v>1011344719</v>
      </c>
      <c r="D7937">
        <v>-7767.75</v>
      </c>
    </row>
    <row r="7938" spans="1:4" x14ac:dyDescent="0.3">
      <c r="A7938" t="s">
        <v>722</v>
      </c>
      <c r="B7938" t="s">
        <v>98</v>
      </c>
      <c r="C7938" s="1">
        <f>HYPERLINK("https://cao.dolgi.msk.ru/account/1011345025/", 1011345025)</f>
        <v>1011345025</v>
      </c>
      <c r="D7938">
        <v>2019.37</v>
      </c>
    </row>
    <row r="7939" spans="1:4" hidden="1" x14ac:dyDescent="0.3">
      <c r="A7939" t="s">
        <v>722</v>
      </c>
      <c r="B7939" t="s">
        <v>58</v>
      </c>
      <c r="C7939" s="1">
        <f>HYPERLINK("https://cao.dolgi.msk.ru/account/1011345084/", 1011345084)</f>
        <v>1011345084</v>
      </c>
      <c r="D7939">
        <v>0</v>
      </c>
    </row>
    <row r="7940" spans="1:4" hidden="1" x14ac:dyDescent="0.3">
      <c r="A7940" t="s">
        <v>722</v>
      </c>
      <c r="B7940" t="s">
        <v>59</v>
      </c>
      <c r="C7940" s="1">
        <f>HYPERLINK("https://cao.dolgi.msk.ru/account/1011344794/", 1011344794)</f>
        <v>1011344794</v>
      </c>
      <c r="D7940">
        <v>0</v>
      </c>
    </row>
    <row r="7941" spans="1:4" hidden="1" x14ac:dyDescent="0.3">
      <c r="A7941" t="s">
        <v>722</v>
      </c>
      <c r="B7941" t="s">
        <v>60</v>
      </c>
      <c r="C7941" s="1">
        <f>HYPERLINK("https://cao.dolgi.msk.ru/account/1011344778/", 1011344778)</f>
        <v>1011344778</v>
      </c>
      <c r="D7941">
        <v>0</v>
      </c>
    </row>
    <row r="7942" spans="1:4" x14ac:dyDescent="0.3">
      <c r="A7942" t="s">
        <v>722</v>
      </c>
      <c r="B7942" t="s">
        <v>61</v>
      </c>
      <c r="C7942" s="1">
        <f>HYPERLINK("https://cao.dolgi.msk.ru/account/1011344671/", 1011344671)</f>
        <v>1011344671</v>
      </c>
      <c r="D7942">
        <v>55563.21</v>
      </c>
    </row>
    <row r="7943" spans="1:4" hidden="1" x14ac:dyDescent="0.3">
      <c r="A7943" t="s">
        <v>722</v>
      </c>
      <c r="B7943" t="s">
        <v>62</v>
      </c>
      <c r="C7943" s="1">
        <f>HYPERLINK("https://cao.dolgi.msk.ru/account/1011344591/", 1011344591)</f>
        <v>1011344591</v>
      </c>
      <c r="D7943">
        <v>-5959.7</v>
      </c>
    </row>
    <row r="7944" spans="1:4" hidden="1" x14ac:dyDescent="0.3">
      <c r="A7944" t="s">
        <v>722</v>
      </c>
      <c r="B7944" t="s">
        <v>63</v>
      </c>
      <c r="C7944" s="1">
        <f>HYPERLINK("https://cao.dolgi.msk.ru/account/1011344639/", 1011344639)</f>
        <v>1011344639</v>
      </c>
      <c r="D7944">
        <v>-923.49</v>
      </c>
    </row>
    <row r="7945" spans="1:4" x14ac:dyDescent="0.3">
      <c r="A7945" t="s">
        <v>722</v>
      </c>
      <c r="B7945" t="s">
        <v>64</v>
      </c>
      <c r="C7945" s="1">
        <f>HYPERLINK("https://cao.dolgi.msk.ru/account/1011345148/", 1011345148)</f>
        <v>1011345148</v>
      </c>
      <c r="D7945">
        <v>7845.38</v>
      </c>
    </row>
    <row r="7946" spans="1:4" x14ac:dyDescent="0.3">
      <c r="A7946" t="s">
        <v>722</v>
      </c>
      <c r="B7946" t="s">
        <v>66</v>
      </c>
      <c r="C7946" s="1">
        <f>HYPERLINK("https://cao.dolgi.msk.ru/account/1011345236/", 1011345236)</f>
        <v>1011345236</v>
      </c>
      <c r="D7946">
        <v>3552.59</v>
      </c>
    </row>
    <row r="7947" spans="1:4" hidden="1" x14ac:dyDescent="0.3">
      <c r="A7947" t="s">
        <v>722</v>
      </c>
      <c r="B7947" t="s">
        <v>67</v>
      </c>
      <c r="C7947" s="1">
        <f>HYPERLINK("https://cao.dolgi.msk.ru/account/1011345076/", 1011345076)</f>
        <v>1011345076</v>
      </c>
      <c r="D7947">
        <v>0</v>
      </c>
    </row>
    <row r="7948" spans="1:4" hidden="1" x14ac:dyDescent="0.3">
      <c r="A7948" t="s">
        <v>722</v>
      </c>
      <c r="B7948" t="s">
        <v>68</v>
      </c>
      <c r="C7948" s="1">
        <f>HYPERLINK("https://cao.dolgi.msk.ru/account/1011344786/", 1011344786)</f>
        <v>1011344786</v>
      </c>
      <c r="D7948">
        <v>-97.27</v>
      </c>
    </row>
    <row r="7949" spans="1:4" x14ac:dyDescent="0.3">
      <c r="A7949" t="s">
        <v>722</v>
      </c>
      <c r="B7949" t="s">
        <v>69</v>
      </c>
      <c r="C7949" s="1">
        <f>HYPERLINK("https://cao.dolgi.msk.ru/account/1011345156/", 1011345156)</f>
        <v>1011345156</v>
      </c>
      <c r="D7949">
        <v>4507.47</v>
      </c>
    </row>
    <row r="7950" spans="1:4" hidden="1" x14ac:dyDescent="0.3">
      <c r="A7950" t="s">
        <v>722</v>
      </c>
      <c r="B7950" t="s">
        <v>70</v>
      </c>
      <c r="C7950" s="1">
        <f>HYPERLINK("https://cao.dolgi.msk.ru/account/1011345113/", 1011345113)</f>
        <v>1011345113</v>
      </c>
      <c r="D7950">
        <v>0</v>
      </c>
    </row>
    <row r="7951" spans="1:4" hidden="1" x14ac:dyDescent="0.3">
      <c r="A7951" t="s">
        <v>722</v>
      </c>
      <c r="B7951" t="s">
        <v>259</v>
      </c>
      <c r="C7951" s="1">
        <f>HYPERLINK("https://cao.dolgi.msk.ru/account/1011345244/", 1011345244)</f>
        <v>1011345244</v>
      </c>
      <c r="D7951">
        <v>0</v>
      </c>
    </row>
    <row r="7952" spans="1:4" x14ac:dyDescent="0.3">
      <c r="A7952" t="s">
        <v>722</v>
      </c>
      <c r="B7952" t="s">
        <v>100</v>
      </c>
      <c r="C7952" s="1">
        <f>HYPERLINK("https://cao.dolgi.msk.ru/account/1011344647/", 1011344647)</f>
        <v>1011344647</v>
      </c>
      <c r="D7952">
        <v>8233.61</v>
      </c>
    </row>
    <row r="7953" spans="1:4" hidden="1" x14ac:dyDescent="0.3">
      <c r="A7953" t="s">
        <v>722</v>
      </c>
      <c r="B7953" t="s">
        <v>72</v>
      </c>
      <c r="C7953" s="1">
        <f>HYPERLINK("https://cao.dolgi.msk.ru/account/1011344938/", 1011344938)</f>
        <v>1011344938</v>
      </c>
      <c r="D7953">
        <v>0</v>
      </c>
    </row>
    <row r="7954" spans="1:4" hidden="1" x14ac:dyDescent="0.3">
      <c r="A7954" t="s">
        <v>722</v>
      </c>
      <c r="B7954" t="s">
        <v>73</v>
      </c>
      <c r="C7954" s="1">
        <f>HYPERLINK("https://cao.dolgi.msk.ru/account/1011344735/", 1011344735)</f>
        <v>1011344735</v>
      </c>
      <c r="D7954">
        <v>0</v>
      </c>
    </row>
    <row r="7955" spans="1:4" hidden="1" x14ac:dyDescent="0.3">
      <c r="A7955" t="s">
        <v>723</v>
      </c>
      <c r="B7955" t="s">
        <v>76</v>
      </c>
      <c r="C7955" s="1">
        <f>HYPERLINK("https://cao.dolgi.msk.ru/account/1011402034/", 1011402034)</f>
        <v>1011402034</v>
      </c>
      <c r="D7955">
        <v>-12418.31</v>
      </c>
    </row>
    <row r="7956" spans="1:4" x14ac:dyDescent="0.3">
      <c r="A7956" t="s">
        <v>723</v>
      </c>
      <c r="B7956" t="s">
        <v>77</v>
      </c>
      <c r="C7956" s="1">
        <f>HYPERLINK("https://cao.dolgi.msk.ru/account/1011401373/", 1011401373)</f>
        <v>1011401373</v>
      </c>
      <c r="D7956">
        <v>494.27</v>
      </c>
    </row>
    <row r="7957" spans="1:4" x14ac:dyDescent="0.3">
      <c r="A7957" t="s">
        <v>723</v>
      </c>
      <c r="B7957" t="s">
        <v>78</v>
      </c>
      <c r="C7957" s="1">
        <f>HYPERLINK("https://cao.dolgi.msk.ru/account/1011401736/", 1011401736)</f>
        <v>1011401736</v>
      </c>
      <c r="D7957">
        <v>12114.15</v>
      </c>
    </row>
    <row r="7958" spans="1:4" hidden="1" x14ac:dyDescent="0.3">
      <c r="A7958" t="s">
        <v>723</v>
      </c>
      <c r="B7958" t="s">
        <v>79</v>
      </c>
      <c r="C7958" s="1">
        <f>HYPERLINK("https://cao.dolgi.msk.ru/account/1011401779/", 1011401779)</f>
        <v>1011401779</v>
      </c>
      <c r="D7958">
        <v>-9640.64</v>
      </c>
    </row>
    <row r="7959" spans="1:4" hidden="1" x14ac:dyDescent="0.3">
      <c r="A7959" t="s">
        <v>723</v>
      </c>
      <c r="B7959" t="s">
        <v>80</v>
      </c>
      <c r="C7959" s="1">
        <f>HYPERLINK("https://cao.dolgi.msk.ru/account/1011401517/", 1011401517)</f>
        <v>1011401517</v>
      </c>
      <c r="D7959">
        <v>-9124.4</v>
      </c>
    </row>
    <row r="7960" spans="1:4" hidden="1" x14ac:dyDescent="0.3">
      <c r="A7960" t="s">
        <v>723</v>
      </c>
      <c r="B7960" t="s">
        <v>81</v>
      </c>
      <c r="C7960" s="1">
        <f>HYPERLINK("https://cao.dolgi.msk.ru/account/1011401488/", 1011401488)</f>
        <v>1011401488</v>
      </c>
      <c r="D7960">
        <v>0</v>
      </c>
    </row>
    <row r="7961" spans="1:4" hidden="1" x14ac:dyDescent="0.3">
      <c r="A7961" t="s">
        <v>723</v>
      </c>
      <c r="B7961" t="s">
        <v>101</v>
      </c>
      <c r="C7961" s="1">
        <f>HYPERLINK("https://cao.dolgi.msk.ru/account/1011401621/", 1011401621)</f>
        <v>1011401621</v>
      </c>
      <c r="D7961">
        <v>-12375.4</v>
      </c>
    </row>
    <row r="7962" spans="1:4" hidden="1" x14ac:dyDescent="0.3">
      <c r="A7962" t="s">
        <v>723</v>
      </c>
      <c r="B7962" t="s">
        <v>82</v>
      </c>
      <c r="C7962" s="1">
        <f>HYPERLINK("https://cao.dolgi.msk.ru/account/1011401955/", 1011401955)</f>
        <v>1011401955</v>
      </c>
      <c r="D7962">
        <v>-10524.81</v>
      </c>
    </row>
    <row r="7963" spans="1:4" hidden="1" x14ac:dyDescent="0.3">
      <c r="A7963" t="s">
        <v>723</v>
      </c>
      <c r="B7963" t="s">
        <v>85</v>
      </c>
      <c r="C7963" s="1">
        <f>HYPERLINK("https://cao.dolgi.msk.ru/account/1011401787/", 1011401787)</f>
        <v>1011401787</v>
      </c>
      <c r="D7963">
        <v>0</v>
      </c>
    </row>
    <row r="7964" spans="1:4" hidden="1" x14ac:dyDescent="0.3">
      <c r="A7964" t="s">
        <v>723</v>
      </c>
      <c r="B7964" t="s">
        <v>102</v>
      </c>
      <c r="C7964" s="1">
        <f>HYPERLINK("https://cao.dolgi.msk.ru/account/1011401883/", 1011401883)</f>
        <v>1011401883</v>
      </c>
      <c r="D7964">
        <v>0</v>
      </c>
    </row>
    <row r="7965" spans="1:4" hidden="1" x14ac:dyDescent="0.3">
      <c r="A7965" t="s">
        <v>723</v>
      </c>
      <c r="B7965" t="s">
        <v>103</v>
      </c>
      <c r="C7965" s="1">
        <f>HYPERLINK("https://cao.dolgi.msk.ru/account/1011401912/", 1011401912)</f>
        <v>1011401912</v>
      </c>
      <c r="D7965">
        <v>-10637.96</v>
      </c>
    </row>
    <row r="7966" spans="1:4" hidden="1" x14ac:dyDescent="0.3">
      <c r="A7966" t="s">
        <v>723</v>
      </c>
      <c r="B7966" t="s">
        <v>104</v>
      </c>
      <c r="C7966" s="1">
        <f>HYPERLINK("https://cao.dolgi.msk.ru/account/1011401728/", 1011401728)</f>
        <v>1011401728</v>
      </c>
      <c r="D7966">
        <v>0</v>
      </c>
    </row>
    <row r="7967" spans="1:4" hidden="1" x14ac:dyDescent="0.3">
      <c r="A7967" t="s">
        <v>723</v>
      </c>
      <c r="B7967" t="s">
        <v>105</v>
      </c>
      <c r="C7967" s="1">
        <f>HYPERLINK("https://cao.dolgi.msk.ru/account/1011401672/", 1011401672)</f>
        <v>1011401672</v>
      </c>
      <c r="D7967">
        <v>-309.76</v>
      </c>
    </row>
    <row r="7968" spans="1:4" x14ac:dyDescent="0.3">
      <c r="A7968" t="s">
        <v>723</v>
      </c>
      <c r="B7968" t="s">
        <v>106</v>
      </c>
      <c r="C7968" s="1">
        <f>HYPERLINK("https://cao.dolgi.msk.ru/account/1011401285/", 1011401285)</f>
        <v>1011401285</v>
      </c>
      <c r="D7968">
        <v>4417.8999999999996</v>
      </c>
    </row>
    <row r="7969" spans="1:4" hidden="1" x14ac:dyDescent="0.3">
      <c r="A7969" t="s">
        <v>723</v>
      </c>
      <c r="B7969" t="s">
        <v>106</v>
      </c>
      <c r="C7969" s="1">
        <f>HYPERLINK("https://cao.dolgi.msk.ru/account/1011401824/", 1011401824)</f>
        <v>1011401824</v>
      </c>
      <c r="D7969">
        <v>0</v>
      </c>
    </row>
    <row r="7970" spans="1:4" hidden="1" x14ac:dyDescent="0.3">
      <c r="A7970" t="s">
        <v>723</v>
      </c>
      <c r="B7970" t="s">
        <v>107</v>
      </c>
      <c r="C7970" s="1">
        <f>HYPERLINK("https://cao.dolgi.msk.ru/account/1011401576/", 1011401576)</f>
        <v>1011401576</v>
      </c>
      <c r="D7970">
        <v>0</v>
      </c>
    </row>
    <row r="7971" spans="1:4" hidden="1" x14ac:dyDescent="0.3">
      <c r="A7971" t="s">
        <v>723</v>
      </c>
      <c r="B7971" t="s">
        <v>108</v>
      </c>
      <c r="C7971" s="1">
        <f>HYPERLINK("https://cao.dolgi.msk.ru/account/1011401226/", 1011401226)</f>
        <v>1011401226</v>
      </c>
      <c r="D7971">
        <v>0</v>
      </c>
    </row>
    <row r="7972" spans="1:4" x14ac:dyDescent="0.3">
      <c r="A7972" t="s">
        <v>723</v>
      </c>
      <c r="B7972" t="s">
        <v>109</v>
      </c>
      <c r="C7972" s="1">
        <f>HYPERLINK("https://cao.dolgi.msk.ru/account/1011401314/", 1011401314)</f>
        <v>1011401314</v>
      </c>
      <c r="D7972">
        <v>9677.31</v>
      </c>
    </row>
    <row r="7973" spans="1:4" x14ac:dyDescent="0.3">
      <c r="A7973" t="s">
        <v>723</v>
      </c>
      <c r="B7973" t="s">
        <v>110</v>
      </c>
      <c r="C7973" s="1">
        <f>HYPERLINK("https://cao.dolgi.msk.ru/account/1011401277/", 1011401277)</f>
        <v>1011401277</v>
      </c>
      <c r="D7973">
        <v>9816.5300000000007</v>
      </c>
    </row>
    <row r="7974" spans="1:4" hidden="1" x14ac:dyDescent="0.3">
      <c r="A7974" t="s">
        <v>723</v>
      </c>
      <c r="B7974" t="s">
        <v>111</v>
      </c>
      <c r="C7974" s="1">
        <f>HYPERLINK("https://cao.dolgi.msk.ru/account/1011402042/", 1011402042)</f>
        <v>1011402042</v>
      </c>
      <c r="D7974">
        <v>0</v>
      </c>
    </row>
    <row r="7975" spans="1:4" x14ac:dyDescent="0.3">
      <c r="A7975" t="s">
        <v>723</v>
      </c>
      <c r="B7975" t="s">
        <v>112</v>
      </c>
      <c r="C7975" s="1">
        <f>HYPERLINK("https://cao.dolgi.msk.ru/account/1011401891/", 1011401891)</f>
        <v>1011401891</v>
      </c>
      <c r="D7975">
        <v>9656.34</v>
      </c>
    </row>
    <row r="7976" spans="1:4" hidden="1" x14ac:dyDescent="0.3">
      <c r="A7976" t="s">
        <v>723</v>
      </c>
      <c r="B7976" t="s">
        <v>113</v>
      </c>
      <c r="C7976" s="1">
        <f>HYPERLINK("https://cao.dolgi.msk.ru/account/1011401525/", 1011401525)</f>
        <v>1011401525</v>
      </c>
      <c r="D7976">
        <v>-10465.4</v>
      </c>
    </row>
    <row r="7977" spans="1:4" hidden="1" x14ac:dyDescent="0.3">
      <c r="A7977" t="s">
        <v>723</v>
      </c>
      <c r="B7977" t="s">
        <v>114</v>
      </c>
      <c r="C7977" s="1">
        <f>HYPERLINK("https://cao.dolgi.msk.ru/account/1011401533/", 1011401533)</f>
        <v>1011401533</v>
      </c>
      <c r="D7977">
        <v>-312.05</v>
      </c>
    </row>
    <row r="7978" spans="1:4" hidden="1" x14ac:dyDescent="0.3">
      <c r="A7978" t="s">
        <v>723</v>
      </c>
      <c r="B7978" t="s">
        <v>115</v>
      </c>
      <c r="C7978" s="1">
        <f>HYPERLINK("https://cao.dolgi.msk.ru/account/1011401584/", 1011401584)</f>
        <v>1011401584</v>
      </c>
      <c r="D7978">
        <v>-10416.700000000001</v>
      </c>
    </row>
    <row r="7979" spans="1:4" x14ac:dyDescent="0.3">
      <c r="A7979" t="s">
        <v>723</v>
      </c>
      <c r="B7979" t="s">
        <v>116</v>
      </c>
      <c r="C7979" s="1">
        <f>HYPERLINK("https://cao.dolgi.msk.ru/account/1011401197/", 1011401197)</f>
        <v>1011401197</v>
      </c>
      <c r="D7979">
        <v>6025.06</v>
      </c>
    </row>
    <row r="7980" spans="1:4" x14ac:dyDescent="0.3">
      <c r="A7980" t="s">
        <v>723</v>
      </c>
      <c r="B7980" t="s">
        <v>116</v>
      </c>
      <c r="C7980" s="1">
        <f>HYPERLINK("https://cao.dolgi.msk.ru/account/1011401218/", 1011401218)</f>
        <v>1011401218</v>
      </c>
      <c r="D7980">
        <v>4610.3900000000003</v>
      </c>
    </row>
    <row r="7981" spans="1:4" x14ac:dyDescent="0.3">
      <c r="A7981" t="s">
        <v>723</v>
      </c>
      <c r="B7981" t="s">
        <v>116</v>
      </c>
      <c r="C7981" s="1">
        <f>HYPERLINK("https://cao.dolgi.msk.ru/account/1011401437/", 1011401437)</f>
        <v>1011401437</v>
      </c>
      <c r="D7981">
        <v>4011.23</v>
      </c>
    </row>
    <row r="7982" spans="1:4" x14ac:dyDescent="0.3">
      <c r="A7982" t="s">
        <v>723</v>
      </c>
      <c r="B7982" t="s">
        <v>266</v>
      </c>
      <c r="C7982" s="1">
        <f>HYPERLINK("https://cao.dolgi.msk.ru/account/1011401509/", 1011401509)</f>
        <v>1011401509</v>
      </c>
      <c r="D7982">
        <v>408983.93</v>
      </c>
    </row>
    <row r="7983" spans="1:4" hidden="1" x14ac:dyDescent="0.3">
      <c r="A7983" t="s">
        <v>723</v>
      </c>
      <c r="B7983" t="s">
        <v>117</v>
      </c>
      <c r="C7983" s="1">
        <f>HYPERLINK("https://cao.dolgi.msk.ru/account/1011401445/", 1011401445)</f>
        <v>1011401445</v>
      </c>
      <c r="D7983">
        <v>0</v>
      </c>
    </row>
    <row r="7984" spans="1:4" x14ac:dyDescent="0.3">
      <c r="A7984" t="s">
        <v>723</v>
      </c>
      <c r="B7984" t="s">
        <v>118</v>
      </c>
      <c r="C7984" s="1">
        <f>HYPERLINK("https://cao.dolgi.msk.ru/account/1011401306/", 1011401306)</f>
        <v>1011401306</v>
      </c>
      <c r="D7984">
        <v>25347.26</v>
      </c>
    </row>
    <row r="7985" spans="1:4" hidden="1" x14ac:dyDescent="0.3">
      <c r="A7985" t="s">
        <v>723</v>
      </c>
      <c r="B7985" t="s">
        <v>118</v>
      </c>
      <c r="C7985" s="1">
        <f>HYPERLINK("https://cao.dolgi.msk.ru/account/1011401381/", 1011401381)</f>
        <v>1011401381</v>
      </c>
      <c r="D7985">
        <v>-4536.2299999999996</v>
      </c>
    </row>
    <row r="7986" spans="1:4" x14ac:dyDescent="0.3">
      <c r="A7986" t="s">
        <v>723</v>
      </c>
      <c r="B7986" t="s">
        <v>118</v>
      </c>
      <c r="C7986" s="1">
        <f>HYPERLINK("https://cao.dolgi.msk.ru/account/1011401699/", 1011401699)</f>
        <v>1011401699</v>
      </c>
      <c r="D7986">
        <v>4128.28</v>
      </c>
    </row>
    <row r="7987" spans="1:4" hidden="1" x14ac:dyDescent="0.3">
      <c r="A7987" t="s">
        <v>723</v>
      </c>
      <c r="B7987" t="s">
        <v>119</v>
      </c>
      <c r="C7987" s="1">
        <f>HYPERLINK("https://cao.dolgi.msk.ru/account/1011401832/", 1011401832)</f>
        <v>1011401832</v>
      </c>
      <c r="D7987">
        <v>-7885.26</v>
      </c>
    </row>
    <row r="7988" spans="1:4" hidden="1" x14ac:dyDescent="0.3">
      <c r="A7988" t="s">
        <v>723</v>
      </c>
      <c r="B7988" t="s">
        <v>120</v>
      </c>
      <c r="C7988" s="1">
        <f>HYPERLINK("https://cao.dolgi.msk.ru/account/1011401592/", 1011401592)</f>
        <v>1011401592</v>
      </c>
      <c r="D7988">
        <v>0</v>
      </c>
    </row>
    <row r="7989" spans="1:4" x14ac:dyDescent="0.3">
      <c r="A7989" t="s">
        <v>723</v>
      </c>
      <c r="B7989" t="s">
        <v>121</v>
      </c>
      <c r="C7989" s="1">
        <f>HYPERLINK("https://cao.dolgi.msk.ru/account/1011401541/", 1011401541)</f>
        <v>1011401541</v>
      </c>
      <c r="D7989">
        <v>87029.86</v>
      </c>
    </row>
    <row r="7990" spans="1:4" x14ac:dyDescent="0.3">
      <c r="A7990" t="s">
        <v>723</v>
      </c>
      <c r="B7990" t="s">
        <v>122</v>
      </c>
      <c r="C7990" s="1">
        <f>HYPERLINK("https://cao.dolgi.msk.ru/account/1011401453/", 1011401453)</f>
        <v>1011401453</v>
      </c>
      <c r="D7990">
        <v>134970.65</v>
      </c>
    </row>
    <row r="7991" spans="1:4" hidden="1" x14ac:dyDescent="0.3">
      <c r="A7991" t="s">
        <v>723</v>
      </c>
      <c r="B7991" t="s">
        <v>123</v>
      </c>
      <c r="C7991" s="1">
        <f>HYPERLINK("https://cao.dolgi.msk.ru/account/1011401234/", 1011401234)</f>
        <v>1011401234</v>
      </c>
      <c r="D7991">
        <v>0</v>
      </c>
    </row>
    <row r="7992" spans="1:4" hidden="1" x14ac:dyDescent="0.3">
      <c r="A7992" t="s">
        <v>723</v>
      </c>
      <c r="B7992" t="s">
        <v>124</v>
      </c>
      <c r="C7992" s="1">
        <f>HYPERLINK("https://cao.dolgi.msk.ru/account/1011401656/", 1011401656)</f>
        <v>1011401656</v>
      </c>
      <c r="D7992">
        <v>-10689.86</v>
      </c>
    </row>
    <row r="7993" spans="1:4" hidden="1" x14ac:dyDescent="0.3">
      <c r="A7993" t="s">
        <v>723</v>
      </c>
      <c r="B7993" t="s">
        <v>125</v>
      </c>
      <c r="C7993" s="1">
        <f>HYPERLINK("https://cao.dolgi.msk.ru/account/1011401859/", 1011401859)</f>
        <v>1011401859</v>
      </c>
      <c r="D7993">
        <v>0</v>
      </c>
    </row>
    <row r="7994" spans="1:4" hidden="1" x14ac:dyDescent="0.3">
      <c r="A7994" t="s">
        <v>723</v>
      </c>
      <c r="B7994" t="s">
        <v>125</v>
      </c>
      <c r="C7994" s="1">
        <f>HYPERLINK("https://cao.dolgi.msk.ru/account/1011401867/", 1011401867)</f>
        <v>1011401867</v>
      </c>
      <c r="D7994">
        <v>0</v>
      </c>
    </row>
    <row r="7995" spans="1:4" hidden="1" x14ac:dyDescent="0.3">
      <c r="A7995" t="s">
        <v>723</v>
      </c>
      <c r="B7995" t="s">
        <v>125</v>
      </c>
      <c r="C7995" s="1">
        <f>HYPERLINK("https://cao.dolgi.msk.ru/account/1011401904/", 1011401904)</f>
        <v>1011401904</v>
      </c>
      <c r="D7995">
        <v>0</v>
      </c>
    </row>
    <row r="7996" spans="1:4" x14ac:dyDescent="0.3">
      <c r="A7996" t="s">
        <v>723</v>
      </c>
      <c r="B7996" t="s">
        <v>126</v>
      </c>
      <c r="C7996" s="1">
        <f>HYPERLINK("https://cao.dolgi.msk.ru/account/1011401402/", 1011401402)</f>
        <v>1011401402</v>
      </c>
      <c r="D7996">
        <v>37690.800000000003</v>
      </c>
    </row>
    <row r="7997" spans="1:4" hidden="1" x14ac:dyDescent="0.3">
      <c r="A7997" t="s">
        <v>723</v>
      </c>
      <c r="B7997" t="s">
        <v>127</v>
      </c>
      <c r="C7997" s="1">
        <f>HYPERLINK("https://cao.dolgi.msk.ru/account/1011401947/", 1011401947)</f>
        <v>1011401947</v>
      </c>
      <c r="D7997">
        <v>0</v>
      </c>
    </row>
    <row r="7998" spans="1:4" hidden="1" x14ac:dyDescent="0.3">
      <c r="A7998" t="s">
        <v>723</v>
      </c>
      <c r="B7998" t="s">
        <v>262</v>
      </c>
      <c r="C7998" s="1">
        <f>HYPERLINK("https://cao.dolgi.msk.ru/account/1011401605/", 1011401605)</f>
        <v>1011401605</v>
      </c>
      <c r="D7998">
        <v>0</v>
      </c>
    </row>
    <row r="7999" spans="1:4" hidden="1" x14ac:dyDescent="0.3">
      <c r="A7999" t="s">
        <v>723</v>
      </c>
      <c r="B7999" t="s">
        <v>262</v>
      </c>
      <c r="C7999" s="1">
        <f>HYPERLINK("https://cao.dolgi.msk.ru/account/1011401664/", 1011401664)</f>
        <v>1011401664</v>
      </c>
      <c r="D7999">
        <v>0</v>
      </c>
    </row>
    <row r="8000" spans="1:4" x14ac:dyDescent="0.3">
      <c r="A8000" t="s">
        <v>723</v>
      </c>
      <c r="B8000" t="s">
        <v>128</v>
      </c>
      <c r="C8000" s="1">
        <f>HYPERLINK("https://cao.dolgi.msk.ru/account/1011402018/", 1011402018)</f>
        <v>1011402018</v>
      </c>
      <c r="D8000">
        <v>58398.54</v>
      </c>
    </row>
    <row r="8001" spans="1:4" x14ac:dyDescent="0.3">
      <c r="A8001" t="s">
        <v>723</v>
      </c>
      <c r="B8001" t="s">
        <v>129</v>
      </c>
      <c r="C8001" s="1">
        <f>HYPERLINK("https://cao.dolgi.msk.ru/account/1011401242/", 1011401242)</f>
        <v>1011401242</v>
      </c>
      <c r="D8001">
        <v>38566.199999999997</v>
      </c>
    </row>
    <row r="8002" spans="1:4" hidden="1" x14ac:dyDescent="0.3">
      <c r="A8002" t="s">
        <v>723</v>
      </c>
      <c r="B8002" t="s">
        <v>130</v>
      </c>
      <c r="C8002" s="1">
        <f>HYPERLINK("https://cao.dolgi.msk.ru/account/1011402026/", 1011402026)</f>
        <v>1011402026</v>
      </c>
      <c r="D8002">
        <v>0</v>
      </c>
    </row>
    <row r="8003" spans="1:4" x14ac:dyDescent="0.3">
      <c r="A8003" t="s">
        <v>723</v>
      </c>
      <c r="B8003" t="s">
        <v>131</v>
      </c>
      <c r="C8003" s="1">
        <f>HYPERLINK("https://cao.dolgi.msk.ru/account/1011401322/", 1011401322)</f>
        <v>1011401322</v>
      </c>
      <c r="D8003">
        <v>9840.41</v>
      </c>
    </row>
    <row r="8004" spans="1:4" x14ac:dyDescent="0.3">
      <c r="A8004" t="s">
        <v>723</v>
      </c>
      <c r="B8004" t="s">
        <v>131</v>
      </c>
      <c r="C8004" s="1">
        <f>HYPERLINK("https://cao.dolgi.msk.ru/account/1011401349/", 1011401349)</f>
        <v>1011401349</v>
      </c>
      <c r="D8004">
        <v>31527.05</v>
      </c>
    </row>
    <row r="8005" spans="1:4" hidden="1" x14ac:dyDescent="0.3">
      <c r="A8005" t="s">
        <v>723</v>
      </c>
      <c r="B8005" t="s">
        <v>132</v>
      </c>
      <c r="C8005" s="1">
        <f>HYPERLINK("https://cao.dolgi.msk.ru/account/1011401293/", 1011401293)</f>
        <v>1011401293</v>
      </c>
      <c r="D8005">
        <v>0</v>
      </c>
    </row>
    <row r="8006" spans="1:4" hidden="1" x14ac:dyDescent="0.3">
      <c r="A8006" t="s">
        <v>723</v>
      </c>
      <c r="B8006" t="s">
        <v>133</v>
      </c>
      <c r="C8006" s="1">
        <f>HYPERLINK("https://cao.dolgi.msk.ru/account/1011401496/", 1011401496)</f>
        <v>1011401496</v>
      </c>
      <c r="D8006">
        <v>-9680.9599999999991</v>
      </c>
    </row>
    <row r="8007" spans="1:4" hidden="1" x14ac:dyDescent="0.3">
      <c r="A8007" t="s">
        <v>723</v>
      </c>
      <c r="B8007" t="s">
        <v>134</v>
      </c>
      <c r="C8007" s="1">
        <f>HYPERLINK("https://cao.dolgi.msk.ru/account/1011401971/", 1011401971)</f>
        <v>1011401971</v>
      </c>
      <c r="D8007">
        <v>0</v>
      </c>
    </row>
    <row r="8008" spans="1:4" x14ac:dyDescent="0.3">
      <c r="A8008" t="s">
        <v>723</v>
      </c>
      <c r="B8008" t="s">
        <v>135</v>
      </c>
      <c r="C8008" s="1">
        <f>HYPERLINK("https://cao.dolgi.msk.ru/account/1011401429/", 1011401429)</f>
        <v>1011401429</v>
      </c>
      <c r="D8008">
        <v>11990.23</v>
      </c>
    </row>
    <row r="8009" spans="1:4" hidden="1" x14ac:dyDescent="0.3">
      <c r="A8009" t="s">
        <v>723</v>
      </c>
      <c r="B8009" t="s">
        <v>264</v>
      </c>
      <c r="C8009" s="1">
        <f>HYPERLINK("https://cao.dolgi.msk.ru/account/1011401648/", 1011401648)</f>
        <v>1011401648</v>
      </c>
      <c r="D8009">
        <v>0</v>
      </c>
    </row>
    <row r="8010" spans="1:4" x14ac:dyDescent="0.3">
      <c r="A8010" t="s">
        <v>723</v>
      </c>
      <c r="B8010" t="s">
        <v>136</v>
      </c>
      <c r="C8010" s="1">
        <f>HYPERLINK("https://cao.dolgi.msk.ru/account/1011401816/", 1011401816)</f>
        <v>1011401816</v>
      </c>
      <c r="D8010">
        <v>28076.59</v>
      </c>
    </row>
    <row r="8011" spans="1:4" hidden="1" x14ac:dyDescent="0.3">
      <c r="A8011" t="s">
        <v>723</v>
      </c>
      <c r="B8011" t="s">
        <v>137</v>
      </c>
      <c r="C8011" s="1">
        <f>HYPERLINK("https://cao.dolgi.msk.ru/account/1011401701/", 1011401701)</f>
        <v>1011401701</v>
      </c>
      <c r="D8011">
        <v>0</v>
      </c>
    </row>
    <row r="8012" spans="1:4" hidden="1" x14ac:dyDescent="0.3">
      <c r="A8012" t="s">
        <v>723</v>
      </c>
      <c r="B8012" t="s">
        <v>139</v>
      </c>
      <c r="C8012" s="1">
        <f>HYPERLINK("https://cao.dolgi.msk.ru/account/1011401744/", 1011401744)</f>
        <v>1011401744</v>
      </c>
      <c r="D8012">
        <v>0</v>
      </c>
    </row>
    <row r="8013" spans="1:4" hidden="1" x14ac:dyDescent="0.3">
      <c r="A8013" t="s">
        <v>723</v>
      </c>
      <c r="B8013" t="s">
        <v>140</v>
      </c>
      <c r="C8013" s="1">
        <f>HYPERLINK("https://cao.dolgi.msk.ru/account/1011401998/", 1011401998)</f>
        <v>1011401998</v>
      </c>
      <c r="D8013">
        <v>0</v>
      </c>
    </row>
    <row r="8014" spans="1:4" hidden="1" x14ac:dyDescent="0.3">
      <c r="A8014" t="s">
        <v>723</v>
      </c>
      <c r="B8014" t="s">
        <v>141</v>
      </c>
      <c r="C8014" s="1">
        <f>HYPERLINK("https://cao.dolgi.msk.ru/account/1011401461/", 1011401461)</f>
        <v>1011401461</v>
      </c>
      <c r="D8014">
        <v>-9168.34</v>
      </c>
    </row>
    <row r="8015" spans="1:4" hidden="1" x14ac:dyDescent="0.3">
      <c r="A8015" t="s">
        <v>723</v>
      </c>
      <c r="B8015" t="s">
        <v>142</v>
      </c>
      <c r="C8015" s="1">
        <f>HYPERLINK("https://cao.dolgi.msk.ru/account/1011401613/", 1011401613)</f>
        <v>1011401613</v>
      </c>
      <c r="D8015">
        <v>-3037.63</v>
      </c>
    </row>
    <row r="8016" spans="1:4" hidden="1" x14ac:dyDescent="0.3">
      <c r="A8016" t="s">
        <v>723</v>
      </c>
      <c r="B8016" t="s">
        <v>142</v>
      </c>
      <c r="C8016" s="1">
        <f>HYPERLINK("https://cao.dolgi.msk.ru/account/1011401808/", 1011401808)</f>
        <v>1011401808</v>
      </c>
      <c r="D8016">
        <v>-4897.1099999999997</v>
      </c>
    </row>
    <row r="8017" spans="1:4" hidden="1" x14ac:dyDescent="0.3">
      <c r="A8017" t="s">
        <v>723</v>
      </c>
      <c r="B8017" t="s">
        <v>143</v>
      </c>
      <c r="C8017" s="1">
        <f>HYPERLINK("https://cao.dolgi.msk.ru/account/1011401269/", 1011401269)</f>
        <v>1011401269</v>
      </c>
      <c r="D8017">
        <v>0</v>
      </c>
    </row>
    <row r="8018" spans="1:4" hidden="1" x14ac:dyDescent="0.3">
      <c r="A8018" t="s">
        <v>723</v>
      </c>
      <c r="B8018" t="s">
        <v>144</v>
      </c>
      <c r="C8018" s="1">
        <f>HYPERLINK("https://cao.dolgi.msk.ru/account/1011401752/", 1011401752)</f>
        <v>1011401752</v>
      </c>
      <c r="D8018">
        <v>-0.79</v>
      </c>
    </row>
    <row r="8019" spans="1:4" hidden="1" x14ac:dyDescent="0.3">
      <c r="A8019" t="s">
        <v>723</v>
      </c>
      <c r="B8019" t="s">
        <v>145</v>
      </c>
      <c r="C8019" s="1">
        <f>HYPERLINK("https://cao.dolgi.msk.ru/account/1011401365/", 1011401365)</f>
        <v>1011401365</v>
      </c>
      <c r="D8019">
        <v>0</v>
      </c>
    </row>
    <row r="8020" spans="1:4" hidden="1" x14ac:dyDescent="0.3">
      <c r="A8020" t="s">
        <v>723</v>
      </c>
      <c r="B8020" t="s">
        <v>146</v>
      </c>
      <c r="C8020" s="1">
        <f>HYPERLINK("https://cao.dolgi.msk.ru/account/1011401357/", 1011401357)</f>
        <v>1011401357</v>
      </c>
      <c r="D8020">
        <v>-10553.52</v>
      </c>
    </row>
    <row r="8021" spans="1:4" hidden="1" x14ac:dyDescent="0.3">
      <c r="A8021" t="s">
        <v>723</v>
      </c>
      <c r="B8021" t="s">
        <v>147</v>
      </c>
      <c r="C8021" s="1">
        <f>HYPERLINK("https://cao.dolgi.msk.ru/account/1011401568/", 1011401568)</f>
        <v>1011401568</v>
      </c>
      <c r="D8021">
        <v>-115.31</v>
      </c>
    </row>
    <row r="8022" spans="1:4" hidden="1" x14ac:dyDescent="0.3">
      <c r="A8022" t="s">
        <v>723</v>
      </c>
      <c r="B8022" t="s">
        <v>148</v>
      </c>
      <c r="C8022" s="1">
        <f>HYPERLINK("https://cao.dolgi.msk.ru/account/1011401875/", 1011401875)</f>
        <v>1011401875</v>
      </c>
      <c r="D8022">
        <v>0</v>
      </c>
    </row>
    <row r="8023" spans="1:4" hidden="1" x14ac:dyDescent="0.3">
      <c r="A8023" t="s">
        <v>723</v>
      </c>
      <c r="B8023" t="s">
        <v>149</v>
      </c>
      <c r="C8023" s="1">
        <f>HYPERLINK("https://cao.dolgi.msk.ru/account/1011401795/", 1011401795)</f>
        <v>1011401795</v>
      </c>
      <c r="D8023">
        <v>-9608.64</v>
      </c>
    </row>
    <row r="8024" spans="1:4" hidden="1" x14ac:dyDescent="0.3">
      <c r="A8024" t="s">
        <v>724</v>
      </c>
      <c r="B8024" t="s">
        <v>35</v>
      </c>
      <c r="C8024" s="1">
        <f>HYPERLINK("https://cao.dolgi.msk.ru/account/1011062543/", 1011062543)</f>
        <v>1011062543</v>
      </c>
      <c r="D8024">
        <v>-16149.23</v>
      </c>
    </row>
    <row r="8025" spans="1:4" hidden="1" x14ac:dyDescent="0.3">
      <c r="A8025" t="s">
        <v>724</v>
      </c>
      <c r="B8025" t="s">
        <v>5</v>
      </c>
      <c r="C8025" s="1">
        <f>HYPERLINK("https://cao.dolgi.msk.ru/account/1011062615/", 1011062615)</f>
        <v>1011062615</v>
      </c>
      <c r="D8025">
        <v>-112.32</v>
      </c>
    </row>
    <row r="8026" spans="1:4" hidden="1" x14ac:dyDescent="0.3">
      <c r="A8026" t="s">
        <v>724</v>
      </c>
      <c r="B8026" t="s">
        <v>7</v>
      </c>
      <c r="C8026" s="1">
        <f>HYPERLINK("https://cao.dolgi.msk.ru/account/1011062578/", 1011062578)</f>
        <v>1011062578</v>
      </c>
      <c r="D8026">
        <v>0</v>
      </c>
    </row>
    <row r="8027" spans="1:4" hidden="1" x14ac:dyDescent="0.3">
      <c r="A8027" t="s">
        <v>724</v>
      </c>
      <c r="B8027" t="s">
        <v>8</v>
      </c>
      <c r="C8027" s="1">
        <f>HYPERLINK("https://cao.dolgi.msk.ru/account/1011062607/", 1011062607)</f>
        <v>1011062607</v>
      </c>
      <c r="D8027">
        <v>-2805.68</v>
      </c>
    </row>
    <row r="8028" spans="1:4" x14ac:dyDescent="0.3">
      <c r="A8028" t="s">
        <v>724</v>
      </c>
      <c r="B8028" t="s">
        <v>31</v>
      </c>
      <c r="C8028" s="1">
        <f>HYPERLINK("https://cao.dolgi.msk.ru/account/1011062594/", 1011062594)</f>
        <v>1011062594</v>
      </c>
      <c r="D8028">
        <v>26046.560000000001</v>
      </c>
    </row>
    <row r="8029" spans="1:4" hidden="1" x14ac:dyDescent="0.3">
      <c r="A8029" t="s">
        <v>724</v>
      </c>
      <c r="B8029" t="s">
        <v>9</v>
      </c>
      <c r="C8029" s="1">
        <f>HYPERLINK("https://cao.dolgi.msk.ru/account/1011062551/", 1011062551)</f>
        <v>1011062551</v>
      </c>
      <c r="D8029">
        <v>0</v>
      </c>
    </row>
    <row r="8030" spans="1:4" x14ac:dyDescent="0.3">
      <c r="A8030" t="s">
        <v>724</v>
      </c>
      <c r="B8030" t="s">
        <v>10</v>
      </c>
      <c r="C8030" s="1">
        <f>HYPERLINK("https://cao.dolgi.msk.ru/account/1011062586/", 1011062586)</f>
        <v>1011062586</v>
      </c>
      <c r="D8030">
        <v>862.65</v>
      </c>
    </row>
    <row r="8031" spans="1:4" x14ac:dyDescent="0.3">
      <c r="A8031" t="s">
        <v>725</v>
      </c>
      <c r="B8031" t="s">
        <v>6</v>
      </c>
      <c r="C8031" s="1">
        <f>HYPERLINK("https://cao.dolgi.msk.ru/account/1011534512/", 1011534512)</f>
        <v>1011534512</v>
      </c>
      <c r="D8031">
        <v>25889.1</v>
      </c>
    </row>
    <row r="8032" spans="1:4" hidden="1" x14ac:dyDescent="0.3">
      <c r="A8032" t="s">
        <v>725</v>
      </c>
      <c r="B8032" t="s">
        <v>28</v>
      </c>
      <c r="C8032" s="1">
        <f>HYPERLINK("https://cao.dolgi.msk.ru/account/1019023872/", 1019023872)</f>
        <v>1019023872</v>
      </c>
      <c r="D8032">
        <v>-169.96</v>
      </c>
    </row>
    <row r="8033" spans="1:4" hidden="1" x14ac:dyDescent="0.3">
      <c r="A8033" t="s">
        <v>725</v>
      </c>
      <c r="B8033" t="s">
        <v>35</v>
      </c>
      <c r="C8033" s="1">
        <f>HYPERLINK("https://cao.dolgi.msk.ru/account/1010404249/", 1010404249)</f>
        <v>1010404249</v>
      </c>
      <c r="D8033">
        <v>-15.95</v>
      </c>
    </row>
    <row r="8034" spans="1:4" x14ac:dyDescent="0.3">
      <c r="A8034" t="s">
        <v>725</v>
      </c>
      <c r="B8034" t="s">
        <v>5</v>
      </c>
      <c r="C8034" s="1">
        <f>HYPERLINK("https://cao.dolgi.msk.ru/account/1010404257/", 1010404257)</f>
        <v>1010404257</v>
      </c>
      <c r="D8034">
        <v>62549.02</v>
      </c>
    </row>
    <row r="8035" spans="1:4" hidden="1" x14ac:dyDescent="0.3">
      <c r="A8035" t="s">
        <v>725</v>
      </c>
      <c r="B8035" t="s">
        <v>7</v>
      </c>
      <c r="C8035" s="1">
        <f>HYPERLINK("https://cao.dolgi.msk.ru/account/1019021973/", 1019021973)</f>
        <v>1019021973</v>
      </c>
      <c r="D8035">
        <v>0</v>
      </c>
    </row>
    <row r="8036" spans="1:4" hidden="1" x14ac:dyDescent="0.3">
      <c r="A8036" t="s">
        <v>725</v>
      </c>
      <c r="B8036" t="s">
        <v>10</v>
      </c>
      <c r="C8036" s="1">
        <f>HYPERLINK("https://cao.dolgi.msk.ru/account/1010404273/", 1010404273)</f>
        <v>1010404273</v>
      </c>
      <c r="D8036">
        <v>-7391.15</v>
      </c>
    </row>
    <row r="8037" spans="1:4" hidden="1" x14ac:dyDescent="0.3">
      <c r="A8037" t="s">
        <v>725</v>
      </c>
      <c r="B8037" t="s">
        <v>10</v>
      </c>
      <c r="C8037" s="1">
        <f>HYPERLINK("https://cao.dolgi.msk.ru/account/1019011062/", 1019011062)</f>
        <v>1019011062</v>
      </c>
      <c r="D8037">
        <v>-6814.85</v>
      </c>
    </row>
    <row r="8038" spans="1:4" hidden="1" x14ac:dyDescent="0.3">
      <c r="A8038" t="s">
        <v>725</v>
      </c>
      <c r="B8038" t="s">
        <v>11</v>
      </c>
      <c r="C8038" s="1">
        <f>HYPERLINK("https://cao.dolgi.msk.ru/account/1010404329/", 1010404329)</f>
        <v>1010404329</v>
      </c>
      <c r="D8038">
        <v>-1848.58</v>
      </c>
    </row>
    <row r="8039" spans="1:4" hidden="1" x14ac:dyDescent="0.3">
      <c r="A8039" t="s">
        <v>725</v>
      </c>
      <c r="B8039" t="s">
        <v>12</v>
      </c>
      <c r="C8039" s="1">
        <f>HYPERLINK("https://cao.dolgi.msk.ru/account/1019022546/", 1019022546)</f>
        <v>1019022546</v>
      </c>
      <c r="D8039">
        <v>-8117.15</v>
      </c>
    </row>
    <row r="8040" spans="1:4" hidden="1" x14ac:dyDescent="0.3">
      <c r="A8040" t="s">
        <v>725</v>
      </c>
      <c r="B8040" t="s">
        <v>23</v>
      </c>
      <c r="C8040" s="1">
        <f>HYPERLINK("https://cao.dolgi.msk.ru/account/1010404265/", 1010404265)</f>
        <v>1010404265</v>
      </c>
      <c r="D8040">
        <v>0</v>
      </c>
    </row>
    <row r="8041" spans="1:4" x14ac:dyDescent="0.3">
      <c r="A8041" t="s">
        <v>725</v>
      </c>
      <c r="B8041" t="s">
        <v>13</v>
      </c>
      <c r="C8041" s="1">
        <f>HYPERLINK("https://cao.dolgi.msk.ru/account/1010404353/", 1010404353)</f>
        <v>1010404353</v>
      </c>
      <c r="D8041">
        <v>3871.24</v>
      </c>
    </row>
    <row r="8042" spans="1:4" x14ac:dyDescent="0.3">
      <c r="A8042" t="s">
        <v>725</v>
      </c>
      <c r="B8042" t="s">
        <v>13</v>
      </c>
      <c r="C8042" s="1">
        <f>HYPERLINK("https://cao.dolgi.msk.ru/account/1011018083/", 1011018083)</f>
        <v>1011018083</v>
      </c>
      <c r="D8042">
        <v>4498.16</v>
      </c>
    </row>
    <row r="8043" spans="1:4" x14ac:dyDescent="0.3">
      <c r="A8043" t="s">
        <v>725</v>
      </c>
      <c r="B8043" t="s">
        <v>13</v>
      </c>
      <c r="C8043" s="1">
        <f>HYPERLINK("https://cao.dolgi.msk.ru/account/1011062754/", 1011062754)</f>
        <v>1011062754</v>
      </c>
      <c r="D8043">
        <v>12572.6</v>
      </c>
    </row>
    <row r="8044" spans="1:4" hidden="1" x14ac:dyDescent="0.3">
      <c r="A8044" t="s">
        <v>725</v>
      </c>
      <c r="B8044" t="s">
        <v>14</v>
      </c>
      <c r="C8044" s="1">
        <f>HYPERLINK("https://cao.dolgi.msk.ru/account/1010404396/", 1010404396)</f>
        <v>1010404396</v>
      </c>
      <c r="D8044">
        <v>-25919.58</v>
      </c>
    </row>
    <row r="8045" spans="1:4" hidden="1" x14ac:dyDescent="0.3">
      <c r="A8045" t="s">
        <v>726</v>
      </c>
      <c r="B8045" t="s">
        <v>6</v>
      </c>
      <c r="C8045" s="1">
        <f>HYPERLINK("https://cao.dolgi.msk.ru/account/1011105638/", 1011105638)</f>
        <v>1011105638</v>
      </c>
      <c r="D8045">
        <v>0</v>
      </c>
    </row>
    <row r="8046" spans="1:4" x14ac:dyDescent="0.3">
      <c r="A8046" t="s">
        <v>726</v>
      </c>
      <c r="B8046" t="s">
        <v>35</v>
      </c>
      <c r="C8046" s="1">
        <f>HYPERLINK("https://cao.dolgi.msk.ru/account/1011103843/", 1011103843)</f>
        <v>1011103843</v>
      </c>
      <c r="D8046">
        <v>11115.02</v>
      </c>
    </row>
    <row r="8047" spans="1:4" hidden="1" x14ac:dyDescent="0.3">
      <c r="A8047" t="s">
        <v>726</v>
      </c>
      <c r="B8047" t="s">
        <v>5</v>
      </c>
      <c r="C8047" s="1">
        <f>HYPERLINK("https://cao.dolgi.msk.ru/account/1011104264/", 1011104264)</f>
        <v>1011104264</v>
      </c>
      <c r="D8047">
        <v>0</v>
      </c>
    </row>
    <row r="8048" spans="1:4" hidden="1" x14ac:dyDescent="0.3">
      <c r="A8048" t="s">
        <v>726</v>
      </c>
      <c r="B8048" t="s">
        <v>5</v>
      </c>
      <c r="C8048" s="1">
        <f>HYPERLINK("https://cao.dolgi.msk.ru/account/1011105654/", 1011105654)</f>
        <v>1011105654</v>
      </c>
      <c r="D8048">
        <v>-3166.31</v>
      </c>
    </row>
    <row r="8049" spans="1:4" hidden="1" x14ac:dyDescent="0.3">
      <c r="A8049" t="s">
        <v>726</v>
      </c>
      <c r="B8049" t="s">
        <v>7</v>
      </c>
      <c r="C8049" s="1">
        <f>HYPERLINK("https://cao.dolgi.msk.ru/account/1011106454/", 1011106454)</f>
        <v>1011106454</v>
      </c>
      <c r="D8049">
        <v>-29102.49</v>
      </c>
    </row>
    <row r="8050" spans="1:4" hidden="1" x14ac:dyDescent="0.3">
      <c r="A8050" t="s">
        <v>726</v>
      </c>
      <c r="B8050" t="s">
        <v>8</v>
      </c>
      <c r="C8050" s="1">
        <f>HYPERLINK("https://cao.dolgi.msk.ru/account/1011106884/", 1011106884)</f>
        <v>1011106884</v>
      </c>
      <c r="D8050">
        <v>-6911.24</v>
      </c>
    </row>
    <row r="8051" spans="1:4" x14ac:dyDescent="0.3">
      <c r="A8051" t="s">
        <v>726</v>
      </c>
      <c r="B8051" t="s">
        <v>31</v>
      </c>
      <c r="C8051" s="1">
        <f>HYPERLINK("https://cao.dolgi.msk.ru/account/1011105662/", 1011105662)</f>
        <v>1011105662</v>
      </c>
      <c r="D8051">
        <v>7747.46</v>
      </c>
    </row>
    <row r="8052" spans="1:4" hidden="1" x14ac:dyDescent="0.3">
      <c r="A8052" t="s">
        <v>726</v>
      </c>
      <c r="B8052" t="s">
        <v>9</v>
      </c>
      <c r="C8052" s="1">
        <f>HYPERLINK("https://cao.dolgi.msk.ru/account/1011105267/", 1011105267)</f>
        <v>1011105267</v>
      </c>
      <c r="D8052">
        <v>0</v>
      </c>
    </row>
    <row r="8053" spans="1:4" hidden="1" x14ac:dyDescent="0.3">
      <c r="A8053" t="s">
        <v>726</v>
      </c>
      <c r="B8053" t="s">
        <v>10</v>
      </c>
      <c r="C8053" s="1">
        <f>HYPERLINK("https://cao.dolgi.msk.ru/account/1011106155/", 1011106155)</f>
        <v>1011106155</v>
      </c>
      <c r="D8053">
        <v>0</v>
      </c>
    </row>
    <row r="8054" spans="1:4" x14ac:dyDescent="0.3">
      <c r="A8054" t="s">
        <v>726</v>
      </c>
      <c r="B8054" t="s">
        <v>11</v>
      </c>
      <c r="C8054" s="1">
        <f>HYPERLINK("https://cao.dolgi.msk.ru/account/1011106462/", 1011106462)</f>
        <v>1011106462</v>
      </c>
      <c r="D8054">
        <v>76</v>
      </c>
    </row>
    <row r="8055" spans="1:4" hidden="1" x14ac:dyDescent="0.3">
      <c r="A8055" t="s">
        <v>726</v>
      </c>
      <c r="B8055" t="s">
        <v>12</v>
      </c>
      <c r="C8055" s="1">
        <f>HYPERLINK("https://cao.dolgi.msk.ru/account/1011104301/", 1011104301)</f>
        <v>1011104301</v>
      </c>
      <c r="D8055">
        <v>0</v>
      </c>
    </row>
    <row r="8056" spans="1:4" hidden="1" x14ac:dyDescent="0.3">
      <c r="A8056" t="s">
        <v>726</v>
      </c>
      <c r="B8056" t="s">
        <v>23</v>
      </c>
      <c r="C8056" s="1">
        <f>HYPERLINK("https://cao.dolgi.msk.ru/account/1011105689/", 1011105689)</f>
        <v>1011105689</v>
      </c>
      <c r="D8056">
        <v>-5068.67</v>
      </c>
    </row>
    <row r="8057" spans="1:4" hidden="1" x14ac:dyDescent="0.3">
      <c r="A8057" t="s">
        <v>726</v>
      </c>
      <c r="B8057" t="s">
        <v>13</v>
      </c>
      <c r="C8057" s="1">
        <f>HYPERLINK("https://cao.dolgi.msk.ru/account/1011103851/", 1011103851)</f>
        <v>1011103851</v>
      </c>
      <c r="D8057">
        <v>-8196.24</v>
      </c>
    </row>
    <row r="8058" spans="1:4" hidden="1" x14ac:dyDescent="0.3">
      <c r="A8058" t="s">
        <v>726</v>
      </c>
      <c r="B8058" t="s">
        <v>14</v>
      </c>
      <c r="C8058" s="1">
        <f>HYPERLINK("https://cao.dolgi.msk.ru/account/1011104774/", 1011104774)</f>
        <v>1011104774</v>
      </c>
      <c r="D8058">
        <v>0</v>
      </c>
    </row>
    <row r="8059" spans="1:4" hidden="1" x14ac:dyDescent="0.3">
      <c r="A8059" t="s">
        <v>726</v>
      </c>
      <c r="B8059" t="s">
        <v>16</v>
      </c>
      <c r="C8059" s="1">
        <f>HYPERLINK("https://cao.dolgi.msk.ru/account/1011104328/", 1011104328)</f>
        <v>1011104328</v>
      </c>
      <c r="D8059">
        <v>0</v>
      </c>
    </row>
    <row r="8060" spans="1:4" hidden="1" x14ac:dyDescent="0.3">
      <c r="A8060" t="s">
        <v>726</v>
      </c>
      <c r="B8060" t="s">
        <v>17</v>
      </c>
      <c r="C8060" s="1">
        <f>HYPERLINK("https://cao.dolgi.msk.ru/account/1011105697/", 1011105697)</f>
        <v>1011105697</v>
      </c>
      <c r="D8060">
        <v>0</v>
      </c>
    </row>
    <row r="8061" spans="1:4" hidden="1" x14ac:dyDescent="0.3">
      <c r="A8061" t="s">
        <v>726</v>
      </c>
      <c r="B8061" t="s">
        <v>18</v>
      </c>
      <c r="C8061" s="1">
        <f>HYPERLINK("https://cao.dolgi.msk.ru/account/1011106489/", 1011106489)</f>
        <v>1011106489</v>
      </c>
      <c r="D8061">
        <v>0</v>
      </c>
    </row>
    <row r="8062" spans="1:4" x14ac:dyDescent="0.3">
      <c r="A8062" t="s">
        <v>726</v>
      </c>
      <c r="B8062" t="s">
        <v>19</v>
      </c>
      <c r="C8062" s="1">
        <f>HYPERLINK("https://cao.dolgi.msk.ru/account/1011104272/", 1011104272)</f>
        <v>1011104272</v>
      </c>
      <c r="D8062">
        <v>26434.13</v>
      </c>
    </row>
    <row r="8063" spans="1:4" hidden="1" x14ac:dyDescent="0.3">
      <c r="A8063" t="s">
        <v>726</v>
      </c>
      <c r="B8063" t="s">
        <v>20</v>
      </c>
      <c r="C8063" s="1">
        <f>HYPERLINK("https://cao.dolgi.msk.ru/account/1011105275/", 1011105275)</f>
        <v>1011105275</v>
      </c>
      <c r="D8063">
        <v>0</v>
      </c>
    </row>
    <row r="8064" spans="1:4" x14ac:dyDescent="0.3">
      <c r="A8064" t="s">
        <v>726</v>
      </c>
      <c r="B8064" t="s">
        <v>21</v>
      </c>
      <c r="C8064" s="1">
        <f>HYPERLINK("https://cao.dolgi.msk.ru/account/1011105283/", 1011105283)</f>
        <v>1011105283</v>
      </c>
      <c r="D8064">
        <v>13374.61</v>
      </c>
    </row>
    <row r="8065" spans="1:4" hidden="1" x14ac:dyDescent="0.3">
      <c r="A8065" t="s">
        <v>726</v>
      </c>
      <c r="B8065" t="s">
        <v>21</v>
      </c>
      <c r="C8065" s="1">
        <f>HYPERLINK("https://cao.dolgi.msk.ru/account/1011105718/", 1011105718)</f>
        <v>1011105718</v>
      </c>
      <c r="D8065">
        <v>-4157.88</v>
      </c>
    </row>
    <row r="8066" spans="1:4" hidden="1" x14ac:dyDescent="0.3">
      <c r="A8066" t="s">
        <v>726</v>
      </c>
      <c r="B8066" t="s">
        <v>21</v>
      </c>
      <c r="C8066" s="1">
        <f>HYPERLINK("https://cao.dolgi.msk.ru/account/1011106892/", 1011106892)</f>
        <v>1011106892</v>
      </c>
      <c r="D8066">
        <v>-3699.21</v>
      </c>
    </row>
    <row r="8067" spans="1:4" hidden="1" x14ac:dyDescent="0.3">
      <c r="A8067" t="s">
        <v>726</v>
      </c>
      <c r="B8067" t="s">
        <v>22</v>
      </c>
      <c r="C8067" s="1">
        <f>HYPERLINK("https://cao.dolgi.msk.ru/account/1011106163/", 1011106163)</f>
        <v>1011106163</v>
      </c>
      <c r="D8067">
        <v>0</v>
      </c>
    </row>
    <row r="8068" spans="1:4" hidden="1" x14ac:dyDescent="0.3">
      <c r="A8068" t="s">
        <v>726</v>
      </c>
      <c r="B8068" t="s">
        <v>24</v>
      </c>
      <c r="C8068" s="1">
        <f>HYPERLINK("https://cao.dolgi.msk.ru/account/1011106497/", 1011106497)</f>
        <v>1011106497</v>
      </c>
      <c r="D8068">
        <v>-138.96</v>
      </c>
    </row>
    <row r="8069" spans="1:4" hidden="1" x14ac:dyDescent="0.3">
      <c r="A8069" t="s">
        <v>726</v>
      </c>
      <c r="B8069" t="s">
        <v>25</v>
      </c>
      <c r="C8069" s="1">
        <f>HYPERLINK("https://cao.dolgi.msk.ru/account/1011105726/", 1011105726)</f>
        <v>1011105726</v>
      </c>
      <c r="D8069">
        <v>0</v>
      </c>
    </row>
    <row r="8070" spans="1:4" hidden="1" x14ac:dyDescent="0.3">
      <c r="A8070" t="s">
        <v>726</v>
      </c>
      <c r="B8070" t="s">
        <v>26</v>
      </c>
      <c r="C8070" s="1">
        <f>HYPERLINK("https://cao.dolgi.msk.ru/account/1011105734/", 1011105734)</f>
        <v>1011105734</v>
      </c>
      <c r="D8070">
        <v>-15443.62</v>
      </c>
    </row>
    <row r="8071" spans="1:4" hidden="1" x14ac:dyDescent="0.3">
      <c r="A8071" t="s">
        <v>726</v>
      </c>
      <c r="B8071" t="s">
        <v>27</v>
      </c>
      <c r="C8071" s="1">
        <f>HYPERLINK("https://cao.dolgi.msk.ru/account/1011106905/", 1011106905)</f>
        <v>1011106905</v>
      </c>
      <c r="D8071">
        <v>0</v>
      </c>
    </row>
    <row r="8072" spans="1:4" hidden="1" x14ac:dyDescent="0.3">
      <c r="A8072" t="s">
        <v>726</v>
      </c>
      <c r="B8072" t="s">
        <v>29</v>
      </c>
      <c r="C8072" s="1">
        <f>HYPERLINK("https://cao.dolgi.msk.ru/account/1011105742/", 1011105742)</f>
        <v>1011105742</v>
      </c>
      <c r="D8072">
        <v>0</v>
      </c>
    </row>
    <row r="8073" spans="1:4" hidden="1" x14ac:dyDescent="0.3">
      <c r="A8073" t="s">
        <v>726</v>
      </c>
      <c r="B8073" t="s">
        <v>38</v>
      </c>
      <c r="C8073" s="1">
        <f>HYPERLINK("https://cao.dolgi.msk.ru/account/1011106518/", 1011106518)</f>
        <v>1011106518</v>
      </c>
      <c r="D8073">
        <v>0</v>
      </c>
    </row>
    <row r="8074" spans="1:4" hidden="1" x14ac:dyDescent="0.3">
      <c r="A8074" t="s">
        <v>726</v>
      </c>
      <c r="B8074" t="s">
        <v>39</v>
      </c>
      <c r="C8074" s="1">
        <f>HYPERLINK("https://cao.dolgi.msk.ru/account/1011106526/", 1011106526)</f>
        <v>1011106526</v>
      </c>
      <c r="D8074">
        <v>0</v>
      </c>
    </row>
    <row r="8075" spans="1:4" hidden="1" x14ac:dyDescent="0.3">
      <c r="A8075" t="s">
        <v>726</v>
      </c>
      <c r="B8075" t="s">
        <v>40</v>
      </c>
      <c r="C8075" s="1">
        <f>HYPERLINK("https://cao.dolgi.msk.ru/account/1011106534/", 1011106534)</f>
        <v>1011106534</v>
      </c>
      <c r="D8075">
        <v>-4350.2299999999996</v>
      </c>
    </row>
    <row r="8076" spans="1:4" hidden="1" x14ac:dyDescent="0.3">
      <c r="A8076" t="s">
        <v>726</v>
      </c>
      <c r="B8076" t="s">
        <v>40</v>
      </c>
      <c r="C8076" s="1">
        <f>HYPERLINK("https://cao.dolgi.msk.ru/account/1011130956/", 1011130956)</f>
        <v>1011130956</v>
      </c>
      <c r="D8076">
        <v>0</v>
      </c>
    </row>
    <row r="8077" spans="1:4" hidden="1" x14ac:dyDescent="0.3">
      <c r="A8077" t="s">
        <v>726</v>
      </c>
      <c r="B8077" t="s">
        <v>41</v>
      </c>
      <c r="C8077" s="1">
        <f>HYPERLINK("https://cao.dolgi.msk.ru/account/1011104782/", 1011104782)</f>
        <v>1011104782</v>
      </c>
      <c r="D8077">
        <v>-9354.74</v>
      </c>
    </row>
    <row r="8078" spans="1:4" hidden="1" x14ac:dyDescent="0.3">
      <c r="A8078" t="s">
        <v>726</v>
      </c>
      <c r="B8078" t="s">
        <v>51</v>
      </c>
      <c r="C8078" s="1">
        <f>HYPERLINK("https://cao.dolgi.msk.ru/account/1011105232/", 1011105232)</f>
        <v>1011105232</v>
      </c>
      <c r="D8078">
        <v>-1319.92</v>
      </c>
    </row>
    <row r="8079" spans="1:4" hidden="1" x14ac:dyDescent="0.3">
      <c r="A8079" t="s">
        <v>726</v>
      </c>
      <c r="B8079" t="s">
        <v>51</v>
      </c>
      <c r="C8079" s="1">
        <f>HYPERLINK("https://cao.dolgi.msk.ru/account/1011105769/", 1011105769)</f>
        <v>1011105769</v>
      </c>
      <c r="D8079">
        <v>0</v>
      </c>
    </row>
    <row r="8080" spans="1:4" hidden="1" x14ac:dyDescent="0.3">
      <c r="A8080" t="s">
        <v>726</v>
      </c>
      <c r="B8080" t="s">
        <v>52</v>
      </c>
      <c r="C8080" s="1">
        <f>HYPERLINK("https://cao.dolgi.msk.ru/account/1011106542/", 1011106542)</f>
        <v>1011106542</v>
      </c>
      <c r="D8080">
        <v>0</v>
      </c>
    </row>
    <row r="8081" spans="1:4" hidden="1" x14ac:dyDescent="0.3">
      <c r="A8081" t="s">
        <v>726</v>
      </c>
      <c r="B8081" t="s">
        <v>53</v>
      </c>
      <c r="C8081" s="1">
        <f>HYPERLINK("https://cao.dolgi.msk.ru/account/1011105777/", 1011105777)</f>
        <v>1011105777</v>
      </c>
      <c r="D8081">
        <v>-13330.12</v>
      </c>
    </row>
    <row r="8082" spans="1:4" hidden="1" x14ac:dyDescent="0.3">
      <c r="A8082" t="s">
        <v>726</v>
      </c>
      <c r="B8082" t="s">
        <v>54</v>
      </c>
      <c r="C8082" s="1">
        <f>HYPERLINK("https://cao.dolgi.msk.ru/account/1011104336/", 1011104336)</f>
        <v>1011104336</v>
      </c>
      <c r="D8082">
        <v>0</v>
      </c>
    </row>
    <row r="8083" spans="1:4" hidden="1" x14ac:dyDescent="0.3">
      <c r="A8083" t="s">
        <v>726</v>
      </c>
      <c r="B8083" t="s">
        <v>55</v>
      </c>
      <c r="C8083" s="1">
        <f>HYPERLINK("https://cao.dolgi.msk.ru/account/1011103878/", 1011103878)</f>
        <v>1011103878</v>
      </c>
      <c r="D8083">
        <v>0</v>
      </c>
    </row>
    <row r="8084" spans="1:4" x14ac:dyDescent="0.3">
      <c r="A8084" t="s">
        <v>726</v>
      </c>
      <c r="B8084" t="s">
        <v>56</v>
      </c>
      <c r="C8084" s="1">
        <f>HYPERLINK("https://cao.dolgi.msk.ru/account/1011105785/", 1011105785)</f>
        <v>1011105785</v>
      </c>
      <c r="D8084">
        <v>51777.1</v>
      </c>
    </row>
    <row r="8085" spans="1:4" hidden="1" x14ac:dyDescent="0.3">
      <c r="A8085" t="s">
        <v>726</v>
      </c>
      <c r="B8085" t="s">
        <v>87</v>
      </c>
      <c r="C8085" s="1">
        <f>HYPERLINK("https://cao.dolgi.msk.ru/account/1011103886/", 1011103886)</f>
        <v>1011103886</v>
      </c>
      <c r="D8085">
        <v>-6132.81</v>
      </c>
    </row>
    <row r="8086" spans="1:4" hidden="1" x14ac:dyDescent="0.3">
      <c r="A8086" t="s">
        <v>726</v>
      </c>
      <c r="B8086" t="s">
        <v>87</v>
      </c>
      <c r="C8086" s="1">
        <f>HYPERLINK("https://cao.dolgi.msk.ru/account/1011103894/", 1011103894)</f>
        <v>1011103894</v>
      </c>
      <c r="D8086">
        <v>-6132.81</v>
      </c>
    </row>
    <row r="8087" spans="1:4" hidden="1" x14ac:dyDescent="0.3">
      <c r="A8087" t="s">
        <v>726</v>
      </c>
      <c r="B8087" t="s">
        <v>88</v>
      </c>
      <c r="C8087" s="1">
        <f>HYPERLINK("https://cao.dolgi.msk.ru/account/1011104803/", 1011104803)</f>
        <v>1011104803</v>
      </c>
      <c r="D8087">
        <v>0</v>
      </c>
    </row>
    <row r="8088" spans="1:4" hidden="1" x14ac:dyDescent="0.3">
      <c r="A8088" t="s">
        <v>726</v>
      </c>
      <c r="B8088" t="s">
        <v>89</v>
      </c>
      <c r="C8088" s="1">
        <f>HYPERLINK("https://cao.dolgi.msk.ru/account/1011105291/", 1011105291)</f>
        <v>1011105291</v>
      </c>
      <c r="D8088">
        <v>0</v>
      </c>
    </row>
    <row r="8089" spans="1:4" hidden="1" x14ac:dyDescent="0.3">
      <c r="A8089" t="s">
        <v>726</v>
      </c>
      <c r="B8089" t="s">
        <v>90</v>
      </c>
      <c r="C8089" s="1">
        <f>HYPERLINK("https://cao.dolgi.msk.ru/account/1011103907/", 1011103907)</f>
        <v>1011103907</v>
      </c>
      <c r="D8089">
        <v>-40003.120000000003</v>
      </c>
    </row>
    <row r="8090" spans="1:4" hidden="1" x14ac:dyDescent="0.3">
      <c r="A8090" t="s">
        <v>726</v>
      </c>
      <c r="B8090" t="s">
        <v>96</v>
      </c>
      <c r="C8090" s="1">
        <f>HYPERLINK("https://cao.dolgi.msk.ru/account/1011105793/", 1011105793)</f>
        <v>1011105793</v>
      </c>
      <c r="D8090">
        <v>0</v>
      </c>
    </row>
    <row r="8091" spans="1:4" hidden="1" x14ac:dyDescent="0.3">
      <c r="A8091" t="s">
        <v>726</v>
      </c>
      <c r="B8091" t="s">
        <v>97</v>
      </c>
      <c r="C8091" s="1">
        <f>HYPERLINK("https://cao.dolgi.msk.ru/account/1011103915/", 1011103915)</f>
        <v>1011103915</v>
      </c>
      <c r="D8091">
        <v>0</v>
      </c>
    </row>
    <row r="8092" spans="1:4" hidden="1" x14ac:dyDescent="0.3">
      <c r="A8092" t="s">
        <v>726</v>
      </c>
      <c r="B8092" t="s">
        <v>98</v>
      </c>
      <c r="C8092" s="1">
        <f>HYPERLINK("https://cao.dolgi.msk.ru/account/1011105806/", 1011105806)</f>
        <v>1011105806</v>
      </c>
      <c r="D8092">
        <v>-6376.31</v>
      </c>
    </row>
    <row r="8093" spans="1:4" hidden="1" x14ac:dyDescent="0.3">
      <c r="A8093" t="s">
        <v>726</v>
      </c>
      <c r="B8093" t="s">
        <v>58</v>
      </c>
      <c r="C8093" s="1">
        <f>HYPERLINK("https://cao.dolgi.msk.ru/account/1011106569/", 1011106569)</f>
        <v>1011106569</v>
      </c>
      <c r="D8093">
        <v>0</v>
      </c>
    </row>
    <row r="8094" spans="1:4" hidden="1" x14ac:dyDescent="0.3">
      <c r="A8094" t="s">
        <v>726</v>
      </c>
      <c r="B8094" t="s">
        <v>59</v>
      </c>
      <c r="C8094" s="1">
        <f>HYPERLINK("https://cao.dolgi.msk.ru/account/1011106913/", 1011106913)</f>
        <v>1011106913</v>
      </c>
      <c r="D8094">
        <v>0</v>
      </c>
    </row>
    <row r="8095" spans="1:4" hidden="1" x14ac:dyDescent="0.3">
      <c r="A8095" t="s">
        <v>726</v>
      </c>
      <c r="B8095" t="s">
        <v>60</v>
      </c>
      <c r="C8095" s="1">
        <f>HYPERLINK("https://cao.dolgi.msk.ru/account/1011105814/", 1011105814)</f>
        <v>1011105814</v>
      </c>
      <c r="D8095">
        <v>0</v>
      </c>
    </row>
    <row r="8096" spans="1:4" x14ac:dyDescent="0.3">
      <c r="A8096" t="s">
        <v>726</v>
      </c>
      <c r="B8096" t="s">
        <v>61</v>
      </c>
      <c r="C8096" s="1">
        <f>HYPERLINK("https://cao.dolgi.msk.ru/account/1011106577/", 1011106577)</f>
        <v>1011106577</v>
      </c>
      <c r="D8096">
        <v>6323.07</v>
      </c>
    </row>
    <row r="8097" spans="1:4" hidden="1" x14ac:dyDescent="0.3">
      <c r="A8097" t="s">
        <v>726</v>
      </c>
      <c r="B8097" t="s">
        <v>62</v>
      </c>
      <c r="C8097" s="1">
        <f>HYPERLINK("https://cao.dolgi.msk.ru/account/1011105822/", 1011105822)</f>
        <v>1011105822</v>
      </c>
      <c r="D8097">
        <v>0</v>
      </c>
    </row>
    <row r="8098" spans="1:4" hidden="1" x14ac:dyDescent="0.3">
      <c r="A8098" t="s">
        <v>726</v>
      </c>
      <c r="B8098" t="s">
        <v>63</v>
      </c>
      <c r="C8098" s="1">
        <f>HYPERLINK("https://cao.dolgi.msk.ru/account/1011104811/", 1011104811)</f>
        <v>1011104811</v>
      </c>
      <c r="D8098">
        <v>0</v>
      </c>
    </row>
    <row r="8099" spans="1:4" hidden="1" x14ac:dyDescent="0.3">
      <c r="A8099" t="s">
        <v>726</v>
      </c>
      <c r="B8099" t="s">
        <v>64</v>
      </c>
      <c r="C8099" s="1">
        <f>HYPERLINK("https://cao.dolgi.msk.ru/account/1011105849/", 1011105849)</f>
        <v>1011105849</v>
      </c>
      <c r="D8099">
        <v>0</v>
      </c>
    </row>
    <row r="8100" spans="1:4" hidden="1" x14ac:dyDescent="0.3">
      <c r="A8100" t="s">
        <v>726</v>
      </c>
      <c r="B8100" t="s">
        <v>65</v>
      </c>
      <c r="C8100" s="1">
        <f>HYPERLINK("https://cao.dolgi.msk.ru/account/1011106198/", 1011106198)</f>
        <v>1011106198</v>
      </c>
      <c r="D8100">
        <v>0</v>
      </c>
    </row>
    <row r="8101" spans="1:4" hidden="1" x14ac:dyDescent="0.3">
      <c r="A8101" t="s">
        <v>726</v>
      </c>
      <c r="B8101" t="s">
        <v>66</v>
      </c>
      <c r="C8101" s="1">
        <f>HYPERLINK("https://cao.dolgi.msk.ru/account/1011104344/", 1011104344)</f>
        <v>1011104344</v>
      </c>
      <c r="D8101">
        <v>0</v>
      </c>
    </row>
    <row r="8102" spans="1:4" x14ac:dyDescent="0.3">
      <c r="A8102" t="s">
        <v>726</v>
      </c>
      <c r="B8102" t="s">
        <v>67</v>
      </c>
      <c r="C8102" s="1">
        <f>HYPERLINK("https://cao.dolgi.msk.ru/account/1011104352/", 1011104352)</f>
        <v>1011104352</v>
      </c>
      <c r="D8102">
        <v>16564.490000000002</v>
      </c>
    </row>
    <row r="8103" spans="1:4" hidden="1" x14ac:dyDescent="0.3">
      <c r="A8103" t="s">
        <v>726</v>
      </c>
      <c r="B8103" t="s">
        <v>68</v>
      </c>
      <c r="C8103" s="1">
        <f>HYPERLINK("https://cao.dolgi.msk.ru/account/1011105857/", 1011105857)</f>
        <v>1011105857</v>
      </c>
      <c r="D8103">
        <v>0</v>
      </c>
    </row>
    <row r="8104" spans="1:4" hidden="1" x14ac:dyDescent="0.3">
      <c r="A8104" t="s">
        <v>726</v>
      </c>
      <c r="B8104" t="s">
        <v>69</v>
      </c>
      <c r="C8104" s="1">
        <f>HYPERLINK("https://cao.dolgi.msk.ru/account/1011103923/", 1011103923)</f>
        <v>1011103923</v>
      </c>
      <c r="D8104">
        <v>0</v>
      </c>
    </row>
    <row r="8105" spans="1:4" x14ac:dyDescent="0.3">
      <c r="A8105" t="s">
        <v>726</v>
      </c>
      <c r="B8105" t="s">
        <v>70</v>
      </c>
      <c r="C8105" s="1">
        <f>HYPERLINK("https://cao.dolgi.msk.ru/account/1011106219/", 1011106219)</f>
        <v>1011106219</v>
      </c>
      <c r="D8105">
        <v>5254.25</v>
      </c>
    </row>
    <row r="8106" spans="1:4" x14ac:dyDescent="0.3">
      <c r="A8106" t="s">
        <v>726</v>
      </c>
      <c r="B8106" t="s">
        <v>259</v>
      </c>
      <c r="C8106" s="1">
        <f>HYPERLINK("https://cao.dolgi.msk.ru/account/1011104838/", 1011104838)</f>
        <v>1011104838</v>
      </c>
      <c r="D8106">
        <v>4406.29</v>
      </c>
    </row>
    <row r="8107" spans="1:4" x14ac:dyDescent="0.3">
      <c r="A8107" t="s">
        <v>726</v>
      </c>
      <c r="B8107" t="s">
        <v>100</v>
      </c>
      <c r="C8107" s="1">
        <f>HYPERLINK("https://cao.dolgi.msk.ru/account/1011105304/", 1011105304)</f>
        <v>1011105304</v>
      </c>
      <c r="D8107">
        <v>4322.6499999999996</v>
      </c>
    </row>
    <row r="8108" spans="1:4" hidden="1" x14ac:dyDescent="0.3">
      <c r="A8108" t="s">
        <v>726</v>
      </c>
      <c r="B8108" t="s">
        <v>72</v>
      </c>
      <c r="C8108" s="1">
        <f>HYPERLINK("https://cao.dolgi.msk.ru/account/1011104379/", 1011104379)</f>
        <v>1011104379</v>
      </c>
      <c r="D8108">
        <v>0</v>
      </c>
    </row>
    <row r="8109" spans="1:4" hidden="1" x14ac:dyDescent="0.3">
      <c r="A8109" t="s">
        <v>726</v>
      </c>
      <c r="B8109" t="s">
        <v>73</v>
      </c>
      <c r="C8109" s="1">
        <f>HYPERLINK("https://cao.dolgi.msk.ru/account/1011104846/", 1011104846)</f>
        <v>1011104846</v>
      </c>
      <c r="D8109">
        <v>0</v>
      </c>
    </row>
    <row r="8110" spans="1:4" hidden="1" x14ac:dyDescent="0.3">
      <c r="A8110" t="s">
        <v>726</v>
      </c>
      <c r="B8110" t="s">
        <v>74</v>
      </c>
      <c r="C8110" s="1">
        <f>HYPERLINK("https://cao.dolgi.msk.ru/account/1011105312/", 1011105312)</f>
        <v>1011105312</v>
      </c>
      <c r="D8110">
        <v>0</v>
      </c>
    </row>
    <row r="8111" spans="1:4" hidden="1" x14ac:dyDescent="0.3">
      <c r="A8111" t="s">
        <v>726</v>
      </c>
      <c r="B8111" t="s">
        <v>75</v>
      </c>
      <c r="C8111" s="1">
        <f>HYPERLINK("https://cao.dolgi.msk.ru/account/1011106227/", 1011106227)</f>
        <v>1011106227</v>
      </c>
      <c r="D8111">
        <v>0</v>
      </c>
    </row>
    <row r="8112" spans="1:4" hidden="1" x14ac:dyDescent="0.3">
      <c r="A8112" t="s">
        <v>726</v>
      </c>
      <c r="B8112" t="s">
        <v>76</v>
      </c>
      <c r="C8112" s="1">
        <f>HYPERLINK("https://cao.dolgi.msk.ru/account/1011106139/", 1011106139)</f>
        <v>1011106139</v>
      </c>
      <c r="D8112">
        <v>0</v>
      </c>
    </row>
    <row r="8113" spans="1:4" x14ac:dyDescent="0.3">
      <c r="A8113" t="s">
        <v>726</v>
      </c>
      <c r="B8113" t="s">
        <v>77</v>
      </c>
      <c r="C8113" s="1">
        <f>HYPERLINK("https://cao.dolgi.msk.ru/account/1011105865/", 1011105865)</f>
        <v>1011105865</v>
      </c>
      <c r="D8113">
        <v>8377.74</v>
      </c>
    </row>
    <row r="8114" spans="1:4" x14ac:dyDescent="0.3">
      <c r="A8114" t="s">
        <v>726</v>
      </c>
      <c r="B8114" t="s">
        <v>78</v>
      </c>
      <c r="C8114" s="1">
        <f>HYPERLINK("https://cao.dolgi.msk.ru/account/1011105873/", 1011105873)</f>
        <v>1011105873</v>
      </c>
      <c r="D8114">
        <v>310.27</v>
      </c>
    </row>
    <row r="8115" spans="1:4" hidden="1" x14ac:dyDescent="0.3">
      <c r="A8115" t="s">
        <v>726</v>
      </c>
      <c r="B8115" t="s">
        <v>79</v>
      </c>
      <c r="C8115" s="1">
        <f>HYPERLINK("https://cao.dolgi.msk.ru/account/1011106235/", 1011106235)</f>
        <v>1011106235</v>
      </c>
      <c r="D8115">
        <v>-4510.46</v>
      </c>
    </row>
    <row r="8116" spans="1:4" hidden="1" x14ac:dyDescent="0.3">
      <c r="A8116" t="s">
        <v>726</v>
      </c>
      <c r="B8116" t="s">
        <v>80</v>
      </c>
      <c r="C8116" s="1">
        <f>HYPERLINK("https://cao.dolgi.msk.ru/account/1011106921/", 1011106921)</f>
        <v>1011106921</v>
      </c>
      <c r="D8116">
        <v>-2149.36</v>
      </c>
    </row>
    <row r="8117" spans="1:4" hidden="1" x14ac:dyDescent="0.3">
      <c r="A8117" t="s">
        <v>726</v>
      </c>
      <c r="B8117" t="s">
        <v>81</v>
      </c>
      <c r="C8117" s="1">
        <f>HYPERLINK("https://cao.dolgi.msk.ru/account/1011106243/", 1011106243)</f>
        <v>1011106243</v>
      </c>
      <c r="D8117">
        <v>-3125.59</v>
      </c>
    </row>
    <row r="8118" spans="1:4" x14ac:dyDescent="0.3">
      <c r="A8118" t="s">
        <v>726</v>
      </c>
      <c r="B8118" t="s">
        <v>101</v>
      </c>
      <c r="C8118" s="1">
        <f>HYPERLINK("https://cao.dolgi.msk.ru/account/1011104854/", 1011104854)</f>
        <v>1011104854</v>
      </c>
      <c r="D8118">
        <v>8071.37</v>
      </c>
    </row>
    <row r="8119" spans="1:4" x14ac:dyDescent="0.3">
      <c r="A8119" t="s">
        <v>726</v>
      </c>
      <c r="B8119" t="s">
        <v>82</v>
      </c>
      <c r="C8119" s="1">
        <f>HYPERLINK("https://cao.dolgi.msk.ru/account/1011104862/", 1011104862)</f>
        <v>1011104862</v>
      </c>
      <c r="D8119">
        <v>3956.56</v>
      </c>
    </row>
    <row r="8120" spans="1:4" hidden="1" x14ac:dyDescent="0.3">
      <c r="A8120" t="s">
        <v>726</v>
      </c>
      <c r="B8120" t="s">
        <v>83</v>
      </c>
      <c r="C8120" s="1">
        <f>HYPERLINK("https://cao.dolgi.msk.ru/account/1011106251/", 1011106251)</f>
        <v>1011106251</v>
      </c>
      <c r="D8120">
        <v>0</v>
      </c>
    </row>
    <row r="8121" spans="1:4" hidden="1" x14ac:dyDescent="0.3">
      <c r="A8121" t="s">
        <v>726</v>
      </c>
      <c r="B8121" t="s">
        <v>84</v>
      </c>
      <c r="C8121" s="1">
        <f>HYPERLINK("https://cao.dolgi.msk.ru/account/1011103931/", 1011103931)</f>
        <v>1011103931</v>
      </c>
      <c r="D8121">
        <v>-5854.52</v>
      </c>
    </row>
    <row r="8122" spans="1:4" x14ac:dyDescent="0.3">
      <c r="A8122" t="s">
        <v>726</v>
      </c>
      <c r="B8122" t="s">
        <v>85</v>
      </c>
      <c r="C8122" s="1">
        <f>HYPERLINK("https://cao.dolgi.msk.ru/account/1011103958/", 1011103958)</f>
        <v>1011103958</v>
      </c>
      <c r="D8122">
        <v>3751.42</v>
      </c>
    </row>
    <row r="8123" spans="1:4" hidden="1" x14ac:dyDescent="0.3">
      <c r="A8123" t="s">
        <v>726</v>
      </c>
      <c r="B8123" t="s">
        <v>102</v>
      </c>
      <c r="C8123" s="1">
        <f>HYPERLINK("https://cao.dolgi.msk.ru/account/1011103966/", 1011103966)</f>
        <v>1011103966</v>
      </c>
      <c r="D8123">
        <v>-2199.31</v>
      </c>
    </row>
    <row r="8124" spans="1:4" hidden="1" x14ac:dyDescent="0.3">
      <c r="A8124" t="s">
        <v>726</v>
      </c>
      <c r="B8124" t="s">
        <v>103</v>
      </c>
      <c r="C8124" s="1">
        <f>HYPERLINK("https://cao.dolgi.msk.ru/account/1011105339/", 1011105339)</f>
        <v>1011105339</v>
      </c>
      <c r="D8124">
        <v>0</v>
      </c>
    </row>
    <row r="8125" spans="1:4" hidden="1" x14ac:dyDescent="0.3">
      <c r="A8125" t="s">
        <v>726</v>
      </c>
      <c r="B8125" t="s">
        <v>104</v>
      </c>
      <c r="C8125" s="1">
        <f>HYPERLINK("https://cao.dolgi.msk.ru/account/1011106585/", 1011106585)</f>
        <v>1011106585</v>
      </c>
      <c r="D8125">
        <v>0</v>
      </c>
    </row>
    <row r="8126" spans="1:4" x14ac:dyDescent="0.3">
      <c r="A8126" t="s">
        <v>726</v>
      </c>
      <c r="B8126" t="s">
        <v>105</v>
      </c>
      <c r="C8126" s="1">
        <f>HYPERLINK("https://cao.dolgi.msk.ru/account/1011105224/", 1011105224)</f>
        <v>1011105224</v>
      </c>
      <c r="D8126">
        <v>4034.98</v>
      </c>
    </row>
    <row r="8127" spans="1:4" hidden="1" x14ac:dyDescent="0.3">
      <c r="A8127" t="s">
        <v>726</v>
      </c>
      <c r="B8127" t="s">
        <v>106</v>
      </c>
      <c r="C8127" s="1">
        <f>HYPERLINK("https://cao.dolgi.msk.ru/account/1011106593/", 1011106593)</f>
        <v>1011106593</v>
      </c>
      <c r="D8127">
        <v>0</v>
      </c>
    </row>
    <row r="8128" spans="1:4" hidden="1" x14ac:dyDescent="0.3">
      <c r="A8128" t="s">
        <v>726</v>
      </c>
      <c r="B8128" t="s">
        <v>107</v>
      </c>
      <c r="C8128" s="1">
        <f>HYPERLINK("https://cao.dolgi.msk.ru/account/1011106278/", 1011106278)</f>
        <v>1011106278</v>
      </c>
      <c r="D8128">
        <v>0</v>
      </c>
    </row>
    <row r="8129" spans="1:4" hidden="1" x14ac:dyDescent="0.3">
      <c r="A8129" t="s">
        <v>726</v>
      </c>
      <c r="B8129" t="s">
        <v>108</v>
      </c>
      <c r="C8129" s="1">
        <f>HYPERLINK("https://cao.dolgi.msk.ru/account/1011105347/", 1011105347)</f>
        <v>1011105347</v>
      </c>
      <c r="D8129">
        <v>-724.93</v>
      </c>
    </row>
    <row r="8130" spans="1:4" hidden="1" x14ac:dyDescent="0.3">
      <c r="A8130" t="s">
        <v>726</v>
      </c>
      <c r="B8130" t="s">
        <v>109</v>
      </c>
      <c r="C8130" s="1">
        <f>HYPERLINK("https://cao.dolgi.msk.ru/account/1011106606/", 1011106606)</f>
        <v>1011106606</v>
      </c>
      <c r="D8130">
        <v>-382</v>
      </c>
    </row>
    <row r="8131" spans="1:4" hidden="1" x14ac:dyDescent="0.3">
      <c r="A8131" t="s">
        <v>726</v>
      </c>
      <c r="B8131" t="s">
        <v>110</v>
      </c>
      <c r="C8131" s="1">
        <f>HYPERLINK("https://cao.dolgi.msk.ru/account/1011105881/", 1011105881)</f>
        <v>1011105881</v>
      </c>
      <c r="D8131">
        <v>0</v>
      </c>
    </row>
    <row r="8132" spans="1:4" x14ac:dyDescent="0.3">
      <c r="A8132" t="s">
        <v>726</v>
      </c>
      <c r="B8132" t="s">
        <v>111</v>
      </c>
      <c r="C8132" s="1">
        <f>HYPERLINK("https://cao.dolgi.msk.ru/account/1011104387/", 1011104387)</f>
        <v>1011104387</v>
      </c>
      <c r="D8132">
        <v>19725.77</v>
      </c>
    </row>
    <row r="8133" spans="1:4" hidden="1" x14ac:dyDescent="0.3">
      <c r="A8133" t="s">
        <v>726</v>
      </c>
      <c r="B8133" t="s">
        <v>112</v>
      </c>
      <c r="C8133" s="1">
        <f>HYPERLINK("https://cao.dolgi.msk.ru/account/1011105902/", 1011105902)</f>
        <v>1011105902</v>
      </c>
      <c r="D8133">
        <v>0</v>
      </c>
    </row>
    <row r="8134" spans="1:4" x14ac:dyDescent="0.3">
      <c r="A8134" t="s">
        <v>726</v>
      </c>
      <c r="B8134" t="s">
        <v>113</v>
      </c>
      <c r="C8134" s="1">
        <f>HYPERLINK("https://cao.dolgi.msk.ru/account/1011104889/", 1011104889)</f>
        <v>1011104889</v>
      </c>
      <c r="D8134">
        <v>33990.47</v>
      </c>
    </row>
    <row r="8135" spans="1:4" hidden="1" x14ac:dyDescent="0.3">
      <c r="A8135" t="s">
        <v>726</v>
      </c>
      <c r="B8135" t="s">
        <v>114</v>
      </c>
      <c r="C8135" s="1">
        <f>HYPERLINK("https://cao.dolgi.msk.ru/account/1011104897/", 1011104897)</f>
        <v>1011104897</v>
      </c>
      <c r="D8135">
        <v>0</v>
      </c>
    </row>
    <row r="8136" spans="1:4" hidden="1" x14ac:dyDescent="0.3">
      <c r="A8136" t="s">
        <v>726</v>
      </c>
      <c r="B8136" t="s">
        <v>115</v>
      </c>
      <c r="C8136" s="1">
        <f>HYPERLINK("https://cao.dolgi.msk.ru/account/1011105929/", 1011105929)</f>
        <v>1011105929</v>
      </c>
      <c r="D8136">
        <v>0</v>
      </c>
    </row>
    <row r="8137" spans="1:4" hidden="1" x14ac:dyDescent="0.3">
      <c r="A8137" t="s">
        <v>726</v>
      </c>
      <c r="B8137" t="s">
        <v>116</v>
      </c>
      <c r="C8137" s="1">
        <f>HYPERLINK("https://cao.dolgi.msk.ru/account/1011106948/", 1011106948)</f>
        <v>1011106948</v>
      </c>
      <c r="D8137">
        <v>0</v>
      </c>
    </row>
    <row r="8138" spans="1:4" hidden="1" x14ac:dyDescent="0.3">
      <c r="A8138" t="s">
        <v>726</v>
      </c>
      <c r="B8138" t="s">
        <v>266</v>
      </c>
      <c r="C8138" s="1">
        <f>HYPERLINK("https://cao.dolgi.msk.ru/account/1011106286/", 1011106286)</f>
        <v>1011106286</v>
      </c>
      <c r="D8138">
        <v>-4053.33</v>
      </c>
    </row>
    <row r="8139" spans="1:4" hidden="1" x14ac:dyDescent="0.3">
      <c r="A8139" t="s">
        <v>726</v>
      </c>
      <c r="B8139" t="s">
        <v>117</v>
      </c>
      <c r="C8139" s="1">
        <f>HYPERLINK("https://cao.dolgi.msk.ru/account/1011105355/", 1011105355)</f>
        <v>1011105355</v>
      </c>
      <c r="D8139">
        <v>0</v>
      </c>
    </row>
    <row r="8140" spans="1:4" hidden="1" x14ac:dyDescent="0.3">
      <c r="A8140" t="s">
        <v>726</v>
      </c>
      <c r="B8140" t="s">
        <v>118</v>
      </c>
      <c r="C8140" s="1">
        <f>HYPERLINK("https://cao.dolgi.msk.ru/account/1011104395/", 1011104395)</f>
        <v>1011104395</v>
      </c>
      <c r="D8140">
        <v>0</v>
      </c>
    </row>
    <row r="8141" spans="1:4" hidden="1" x14ac:dyDescent="0.3">
      <c r="A8141" t="s">
        <v>726</v>
      </c>
      <c r="B8141" t="s">
        <v>119</v>
      </c>
      <c r="C8141" s="1">
        <f>HYPERLINK("https://cao.dolgi.msk.ru/account/1011103974/", 1011103974)</f>
        <v>1011103974</v>
      </c>
      <c r="D8141">
        <v>-7121.77</v>
      </c>
    </row>
    <row r="8142" spans="1:4" x14ac:dyDescent="0.3">
      <c r="A8142" t="s">
        <v>726</v>
      </c>
      <c r="B8142" t="s">
        <v>120</v>
      </c>
      <c r="C8142" s="1">
        <f>HYPERLINK("https://cao.dolgi.msk.ru/account/1011105937/", 1011105937)</f>
        <v>1011105937</v>
      </c>
      <c r="D8142">
        <v>26733.55</v>
      </c>
    </row>
    <row r="8143" spans="1:4" hidden="1" x14ac:dyDescent="0.3">
      <c r="A8143" t="s">
        <v>726</v>
      </c>
      <c r="B8143" t="s">
        <v>121</v>
      </c>
      <c r="C8143" s="1">
        <f>HYPERLINK("https://cao.dolgi.msk.ru/account/1011105363/", 1011105363)</f>
        <v>1011105363</v>
      </c>
      <c r="D8143">
        <v>0</v>
      </c>
    </row>
    <row r="8144" spans="1:4" x14ac:dyDescent="0.3">
      <c r="A8144" t="s">
        <v>726</v>
      </c>
      <c r="B8144" t="s">
        <v>122</v>
      </c>
      <c r="C8144" s="1">
        <f>HYPERLINK("https://cao.dolgi.msk.ru/account/1011103982/", 1011103982)</f>
        <v>1011103982</v>
      </c>
      <c r="D8144">
        <v>3960.48</v>
      </c>
    </row>
    <row r="8145" spans="1:4" hidden="1" x14ac:dyDescent="0.3">
      <c r="A8145" t="s">
        <v>726</v>
      </c>
      <c r="B8145" t="s">
        <v>123</v>
      </c>
      <c r="C8145" s="1">
        <f>HYPERLINK("https://cao.dolgi.msk.ru/account/1011106956/", 1011106956)</f>
        <v>1011106956</v>
      </c>
      <c r="D8145">
        <v>0</v>
      </c>
    </row>
    <row r="8146" spans="1:4" hidden="1" x14ac:dyDescent="0.3">
      <c r="A8146" t="s">
        <v>726</v>
      </c>
      <c r="B8146" t="s">
        <v>124</v>
      </c>
      <c r="C8146" s="1">
        <f>HYPERLINK("https://cao.dolgi.msk.ru/account/1011104918/", 1011104918)</f>
        <v>1011104918</v>
      </c>
      <c r="D8146">
        <v>0</v>
      </c>
    </row>
    <row r="8147" spans="1:4" hidden="1" x14ac:dyDescent="0.3">
      <c r="A8147" t="s">
        <v>726</v>
      </c>
      <c r="B8147" t="s">
        <v>125</v>
      </c>
      <c r="C8147" s="1">
        <f>HYPERLINK("https://cao.dolgi.msk.ru/account/1011104002/", 1011104002)</f>
        <v>1011104002</v>
      </c>
      <c r="D8147">
        <v>0</v>
      </c>
    </row>
    <row r="8148" spans="1:4" hidden="1" x14ac:dyDescent="0.3">
      <c r="A8148" t="s">
        <v>726</v>
      </c>
      <c r="B8148" t="s">
        <v>126</v>
      </c>
      <c r="C8148" s="1">
        <f>HYPERLINK("https://cao.dolgi.msk.ru/account/1011105371/", 1011105371)</f>
        <v>1011105371</v>
      </c>
      <c r="D8148">
        <v>-99.12</v>
      </c>
    </row>
    <row r="8149" spans="1:4" hidden="1" x14ac:dyDescent="0.3">
      <c r="A8149" t="s">
        <v>726</v>
      </c>
      <c r="B8149" t="s">
        <v>127</v>
      </c>
      <c r="C8149" s="1">
        <f>HYPERLINK("https://cao.dolgi.msk.ru/account/1011105945/", 1011105945)</f>
        <v>1011105945</v>
      </c>
      <c r="D8149">
        <v>0</v>
      </c>
    </row>
    <row r="8150" spans="1:4" hidden="1" x14ac:dyDescent="0.3">
      <c r="A8150" t="s">
        <v>726</v>
      </c>
      <c r="B8150" t="s">
        <v>262</v>
      </c>
      <c r="C8150" s="1">
        <f>HYPERLINK("https://cao.dolgi.msk.ru/account/1011106614/", 1011106614)</f>
        <v>1011106614</v>
      </c>
      <c r="D8150">
        <v>0</v>
      </c>
    </row>
    <row r="8151" spans="1:4" hidden="1" x14ac:dyDescent="0.3">
      <c r="A8151" t="s">
        <v>726</v>
      </c>
      <c r="B8151" t="s">
        <v>128</v>
      </c>
      <c r="C8151" s="1">
        <f>HYPERLINK("https://cao.dolgi.msk.ru/account/1011106622/", 1011106622)</f>
        <v>1011106622</v>
      </c>
      <c r="D8151">
        <v>0</v>
      </c>
    </row>
    <row r="8152" spans="1:4" hidden="1" x14ac:dyDescent="0.3">
      <c r="A8152" t="s">
        <v>726</v>
      </c>
      <c r="B8152" t="s">
        <v>129</v>
      </c>
      <c r="C8152" s="1">
        <f>HYPERLINK("https://cao.dolgi.msk.ru/account/1011104408/", 1011104408)</f>
        <v>1011104408</v>
      </c>
      <c r="D8152">
        <v>0</v>
      </c>
    </row>
    <row r="8153" spans="1:4" hidden="1" x14ac:dyDescent="0.3">
      <c r="A8153" t="s">
        <v>726</v>
      </c>
      <c r="B8153" t="s">
        <v>130</v>
      </c>
      <c r="C8153" s="1">
        <f>HYPERLINK("https://cao.dolgi.msk.ru/account/1011106649/", 1011106649)</f>
        <v>1011106649</v>
      </c>
      <c r="D8153">
        <v>0</v>
      </c>
    </row>
    <row r="8154" spans="1:4" hidden="1" x14ac:dyDescent="0.3">
      <c r="A8154" t="s">
        <v>726</v>
      </c>
      <c r="B8154" t="s">
        <v>133</v>
      </c>
      <c r="C8154" s="1">
        <f>HYPERLINK("https://cao.dolgi.msk.ru/account/1011105398/", 1011105398)</f>
        <v>1011105398</v>
      </c>
      <c r="D8154">
        <v>0</v>
      </c>
    </row>
    <row r="8155" spans="1:4" x14ac:dyDescent="0.3">
      <c r="A8155" t="s">
        <v>726</v>
      </c>
      <c r="B8155" t="s">
        <v>134</v>
      </c>
      <c r="C8155" s="1">
        <f>HYPERLINK("https://cao.dolgi.msk.ru/account/1011104416/", 1011104416)</f>
        <v>1011104416</v>
      </c>
      <c r="D8155">
        <v>1228.99</v>
      </c>
    </row>
    <row r="8156" spans="1:4" hidden="1" x14ac:dyDescent="0.3">
      <c r="A8156" t="s">
        <v>726</v>
      </c>
      <c r="B8156" t="s">
        <v>135</v>
      </c>
      <c r="C8156" s="1">
        <f>HYPERLINK("https://cao.dolgi.msk.ru/account/1011104926/", 1011104926)</f>
        <v>1011104926</v>
      </c>
      <c r="D8156">
        <v>0</v>
      </c>
    </row>
    <row r="8157" spans="1:4" hidden="1" x14ac:dyDescent="0.3">
      <c r="A8157" t="s">
        <v>726</v>
      </c>
      <c r="B8157" t="s">
        <v>264</v>
      </c>
      <c r="C8157" s="1">
        <f>HYPERLINK("https://cao.dolgi.msk.ru/account/1011105419/", 1011105419)</f>
        <v>1011105419</v>
      </c>
      <c r="D8157">
        <v>-8365.66</v>
      </c>
    </row>
    <row r="8158" spans="1:4" x14ac:dyDescent="0.3">
      <c r="A8158" t="s">
        <v>726</v>
      </c>
      <c r="B8158" t="s">
        <v>136</v>
      </c>
      <c r="C8158" s="1">
        <f>HYPERLINK("https://cao.dolgi.msk.ru/account/1011105953/", 1011105953)</f>
        <v>1011105953</v>
      </c>
      <c r="D8158">
        <v>6151.09</v>
      </c>
    </row>
    <row r="8159" spans="1:4" hidden="1" x14ac:dyDescent="0.3">
      <c r="A8159" t="s">
        <v>726</v>
      </c>
      <c r="B8159" t="s">
        <v>137</v>
      </c>
      <c r="C8159" s="1">
        <f>HYPERLINK("https://cao.dolgi.msk.ru/account/1011104424/", 1011104424)</f>
        <v>1011104424</v>
      </c>
      <c r="D8159">
        <v>-3969.84</v>
      </c>
    </row>
    <row r="8160" spans="1:4" x14ac:dyDescent="0.3">
      <c r="A8160" t="s">
        <v>726</v>
      </c>
      <c r="B8160" t="s">
        <v>138</v>
      </c>
      <c r="C8160" s="1">
        <f>HYPERLINK("https://cao.dolgi.msk.ru/account/1011106294/", 1011106294)</f>
        <v>1011106294</v>
      </c>
      <c r="D8160">
        <v>3643.41</v>
      </c>
    </row>
    <row r="8161" spans="1:4" hidden="1" x14ac:dyDescent="0.3">
      <c r="A8161" t="s">
        <v>726</v>
      </c>
      <c r="B8161" t="s">
        <v>139</v>
      </c>
      <c r="C8161" s="1">
        <f>HYPERLINK("https://cao.dolgi.msk.ru/account/1011106657/", 1011106657)</f>
        <v>1011106657</v>
      </c>
      <c r="D8161">
        <v>0</v>
      </c>
    </row>
    <row r="8162" spans="1:4" hidden="1" x14ac:dyDescent="0.3">
      <c r="A8162" t="s">
        <v>726</v>
      </c>
      <c r="B8162" t="s">
        <v>140</v>
      </c>
      <c r="C8162" s="1">
        <f>HYPERLINK("https://cao.dolgi.msk.ru/account/1011105427/", 1011105427)</f>
        <v>1011105427</v>
      </c>
      <c r="D8162">
        <v>-644.34</v>
      </c>
    </row>
    <row r="8163" spans="1:4" hidden="1" x14ac:dyDescent="0.3">
      <c r="A8163" t="s">
        <v>726</v>
      </c>
      <c r="B8163" t="s">
        <v>140</v>
      </c>
      <c r="C8163" s="1">
        <f>HYPERLINK("https://cao.dolgi.msk.ru/account/1011106307/", 1011106307)</f>
        <v>1011106307</v>
      </c>
      <c r="D8163">
        <v>0</v>
      </c>
    </row>
    <row r="8164" spans="1:4" hidden="1" x14ac:dyDescent="0.3">
      <c r="A8164" t="s">
        <v>726</v>
      </c>
      <c r="B8164" t="s">
        <v>140</v>
      </c>
      <c r="C8164" s="1">
        <f>HYPERLINK("https://cao.dolgi.msk.ru/account/1011106438/", 1011106438)</f>
        <v>1011106438</v>
      </c>
      <c r="D8164">
        <v>0</v>
      </c>
    </row>
    <row r="8165" spans="1:4" hidden="1" x14ac:dyDescent="0.3">
      <c r="A8165" t="s">
        <v>726</v>
      </c>
      <c r="B8165" t="s">
        <v>140</v>
      </c>
      <c r="C8165" s="1">
        <f>HYPERLINK("https://cao.dolgi.msk.ru/account/1011106868/", 1011106868)</f>
        <v>1011106868</v>
      </c>
      <c r="D8165">
        <v>-1288.68</v>
      </c>
    </row>
    <row r="8166" spans="1:4" hidden="1" x14ac:dyDescent="0.3">
      <c r="A8166" t="s">
        <v>726</v>
      </c>
      <c r="B8166" t="s">
        <v>141</v>
      </c>
      <c r="C8166" s="1">
        <f>HYPERLINK("https://cao.dolgi.msk.ru/account/1011106665/", 1011106665)</f>
        <v>1011106665</v>
      </c>
      <c r="D8166">
        <v>0</v>
      </c>
    </row>
    <row r="8167" spans="1:4" hidden="1" x14ac:dyDescent="0.3">
      <c r="A8167" t="s">
        <v>726</v>
      </c>
      <c r="B8167" t="s">
        <v>142</v>
      </c>
      <c r="C8167" s="1">
        <f>HYPERLINK("https://cao.dolgi.msk.ru/account/1011104029/", 1011104029)</f>
        <v>1011104029</v>
      </c>
      <c r="D8167">
        <v>-5465.73</v>
      </c>
    </row>
    <row r="8168" spans="1:4" hidden="1" x14ac:dyDescent="0.3">
      <c r="A8168" t="s">
        <v>726</v>
      </c>
      <c r="B8168" t="s">
        <v>143</v>
      </c>
      <c r="C8168" s="1">
        <f>HYPERLINK("https://cao.dolgi.msk.ru/account/1011106964/", 1011106964)</f>
        <v>1011106964</v>
      </c>
      <c r="D8168">
        <v>0</v>
      </c>
    </row>
    <row r="8169" spans="1:4" hidden="1" x14ac:dyDescent="0.3">
      <c r="A8169" t="s">
        <v>726</v>
      </c>
      <c r="B8169" t="s">
        <v>144</v>
      </c>
      <c r="C8169" s="1">
        <f>HYPERLINK("https://cao.dolgi.msk.ru/account/1011104037/", 1011104037)</f>
        <v>1011104037</v>
      </c>
      <c r="D8169">
        <v>0</v>
      </c>
    </row>
    <row r="8170" spans="1:4" hidden="1" x14ac:dyDescent="0.3">
      <c r="A8170" t="s">
        <v>726</v>
      </c>
      <c r="B8170" t="s">
        <v>145</v>
      </c>
      <c r="C8170" s="1">
        <f>HYPERLINK("https://cao.dolgi.msk.ru/account/1011106673/", 1011106673)</f>
        <v>1011106673</v>
      </c>
      <c r="D8170">
        <v>0</v>
      </c>
    </row>
    <row r="8171" spans="1:4" hidden="1" x14ac:dyDescent="0.3">
      <c r="A8171" t="s">
        <v>726</v>
      </c>
      <c r="B8171" t="s">
        <v>146</v>
      </c>
      <c r="C8171" s="1">
        <f>HYPERLINK("https://cao.dolgi.msk.ru/account/1011105961/", 1011105961)</f>
        <v>1011105961</v>
      </c>
      <c r="D8171">
        <v>0</v>
      </c>
    </row>
    <row r="8172" spans="1:4" hidden="1" x14ac:dyDescent="0.3">
      <c r="A8172" t="s">
        <v>726</v>
      </c>
      <c r="B8172" t="s">
        <v>147</v>
      </c>
      <c r="C8172" s="1">
        <f>HYPERLINK("https://cao.dolgi.msk.ru/account/1011104432/", 1011104432)</f>
        <v>1011104432</v>
      </c>
      <c r="D8172">
        <v>0</v>
      </c>
    </row>
    <row r="8173" spans="1:4" hidden="1" x14ac:dyDescent="0.3">
      <c r="A8173" t="s">
        <v>726</v>
      </c>
      <c r="B8173" t="s">
        <v>148</v>
      </c>
      <c r="C8173" s="1">
        <f>HYPERLINK("https://cao.dolgi.msk.ru/account/1011106681/", 1011106681)</f>
        <v>1011106681</v>
      </c>
      <c r="D8173">
        <v>-15080.11</v>
      </c>
    </row>
    <row r="8174" spans="1:4" hidden="1" x14ac:dyDescent="0.3">
      <c r="A8174" t="s">
        <v>726</v>
      </c>
      <c r="B8174" t="s">
        <v>149</v>
      </c>
      <c r="C8174" s="1">
        <f>HYPERLINK("https://cao.dolgi.msk.ru/account/1011104942/", 1011104942)</f>
        <v>1011104942</v>
      </c>
      <c r="D8174">
        <v>-3153.65</v>
      </c>
    </row>
    <row r="8175" spans="1:4" hidden="1" x14ac:dyDescent="0.3">
      <c r="A8175" t="s">
        <v>726</v>
      </c>
      <c r="B8175" t="s">
        <v>150</v>
      </c>
      <c r="C8175" s="1">
        <f>HYPERLINK("https://cao.dolgi.msk.ru/account/1011104045/", 1011104045)</f>
        <v>1011104045</v>
      </c>
      <c r="D8175">
        <v>0</v>
      </c>
    </row>
    <row r="8176" spans="1:4" x14ac:dyDescent="0.3">
      <c r="A8176" t="s">
        <v>726</v>
      </c>
      <c r="B8176" t="s">
        <v>150</v>
      </c>
      <c r="C8176" s="1">
        <f>HYPERLINK("https://cao.dolgi.msk.ru/account/1011106702/", 1011106702)</f>
        <v>1011106702</v>
      </c>
      <c r="D8176">
        <v>39009.629999999997</v>
      </c>
    </row>
    <row r="8177" spans="1:4" x14ac:dyDescent="0.3">
      <c r="A8177" t="s">
        <v>726</v>
      </c>
      <c r="B8177" t="s">
        <v>150</v>
      </c>
      <c r="C8177" s="1">
        <f>HYPERLINK("https://cao.dolgi.msk.ru/account/1011113769/", 1011113769)</f>
        <v>1011113769</v>
      </c>
      <c r="D8177">
        <v>16243.88</v>
      </c>
    </row>
    <row r="8178" spans="1:4" hidden="1" x14ac:dyDescent="0.3">
      <c r="A8178" t="s">
        <v>726</v>
      </c>
      <c r="B8178" t="s">
        <v>150</v>
      </c>
      <c r="C8178" s="1">
        <f>HYPERLINK("https://cao.dolgi.msk.ru/account/1011495963/", 1011495963)</f>
        <v>1011495963</v>
      </c>
      <c r="D8178">
        <v>-131.87</v>
      </c>
    </row>
    <row r="8179" spans="1:4" hidden="1" x14ac:dyDescent="0.3">
      <c r="A8179" t="s">
        <v>726</v>
      </c>
      <c r="B8179" t="s">
        <v>151</v>
      </c>
      <c r="C8179" s="1">
        <f>HYPERLINK("https://cao.dolgi.msk.ru/account/1011104053/", 1011104053)</f>
        <v>1011104053</v>
      </c>
      <c r="D8179">
        <v>-7468.27</v>
      </c>
    </row>
    <row r="8180" spans="1:4" hidden="1" x14ac:dyDescent="0.3">
      <c r="A8180" t="s">
        <v>726</v>
      </c>
      <c r="B8180" t="s">
        <v>152</v>
      </c>
      <c r="C8180" s="1">
        <f>HYPERLINK("https://cao.dolgi.msk.ru/account/1011104061/", 1011104061)</f>
        <v>1011104061</v>
      </c>
      <c r="D8180">
        <v>0</v>
      </c>
    </row>
    <row r="8181" spans="1:4" hidden="1" x14ac:dyDescent="0.3">
      <c r="A8181" t="s">
        <v>726</v>
      </c>
      <c r="B8181" t="s">
        <v>153</v>
      </c>
      <c r="C8181" s="1">
        <f>HYPERLINK("https://cao.dolgi.msk.ru/account/1011105435/", 1011105435)</f>
        <v>1011105435</v>
      </c>
      <c r="D8181">
        <v>0</v>
      </c>
    </row>
    <row r="8182" spans="1:4" hidden="1" x14ac:dyDescent="0.3">
      <c r="A8182" t="s">
        <v>726</v>
      </c>
      <c r="B8182" t="s">
        <v>154</v>
      </c>
      <c r="C8182" s="1">
        <f>HYPERLINK("https://cao.dolgi.msk.ru/account/1011105443/", 1011105443)</f>
        <v>1011105443</v>
      </c>
      <c r="D8182">
        <v>0</v>
      </c>
    </row>
    <row r="8183" spans="1:4" hidden="1" x14ac:dyDescent="0.3">
      <c r="A8183" t="s">
        <v>726</v>
      </c>
      <c r="B8183" t="s">
        <v>155</v>
      </c>
      <c r="C8183" s="1">
        <f>HYPERLINK("https://cao.dolgi.msk.ru/account/1011104969/", 1011104969)</f>
        <v>1011104969</v>
      </c>
      <c r="D8183">
        <v>0</v>
      </c>
    </row>
    <row r="8184" spans="1:4" hidden="1" x14ac:dyDescent="0.3">
      <c r="A8184" t="s">
        <v>726</v>
      </c>
      <c r="B8184" t="s">
        <v>156</v>
      </c>
      <c r="C8184" s="1">
        <f>HYPERLINK("https://cao.dolgi.msk.ru/account/1011104088/", 1011104088)</f>
        <v>1011104088</v>
      </c>
      <c r="D8184">
        <v>-8483</v>
      </c>
    </row>
    <row r="8185" spans="1:4" hidden="1" x14ac:dyDescent="0.3">
      <c r="A8185" t="s">
        <v>726</v>
      </c>
      <c r="B8185" t="s">
        <v>156</v>
      </c>
      <c r="C8185" s="1">
        <f>HYPERLINK("https://cao.dolgi.msk.ru/account/1011504452/", 1011504452)</f>
        <v>1011504452</v>
      </c>
      <c r="D8185">
        <v>-2328.9699999999998</v>
      </c>
    </row>
    <row r="8186" spans="1:4" hidden="1" x14ac:dyDescent="0.3">
      <c r="A8186" t="s">
        <v>726</v>
      </c>
      <c r="B8186" t="s">
        <v>157</v>
      </c>
      <c r="C8186" s="1">
        <f>HYPERLINK("https://cao.dolgi.msk.ru/account/1011104459/", 1011104459)</f>
        <v>1011104459</v>
      </c>
      <c r="D8186">
        <v>-3371.82</v>
      </c>
    </row>
    <row r="8187" spans="1:4" hidden="1" x14ac:dyDescent="0.3">
      <c r="A8187" t="s">
        <v>726</v>
      </c>
      <c r="B8187" t="s">
        <v>158</v>
      </c>
      <c r="C8187" s="1">
        <f>HYPERLINK("https://cao.dolgi.msk.ru/account/1011105451/", 1011105451)</f>
        <v>1011105451</v>
      </c>
      <c r="D8187">
        <v>-1650.92</v>
      </c>
    </row>
    <row r="8188" spans="1:4" hidden="1" x14ac:dyDescent="0.3">
      <c r="A8188" t="s">
        <v>726</v>
      </c>
      <c r="B8188" t="s">
        <v>158</v>
      </c>
      <c r="C8188" s="1">
        <f>HYPERLINK("https://cao.dolgi.msk.ru/account/1011135749/", 1011135749)</f>
        <v>1011135749</v>
      </c>
      <c r="D8188">
        <v>-831.21</v>
      </c>
    </row>
    <row r="8189" spans="1:4" hidden="1" x14ac:dyDescent="0.3">
      <c r="A8189" t="s">
        <v>726</v>
      </c>
      <c r="B8189" t="s">
        <v>159</v>
      </c>
      <c r="C8189" s="1">
        <f>HYPERLINK("https://cao.dolgi.msk.ru/account/1011104977/", 1011104977)</f>
        <v>1011104977</v>
      </c>
      <c r="D8189">
        <v>0</v>
      </c>
    </row>
    <row r="8190" spans="1:4" x14ac:dyDescent="0.3">
      <c r="A8190" t="s">
        <v>726</v>
      </c>
      <c r="B8190" t="s">
        <v>160</v>
      </c>
      <c r="C8190" s="1">
        <f>HYPERLINK("https://cao.dolgi.msk.ru/account/1011104096/", 1011104096)</f>
        <v>1011104096</v>
      </c>
      <c r="D8190">
        <v>2218.77</v>
      </c>
    </row>
    <row r="8191" spans="1:4" x14ac:dyDescent="0.3">
      <c r="A8191" t="s">
        <v>726</v>
      </c>
      <c r="B8191" t="s">
        <v>161</v>
      </c>
      <c r="C8191" s="1">
        <f>HYPERLINK("https://cao.dolgi.msk.ru/account/1011104109/", 1011104109)</f>
        <v>1011104109</v>
      </c>
      <c r="D8191">
        <v>5600.15</v>
      </c>
    </row>
    <row r="8192" spans="1:4" hidden="1" x14ac:dyDescent="0.3">
      <c r="A8192" t="s">
        <v>726</v>
      </c>
      <c r="B8192" t="s">
        <v>162</v>
      </c>
      <c r="C8192" s="1">
        <f>HYPERLINK("https://cao.dolgi.msk.ru/account/1011104467/", 1011104467)</f>
        <v>1011104467</v>
      </c>
      <c r="D8192">
        <v>0</v>
      </c>
    </row>
    <row r="8193" spans="1:4" hidden="1" x14ac:dyDescent="0.3">
      <c r="A8193" t="s">
        <v>726</v>
      </c>
      <c r="B8193" t="s">
        <v>163</v>
      </c>
      <c r="C8193" s="1">
        <f>HYPERLINK("https://cao.dolgi.msk.ru/account/1011106972/", 1011106972)</f>
        <v>1011106972</v>
      </c>
      <c r="D8193">
        <v>0</v>
      </c>
    </row>
    <row r="8194" spans="1:4" x14ac:dyDescent="0.3">
      <c r="A8194" t="s">
        <v>726</v>
      </c>
      <c r="B8194" t="s">
        <v>164</v>
      </c>
      <c r="C8194" s="1">
        <f>HYPERLINK("https://cao.dolgi.msk.ru/account/1011104758/", 1011104758)</f>
        <v>1011104758</v>
      </c>
      <c r="D8194">
        <v>3384.13</v>
      </c>
    </row>
    <row r="8195" spans="1:4" x14ac:dyDescent="0.3">
      <c r="A8195" t="s">
        <v>726</v>
      </c>
      <c r="B8195" t="s">
        <v>164</v>
      </c>
      <c r="C8195" s="1">
        <f>HYPERLINK("https://cao.dolgi.msk.ru/account/1011106147/", 1011106147)</f>
        <v>1011106147</v>
      </c>
      <c r="D8195">
        <v>3095.34</v>
      </c>
    </row>
    <row r="8196" spans="1:4" x14ac:dyDescent="0.3">
      <c r="A8196" t="s">
        <v>726</v>
      </c>
      <c r="B8196" t="s">
        <v>164</v>
      </c>
      <c r="C8196" s="1">
        <f>HYPERLINK("https://cao.dolgi.msk.ru/account/1011106841/", 1011106841)</f>
        <v>1011106841</v>
      </c>
      <c r="D8196">
        <v>2363.58</v>
      </c>
    </row>
    <row r="8197" spans="1:4" hidden="1" x14ac:dyDescent="0.3">
      <c r="A8197" t="s">
        <v>726</v>
      </c>
      <c r="B8197" t="s">
        <v>165</v>
      </c>
      <c r="C8197" s="1">
        <f>HYPERLINK("https://cao.dolgi.msk.ru/account/1011105988/", 1011105988)</f>
        <v>1011105988</v>
      </c>
      <c r="D8197">
        <v>0</v>
      </c>
    </row>
    <row r="8198" spans="1:4" hidden="1" x14ac:dyDescent="0.3">
      <c r="A8198" t="s">
        <v>726</v>
      </c>
      <c r="B8198" t="s">
        <v>166</v>
      </c>
      <c r="C8198" s="1">
        <f>HYPERLINK("https://cao.dolgi.msk.ru/account/1011105996/", 1011105996)</f>
        <v>1011105996</v>
      </c>
      <c r="D8198">
        <v>0</v>
      </c>
    </row>
    <row r="8199" spans="1:4" x14ac:dyDescent="0.3">
      <c r="A8199" t="s">
        <v>726</v>
      </c>
      <c r="B8199" t="s">
        <v>167</v>
      </c>
      <c r="C8199" s="1">
        <f>HYPERLINK("https://cao.dolgi.msk.ru/account/1011104985/", 1011104985)</f>
        <v>1011104985</v>
      </c>
      <c r="D8199">
        <v>6280.63</v>
      </c>
    </row>
    <row r="8200" spans="1:4" hidden="1" x14ac:dyDescent="0.3">
      <c r="A8200" t="s">
        <v>726</v>
      </c>
      <c r="B8200" t="s">
        <v>168</v>
      </c>
      <c r="C8200" s="1">
        <f>HYPERLINK("https://cao.dolgi.msk.ru/account/1011104117/", 1011104117)</f>
        <v>1011104117</v>
      </c>
      <c r="D8200">
        <v>0</v>
      </c>
    </row>
    <row r="8201" spans="1:4" hidden="1" x14ac:dyDescent="0.3">
      <c r="A8201" t="s">
        <v>726</v>
      </c>
      <c r="B8201" t="s">
        <v>169</v>
      </c>
      <c r="C8201" s="1">
        <f>HYPERLINK("https://cao.dolgi.msk.ru/account/1011105478/", 1011105478)</f>
        <v>1011105478</v>
      </c>
      <c r="D8201">
        <v>0</v>
      </c>
    </row>
    <row r="8202" spans="1:4" hidden="1" x14ac:dyDescent="0.3">
      <c r="A8202" t="s">
        <v>726</v>
      </c>
      <c r="B8202" t="s">
        <v>170</v>
      </c>
      <c r="C8202" s="1">
        <f>HYPERLINK("https://cao.dolgi.msk.ru/account/1011104993/", 1011104993)</f>
        <v>1011104993</v>
      </c>
      <c r="D8202">
        <v>-11779.74</v>
      </c>
    </row>
    <row r="8203" spans="1:4" hidden="1" x14ac:dyDescent="0.3">
      <c r="A8203" t="s">
        <v>726</v>
      </c>
      <c r="B8203" t="s">
        <v>171</v>
      </c>
      <c r="C8203" s="1">
        <f>HYPERLINK("https://cao.dolgi.msk.ru/account/1011106999/", 1011106999)</f>
        <v>1011106999</v>
      </c>
      <c r="D8203">
        <v>0</v>
      </c>
    </row>
    <row r="8204" spans="1:4" hidden="1" x14ac:dyDescent="0.3">
      <c r="A8204" t="s">
        <v>726</v>
      </c>
      <c r="B8204" t="s">
        <v>172</v>
      </c>
      <c r="C8204" s="1">
        <f>HYPERLINK("https://cao.dolgi.msk.ru/account/1011105486/", 1011105486)</f>
        <v>1011105486</v>
      </c>
      <c r="D8204">
        <v>0</v>
      </c>
    </row>
    <row r="8205" spans="1:4" hidden="1" x14ac:dyDescent="0.3">
      <c r="A8205" t="s">
        <v>726</v>
      </c>
      <c r="B8205" t="s">
        <v>173</v>
      </c>
      <c r="C8205" s="1">
        <f>HYPERLINK("https://cao.dolgi.msk.ru/account/1011106008/", 1011106008)</f>
        <v>1011106008</v>
      </c>
      <c r="D8205">
        <v>-465.87</v>
      </c>
    </row>
    <row r="8206" spans="1:4" hidden="1" x14ac:dyDescent="0.3">
      <c r="A8206" t="s">
        <v>726</v>
      </c>
      <c r="B8206" t="s">
        <v>174</v>
      </c>
      <c r="C8206" s="1">
        <f>HYPERLINK("https://cao.dolgi.msk.ru/account/1011105494/", 1011105494)</f>
        <v>1011105494</v>
      </c>
      <c r="D8206">
        <v>-131.4</v>
      </c>
    </row>
    <row r="8207" spans="1:4" x14ac:dyDescent="0.3">
      <c r="A8207" t="s">
        <v>726</v>
      </c>
      <c r="B8207" t="s">
        <v>175</v>
      </c>
      <c r="C8207" s="1">
        <f>HYPERLINK("https://cao.dolgi.msk.ru/account/1011106315/", 1011106315)</f>
        <v>1011106315</v>
      </c>
      <c r="D8207">
        <v>8557.31</v>
      </c>
    </row>
    <row r="8208" spans="1:4" hidden="1" x14ac:dyDescent="0.3">
      <c r="A8208" t="s">
        <v>726</v>
      </c>
      <c r="B8208" t="s">
        <v>176</v>
      </c>
      <c r="C8208" s="1">
        <f>HYPERLINK("https://cao.dolgi.msk.ru/account/1011104475/", 1011104475)</f>
        <v>1011104475</v>
      </c>
      <c r="D8208">
        <v>0</v>
      </c>
    </row>
    <row r="8209" spans="1:4" hidden="1" x14ac:dyDescent="0.3">
      <c r="A8209" t="s">
        <v>726</v>
      </c>
      <c r="B8209" t="s">
        <v>177</v>
      </c>
      <c r="C8209" s="1">
        <f>HYPERLINK("https://cao.dolgi.msk.ru/account/1011105005/", 1011105005)</f>
        <v>1011105005</v>
      </c>
      <c r="D8209">
        <v>0</v>
      </c>
    </row>
    <row r="8210" spans="1:4" hidden="1" x14ac:dyDescent="0.3">
      <c r="A8210" t="s">
        <v>726</v>
      </c>
      <c r="B8210" t="s">
        <v>178</v>
      </c>
      <c r="C8210" s="1">
        <f>HYPERLINK("https://cao.dolgi.msk.ru/account/1011106323/", 1011106323)</f>
        <v>1011106323</v>
      </c>
      <c r="D8210">
        <v>0</v>
      </c>
    </row>
    <row r="8211" spans="1:4" hidden="1" x14ac:dyDescent="0.3">
      <c r="A8211" t="s">
        <v>726</v>
      </c>
      <c r="B8211" t="s">
        <v>179</v>
      </c>
      <c r="C8211" s="1">
        <f>HYPERLINK("https://cao.dolgi.msk.ru/account/1011104299/", 1011104299)</f>
        <v>1011104299</v>
      </c>
      <c r="D8211">
        <v>-6304.43</v>
      </c>
    </row>
    <row r="8212" spans="1:4" hidden="1" x14ac:dyDescent="0.3">
      <c r="A8212" t="s">
        <v>726</v>
      </c>
      <c r="B8212" t="s">
        <v>273</v>
      </c>
      <c r="C8212" s="1">
        <f>HYPERLINK("https://cao.dolgi.msk.ru/account/1011107019/", 1011107019)</f>
        <v>1011107019</v>
      </c>
      <c r="D8212">
        <v>0</v>
      </c>
    </row>
    <row r="8213" spans="1:4" hidden="1" x14ac:dyDescent="0.3">
      <c r="A8213" t="s">
        <v>726</v>
      </c>
      <c r="B8213" t="s">
        <v>180</v>
      </c>
      <c r="C8213" s="1">
        <f>HYPERLINK("https://cao.dolgi.msk.ru/account/1011105507/", 1011105507)</f>
        <v>1011105507</v>
      </c>
      <c r="D8213">
        <v>0</v>
      </c>
    </row>
    <row r="8214" spans="1:4" hidden="1" x14ac:dyDescent="0.3">
      <c r="A8214" t="s">
        <v>726</v>
      </c>
      <c r="B8214" t="s">
        <v>181</v>
      </c>
      <c r="C8214" s="1">
        <f>HYPERLINK("https://cao.dolgi.msk.ru/account/1011106016/", 1011106016)</f>
        <v>1011106016</v>
      </c>
      <c r="D8214">
        <v>0</v>
      </c>
    </row>
    <row r="8215" spans="1:4" hidden="1" x14ac:dyDescent="0.3">
      <c r="A8215" t="s">
        <v>726</v>
      </c>
      <c r="B8215" t="s">
        <v>182</v>
      </c>
      <c r="C8215" s="1">
        <f>HYPERLINK("https://cao.dolgi.msk.ru/account/1011105259/", 1011105259)</f>
        <v>1011105259</v>
      </c>
      <c r="D8215">
        <v>0</v>
      </c>
    </row>
    <row r="8216" spans="1:4" hidden="1" x14ac:dyDescent="0.3">
      <c r="A8216" t="s">
        <v>726</v>
      </c>
      <c r="B8216" t="s">
        <v>182</v>
      </c>
      <c r="C8216" s="1">
        <f>HYPERLINK("https://cao.dolgi.msk.ru/account/1011107238/", 1011107238)</f>
        <v>1011107238</v>
      </c>
      <c r="D8216">
        <v>0</v>
      </c>
    </row>
    <row r="8217" spans="1:4" x14ac:dyDescent="0.3">
      <c r="A8217" t="s">
        <v>726</v>
      </c>
      <c r="B8217" t="s">
        <v>183</v>
      </c>
      <c r="C8217" s="1">
        <f>HYPERLINK("https://cao.dolgi.msk.ru/account/1011105013/", 1011105013)</f>
        <v>1011105013</v>
      </c>
      <c r="D8217">
        <v>7825.68</v>
      </c>
    </row>
    <row r="8218" spans="1:4" hidden="1" x14ac:dyDescent="0.3">
      <c r="A8218" t="s">
        <v>726</v>
      </c>
      <c r="B8218" t="s">
        <v>184</v>
      </c>
      <c r="C8218" s="1">
        <f>HYPERLINK("https://cao.dolgi.msk.ru/account/1011105515/", 1011105515)</f>
        <v>1011105515</v>
      </c>
      <c r="D8218">
        <v>0</v>
      </c>
    </row>
    <row r="8219" spans="1:4" hidden="1" x14ac:dyDescent="0.3">
      <c r="A8219" t="s">
        <v>726</v>
      </c>
      <c r="B8219" t="s">
        <v>185</v>
      </c>
      <c r="C8219" s="1">
        <f>HYPERLINK("https://cao.dolgi.msk.ru/account/1011106331/", 1011106331)</f>
        <v>1011106331</v>
      </c>
      <c r="D8219">
        <v>0</v>
      </c>
    </row>
    <row r="8220" spans="1:4" x14ac:dyDescent="0.3">
      <c r="A8220" t="s">
        <v>726</v>
      </c>
      <c r="B8220" t="s">
        <v>274</v>
      </c>
      <c r="C8220" s="1">
        <f>HYPERLINK("https://cao.dolgi.msk.ru/account/1011107027/", 1011107027)</f>
        <v>1011107027</v>
      </c>
      <c r="D8220">
        <v>23265.18</v>
      </c>
    </row>
    <row r="8221" spans="1:4" x14ac:dyDescent="0.3">
      <c r="A8221" t="s">
        <v>726</v>
      </c>
      <c r="B8221" t="s">
        <v>186</v>
      </c>
      <c r="C8221" s="1">
        <f>HYPERLINK("https://cao.dolgi.msk.ru/account/1011104483/", 1011104483)</f>
        <v>1011104483</v>
      </c>
      <c r="D8221">
        <v>9024.0400000000009</v>
      </c>
    </row>
    <row r="8222" spans="1:4" x14ac:dyDescent="0.3">
      <c r="A8222" t="s">
        <v>726</v>
      </c>
      <c r="B8222" t="s">
        <v>187</v>
      </c>
      <c r="C8222" s="1">
        <f>HYPERLINK("https://cao.dolgi.msk.ru/account/1011514765/", 1011514765)</f>
        <v>1011514765</v>
      </c>
      <c r="D8222">
        <v>3752.74</v>
      </c>
    </row>
    <row r="8223" spans="1:4" hidden="1" x14ac:dyDescent="0.3">
      <c r="A8223" t="s">
        <v>726</v>
      </c>
      <c r="B8223" t="s">
        <v>188</v>
      </c>
      <c r="C8223" s="1">
        <f>HYPERLINK("https://cao.dolgi.msk.ru/account/1011104491/", 1011104491)</f>
        <v>1011104491</v>
      </c>
      <c r="D8223">
        <v>0</v>
      </c>
    </row>
    <row r="8224" spans="1:4" hidden="1" x14ac:dyDescent="0.3">
      <c r="A8224" t="s">
        <v>726</v>
      </c>
      <c r="B8224" t="s">
        <v>189</v>
      </c>
      <c r="C8224" s="1">
        <f>HYPERLINK("https://cao.dolgi.msk.ru/account/1011104504/", 1011104504)</f>
        <v>1011104504</v>
      </c>
      <c r="D8224">
        <v>0</v>
      </c>
    </row>
    <row r="8225" spans="1:4" hidden="1" x14ac:dyDescent="0.3">
      <c r="A8225" t="s">
        <v>726</v>
      </c>
      <c r="B8225" t="s">
        <v>190</v>
      </c>
      <c r="C8225" s="1">
        <f>HYPERLINK("https://cao.dolgi.msk.ru/account/1011105021/", 1011105021)</f>
        <v>1011105021</v>
      </c>
      <c r="D8225">
        <v>0</v>
      </c>
    </row>
    <row r="8226" spans="1:4" hidden="1" x14ac:dyDescent="0.3">
      <c r="A8226" t="s">
        <v>726</v>
      </c>
      <c r="B8226" t="s">
        <v>191</v>
      </c>
      <c r="C8226" s="1">
        <f>HYPERLINK("https://cao.dolgi.msk.ru/account/1011106729/", 1011106729)</f>
        <v>1011106729</v>
      </c>
      <c r="D8226">
        <v>-209.09</v>
      </c>
    </row>
    <row r="8227" spans="1:4" hidden="1" x14ac:dyDescent="0.3">
      <c r="A8227" t="s">
        <v>726</v>
      </c>
      <c r="B8227" t="s">
        <v>192</v>
      </c>
      <c r="C8227" s="1">
        <f>HYPERLINK("https://cao.dolgi.msk.ru/account/1011104512/", 1011104512)</f>
        <v>1011104512</v>
      </c>
      <c r="D8227">
        <v>0</v>
      </c>
    </row>
    <row r="8228" spans="1:4" hidden="1" x14ac:dyDescent="0.3">
      <c r="A8228" t="s">
        <v>726</v>
      </c>
      <c r="B8228" t="s">
        <v>325</v>
      </c>
      <c r="C8228" s="1">
        <f>HYPERLINK("https://cao.dolgi.msk.ru/account/1011104539/", 1011104539)</f>
        <v>1011104539</v>
      </c>
      <c r="D8228">
        <v>0</v>
      </c>
    </row>
    <row r="8229" spans="1:4" hidden="1" x14ac:dyDescent="0.3">
      <c r="A8229" t="s">
        <v>726</v>
      </c>
      <c r="B8229" t="s">
        <v>193</v>
      </c>
      <c r="C8229" s="1">
        <f>HYPERLINK("https://cao.dolgi.msk.ru/account/1011104547/", 1011104547)</f>
        <v>1011104547</v>
      </c>
      <c r="D8229">
        <v>0</v>
      </c>
    </row>
    <row r="8230" spans="1:4" hidden="1" x14ac:dyDescent="0.3">
      <c r="A8230" t="s">
        <v>726</v>
      </c>
      <c r="B8230" t="s">
        <v>194</v>
      </c>
      <c r="C8230" s="1">
        <f>HYPERLINK("https://cao.dolgi.msk.ru/account/1011107035/", 1011107035)</f>
        <v>1011107035</v>
      </c>
      <c r="D8230">
        <v>0</v>
      </c>
    </row>
    <row r="8231" spans="1:4" hidden="1" x14ac:dyDescent="0.3">
      <c r="A8231" t="s">
        <v>726</v>
      </c>
      <c r="B8231" t="s">
        <v>195</v>
      </c>
      <c r="C8231" s="1">
        <f>HYPERLINK("https://cao.dolgi.msk.ru/account/1011104125/", 1011104125)</f>
        <v>1011104125</v>
      </c>
      <c r="D8231">
        <v>0</v>
      </c>
    </row>
    <row r="8232" spans="1:4" hidden="1" x14ac:dyDescent="0.3">
      <c r="A8232" t="s">
        <v>726</v>
      </c>
      <c r="B8232" t="s">
        <v>196</v>
      </c>
      <c r="C8232" s="1">
        <f>HYPERLINK("https://cao.dolgi.msk.ru/account/1011107043/", 1011107043)</f>
        <v>1011107043</v>
      </c>
      <c r="D8232">
        <v>-2638.89</v>
      </c>
    </row>
    <row r="8233" spans="1:4" x14ac:dyDescent="0.3">
      <c r="A8233" t="s">
        <v>726</v>
      </c>
      <c r="B8233" t="s">
        <v>197</v>
      </c>
      <c r="C8233" s="1">
        <f>HYPERLINK("https://cao.dolgi.msk.ru/account/1011106171/", 1011106171)</f>
        <v>1011106171</v>
      </c>
      <c r="D8233">
        <v>33522.550000000003</v>
      </c>
    </row>
    <row r="8234" spans="1:4" hidden="1" x14ac:dyDescent="0.3">
      <c r="A8234" t="s">
        <v>726</v>
      </c>
      <c r="B8234" t="s">
        <v>198</v>
      </c>
      <c r="C8234" s="1">
        <f>HYPERLINK("https://cao.dolgi.msk.ru/account/1011107051/", 1011107051)</f>
        <v>1011107051</v>
      </c>
      <c r="D8234">
        <v>-74278.91</v>
      </c>
    </row>
    <row r="8235" spans="1:4" hidden="1" x14ac:dyDescent="0.3">
      <c r="A8235" t="s">
        <v>726</v>
      </c>
      <c r="B8235" t="s">
        <v>199</v>
      </c>
      <c r="C8235" s="1">
        <f>HYPERLINK("https://cao.dolgi.msk.ru/account/1011105048/", 1011105048)</f>
        <v>1011105048</v>
      </c>
      <c r="D8235">
        <v>-7.69</v>
      </c>
    </row>
    <row r="8236" spans="1:4" x14ac:dyDescent="0.3">
      <c r="A8236" t="s">
        <v>726</v>
      </c>
      <c r="B8236" t="s">
        <v>200</v>
      </c>
      <c r="C8236" s="1">
        <f>HYPERLINK("https://cao.dolgi.msk.ru/account/1011105523/", 1011105523)</f>
        <v>1011105523</v>
      </c>
      <c r="D8236">
        <v>5698.35</v>
      </c>
    </row>
    <row r="8237" spans="1:4" hidden="1" x14ac:dyDescent="0.3">
      <c r="A8237" t="s">
        <v>726</v>
      </c>
      <c r="B8237" t="s">
        <v>201</v>
      </c>
      <c r="C8237" s="1">
        <f>HYPERLINK("https://cao.dolgi.msk.ru/account/1011105056/", 1011105056)</f>
        <v>1011105056</v>
      </c>
      <c r="D8237">
        <v>0</v>
      </c>
    </row>
    <row r="8238" spans="1:4" hidden="1" x14ac:dyDescent="0.3">
      <c r="A8238" t="s">
        <v>726</v>
      </c>
      <c r="B8238" t="s">
        <v>202</v>
      </c>
      <c r="C8238" s="1">
        <f>HYPERLINK("https://cao.dolgi.msk.ru/account/1011104555/", 1011104555)</f>
        <v>1011104555</v>
      </c>
      <c r="D8238">
        <v>-7499.84</v>
      </c>
    </row>
    <row r="8239" spans="1:4" hidden="1" x14ac:dyDescent="0.3">
      <c r="A8239" t="s">
        <v>726</v>
      </c>
      <c r="B8239" t="s">
        <v>203</v>
      </c>
      <c r="C8239" s="1">
        <f>HYPERLINK("https://cao.dolgi.msk.ru/account/1011105064/", 1011105064)</f>
        <v>1011105064</v>
      </c>
      <c r="D8239">
        <v>-7751</v>
      </c>
    </row>
    <row r="8240" spans="1:4" x14ac:dyDescent="0.3">
      <c r="A8240" t="s">
        <v>726</v>
      </c>
      <c r="B8240" t="s">
        <v>326</v>
      </c>
      <c r="C8240" s="1">
        <f>HYPERLINK("https://cao.dolgi.msk.ru/account/1011104133/", 1011104133)</f>
        <v>1011104133</v>
      </c>
      <c r="D8240">
        <v>574.5</v>
      </c>
    </row>
    <row r="8241" spans="1:4" hidden="1" x14ac:dyDescent="0.3">
      <c r="A8241" t="s">
        <v>726</v>
      </c>
      <c r="B8241" t="s">
        <v>204</v>
      </c>
      <c r="C8241" s="1">
        <f>HYPERLINK("https://cao.dolgi.msk.ru/account/1011105072/", 1011105072)</f>
        <v>1011105072</v>
      </c>
      <c r="D8241">
        <v>0</v>
      </c>
    </row>
    <row r="8242" spans="1:4" hidden="1" x14ac:dyDescent="0.3">
      <c r="A8242" t="s">
        <v>726</v>
      </c>
      <c r="B8242" t="s">
        <v>205</v>
      </c>
      <c r="C8242" s="1">
        <f>HYPERLINK("https://cao.dolgi.msk.ru/account/1011104141/", 1011104141)</f>
        <v>1011104141</v>
      </c>
      <c r="D8242">
        <v>0</v>
      </c>
    </row>
    <row r="8243" spans="1:4" hidden="1" x14ac:dyDescent="0.3">
      <c r="A8243" t="s">
        <v>726</v>
      </c>
      <c r="B8243" t="s">
        <v>206</v>
      </c>
      <c r="C8243" s="1">
        <f>HYPERLINK("https://cao.dolgi.msk.ru/account/1011105099/", 1011105099)</f>
        <v>1011105099</v>
      </c>
      <c r="D8243">
        <v>0</v>
      </c>
    </row>
    <row r="8244" spans="1:4" hidden="1" x14ac:dyDescent="0.3">
      <c r="A8244" t="s">
        <v>726</v>
      </c>
      <c r="B8244" t="s">
        <v>207</v>
      </c>
      <c r="C8244" s="1">
        <f>HYPERLINK("https://cao.dolgi.msk.ru/account/1011107078/", 1011107078)</f>
        <v>1011107078</v>
      </c>
      <c r="D8244">
        <v>0</v>
      </c>
    </row>
    <row r="8245" spans="1:4" hidden="1" x14ac:dyDescent="0.3">
      <c r="A8245" t="s">
        <v>726</v>
      </c>
      <c r="B8245" t="s">
        <v>208</v>
      </c>
      <c r="C8245" s="1">
        <f>HYPERLINK("https://cao.dolgi.msk.ru/account/1011104168/", 1011104168)</f>
        <v>1011104168</v>
      </c>
      <c r="D8245">
        <v>0</v>
      </c>
    </row>
    <row r="8246" spans="1:4" hidden="1" x14ac:dyDescent="0.3">
      <c r="A8246" t="s">
        <v>726</v>
      </c>
      <c r="B8246" t="s">
        <v>327</v>
      </c>
      <c r="C8246" s="1">
        <f>HYPERLINK("https://cao.dolgi.msk.ru/account/1011106024/", 1011106024)</f>
        <v>1011106024</v>
      </c>
      <c r="D8246">
        <v>0</v>
      </c>
    </row>
    <row r="8247" spans="1:4" hidden="1" x14ac:dyDescent="0.3">
      <c r="A8247" t="s">
        <v>726</v>
      </c>
      <c r="B8247" t="s">
        <v>209</v>
      </c>
      <c r="C8247" s="1">
        <f>HYPERLINK("https://cao.dolgi.msk.ru/account/1011106737/", 1011106737)</f>
        <v>1011106737</v>
      </c>
      <c r="D8247">
        <v>-0.08</v>
      </c>
    </row>
    <row r="8248" spans="1:4" hidden="1" x14ac:dyDescent="0.3">
      <c r="A8248" t="s">
        <v>726</v>
      </c>
      <c r="B8248" t="s">
        <v>210</v>
      </c>
      <c r="C8248" s="1">
        <f>HYPERLINK("https://cao.dolgi.msk.ru/account/1011105101/", 1011105101)</f>
        <v>1011105101</v>
      </c>
      <c r="D8248">
        <v>-13642.47</v>
      </c>
    </row>
    <row r="8249" spans="1:4" hidden="1" x14ac:dyDescent="0.3">
      <c r="A8249" t="s">
        <v>726</v>
      </c>
      <c r="B8249" t="s">
        <v>211</v>
      </c>
      <c r="C8249" s="1">
        <f>HYPERLINK("https://cao.dolgi.msk.ru/account/1011104563/", 1011104563)</f>
        <v>1011104563</v>
      </c>
      <c r="D8249">
        <v>0</v>
      </c>
    </row>
    <row r="8250" spans="1:4" hidden="1" x14ac:dyDescent="0.3">
      <c r="A8250" t="s">
        <v>726</v>
      </c>
      <c r="B8250" t="s">
        <v>212</v>
      </c>
      <c r="C8250" s="1">
        <f>HYPERLINK("https://cao.dolgi.msk.ru/account/1011107086/", 1011107086)</f>
        <v>1011107086</v>
      </c>
      <c r="D8250">
        <v>0</v>
      </c>
    </row>
    <row r="8251" spans="1:4" hidden="1" x14ac:dyDescent="0.3">
      <c r="A8251" t="s">
        <v>726</v>
      </c>
      <c r="B8251" t="s">
        <v>213</v>
      </c>
      <c r="C8251" s="1">
        <f>HYPERLINK("https://cao.dolgi.msk.ru/account/1011105128/", 1011105128)</f>
        <v>1011105128</v>
      </c>
      <c r="D8251">
        <v>0</v>
      </c>
    </row>
    <row r="8252" spans="1:4" hidden="1" x14ac:dyDescent="0.3">
      <c r="A8252" t="s">
        <v>726</v>
      </c>
      <c r="B8252" t="s">
        <v>214</v>
      </c>
      <c r="C8252" s="1">
        <f>HYPERLINK("https://cao.dolgi.msk.ru/account/1011106745/", 1011106745)</f>
        <v>1011106745</v>
      </c>
      <c r="D8252">
        <v>-0.01</v>
      </c>
    </row>
    <row r="8253" spans="1:4" hidden="1" x14ac:dyDescent="0.3">
      <c r="A8253" t="s">
        <v>726</v>
      </c>
      <c r="B8253" t="s">
        <v>215</v>
      </c>
      <c r="C8253" s="1">
        <f>HYPERLINK("https://cao.dolgi.msk.ru/account/1011104571/", 1011104571)</f>
        <v>1011104571</v>
      </c>
      <c r="D8253">
        <v>0</v>
      </c>
    </row>
    <row r="8254" spans="1:4" x14ac:dyDescent="0.3">
      <c r="A8254" t="s">
        <v>726</v>
      </c>
      <c r="B8254" t="s">
        <v>216</v>
      </c>
      <c r="C8254" s="1">
        <f>HYPERLINK("https://cao.dolgi.msk.ru/account/1011105136/", 1011105136)</f>
        <v>1011105136</v>
      </c>
      <c r="D8254">
        <v>4038.75</v>
      </c>
    </row>
    <row r="8255" spans="1:4" hidden="1" x14ac:dyDescent="0.3">
      <c r="A8255" t="s">
        <v>726</v>
      </c>
      <c r="B8255" t="s">
        <v>286</v>
      </c>
      <c r="C8255" s="1">
        <f>HYPERLINK("https://cao.dolgi.msk.ru/account/1011104934/", 1011104934)</f>
        <v>1011104934</v>
      </c>
      <c r="D8255">
        <v>-5813.28</v>
      </c>
    </row>
    <row r="8256" spans="1:4" x14ac:dyDescent="0.3">
      <c r="A8256" t="s">
        <v>726</v>
      </c>
      <c r="B8256" t="s">
        <v>287</v>
      </c>
      <c r="C8256" s="1">
        <f>HYPERLINK("https://cao.dolgi.msk.ru/account/1011106032/", 1011106032)</f>
        <v>1011106032</v>
      </c>
      <c r="D8256">
        <v>5471.46</v>
      </c>
    </row>
    <row r="8257" spans="1:4" x14ac:dyDescent="0.3">
      <c r="A8257" t="s">
        <v>726</v>
      </c>
      <c r="B8257" t="s">
        <v>217</v>
      </c>
      <c r="C8257" s="1">
        <f>HYPERLINK("https://cao.dolgi.msk.ru/account/1011106753/", 1011106753)</f>
        <v>1011106753</v>
      </c>
      <c r="D8257">
        <v>31781.15</v>
      </c>
    </row>
    <row r="8258" spans="1:4" hidden="1" x14ac:dyDescent="0.3">
      <c r="A8258" t="s">
        <v>726</v>
      </c>
      <c r="B8258" t="s">
        <v>218</v>
      </c>
      <c r="C8258" s="1">
        <f>HYPERLINK("https://cao.dolgi.msk.ru/account/1011107094/", 1011107094)</f>
        <v>1011107094</v>
      </c>
      <c r="D8258">
        <v>-215.22</v>
      </c>
    </row>
    <row r="8259" spans="1:4" x14ac:dyDescent="0.3">
      <c r="A8259" t="s">
        <v>726</v>
      </c>
      <c r="B8259" t="s">
        <v>219</v>
      </c>
      <c r="C8259" s="1">
        <f>HYPERLINK("https://cao.dolgi.msk.ru/account/1011104598/", 1011104598)</f>
        <v>1011104598</v>
      </c>
      <c r="D8259">
        <v>142910.35999999999</v>
      </c>
    </row>
    <row r="8260" spans="1:4" hidden="1" x14ac:dyDescent="0.3">
      <c r="A8260" t="s">
        <v>726</v>
      </c>
      <c r="B8260" t="s">
        <v>220</v>
      </c>
      <c r="C8260" s="1">
        <f>HYPERLINK("https://cao.dolgi.msk.ru/account/1011104176/", 1011104176)</f>
        <v>1011104176</v>
      </c>
      <c r="D8260">
        <v>0</v>
      </c>
    </row>
    <row r="8261" spans="1:4" hidden="1" x14ac:dyDescent="0.3">
      <c r="A8261" t="s">
        <v>726</v>
      </c>
      <c r="B8261" t="s">
        <v>221</v>
      </c>
      <c r="C8261" s="1">
        <f>HYPERLINK("https://cao.dolgi.msk.ru/account/1011106761/", 1011106761)</f>
        <v>1011106761</v>
      </c>
      <c r="D8261">
        <v>0</v>
      </c>
    </row>
    <row r="8262" spans="1:4" hidden="1" x14ac:dyDescent="0.3">
      <c r="A8262" t="s">
        <v>726</v>
      </c>
      <c r="B8262" t="s">
        <v>221</v>
      </c>
      <c r="C8262" s="1">
        <f>HYPERLINK("https://cao.dolgi.msk.ru/account/1011510537/", 1011510537)</f>
        <v>1011510537</v>
      </c>
      <c r="D8262">
        <v>0</v>
      </c>
    </row>
    <row r="8263" spans="1:4" hidden="1" x14ac:dyDescent="0.3">
      <c r="A8263" t="s">
        <v>726</v>
      </c>
      <c r="B8263" t="s">
        <v>222</v>
      </c>
      <c r="C8263" s="1">
        <f>HYPERLINK("https://cao.dolgi.msk.ru/account/1011105144/", 1011105144)</f>
        <v>1011105144</v>
      </c>
      <c r="D8263">
        <v>-5742.76</v>
      </c>
    </row>
    <row r="8264" spans="1:4" hidden="1" x14ac:dyDescent="0.3">
      <c r="A8264" t="s">
        <v>726</v>
      </c>
      <c r="B8264" t="s">
        <v>223</v>
      </c>
      <c r="C8264" s="1">
        <f>HYPERLINK("https://cao.dolgi.msk.ru/account/1011107107/", 1011107107)</f>
        <v>1011107107</v>
      </c>
      <c r="D8264">
        <v>0</v>
      </c>
    </row>
    <row r="8265" spans="1:4" x14ac:dyDescent="0.3">
      <c r="A8265" t="s">
        <v>726</v>
      </c>
      <c r="B8265" t="s">
        <v>224</v>
      </c>
      <c r="C8265" s="1">
        <f>HYPERLINK("https://cao.dolgi.msk.ru/account/1011104619/", 1011104619)</f>
        <v>1011104619</v>
      </c>
      <c r="D8265">
        <v>9767.93</v>
      </c>
    </row>
    <row r="8266" spans="1:4" hidden="1" x14ac:dyDescent="0.3">
      <c r="A8266" t="s">
        <v>726</v>
      </c>
      <c r="B8266" t="s">
        <v>225</v>
      </c>
      <c r="C8266" s="1">
        <f>HYPERLINK("https://cao.dolgi.msk.ru/account/1011104184/", 1011104184)</f>
        <v>1011104184</v>
      </c>
      <c r="D8266">
        <v>0</v>
      </c>
    </row>
    <row r="8267" spans="1:4" hidden="1" x14ac:dyDescent="0.3">
      <c r="A8267" t="s">
        <v>726</v>
      </c>
      <c r="B8267" t="s">
        <v>226</v>
      </c>
      <c r="C8267" s="1">
        <f>HYPERLINK("https://cao.dolgi.msk.ru/account/1011107115/", 1011107115)</f>
        <v>1011107115</v>
      </c>
      <c r="D8267">
        <v>-368.22</v>
      </c>
    </row>
    <row r="8268" spans="1:4" hidden="1" x14ac:dyDescent="0.3">
      <c r="A8268" t="s">
        <v>726</v>
      </c>
      <c r="B8268" t="s">
        <v>227</v>
      </c>
      <c r="C8268" s="1">
        <f>HYPERLINK("https://cao.dolgi.msk.ru/account/1011106358/", 1011106358)</f>
        <v>1011106358</v>
      </c>
      <c r="D8268">
        <v>-6.06</v>
      </c>
    </row>
    <row r="8269" spans="1:4" x14ac:dyDescent="0.3">
      <c r="A8269" t="s">
        <v>726</v>
      </c>
      <c r="B8269" t="s">
        <v>228</v>
      </c>
      <c r="C8269" s="1">
        <f>HYPERLINK("https://cao.dolgi.msk.ru/account/1011107123/", 1011107123)</f>
        <v>1011107123</v>
      </c>
      <c r="D8269">
        <v>5309.83</v>
      </c>
    </row>
    <row r="8270" spans="1:4" hidden="1" x14ac:dyDescent="0.3">
      <c r="A8270" t="s">
        <v>726</v>
      </c>
      <c r="B8270" t="s">
        <v>229</v>
      </c>
      <c r="C8270" s="1">
        <f>HYPERLINK("https://cao.dolgi.msk.ru/account/1011104192/", 1011104192)</f>
        <v>1011104192</v>
      </c>
      <c r="D8270">
        <v>0</v>
      </c>
    </row>
    <row r="8271" spans="1:4" x14ac:dyDescent="0.3">
      <c r="A8271" t="s">
        <v>726</v>
      </c>
      <c r="B8271" t="s">
        <v>230</v>
      </c>
      <c r="C8271" s="1">
        <f>HYPERLINK("https://cao.dolgi.msk.ru/account/1011107131/", 1011107131)</f>
        <v>1011107131</v>
      </c>
      <c r="D8271">
        <v>3638.97</v>
      </c>
    </row>
    <row r="8272" spans="1:4" x14ac:dyDescent="0.3">
      <c r="A8272" t="s">
        <v>726</v>
      </c>
      <c r="B8272" t="s">
        <v>231</v>
      </c>
      <c r="C8272" s="1">
        <f>HYPERLINK("https://cao.dolgi.msk.ru/account/1011106366/", 1011106366)</f>
        <v>1011106366</v>
      </c>
      <c r="D8272">
        <v>4538.45</v>
      </c>
    </row>
    <row r="8273" spans="1:4" hidden="1" x14ac:dyDescent="0.3">
      <c r="A8273" t="s">
        <v>726</v>
      </c>
      <c r="B8273" t="s">
        <v>232</v>
      </c>
      <c r="C8273" s="1">
        <f>HYPERLINK("https://cao.dolgi.msk.ru/account/1011104205/", 1011104205)</f>
        <v>1011104205</v>
      </c>
      <c r="D8273">
        <v>0</v>
      </c>
    </row>
    <row r="8274" spans="1:4" hidden="1" x14ac:dyDescent="0.3">
      <c r="A8274" t="s">
        <v>726</v>
      </c>
      <c r="B8274" t="s">
        <v>233</v>
      </c>
      <c r="C8274" s="1">
        <f>HYPERLINK("https://cao.dolgi.msk.ru/account/1011107158/", 1011107158)</f>
        <v>1011107158</v>
      </c>
      <c r="D8274">
        <v>-6595.85</v>
      </c>
    </row>
    <row r="8275" spans="1:4" hidden="1" x14ac:dyDescent="0.3">
      <c r="A8275" t="s">
        <v>726</v>
      </c>
      <c r="B8275" t="s">
        <v>234</v>
      </c>
      <c r="C8275" s="1">
        <f>HYPERLINK("https://cao.dolgi.msk.ru/account/1011104627/", 1011104627)</f>
        <v>1011104627</v>
      </c>
      <c r="D8275">
        <v>0</v>
      </c>
    </row>
    <row r="8276" spans="1:4" x14ac:dyDescent="0.3">
      <c r="A8276" t="s">
        <v>726</v>
      </c>
      <c r="B8276" t="s">
        <v>235</v>
      </c>
      <c r="C8276" s="1">
        <f>HYPERLINK("https://cao.dolgi.msk.ru/account/1011104731/", 1011104731)</f>
        <v>1011104731</v>
      </c>
      <c r="D8276">
        <v>2873.87</v>
      </c>
    </row>
    <row r="8277" spans="1:4" hidden="1" x14ac:dyDescent="0.3">
      <c r="A8277" t="s">
        <v>726</v>
      </c>
      <c r="B8277" t="s">
        <v>288</v>
      </c>
      <c r="C8277" s="1">
        <f>HYPERLINK("https://cao.dolgi.msk.ru/account/1011106059/", 1011106059)</f>
        <v>1011106059</v>
      </c>
      <c r="D8277">
        <v>-149.05000000000001</v>
      </c>
    </row>
    <row r="8278" spans="1:4" hidden="1" x14ac:dyDescent="0.3">
      <c r="A8278" t="s">
        <v>726</v>
      </c>
      <c r="B8278" t="s">
        <v>236</v>
      </c>
      <c r="C8278" s="1">
        <f>HYPERLINK("https://cao.dolgi.msk.ru/account/1011105531/", 1011105531)</f>
        <v>1011105531</v>
      </c>
      <c r="D8278">
        <v>-5807.79</v>
      </c>
    </row>
    <row r="8279" spans="1:4" hidden="1" x14ac:dyDescent="0.3">
      <c r="A8279" t="s">
        <v>726</v>
      </c>
      <c r="B8279" t="s">
        <v>237</v>
      </c>
      <c r="C8279" s="1">
        <f>HYPERLINK("https://cao.dolgi.msk.ru/account/1011106788/", 1011106788)</f>
        <v>1011106788</v>
      </c>
      <c r="D8279">
        <v>-2870.96</v>
      </c>
    </row>
    <row r="8280" spans="1:4" hidden="1" x14ac:dyDescent="0.3">
      <c r="A8280" t="s">
        <v>726</v>
      </c>
      <c r="B8280" t="s">
        <v>238</v>
      </c>
      <c r="C8280" s="1">
        <f>HYPERLINK("https://cao.dolgi.msk.ru/account/1011105558/", 1011105558)</f>
        <v>1011105558</v>
      </c>
      <c r="D8280">
        <v>0</v>
      </c>
    </row>
    <row r="8281" spans="1:4" hidden="1" x14ac:dyDescent="0.3">
      <c r="A8281" t="s">
        <v>726</v>
      </c>
      <c r="B8281" t="s">
        <v>239</v>
      </c>
      <c r="C8281" s="1">
        <f>HYPERLINK("https://cao.dolgi.msk.ru/account/1011106876/", 1011106876)</f>
        <v>1011106876</v>
      </c>
      <c r="D8281">
        <v>0</v>
      </c>
    </row>
    <row r="8282" spans="1:4" hidden="1" x14ac:dyDescent="0.3">
      <c r="A8282" t="s">
        <v>726</v>
      </c>
      <c r="B8282" t="s">
        <v>240</v>
      </c>
      <c r="C8282" s="1">
        <f>HYPERLINK("https://cao.dolgi.msk.ru/account/1011104635/", 1011104635)</f>
        <v>1011104635</v>
      </c>
      <c r="D8282">
        <v>0</v>
      </c>
    </row>
    <row r="8283" spans="1:4" hidden="1" x14ac:dyDescent="0.3">
      <c r="A8283" t="s">
        <v>726</v>
      </c>
      <c r="B8283" t="s">
        <v>241</v>
      </c>
      <c r="C8283" s="1">
        <f>HYPERLINK("https://cao.dolgi.msk.ru/account/1011105152/", 1011105152)</f>
        <v>1011105152</v>
      </c>
      <c r="D8283">
        <v>0</v>
      </c>
    </row>
    <row r="8284" spans="1:4" hidden="1" x14ac:dyDescent="0.3">
      <c r="A8284" t="s">
        <v>726</v>
      </c>
      <c r="B8284" t="s">
        <v>242</v>
      </c>
      <c r="C8284" s="1">
        <f>HYPERLINK("https://cao.dolgi.msk.ru/account/1011107166/", 1011107166)</f>
        <v>1011107166</v>
      </c>
      <c r="D8284">
        <v>0</v>
      </c>
    </row>
    <row r="8285" spans="1:4" x14ac:dyDescent="0.3">
      <c r="A8285" t="s">
        <v>726</v>
      </c>
      <c r="B8285" t="s">
        <v>289</v>
      </c>
      <c r="C8285" s="1">
        <f>HYPERLINK("https://cao.dolgi.msk.ru/account/1011106796/", 1011106796)</f>
        <v>1011106796</v>
      </c>
      <c r="D8285">
        <v>6820.41</v>
      </c>
    </row>
    <row r="8286" spans="1:4" hidden="1" x14ac:dyDescent="0.3">
      <c r="A8286" t="s">
        <v>726</v>
      </c>
      <c r="B8286" t="s">
        <v>243</v>
      </c>
      <c r="C8286" s="1">
        <f>HYPERLINK("https://cao.dolgi.msk.ru/account/1011104766/", 1011104766)</f>
        <v>1011104766</v>
      </c>
      <c r="D8286">
        <v>0</v>
      </c>
    </row>
    <row r="8287" spans="1:4" hidden="1" x14ac:dyDescent="0.3">
      <c r="A8287" t="s">
        <v>726</v>
      </c>
      <c r="B8287" t="s">
        <v>243</v>
      </c>
      <c r="C8287" s="1">
        <f>HYPERLINK("https://cao.dolgi.msk.ru/account/1011106067/", 1011106067)</f>
        <v>1011106067</v>
      </c>
      <c r="D8287">
        <v>0</v>
      </c>
    </row>
    <row r="8288" spans="1:4" hidden="1" x14ac:dyDescent="0.3">
      <c r="A8288" t="s">
        <v>726</v>
      </c>
      <c r="B8288" t="s">
        <v>244</v>
      </c>
      <c r="C8288" s="1">
        <f>HYPERLINK("https://cao.dolgi.msk.ru/account/1011106075/", 1011106075)</f>
        <v>1011106075</v>
      </c>
      <c r="D8288">
        <v>-5050.1000000000004</v>
      </c>
    </row>
    <row r="8289" spans="1:4" hidden="1" x14ac:dyDescent="0.3">
      <c r="A8289" t="s">
        <v>726</v>
      </c>
      <c r="B8289" t="s">
        <v>245</v>
      </c>
      <c r="C8289" s="1">
        <f>HYPERLINK("https://cao.dolgi.msk.ru/account/1011104643/", 1011104643)</f>
        <v>1011104643</v>
      </c>
      <c r="D8289">
        <v>0</v>
      </c>
    </row>
    <row r="8290" spans="1:4" hidden="1" x14ac:dyDescent="0.3">
      <c r="A8290" t="s">
        <v>726</v>
      </c>
      <c r="B8290" t="s">
        <v>246</v>
      </c>
      <c r="C8290" s="1">
        <f>HYPERLINK("https://cao.dolgi.msk.ru/account/1011104651/", 1011104651)</f>
        <v>1011104651</v>
      </c>
      <c r="D8290">
        <v>-7687</v>
      </c>
    </row>
    <row r="8291" spans="1:4" x14ac:dyDescent="0.3">
      <c r="A8291" t="s">
        <v>726</v>
      </c>
      <c r="B8291" t="s">
        <v>247</v>
      </c>
      <c r="C8291" s="1">
        <f>HYPERLINK("https://cao.dolgi.msk.ru/account/1011105179/", 1011105179)</f>
        <v>1011105179</v>
      </c>
      <c r="D8291">
        <v>44755.86</v>
      </c>
    </row>
    <row r="8292" spans="1:4" hidden="1" x14ac:dyDescent="0.3">
      <c r="A8292" t="s">
        <v>726</v>
      </c>
      <c r="B8292" t="s">
        <v>248</v>
      </c>
      <c r="C8292" s="1">
        <f>HYPERLINK("https://cao.dolgi.msk.ru/account/1011104213/", 1011104213)</f>
        <v>1011104213</v>
      </c>
      <c r="D8292">
        <v>0</v>
      </c>
    </row>
    <row r="8293" spans="1:4" x14ac:dyDescent="0.3">
      <c r="A8293" t="s">
        <v>726</v>
      </c>
      <c r="B8293" t="s">
        <v>290</v>
      </c>
      <c r="C8293" s="1">
        <f>HYPERLINK("https://cao.dolgi.msk.ru/account/1011104678/", 1011104678)</f>
        <v>1011104678</v>
      </c>
      <c r="D8293">
        <v>5617.37</v>
      </c>
    </row>
    <row r="8294" spans="1:4" x14ac:dyDescent="0.3">
      <c r="A8294" t="s">
        <v>726</v>
      </c>
      <c r="B8294" t="s">
        <v>249</v>
      </c>
      <c r="C8294" s="1">
        <f>HYPERLINK("https://cao.dolgi.msk.ru/account/1011105187/", 1011105187)</f>
        <v>1011105187</v>
      </c>
      <c r="D8294">
        <v>13786.39</v>
      </c>
    </row>
    <row r="8295" spans="1:4" hidden="1" x14ac:dyDescent="0.3">
      <c r="A8295" t="s">
        <v>726</v>
      </c>
      <c r="B8295" t="s">
        <v>250</v>
      </c>
      <c r="C8295" s="1">
        <f>HYPERLINK("https://cao.dolgi.msk.ru/account/1011104686/", 1011104686)</f>
        <v>1011104686</v>
      </c>
      <c r="D8295">
        <v>-6038.65</v>
      </c>
    </row>
    <row r="8296" spans="1:4" hidden="1" x14ac:dyDescent="0.3">
      <c r="A8296" t="s">
        <v>726</v>
      </c>
      <c r="B8296" t="s">
        <v>251</v>
      </c>
      <c r="C8296" s="1">
        <f>HYPERLINK("https://cao.dolgi.msk.ru/account/1011105566/", 1011105566)</f>
        <v>1011105566</v>
      </c>
      <c r="D8296">
        <v>-6915.47</v>
      </c>
    </row>
    <row r="8297" spans="1:4" hidden="1" x14ac:dyDescent="0.3">
      <c r="A8297" t="s">
        <v>726</v>
      </c>
      <c r="B8297" t="s">
        <v>252</v>
      </c>
      <c r="C8297" s="1">
        <f>HYPERLINK("https://cao.dolgi.msk.ru/account/1011106374/", 1011106374)</f>
        <v>1011106374</v>
      </c>
      <c r="D8297">
        <v>0</v>
      </c>
    </row>
    <row r="8298" spans="1:4" hidden="1" x14ac:dyDescent="0.3">
      <c r="A8298" t="s">
        <v>726</v>
      </c>
      <c r="B8298" t="s">
        <v>253</v>
      </c>
      <c r="C8298" s="1">
        <f>HYPERLINK("https://cao.dolgi.msk.ru/account/1011104694/", 1011104694)</f>
        <v>1011104694</v>
      </c>
      <c r="D8298">
        <v>0</v>
      </c>
    </row>
    <row r="8299" spans="1:4" hidden="1" x14ac:dyDescent="0.3">
      <c r="A8299" t="s">
        <v>726</v>
      </c>
      <c r="B8299" t="s">
        <v>254</v>
      </c>
      <c r="C8299" s="1">
        <f>HYPERLINK("https://cao.dolgi.msk.ru/account/1011105195/", 1011105195)</f>
        <v>1011105195</v>
      </c>
      <c r="D8299">
        <v>0</v>
      </c>
    </row>
    <row r="8300" spans="1:4" hidden="1" x14ac:dyDescent="0.3">
      <c r="A8300" t="s">
        <v>726</v>
      </c>
      <c r="B8300" t="s">
        <v>255</v>
      </c>
      <c r="C8300" s="1">
        <f>HYPERLINK("https://cao.dolgi.msk.ru/account/1011514669/", 1011514669)</f>
        <v>1011514669</v>
      </c>
      <c r="D8300">
        <v>0</v>
      </c>
    </row>
    <row r="8301" spans="1:4" hidden="1" x14ac:dyDescent="0.3">
      <c r="A8301" t="s">
        <v>726</v>
      </c>
      <c r="B8301" t="s">
        <v>256</v>
      </c>
      <c r="C8301" s="1">
        <f>HYPERLINK("https://cao.dolgi.msk.ru/account/1011107174/", 1011107174)</f>
        <v>1011107174</v>
      </c>
      <c r="D8301">
        <v>-7111.53</v>
      </c>
    </row>
    <row r="8302" spans="1:4" hidden="1" x14ac:dyDescent="0.3">
      <c r="A8302" t="s">
        <v>726</v>
      </c>
      <c r="B8302" t="s">
        <v>257</v>
      </c>
      <c r="C8302" s="1">
        <f>HYPERLINK("https://cao.dolgi.msk.ru/account/1011107182/", 1011107182)</f>
        <v>1011107182</v>
      </c>
      <c r="D8302">
        <v>0</v>
      </c>
    </row>
    <row r="8303" spans="1:4" hidden="1" x14ac:dyDescent="0.3">
      <c r="A8303" t="s">
        <v>726</v>
      </c>
      <c r="B8303" t="s">
        <v>291</v>
      </c>
      <c r="C8303" s="1">
        <f>HYPERLINK("https://cao.dolgi.msk.ru/account/1011106083/", 1011106083)</f>
        <v>1011106083</v>
      </c>
      <c r="D8303">
        <v>0</v>
      </c>
    </row>
    <row r="8304" spans="1:4" x14ac:dyDescent="0.3">
      <c r="A8304" t="s">
        <v>726</v>
      </c>
      <c r="B8304" t="s">
        <v>292</v>
      </c>
      <c r="C8304" s="1">
        <f>HYPERLINK("https://cao.dolgi.msk.ru/account/1011104707/", 1011104707)</f>
        <v>1011104707</v>
      </c>
      <c r="D8304">
        <v>30341.86</v>
      </c>
    </row>
    <row r="8305" spans="1:4" hidden="1" x14ac:dyDescent="0.3">
      <c r="A8305" t="s">
        <v>726</v>
      </c>
      <c r="B8305" t="s">
        <v>293</v>
      </c>
      <c r="C8305" s="1">
        <f>HYPERLINK("https://cao.dolgi.msk.ru/account/1011104248/", 1011104248)</f>
        <v>1011104248</v>
      </c>
      <c r="D8305">
        <v>0</v>
      </c>
    </row>
    <row r="8306" spans="1:4" hidden="1" x14ac:dyDescent="0.3">
      <c r="A8306" t="s">
        <v>726</v>
      </c>
      <c r="B8306" t="s">
        <v>294</v>
      </c>
      <c r="C8306" s="1">
        <f>HYPERLINK("https://cao.dolgi.msk.ru/account/1011105574/", 1011105574)</f>
        <v>1011105574</v>
      </c>
      <c r="D8306">
        <v>-20.27</v>
      </c>
    </row>
    <row r="8307" spans="1:4" x14ac:dyDescent="0.3">
      <c r="A8307" t="s">
        <v>726</v>
      </c>
      <c r="B8307" t="s">
        <v>295</v>
      </c>
      <c r="C8307" s="1">
        <f>HYPERLINK("https://cao.dolgi.msk.ru/account/1011104256/", 1011104256)</f>
        <v>1011104256</v>
      </c>
      <c r="D8307">
        <v>10353.24</v>
      </c>
    </row>
    <row r="8308" spans="1:4" x14ac:dyDescent="0.3">
      <c r="A8308" t="s">
        <v>726</v>
      </c>
      <c r="B8308" t="s">
        <v>296</v>
      </c>
      <c r="C8308" s="1">
        <f>HYPERLINK("https://cao.dolgi.msk.ru/account/1011104715/", 1011104715)</f>
        <v>1011104715</v>
      </c>
      <c r="D8308">
        <v>6967.75</v>
      </c>
    </row>
    <row r="8309" spans="1:4" hidden="1" x14ac:dyDescent="0.3">
      <c r="A8309" t="s">
        <v>726</v>
      </c>
      <c r="B8309" t="s">
        <v>297</v>
      </c>
      <c r="C8309" s="1">
        <f>HYPERLINK("https://cao.dolgi.msk.ru/account/1011104723/", 1011104723)</f>
        <v>1011104723</v>
      </c>
      <c r="D8309">
        <v>0</v>
      </c>
    </row>
    <row r="8310" spans="1:4" hidden="1" x14ac:dyDescent="0.3">
      <c r="A8310" t="s">
        <v>726</v>
      </c>
      <c r="B8310" t="s">
        <v>298</v>
      </c>
      <c r="C8310" s="1">
        <f>HYPERLINK("https://cao.dolgi.msk.ru/account/1011106809/", 1011106809)</f>
        <v>1011106809</v>
      </c>
      <c r="D8310">
        <v>0</v>
      </c>
    </row>
    <row r="8311" spans="1:4" hidden="1" x14ac:dyDescent="0.3">
      <c r="A8311" t="s">
        <v>726</v>
      </c>
      <c r="B8311" t="s">
        <v>299</v>
      </c>
      <c r="C8311" s="1">
        <f>HYPERLINK("https://cao.dolgi.msk.ru/account/1011107203/", 1011107203)</f>
        <v>1011107203</v>
      </c>
      <c r="D8311">
        <v>-17001.650000000001</v>
      </c>
    </row>
    <row r="8312" spans="1:4" x14ac:dyDescent="0.3">
      <c r="A8312" t="s">
        <v>726</v>
      </c>
      <c r="B8312" t="s">
        <v>300</v>
      </c>
      <c r="C8312" s="1">
        <f>HYPERLINK("https://cao.dolgi.msk.ru/account/1011106091/", 1011106091)</f>
        <v>1011106091</v>
      </c>
      <c r="D8312">
        <v>7313.93</v>
      </c>
    </row>
    <row r="8313" spans="1:4" hidden="1" x14ac:dyDescent="0.3">
      <c r="A8313" t="s">
        <v>726</v>
      </c>
      <c r="B8313" t="s">
        <v>301</v>
      </c>
      <c r="C8313" s="1">
        <f>HYPERLINK("https://cao.dolgi.msk.ru/account/1011105582/", 1011105582)</f>
        <v>1011105582</v>
      </c>
      <c r="D8313">
        <v>-6273.42</v>
      </c>
    </row>
    <row r="8314" spans="1:4" x14ac:dyDescent="0.3">
      <c r="A8314" t="s">
        <v>726</v>
      </c>
      <c r="B8314" t="s">
        <v>302</v>
      </c>
      <c r="C8314" s="1">
        <f>HYPERLINK("https://cao.dolgi.msk.ru/account/1011106104/", 1011106104)</f>
        <v>1011106104</v>
      </c>
      <c r="D8314">
        <v>6457.59</v>
      </c>
    </row>
    <row r="8315" spans="1:4" hidden="1" x14ac:dyDescent="0.3">
      <c r="A8315" t="s">
        <v>726</v>
      </c>
      <c r="B8315" t="s">
        <v>303</v>
      </c>
      <c r="C8315" s="1">
        <f>HYPERLINK("https://cao.dolgi.msk.ru/account/1011105208/", 1011105208)</f>
        <v>1011105208</v>
      </c>
      <c r="D8315">
        <v>0</v>
      </c>
    </row>
    <row r="8316" spans="1:4" hidden="1" x14ac:dyDescent="0.3">
      <c r="A8316" t="s">
        <v>726</v>
      </c>
      <c r="B8316" t="s">
        <v>304</v>
      </c>
      <c r="C8316" s="1">
        <f>HYPERLINK("https://cao.dolgi.msk.ru/account/1011106817/", 1011106817)</f>
        <v>1011106817</v>
      </c>
      <c r="D8316">
        <v>-3817.68</v>
      </c>
    </row>
    <row r="8317" spans="1:4" x14ac:dyDescent="0.3">
      <c r="A8317" t="s">
        <v>726</v>
      </c>
      <c r="B8317" t="s">
        <v>305</v>
      </c>
      <c r="C8317" s="1">
        <f>HYPERLINK("https://cao.dolgi.msk.ru/account/1011105216/", 1011105216)</f>
        <v>1011105216</v>
      </c>
      <c r="D8317">
        <v>19677.34</v>
      </c>
    </row>
    <row r="8318" spans="1:4" hidden="1" x14ac:dyDescent="0.3">
      <c r="A8318" t="s">
        <v>726</v>
      </c>
      <c r="B8318" t="s">
        <v>306</v>
      </c>
      <c r="C8318" s="1">
        <f>HYPERLINK("https://cao.dolgi.msk.ru/account/1011105603/", 1011105603)</f>
        <v>1011105603</v>
      </c>
      <c r="D8318">
        <v>-5791.64</v>
      </c>
    </row>
    <row r="8319" spans="1:4" hidden="1" x14ac:dyDescent="0.3">
      <c r="A8319" t="s">
        <v>726</v>
      </c>
      <c r="B8319" t="s">
        <v>307</v>
      </c>
      <c r="C8319" s="1">
        <f>HYPERLINK("https://cao.dolgi.msk.ru/account/1011106382/", 1011106382)</f>
        <v>1011106382</v>
      </c>
      <c r="D8319">
        <v>0</v>
      </c>
    </row>
    <row r="8320" spans="1:4" hidden="1" x14ac:dyDescent="0.3">
      <c r="A8320" t="s">
        <v>726</v>
      </c>
      <c r="B8320" t="s">
        <v>308</v>
      </c>
      <c r="C8320" s="1">
        <f>HYPERLINK("https://cao.dolgi.msk.ru/account/1011106825/", 1011106825)</f>
        <v>1011106825</v>
      </c>
      <c r="D8320">
        <v>0</v>
      </c>
    </row>
    <row r="8321" spans="1:4" hidden="1" x14ac:dyDescent="0.3">
      <c r="A8321" t="s">
        <v>726</v>
      </c>
      <c r="B8321" t="s">
        <v>309</v>
      </c>
      <c r="C8321" s="1">
        <f>HYPERLINK("https://cao.dolgi.msk.ru/account/1011105611/", 1011105611)</f>
        <v>1011105611</v>
      </c>
      <c r="D8321">
        <v>-124.3</v>
      </c>
    </row>
    <row r="8322" spans="1:4" hidden="1" x14ac:dyDescent="0.3">
      <c r="A8322" t="s">
        <v>726</v>
      </c>
      <c r="B8322" t="s">
        <v>310</v>
      </c>
      <c r="C8322" s="1">
        <f>HYPERLINK("https://cao.dolgi.msk.ru/account/1011106403/", 1011106403)</f>
        <v>1011106403</v>
      </c>
      <c r="D8322">
        <v>-72.63</v>
      </c>
    </row>
    <row r="8323" spans="1:4" hidden="1" x14ac:dyDescent="0.3">
      <c r="A8323" t="s">
        <v>726</v>
      </c>
      <c r="B8323" t="s">
        <v>311</v>
      </c>
      <c r="C8323" s="1">
        <f>HYPERLINK("https://cao.dolgi.msk.ru/account/1011106112/", 1011106112)</f>
        <v>1011106112</v>
      </c>
      <c r="D8323">
        <v>-5597.39</v>
      </c>
    </row>
    <row r="8324" spans="1:4" hidden="1" x14ac:dyDescent="0.3">
      <c r="A8324" t="s">
        <v>726</v>
      </c>
      <c r="B8324" t="s">
        <v>312</v>
      </c>
      <c r="C8324" s="1">
        <f>HYPERLINK("https://cao.dolgi.msk.ru/account/1011106833/", 1011106833)</f>
        <v>1011106833</v>
      </c>
      <c r="D8324">
        <v>0</v>
      </c>
    </row>
    <row r="8325" spans="1:4" hidden="1" x14ac:dyDescent="0.3">
      <c r="A8325" t="s">
        <v>726</v>
      </c>
      <c r="B8325" t="s">
        <v>313</v>
      </c>
      <c r="C8325" s="1">
        <f>HYPERLINK("https://cao.dolgi.msk.ru/account/1011106411/", 1011106411)</f>
        <v>1011106411</v>
      </c>
      <c r="D8325">
        <v>-6652.46</v>
      </c>
    </row>
    <row r="8326" spans="1:4" hidden="1" x14ac:dyDescent="0.3">
      <c r="A8326" t="s">
        <v>726</v>
      </c>
      <c r="B8326" t="s">
        <v>314</v>
      </c>
      <c r="C8326" s="1">
        <f>HYPERLINK("https://cao.dolgi.msk.ru/account/1011107211/", 1011107211)</f>
        <v>1011107211</v>
      </c>
      <c r="D8326">
        <v>0</v>
      </c>
    </row>
    <row r="8327" spans="1:4" hidden="1" x14ac:dyDescent="0.3">
      <c r="A8327" t="s">
        <v>727</v>
      </c>
      <c r="B8327" t="s">
        <v>6</v>
      </c>
      <c r="C8327" s="1">
        <f>HYPERLINK("https://cao.dolgi.msk.ru/account/1011402325/", 1011402325)</f>
        <v>1011402325</v>
      </c>
      <c r="D8327">
        <v>-35244.85</v>
      </c>
    </row>
    <row r="8328" spans="1:4" hidden="1" x14ac:dyDescent="0.3">
      <c r="A8328" t="s">
        <v>727</v>
      </c>
      <c r="B8328" t="s">
        <v>28</v>
      </c>
      <c r="C8328" s="1">
        <f>HYPERLINK("https://cao.dolgi.msk.ru/account/1011402261/", 1011402261)</f>
        <v>1011402261</v>
      </c>
      <c r="D8328">
        <v>0</v>
      </c>
    </row>
    <row r="8329" spans="1:4" x14ac:dyDescent="0.3">
      <c r="A8329" t="s">
        <v>727</v>
      </c>
      <c r="B8329" t="s">
        <v>35</v>
      </c>
      <c r="C8329" s="1">
        <f>HYPERLINK("https://cao.dolgi.msk.ru/account/1011402069/", 1011402069)</f>
        <v>1011402069</v>
      </c>
      <c r="D8329">
        <v>3848.34</v>
      </c>
    </row>
    <row r="8330" spans="1:4" hidden="1" x14ac:dyDescent="0.3">
      <c r="A8330" t="s">
        <v>727</v>
      </c>
      <c r="B8330" t="s">
        <v>35</v>
      </c>
      <c r="C8330" s="1">
        <f>HYPERLINK("https://cao.dolgi.msk.ru/account/1011402333/", 1011402333)</f>
        <v>1011402333</v>
      </c>
      <c r="D8330">
        <v>0</v>
      </c>
    </row>
    <row r="8331" spans="1:4" x14ac:dyDescent="0.3">
      <c r="A8331" t="s">
        <v>727</v>
      </c>
      <c r="B8331" t="s">
        <v>5</v>
      </c>
      <c r="C8331" s="1">
        <f>HYPERLINK("https://cao.dolgi.msk.ru/account/1011402202/", 1011402202)</f>
        <v>1011402202</v>
      </c>
      <c r="D8331">
        <v>27283.24</v>
      </c>
    </row>
    <row r="8332" spans="1:4" x14ac:dyDescent="0.3">
      <c r="A8332" t="s">
        <v>727</v>
      </c>
      <c r="B8332" t="s">
        <v>7</v>
      </c>
      <c r="C8332" s="1">
        <f>HYPERLINK("https://cao.dolgi.msk.ru/account/1011402173/", 1011402173)</f>
        <v>1011402173</v>
      </c>
      <c r="D8332">
        <v>14078.06</v>
      </c>
    </row>
    <row r="8333" spans="1:4" x14ac:dyDescent="0.3">
      <c r="A8333" t="s">
        <v>727</v>
      </c>
      <c r="B8333" t="s">
        <v>8</v>
      </c>
      <c r="C8333" s="1">
        <f>HYPERLINK("https://cao.dolgi.msk.ru/account/1011402317/", 1011402317)</f>
        <v>1011402317</v>
      </c>
      <c r="D8333">
        <v>13145.33</v>
      </c>
    </row>
    <row r="8334" spans="1:4" hidden="1" x14ac:dyDescent="0.3">
      <c r="A8334" t="s">
        <v>727</v>
      </c>
      <c r="B8334" t="s">
        <v>31</v>
      </c>
      <c r="C8334" s="1">
        <f>HYPERLINK("https://cao.dolgi.msk.ru/account/1011402229/", 1011402229)</f>
        <v>1011402229</v>
      </c>
      <c r="D8334">
        <v>-0.02</v>
      </c>
    </row>
    <row r="8335" spans="1:4" x14ac:dyDescent="0.3">
      <c r="A8335" t="s">
        <v>727</v>
      </c>
      <c r="B8335" t="s">
        <v>9</v>
      </c>
      <c r="C8335" s="1">
        <f>HYPERLINK("https://cao.dolgi.msk.ru/account/1011402077/", 1011402077)</f>
        <v>1011402077</v>
      </c>
      <c r="D8335">
        <v>37300.71</v>
      </c>
    </row>
    <row r="8336" spans="1:4" hidden="1" x14ac:dyDescent="0.3">
      <c r="A8336" t="s">
        <v>727</v>
      </c>
      <c r="B8336" t="s">
        <v>11</v>
      </c>
      <c r="C8336" s="1">
        <f>HYPERLINK("https://cao.dolgi.msk.ru/account/1011402157/", 1011402157)</f>
        <v>1011402157</v>
      </c>
      <c r="D8336">
        <v>-14705.82</v>
      </c>
    </row>
    <row r="8337" spans="1:4" x14ac:dyDescent="0.3">
      <c r="A8337" t="s">
        <v>727</v>
      </c>
      <c r="B8337" t="s">
        <v>12</v>
      </c>
      <c r="C8337" s="1">
        <f>HYPERLINK("https://cao.dolgi.msk.ru/account/1011402149/", 1011402149)</f>
        <v>1011402149</v>
      </c>
      <c r="D8337">
        <v>7786.09</v>
      </c>
    </row>
    <row r="8338" spans="1:4" x14ac:dyDescent="0.3">
      <c r="A8338" t="s">
        <v>727</v>
      </c>
      <c r="B8338" t="s">
        <v>23</v>
      </c>
      <c r="C8338" s="1">
        <f>HYPERLINK("https://cao.dolgi.msk.ru/account/1011402181/", 1011402181)</f>
        <v>1011402181</v>
      </c>
      <c r="D8338">
        <v>24618.59</v>
      </c>
    </row>
    <row r="8339" spans="1:4" hidden="1" x14ac:dyDescent="0.3">
      <c r="A8339" t="s">
        <v>727</v>
      </c>
      <c r="B8339" t="s">
        <v>13</v>
      </c>
      <c r="C8339" s="1">
        <f>HYPERLINK("https://cao.dolgi.msk.ru/account/1011402341/", 1011402341)</f>
        <v>1011402341</v>
      </c>
      <c r="D8339">
        <v>0</v>
      </c>
    </row>
    <row r="8340" spans="1:4" hidden="1" x14ac:dyDescent="0.3">
      <c r="A8340" t="s">
        <v>727</v>
      </c>
      <c r="B8340" t="s">
        <v>17</v>
      </c>
      <c r="C8340" s="1">
        <f>HYPERLINK("https://cao.dolgi.msk.ru/account/1011402093/", 1011402093)</f>
        <v>1011402093</v>
      </c>
      <c r="D8340">
        <v>0</v>
      </c>
    </row>
    <row r="8341" spans="1:4" hidden="1" x14ac:dyDescent="0.3">
      <c r="A8341" t="s">
        <v>727</v>
      </c>
      <c r="B8341" t="s">
        <v>18</v>
      </c>
      <c r="C8341" s="1">
        <f>HYPERLINK("https://cao.dolgi.msk.ru/account/1011402245/", 1011402245)</f>
        <v>1011402245</v>
      </c>
      <c r="D8341">
        <v>0</v>
      </c>
    </row>
    <row r="8342" spans="1:4" hidden="1" x14ac:dyDescent="0.3">
      <c r="A8342" t="s">
        <v>727</v>
      </c>
      <c r="B8342" t="s">
        <v>19</v>
      </c>
      <c r="C8342" s="1">
        <f>HYPERLINK("https://cao.dolgi.msk.ru/account/1011402165/", 1011402165)</f>
        <v>1011402165</v>
      </c>
      <c r="D8342">
        <v>0</v>
      </c>
    </row>
    <row r="8343" spans="1:4" hidden="1" x14ac:dyDescent="0.3">
      <c r="A8343" t="s">
        <v>727</v>
      </c>
      <c r="B8343" t="s">
        <v>20</v>
      </c>
      <c r="C8343" s="1">
        <f>HYPERLINK("https://cao.dolgi.msk.ru/account/1011402253/", 1011402253)</f>
        <v>1011402253</v>
      </c>
      <c r="D8343">
        <v>-6655.64</v>
      </c>
    </row>
    <row r="8344" spans="1:4" hidden="1" x14ac:dyDescent="0.3">
      <c r="A8344" t="s">
        <v>727</v>
      </c>
      <c r="B8344" t="s">
        <v>21</v>
      </c>
      <c r="C8344" s="1">
        <f>HYPERLINK("https://cao.dolgi.msk.ru/account/1011402106/", 1011402106)</f>
        <v>1011402106</v>
      </c>
      <c r="D8344">
        <v>0</v>
      </c>
    </row>
    <row r="8345" spans="1:4" hidden="1" x14ac:dyDescent="0.3">
      <c r="A8345" t="s">
        <v>727</v>
      </c>
      <c r="B8345" t="s">
        <v>22</v>
      </c>
      <c r="C8345" s="1">
        <f>HYPERLINK("https://cao.dolgi.msk.ru/account/1011402296/", 1011402296)</f>
        <v>1011402296</v>
      </c>
      <c r="D8345">
        <v>0</v>
      </c>
    </row>
    <row r="8346" spans="1:4" hidden="1" x14ac:dyDescent="0.3">
      <c r="A8346" t="s">
        <v>727</v>
      </c>
      <c r="B8346" t="s">
        <v>24</v>
      </c>
      <c r="C8346" s="1">
        <f>HYPERLINK("https://cao.dolgi.msk.ru/account/1011402122/", 1011402122)</f>
        <v>1011402122</v>
      </c>
      <c r="D8346">
        <v>0</v>
      </c>
    </row>
    <row r="8347" spans="1:4" hidden="1" x14ac:dyDescent="0.3">
      <c r="A8347" t="s">
        <v>727</v>
      </c>
      <c r="B8347" t="s">
        <v>25</v>
      </c>
      <c r="C8347" s="1">
        <f>HYPERLINK("https://cao.dolgi.msk.ru/account/1011402085/", 1011402085)</f>
        <v>1011402085</v>
      </c>
      <c r="D8347">
        <v>0</v>
      </c>
    </row>
    <row r="8348" spans="1:4" hidden="1" x14ac:dyDescent="0.3">
      <c r="A8348" t="s">
        <v>727</v>
      </c>
      <c r="B8348" t="s">
        <v>26</v>
      </c>
      <c r="C8348" s="1">
        <f>HYPERLINK("https://cao.dolgi.msk.ru/account/1011402309/", 1011402309)</f>
        <v>1011402309</v>
      </c>
      <c r="D8348">
        <v>-6684.1</v>
      </c>
    </row>
    <row r="8349" spans="1:4" hidden="1" x14ac:dyDescent="0.3">
      <c r="A8349" t="s">
        <v>727</v>
      </c>
      <c r="B8349" t="s">
        <v>27</v>
      </c>
      <c r="C8349" s="1">
        <f>HYPERLINK("https://cao.dolgi.msk.ru/account/1011402288/", 1011402288)</f>
        <v>1011402288</v>
      </c>
      <c r="D8349">
        <v>0</v>
      </c>
    </row>
    <row r="8350" spans="1:4" x14ac:dyDescent="0.3">
      <c r="A8350" t="s">
        <v>727</v>
      </c>
      <c r="B8350" t="s">
        <v>29</v>
      </c>
      <c r="C8350" s="1">
        <f>HYPERLINK("https://cao.dolgi.msk.ru/account/1011402114/", 1011402114)</f>
        <v>1011402114</v>
      </c>
      <c r="D8350">
        <v>60</v>
      </c>
    </row>
    <row r="8351" spans="1:4" hidden="1" x14ac:dyDescent="0.3">
      <c r="A8351" t="s">
        <v>727</v>
      </c>
      <c r="B8351" t="s">
        <v>38</v>
      </c>
      <c r="C8351" s="1">
        <f>HYPERLINK("https://cao.dolgi.msk.ru/account/1011402237/", 1011402237)</f>
        <v>1011402237</v>
      </c>
      <c r="D8351">
        <v>-6527.27</v>
      </c>
    </row>
    <row r="8352" spans="1:4" x14ac:dyDescent="0.3">
      <c r="A8352" t="s">
        <v>728</v>
      </c>
      <c r="B8352" t="s">
        <v>6</v>
      </c>
      <c r="C8352" s="1">
        <f>HYPERLINK("https://cao.dolgi.msk.ru/account/1011350414/", 1011350414)</f>
        <v>1011350414</v>
      </c>
      <c r="D8352">
        <v>47761.97</v>
      </c>
    </row>
    <row r="8353" spans="1:4" hidden="1" x14ac:dyDescent="0.3">
      <c r="A8353" t="s">
        <v>728</v>
      </c>
      <c r="B8353" t="s">
        <v>28</v>
      </c>
      <c r="C8353" s="1">
        <f>HYPERLINK("https://cao.dolgi.msk.ru/account/1011350342/", 1011350342)</f>
        <v>1011350342</v>
      </c>
      <c r="D8353">
        <v>0</v>
      </c>
    </row>
    <row r="8354" spans="1:4" hidden="1" x14ac:dyDescent="0.3">
      <c r="A8354" t="s">
        <v>728</v>
      </c>
      <c r="B8354" t="s">
        <v>35</v>
      </c>
      <c r="C8354" s="1">
        <f>HYPERLINK("https://cao.dolgi.msk.ru/account/1011350182/", 1011350182)</f>
        <v>1011350182</v>
      </c>
      <c r="D8354">
        <v>-25499.71</v>
      </c>
    </row>
    <row r="8355" spans="1:4" hidden="1" x14ac:dyDescent="0.3">
      <c r="A8355" t="s">
        <v>728</v>
      </c>
      <c r="B8355" t="s">
        <v>5</v>
      </c>
      <c r="C8355" s="1">
        <f>HYPERLINK("https://cao.dolgi.msk.ru/account/1011349966/", 1011349966)</f>
        <v>1011349966</v>
      </c>
      <c r="D8355">
        <v>0</v>
      </c>
    </row>
    <row r="8356" spans="1:4" hidden="1" x14ac:dyDescent="0.3">
      <c r="A8356" t="s">
        <v>728</v>
      </c>
      <c r="B8356" t="s">
        <v>7</v>
      </c>
      <c r="C8356" s="1">
        <f>HYPERLINK("https://cao.dolgi.msk.ru/account/1011350131/", 1011350131)</f>
        <v>1011350131</v>
      </c>
      <c r="D8356">
        <v>-18760.23</v>
      </c>
    </row>
    <row r="8357" spans="1:4" hidden="1" x14ac:dyDescent="0.3">
      <c r="A8357" t="s">
        <v>728</v>
      </c>
      <c r="B8357" t="s">
        <v>8</v>
      </c>
      <c r="C8357" s="1">
        <f>HYPERLINK("https://cao.dolgi.msk.ru/account/1011349931/", 1011349931)</f>
        <v>1011349931</v>
      </c>
      <c r="D8357">
        <v>0</v>
      </c>
    </row>
    <row r="8358" spans="1:4" hidden="1" x14ac:dyDescent="0.3">
      <c r="A8358" t="s">
        <v>728</v>
      </c>
      <c r="B8358" t="s">
        <v>31</v>
      </c>
      <c r="C8358" s="1">
        <f>HYPERLINK("https://cao.dolgi.msk.ru/account/1011350385/", 1011350385)</f>
        <v>1011350385</v>
      </c>
      <c r="D8358">
        <v>-18813.66</v>
      </c>
    </row>
    <row r="8359" spans="1:4" hidden="1" x14ac:dyDescent="0.3">
      <c r="A8359" t="s">
        <v>728</v>
      </c>
      <c r="B8359" t="s">
        <v>9</v>
      </c>
      <c r="C8359" s="1">
        <f>HYPERLINK("https://cao.dolgi.msk.ru/account/1011350465/", 1011350465)</f>
        <v>1011350465</v>
      </c>
      <c r="D8359">
        <v>0</v>
      </c>
    </row>
    <row r="8360" spans="1:4" hidden="1" x14ac:dyDescent="0.3">
      <c r="A8360" t="s">
        <v>728</v>
      </c>
      <c r="B8360" t="s">
        <v>10</v>
      </c>
      <c r="C8360" s="1">
        <f>HYPERLINK("https://cao.dolgi.msk.ru/account/1011350086/", 1011350086)</f>
        <v>1011350086</v>
      </c>
      <c r="D8360">
        <v>-11887.83</v>
      </c>
    </row>
    <row r="8361" spans="1:4" hidden="1" x14ac:dyDescent="0.3">
      <c r="A8361" t="s">
        <v>728</v>
      </c>
      <c r="B8361" t="s">
        <v>11</v>
      </c>
      <c r="C8361" s="1">
        <f>HYPERLINK("https://cao.dolgi.msk.ru/account/1011350203/", 1011350203)</f>
        <v>1011350203</v>
      </c>
      <c r="D8361">
        <v>-3301.63</v>
      </c>
    </row>
    <row r="8362" spans="1:4" hidden="1" x14ac:dyDescent="0.3">
      <c r="A8362" t="s">
        <v>728</v>
      </c>
      <c r="B8362" t="s">
        <v>12</v>
      </c>
      <c r="C8362" s="1">
        <f>HYPERLINK("https://cao.dolgi.msk.ru/account/1011350422/", 1011350422)</f>
        <v>1011350422</v>
      </c>
      <c r="D8362">
        <v>0</v>
      </c>
    </row>
    <row r="8363" spans="1:4" hidden="1" x14ac:dyDescent="0.3">
      <c r="A8363" t="s">
        <v>728</v>
      </c>
      <c r="B8363" t="s">
        <v>23</v>
      </c>
      <c r="C8363" s="1">
        <f>HYPERLINK("https://cao.dolgi.msk.ru/account/1011350051/", 1011350051)</f>
        <v>1011350051</v>
      </c>
      <c r="D8363">
        <v>-29372.31</v>
      </c>
    </row>
    <row r="8364" spans="1:4" hidden="1" x14ac:dyDescent="0.3">
      <c r="A8364" t="s">
        <v>728</v>
      </c>
      <c r="B8364" t="s">
        <v>13</v>
      </c>
      <c r="C8364" s="1">
        <f>HYPERLINK("https://cao.dolgi.msk.ru/account/1011350246/", 1011350246)</f>
        <v>1011350246</v>
      </c>
      <c r="D8364">
        <v>-8344.33</v>
      </c>
    </row>
    <row r="8365" spans="1:4" hidden="1" x14ac:dyDescent="0.3">
      <c r="A8365" t="s">
        <v>728</v>
      </c>
      <c r="B8365" t="s">
        <v>14</v>
      </c>
      <c r="C8365" s="1">
        <f>HYPERLINK("https://cao.dolgi.msk.ru/account/1011350019/", 1011350019)</f>
        <v>1011350019</v>
      </c>
      <c r="D8365">
        <v>0</v>
      </c>
    </row>
    <row r="8366" spans="1:4" hidden="1" x14ac:dyDescent="0.3">
      <c r="A8366" t="s">
        <v>728</v>
      </c>
      <c r="B8366" t="s">
        <v>16</v>
      </c>
      <c r="C8366" s="1">
        <f>HYPERLINK("https://cao.dolgi.msk.ru/account/1011350369/", 1011350369)</f>
        <v>1011350369</v>
      </c>
      <c r="D8366">
        <v>-9.75</v>
      </c>
    </row>
    <row r="8367" spans="1:4" hidden="1" x14ac:dyDescent="0.3">
      <c r="A8367" t="s">
        <v>728</v>
      </c>
      <c r="B8367" t="s">
        <v>17</v>
      </c>
      <c r="C8367" s="1">
        <f>HYPERLINK("https://cao.dolgi.msk.ru/account/1011350094/", 1011350094)</f>
        <v>1011350094</v>
      </c>
      <c r="D8367">
        <v>0</v>
      </c>
    </row>
    <row r="8368" spans="1:4" x14ac:dyDescent="0.3">
      <c r="A8368" t="s">
        <v>728</v>
      </c>
      <c r="B8368" t="s">
        <v>18</v>
      </c>
      <c r="C8368" s="1">
        <f>HYPERLINK("https://cao.dolgi.msk.ru/account/1011350297/", 1011350297)</f>
        <v>1011350297</v>
      </c>
      <c r="D8368">
        <v>25607.61</v>
      </c>
    </row>
    <row r="8369" spans="1:4" hidden="1" x14ac:dyDescent="0.3">
      <c r="A8369" t="s">
        <v>728</v>
      </c>
      <c r="B8369" t="s">
        <v>19</v>
      </c>
      <c r="C8369" s="1">
        <f>HYPERLINK("https://cao.dolgi.msk.ru/account/1011350406/", 1011350406)</f>
        <v>1011350406</v>
      </c>
      <c r="D8369">
        <v>0</v>
      </c>
    </row>
    <row r="8370" spans="1:4" hidden="1" x14ac:dyDescent="0.3">
      <c r="A8370" t="s">
        <v>728</v>
      </c>
      <c r="B8370" t="s">
        <v>20</v>
      </c>
      <c r="C8370" s="1">
        <f>HYPERLINK("https://cao.dolgi.msk.ru/account/1011527021/", 1011527021)</f>
        <v>1011527021</v>
      </c>
      <c r="D8370">
        <v>-21869.64</v>
      </c>
    </row>
    <row r="8371" spans="1:4" x14ac:dyDescent="0.3">
      <c r="A8371" t="s">
        <v>728</v>
      </c>
      <c r="B8371" t="s">
        <v>21</v>
      </c>
      <c r="C8371" s="1">
        <f>HYPERLINK("https://cao.dolgi.msk.ru/account/1011350334/", 1011350334)</f>
        <v>1011350334</v>
      </c>
      <c r="D8371">
        <v>31581.39</v>
      </c>
    </row>
    <row r="8372" spans="1:4" hidden="1" x14ac:dyDescent="0.3">
      <c r="A8372" t="s">
        <v>728</v>
      </c>
      <c r="B8372" t="s">
        <v>22</v>
      </c>
      <c r="C8372" s="1">
        <f>HYPERLINK("https://cao.dolgi.msk.ru/account/1011350078/", 1011350078)</f>
        <v>1011350078</v>
      </c>
      <c r="D8372">
        <v>0</v>
      </c>
    </row>
    <row r="8373" spans="1:4" hidden="1" x14ac:dyDescent="0.3">
      <c r="A8373" t="s">
        <v>728</v>
      </c>
      <c r="B8373" t="s">
        <v>24</v>
      </c>
      <c r="C8373" s="1">
        <f>HYPERLINK("https://cao.dolgi.msk.ru/account/1011349923/", 1011349923)</f>
        <v>1011349923</v>
      </c>
      <c r="D8373">
        <v>0</v>
      </c>
    </row>
    <row r="8374" spans="1:4" hidden="1" x14ac:dyDescent="0.3">
      <c r="A8374" t="s">
        <v>728</v>
      </c>
      <c r="B8374" t="s">
        <v>729</v>
      </c>
      <c r="C8374" s="1">
        <f>HYPERLINK("https://cao.dolgi.msk.ru/account/1011350043/", 1011350043)</f>
        <v>1011350043</v>
      </c>
      <c r="D8374">
        <v>0</v>
      </c>
    </row>
    <row r="8375" spans="1:4" hidden="1" x14ac:dyDescent="0.3">
      <c r="A8375" t="s">
        <v>728</v>
      </c>
      <c r="B8375" t="s">
        <v>26</v>
      </c>
      <c r="C8375" s="1">
        <f>HYPERLINK("https://cao.dolgi.msk.ru/account/1011350393/", 1011350393)</f>
        <v>1011350393</v>
      </c>
      <c r="D8375">
        <v>0</v>
      </c>
    </row>
    <row r="8376" spans="1:4" x14ac:dyDescent="0.3">
      <c r="A8376" t="s">
        <v>728</v>
      </c>
      <c r="B8376" t="s">
        <v>40</v>
      </c>
      <c r="C8376" s="1">
        <f>HYPERLINK("https://cao.dolgi.msk.ru/account/1011349974/", 1011349974)</f>
        <v>1011349974</v>
      </c>
      <c r="D8376">
        <v>10017.34</v>
      </c>
    </row>
    <row r="8377" spans="1:4" hidden="1" x14ac:dyDescent="0.3">
      <c r="A8377" t="s">
        <v>728</v>
      </c>
      <c r="B8377" t="s">
        <v>41</v>
      </c>
      <c r="C8377" s="1">
        <f>HYPERLINK("https://cao.dolgi.msk.ru/account/1011350457/", 1011350457)</f>
        <v>1011350457</v>
      </c>
      <c r="D8377">
        <v>-578.9</v>
      </c>
    </row>
    <row r="8378" spans="1:4" hidden="1" x14ac:dyDescent="0.3">
      <c r="A8378" t="s">
        <v>728</v>
      </c>
      <c r="B8378" t="s">
        <v>51</v>
      </c>
      <c r="C8378" s="1">
        <f>HYPERLINK("https://cao.dolgi.msk.ru/account/1011541325/", 1011541325)</f>
        <v>1011541325</v>
      </c>
      <c r="D8378">
        <v>0</v>
      </c>
    </row>
    <row r="8379" spans="1:4" hidden="1" x14ac:dyDescent="0.3">
      <c r="A8379" t="s">
        <v>728</v>
      </c>
      <c r="B8379" t="s">
        <v>730</v>
      </c>
      <c r="C8379" s="1">
        <f>HYPERLINK("https://cao.dolgi.msk.ru/account/1011486207/", 1011486207)</f>
        <v>1011486207</v>
      </c>
      <c r="D8379">
        <v>0</v>
      </c>
    </row>
    <row r="8380" spans="1:4" x14ac:dyDescent="0.3">
      <c r="A8380" t="s">
        <v>728</v>
      </c>
      <c r="B8380" t="s">
        <v>53</v>
      </c>
      <c r="C8380" s="1">
        <f>HYPERLINK("https://cao.dolgi.msk.ru/account/1011350115/", 1011350115)</f>
        <v>1011350115</v>
      </c>
      <c r="D8380">
        <v>9255.0400000000009</v>
      </c>
    </row>
    <row r="8381" spans="1:4" hidden="1" x14ac:dyDescent="0.3">
      <c r="A8381" t="s">
        <v>728</v>
      </c>
      <c r="B8381" t="s">
        <v>54</v>
      </c>
      <c r="C8381" s="1">
        <f>HYPERLINK("https://cao.dolgi.msk.ru/account/1011349958/", 1011349958)</f>
        <v>1011349958</v>
      </c>
      <c r="D8381">
        <v>0</v>
      </c>
    </row>
    <row r="8382" spans="1:4" hidden="1" x14ac:dyDescent="0.3">
      <c r="A8382" t="s">
        <v>728</v>
      </c>
      <c r="B8382" t="s">
        <v>55</v>
      </c>
      <c r="C8382" s="1">
        <f>HYPERLINK("https://cao.dolgi.msk.ru/account/1011350318/", 1011350318)</f>
        <v>1011350318</v>
      </c>
      <c r="D8382">
        <v>-23880.27</v>
      </c>
    </row>
    <row r="8383" spans="1:4" hidden="1" x14ac:dyDescent="0.3">
      <c r="A8383" t="s">
        <v>728</v>
      </c>
      <c r="B8383" t="s">
        <v>56</v>
      </c>
      <c r="C8383" s="1">
        <f>HYPERLINK("https://cao.dolgi.msk.ru/account/1011350174/", 1011350174)</f>
        <v>1011350174</v>
      </c>
      <c r="D8383">
        <v>-2247.09</v>
      </c>
    </row>
    <row r="8384" spans="1:4" hidden="1" x14ac:dyDescent="0.3">
      <c r="A8384" t="s">
        <v>728</v>
      </c>
      <c r="B8384" t="s">
        <v>87</v>
      </c>
      <c r="C8384" s="1">
        <f>HYPERLINK("https://cao.dolgi.msk.ru/account/1011349982/", 1011349982)</f>
        <v>1011349982</v>
      </c>
      <c r="D8384">
        <v>0</v>
      </c>
    </row>
    <row r="8385" spans="1:4" x14ac:dyDescent="0.3">
      <c r="A8385" t="s">
        <v>728</v>
      </c>
      <c r="B8385" t="s">
        <v>88</v>
      </c>
      <c r="C8385" s="1">
        <f>HYPERLINK("https://cao.dolgi.msk.ru/account/1011350158/", 1011350158)</f>
        <v>1011350158</v>
      </c>
      <c r="D8385">
        <v>9771.1299999999992</v>
      </c>
    </row>
    <row r="8386" spans="1:4" x14ac:dyDescent="0.3">
      <c r="A8386" t="s">
        <v>728</v>
      </c>
      <c r="B8386" t="s">
        <v>89</v>
      </c>
      <c r="C8386" s="1">
        <f>HYPERLINK("https://cao.dolgi.msk.ru/account/1011350326/", 1011350326)</f>
        <v>1011350326</v>
      </c>
      <c r="D8386">
        <v>10921.28</v>
      </c>
    </row>
    <row r="8387" spans="1:4" hidden="1" x14ac:dyDescent="0.3">
      <c r="A8387" t="s">
        <v>728</v>
      </c>
      <c r="B8387" t="s">
        <v>90</v>
      </c>
      <c r="C8387" s="1">
        <f>HYPERLINK("https://cao.dolgi.msk.ru/account/1011350166/", 1011350166)</f>
        <v>1011350166</v>
      </c>
      <c r="D8387">
        <v>0</v>
      </c>
    </row>
    <row r="8388" spans="1:4" hidden="1" x14ac:dyDescent="0.3">
      <c r="A8388" t="s">
        <v>728</v>
      </c>
      <c r="B8388" t="s">
        <v>96</v>
      </c>
      <c r="C8388" s="1">
        <f>HYPERLINK("https://cao.dolgi.msk.ru/account/1011350123/", 1011350123)</f>
        <v>1011350123</v>
      </c>
      <c r="D8388">
        <v>0</v>
      </c>
    </row>
    <row r="8389" spans="1:4" hidden="1" x14ac:dyDescent="0.3">
      <c r="A8389" t="s">
        <v>728</v>
      </c>
      <c r="B8389" t="s">
        <v>97</v>
      </c>
      <c r="C8389" s="1">
        <f>HYPERLINK("https://cao.dolgi.msk.ru/account/1011350377/", 1011350377)</f>
        <v>1011350377</v>
      </c>
      <c r="D8389">
        <v>-14243.88</v>
      </c>
    </row>
    <row r="8390" spans="1:4" hidden="1" x14ac:dyDescent="0.3">
      <c r="A8390" t="s">
        <v>728</v>
      </c>
      <c r="B8390" t="s">
        <v>98</v>
      </c>
      <c r="C8390" s="1">
        <f>HYPERLINK("https://cao.dolgi.msk.ru/account/1011350027/", 1011350027)</f>
        <v>1011350027</v>
      </c>
      <c r="D8390">
        <v>-17391.87</v>
      </c>
    </row>
    <row r="8391" spans="1:4" hidden="1" x14ac:dyDescent="0.3">
      <c r="A8391" t="s">
        <v>728</v>
      </c>
      <c r="B8391" t="s">
        <v>58</v>
      </c>
      <c r="C8391" s="1">
        <f>HYPERLINK("https://cao.dolgi.msk.ru/account/1011350107/", 1011350107)</f>
        <v>1011350107</v>
      </c>
      <c r="D8391">
        <v>-40.53</v>
      </c>
    </row>
    <row r="8392" spans="1:4" hidden="1" x14ac:dyDescent="0.3">
      <c r="A8392" t="s">
        <v>728</v>
      </c>
      <c r="B8392" t="s">
        <v>59</v>
      </c>
      <c r="C8392" s="1">
        <f>HYPERLINK("https://cao.dolgi.msk.ru/account/1011350035/", 1011350035)</f>
        <v>1011350035</v>
      </c>
      <c r="D8392">
        <v>0</v>
      </c>
    </row>
    <row r="8393" spans="1:4" hidden="1" x14ac:dyDescent="0.3">
      <c r="A8393" t="s">
        <v>728</v>
      </c>
      <c r="B8393" t="s">
        <v>59</v>
      </c>
      <c r="C8393" s="1">
        <f>HYPERLINK("https://cao.dolgi.msk.ru/account/1011350211/", 1011350211)</f>
        <v>1011350211</v>
      </c>
      <c r="D8393">
        <v>-19249.96</v>
      </c>
    </row>
    <row r="8394" spans="1:4" x14ac:dyDescent="0.3">
      <c r="A8394" t="s">
        <v>728</v>
      </c>
      <c r="B8394" t="s">
        <v>59</v>
      </c>
      <c r="C8394" s="1">
        <f>HYPERLINK("https://cao.dolgi.msk.ru/account/1011350238/", 1011350238)</f>
        <v>1011350238</v>
      </c>
      <c r="D8394">
        <v>921.14</v>
      </c>
    </row>
    <row r="8395" spans="1:4" x14ac:dyDescent="0.3">
      <c r="A8395" t="s">
        <v>728</v>
      </c>
      <c r="B8395" t="s">
        <v>59</v>
      </c>
      <c r="C8395" s="1">
        <f>HYPERLINK("https://cao.dolgi.msk.ru/account/1011350254/", 1011350254)</f>
        <v>1011350254</v>
      </c>
      <c r="D8395">
        <v>1736.39</v>
      </c>
    </row>
    <row r="8396" spans="1:4" hidden="1" x14ac:dyDescent="0.3">
      <c r="A8396" t="s">
        <v>728</v>
      </c>
      <c r="B8396" t="s">
        <v>59</v>
      </c>
      <c r="C8396" s="1">
        <f>HYPERLINK("https://cao.dolgi.msk.ru/account/1011350262/", 1011350262)</f>
        <v>1011350262</v>
      </c>
      <c r="D8396">
        <v>0</v>
      </c>
    </row>
    <row r="8397" spans="1:4" hidden="1" x14ac:dyDescent="0.3">
      <c r="A8397" t="s">
        <v>728</v>
      </c>
      <c r="B8397" t="s">
        <v>59</v>
      </c>
      <c r="C8397" s="1">
        <f>HYPERLINK("https://cao.dolgi.msk.ru/account/1011350289/", 1011350289)</f>
        <v>1011350289</v>
      </c>
      <c r="D8397">
        <v>0</v>
      </c>
    </row>
    <row r="8398" spans="1:4" hidden="1" x14ac:dyDescent="0.3">
      <c r="A8398" t="s">
        <v>728</v>
      </c>
      <c r="B8398" t="s">
        <v>59</v>
      </c>
      <c r="C8398" s="1">
        <f>HYPERLINK("https://cao.dolgi.msk.ru/account/1011350473/", 1011350473)</f>
        <v>1011350473</v>
      </c>
      <c r="D8398">
        <v>-10017.01</v>
      </c>
    </row>
    <row r="8399" spans="1:4" x14ac:dyDescent="0.3">
      <c r="A8399" t="s">
        <v>728</v>
      </c>
      <c r="B8399" t="s">
        <v>59</v>
      </c>
      <c r="C8399" s="1">
        <f>HYPERLINK("https://cao.dolgi.msk.ru/account/1011504962/", 1011504962)</f>
        <v>1011504962</v>
      </c>
      <c r="D8399">
        <v>2489.77</v>
      </c>
    </row>
    <row r="8400" spans="1:4" x14ac:dyDescent="0.3">
      <c r="A8400" t="s">
        <v>731</v>
      </c>
      <c r="B8400" t="s">
        <v>35</v>
      </c>
      <c r="C8400" s="1">
        <f>HYPERLINK("https://cao.dolgi.msk.ru/account/1011381026/", 1011381026)</f>
        <v>1011381026</v>
      </c>
      <c r="D8400">
        <v>4876.71</v>
      </c>
    </row>
    <row r="8401" spans="1:4" hidden="1" x14ac:dyDescent="0.3">
      <c r="A8401" t="s">
        <v>731</v>
      </c>
      <c r="B8401" t="s">
        <v>7</v>
      </c>
      <c r="C8401" s="1">
        <f>HYPERLINK("https://cao.dolgi.msk.ru/account/1011380875/", 1011380875)</f>
        <v>1011380875</v>
      </c>
      <c r="D8401">
        <v>0</v>
      </c>
    </row>
    <row r="8402" spans="1:4" hidden="1" x14ac:dyDescent="0.3">
      <c r="A8402" t="s">
        <v>731</v>
      </c>
      <c r="B8402" t="s">
        <v>7</v>
      </c>
      <c r="C8402" s="1">
        <f>HYPERLINK("https://cao.dolgi.msk.ru/account/1011381042/", 1011381042)</f>
        <v>1011381042</v>
      </c>
      <c r="D8402">
        <v>0</v>
      </c>
    </row>
    <row r="8403" spans="1:4" hidden="1" x14ac:dyDescent="0.3">
      <c r="A8403" t="s">
        <v>731</v>
      </c>
      <c r="B8403" t="s">
        <v>8</v>
      </c>
      <c r="C8403" s="1">
        <f>HYPERLINK("https://cao.dolgi.msk.ru/account/1011380824/", 1011380824)</f>
        <v>1011380824</v>
      </c>
      <c r="D8403">
        <v>-5662.08</v>
      </c>
    </row>
    <row r="8404" spans="1:4" hidden="1" x14ac:dyDescent="0.3">
      <c r="A8404" t="s">
        <v>731</v>
      </c>
      <c r="B8404" t="s">
        <v>31</v>
      </c>
      <c r="C8404" s="1">
        <f>HYPERLINK("https://cao.dolgi.msk.ru/account/1011380912/", 1011380912)</f>
        <v>1011380912</v>
      </c>
      <c r="D8404">
        <v>0</v>
      </c>
    </row>
    <row r="8405" spans="1:4" x14ac:dyDescent="0.3">
      <c r="A8405" t="s">
        <v>731</v>
      </c>
      <c r="B8405" t="s">
        <v>9</v>
      </c>
      <c r="C8405" s="1">
        <f>HYPERLINK("https://cao.dolgi.msk.ru/account/1011380808/", 1011380808)</f>
        <v>1011380808</v>
      </c>
      <c r="D8405">
        <v>5705.6</v>
      </c>
    </row>
    <row r="8406" spans="1:4" hidden="1" x14ac:dyDescent="0.3">
      <c r="A8406" t="s">
        <v>731</v>
      </c>
      <c r="B8406" t="s">
        <v>10</v>
      </c>
      <c r="C8406" s="1">
        <f>HYPERLINK("https://cao.dolgi.msk.ru/account/1011380816/", 1011380816)</f>
        <v>1011380816</v>
      </c>
      <c r="D8406">
        <v>-19349.990000000002</v>
      </c>
    </row>
    <row r="8407" spans="1:4" hidden="1" x14ac:dyDescent="0.3">
      <c r="A8407" t="s">
        <v>731</v>
      </c>
      <c r="B8407" t="s">
        <v>11</v>
      </c>
      <c r="C8407" s="1">
        <f>HYPERLINK("https://cao.dolgi.msk.ru/account/1011380832/", 1011380832)</f>
        <v>1011380832</v>
      </c>
      <c r="D8407">
        <v>0</v>
      </c>
    </row>
    <row r="8408" spans="1:4" hidden="1" x14ac:dyDescent="0.3">
      <c r="A8408" t="s">
        <v>731</v>
      </c>
      <c r="B8408" t="s">
        <v>12</v>
      </c>
      <c r="C8408" s="1">
        <f>HYPERLINK("https://cao.dolgi.msk.ru/account/1011380867/", 1011380867)</f>
        <v>1011380867</v>
      </c>
      <c r="D8408">
        <v>0</v>
      </c>
    </row>
    <row r="8409" spans="1:4" x14ac:dyDescent="0.3">
      <c r="A8409" t="s">
        <v>731</v>
      </c>
      <c r="B8409" t="s">
        <v>23</v>
      </c>
      <c r="C8409" s="1">
        <f>HYPERLINK("https://cao.dolgi.msk.ru/account/1011380947/", 1011380947)</f>
        <v>1011380947</v>
      </c>
      <c r="D8409">
        <v>4028.49</v>
      </c>
    </row>
    <row r="8410" spans="1:4" hidden="1" x14ac:dyDescent="0.3">
      <c r="A8410" t="s">
        <v>731</v>
      </c>
      <c r="B8410" t="s">
        <v>18</v>
      </c>
      <c r="C8410" s="1">
        <f>HYPERLINK("https://cao.dolgi.msk.ru/account/1011381018/", 1011381018)</f>
        <v>1011381018</v>
      </c>
      <c r="D8410">
        <v>0</v>
      </c>
    </row>
    <row r="8411" spans="1:4" x14ac:dyDescent="0.3">
      <c r="A8411" t="s">
        <v>731</v>
      </c>
      <c r="B8411" t="s">
        <v>19</v>
      </c>
      <c r="C8411" s="1">
        <f>HYPERLINK("https://cao.dolgi.msk.ru/account/1011380963/", 1011380963)</f>
        <v>1011380963</v>
      </c>
      <c r="D8411">
        <v>64</v>
      </c>
    </row>
    <row r="8412" spans="1:4" hidden="1" x14ac:dyDescent="0.3">
      <c r="A8412" t="s">
        <v>731</v>
      </c>
      <c r="B8412" t="s">
        <v>20</v>
      </c>
      <c r="C8412" s="1">
        <f>HYPERLINK("https://cao.dolgi.msk.ru/account/1011380939/", 1011380939)</f>
        <v>1011380939</v>
      </c>
      <c r="D8412">
        <v>0</v>
      </c>
    </row>
    <row r="8413" spans="1:4" hidden="1" x14ac:dyDescent="0.3">
      <c r="A8413" t="s">
        <v>731</v>
      </c>
      <c r="B8413" t="s">
        <v>20</v>
      </c>
      <c r="C8413" s="1">
        <f>HYPERLINK("https://cao.dolgi.msk.ru/account/1011381034/", 1011381034)</f>
        <v>1011381034</v>
      </c>
      <c r="D8413">
        <v>0</v>
      </c>
    </row>
    <row r="8414" spans="1:4" hidden="1" x14ac:dyDescent="0.3">
      <c r="A8414" t="s">
        <v>731</v>
      </c>
      <c r="B8414" t="s">
        <v>21</v>
      </c>
      <c r="C8414" s="1">
        <f>HYPERLINK("https://cao.dolgi.msk.ru/account/1011380904/", 1011380904)</f>
        <v>1011380904</v>
      </c>
      <c r="D8414">
        <v>-4739.16</v>
      </c>
    </row>
    <row r="8415" spans="1:4" x14ac:dyDescent="0.3">
      <c r="A8415" t="s">
        <v>731</v>
      </c>
      <c r="B8415" t="s">
        <v>22</v>
      </c>
      <c r="C8415" s="1">
        <f>HYPERLINK("https://cao.dolgi.msk.ru/account/1011380859/", 1011380859)</f>
        <v>1011380859</v>
      </c>
      <c r="D8415">
        <v>3721.23</v>
      </c>
    </row>
    <row r="8416" spans="1:4" x14ac:dyDescent="0.3">
      <c r="A8416" t="s">
        <v>731</v>
      </c>
      <c r="B8416" t="s">
        <v>24</v>
      </c>
      <c r="C8416" s="1">
        <f>HYPERLINK("https://cao.dolgi.msk.ru/account/1011380883/", 1011380883)</f>
        <v>1011380883</v>
      </c>
      <c r="D8416">
        <v>64</v>
      </c>
    </row>
    <row r="8417" spans="1:4" hidden="1" x14ac:dyDescent="0.3">
      <c r="A8417" t="s">
        <v>731</v>
      </c>
      <c r="B8417" t="s">
        <v>25</v>
      </c>
      <c r="C8417" s="1">
        <f>HYPERLINK("https://cao.dolgi.msk.ru/account/1011381077/", 1011381077)</f>
        <v>1011381077</v>
      </c>
      <c r="D8417">
        <v>0</v>
      </c>
    </row>
    <row r="8418" spans="1:4" hidden="1" x14ac:dyDescent="0.3">
      <c r="A8418" t="s">
        <v>731</v>
      </c>
      <c r="B8418" t="s">
        <v>26</v>
      </c>
      <c r="C8418" s="1">
        <f>HYPERLINK("https://cao.dolgi.msk.ru/account/1011380891/", 1011380891)</f>
        <v>1011380891</v>
      </c>
      <c r="D8418">
        <v>-5976.16</v>
      </c>
    </row>
    <row r="8419" spans="1:4" x14ac:dyDescent="0.3">
      <c r="A8419" t="s">
        <v>731</v>
      </c>
      <c r="B8419" t="s">
        <v>732</v>
      </c>
      <c r="C8419" s="1">
        <f>HYPERLINK("https://cao.dolgi.msk.ru/account/1011381085/", 1011381085)</f>
        <v>1011381085</v>
      </c>
      <c r="D8419">
        <v>29424.85</v>
      </c>
    </row>
    <row r="8420" spans="1:4" x14ac:dyDescent="0.3">
      <c r="A8420" t="s">
        <v>731</v>
      </c>
      <c r="B8420" t="s">
        <v>55</v>
      </c>
      <c r="C8420" s="1">
        <f>HYPERLINK("https://cao.dolgi.msk.ru/account/1011380998/", 1011380998)</f>
        <v>1011380998</v>
      </c>
      <c r="D8420">
        <v>26342.639999999999</v>
      </c>
    </row>
    <row r="8421" spans="1:4" x14ac:dyDescent="0.3">
      <c r="A8421" t="s">
        <v>731</v>
      </c>
      <c r="B8421" t="s">
        <v>733</v>
      </c>
      <c r="C8421" s="1">
        <f>HYPERLINK("https://cao.dolgi.msk.ru/account/1011381093/", 1011381093)</f>
        <v>1011381093</v>
      </c>
      <c r="D8421">
        <v>26650.94</v>
      </c>
    </row>
    <row r="8422" spans="1:4" hidden="1" x14ac:dyDescent="0.3">
      <c r="A8422" t="s">
        <v>734</v>
      </c>
      <c r="B8422" t="s">
        <v>6</v>
      </c>
      <c r="C8422" s="1">
        <f>HYPERLINK("https://cao.dolgi.msk.ru/account/1011474994/", 1011474994)</f>
        <v>1011474994</v>
      </c>
      <c r="D8422">
        <v>0</v>
      </c>
    </row>
    <row r="8423" spans="1:4" hidden="1" x14ac:dyDescent="0.3">
      <c r="A8423" t="s">
        <v>734</v>
      </c>
      <c r="B8423" t="s">
        <v>35</v>
      </c>
      <c r="C8423" s="1">
        <f>HYPERLINK("https://cao.dolgi.msk.ru/account/1011474986/", 1011474986)</f>
        <v>1011474986</v>
      </c>
      <c r="D8423">
        <v>0</v>
      </c>
    </row>
    <row r="8424" spans="1:4" hidden="1" x14ac:dyDescent="0.3">
      <c r="A8424" t="s">
        <v>734</v>
      </c>
      <c r="B8424" t="s">
        <v>5</v>
      </c>
      <c r="C8424" s="1">
        <f>HYPERLINK("https://cao.dolgi.msk.ru/account/1011475014/", 1011475014)</f>
        <v>1011475014</v>
      </c>
      <c r="D8424">
        <v>0</v>
      </c>
    </row>
    <row r="8425" spans="1:4" hidden="1" x14ac:dyDescent="0.3">
      <c r="A8425" t="s">
        <v>734</v>
      </c>
      <c r="B8425" t="s">
        <v>7</v>
      </c>
      <c r="C8425" s="1">
        <f>HYPERLINK("https://cao.dolgi.msk.ru/account/1011475006/", 1011475006)</f>
        <v>1011475006</v>
      </c>
      <c r="D8425">
        <v>0</v>
      </c>
    </row>
    <row r="8426" spans="1:4" hidden="1" x14ac:dyDescent="0.3">
      <c r="A8426" t="s">
        <v>734</v>
      </c>
      <c r="B8426" t="s">
        <v>8</v>
      </c>
      <c r="C8426" s="1">
        <f>HYPERLINK("https://cao.dolgi.msk.ru/account/1011475022/", 1011475022)</f>
        <v>1011475022</v>
      </c>
      <c r="D8426">
        <v>0</v>
      </c>
    </row>
    <row r="8427" spans="1:4" hidden="1" x14ac:dyDescent="0.3">
      <c r="A8427" t="s">
        <v>735</v>
      </c>
      <c r="B8427" t="s">
        <v>6</v>
      </c>
      <c r="C8427" s="1">
        <f>HYPERLINK("https://cao.dolgi.msk.ru/account/1011350932/", 1011350932)</f>
        <v>1011350932</v>
      </c>
      <c r="D8427">
        <v>-13418.23</v>
      </c>
    </row>
    <row r="8428" spans="1:4" hidden="1" x14ac:dyDescent="0.3">
      <c r="A8428" t="s">
        <v>735</v>
      </c>
      <c r="B8428" t="s">
        <v>28</v>
      </c>
      <c r="C8428" s="1">
        <f>HYPERLINK("https://cao.dolgi.msk.ru/account/1011350748/", 1011350748)</f>
        <v>1011350748</v>
      </c>
      <c r="D8428">
        <v>-12210.04</v>
      </c>
    </row>
    <row r="8429" spans="1:4" x14ac:dyDescent="0.3">
      <c r="A8429" t="s">
        <v>735</v>
      </c>
      <c r="B8429" t="s">
        <v>35</v>
      </c>
      <c r="C8429" s="1">
        <f>HYPERLINK("https://cao.dolgi.msk.ru/account/1011351126/", 1011351126)</f>
        <v>1011351126</v>
      </c>
      <c r="D8429">
        <v>3529.39</v>
      </c>
    </row>
    <row r="8430" spans="1:4" hidden="1" x14ac:dyDescent="0.3">
      <c r="A8430" t="s">
        <v>735</v>
      </c>
      <c r="B8430" t="s">
        <v>5</v>
      </c>
      <c r="C8430" s="1">
        <f>HYPERLINK("https://cao.dolgi.msk.ru/account/1011351003/", 1011351003)</f>
        <v>1011351003</v>
      </c>
      <c r="D8430">
        <v>0</v>
      </c>
    </row>
    <row r="8431" spans="1:4" x14ac:dyDescent="0.3">
      <c r="A8431" t="s">
        <v>735</v>
      </c>
      <c r="B8431" t="s">
        <v>7</v>
      </c>
      <c r="C8431" s="1">
        <f>HYPERLINK("https://cao.dolgi.msk.ru/account/1011351572/", 1011351572)</f>
        <v>1011351572</v>
      </c>
      <c r="D8431">
        <v>3800.66</v>
      </c>
    </row>
    <row r="8432" spans="1:4" hidden="1" x14ac:dyDescent="0.3">
      <c r="A8432" t="s">
        <v>735</v>
      </c>
      <c r="B8432" t="s">
        <v>8</v>
      </c>
      <c r="C8432" s="1">
        <f>HYPERLINK("https://cao.dolgi.msk.ru/account/1011350924/", 1011350924)</f>
        <v>1011350924</v>
      </c>
      <c r="D8432">
        <v>0</v>
      </c>
    </row>
    <row r="8433" spans="1:4" hidden="1" x14ac:dyDescent="0.3">
      <c r="A8433" t="s">
        <v>735</v>
      </c>
      <c r="B8433" t="s">
        <v>31</v>
      </c>
      <c r="C8433" s="1">
        <f>HYPERLINK("https://cao.dolgi.msk.ru/account/1011351054/", 1011351054)</f>
        <v>1011351054</v>
      </c>
      <c r="D8433">
        <v>0</v>
      </c>
    </row>
    <row r="8434" spans="1:4" hidden="1" x14ac:dyDescent="0.3">
      <c r="A8434" t="s">
        <v>735</v>
      </c>
      <c r="B8434" t="s">
        <v>9</v>
      </c>
      <c r="C8434" s="1">
        <f>HYPERLINK("https://cao.dolgi.msk.ru/account/1011351556/", 1011351556)</f>
        <v>1011351556</v>
      </c>
      <c r="D8434">
        <v>-363.41</v>
      </c>
    </row>
    <row r="8435" spans="1:4" hidden="1" x14ac:dyDescent="0.3">
      <c r="A8435" t="s">
        <v>735</v>
      </c>
      <c r="B8435" t="s">
        <v>10</v>
      </c>
      <c r="C8435" s="1">
        <f>HYPERLINK("https://cao.dolgi.msk.ru/account/1011351281/", 1011351281)</f>
        <v>1011351281</v>
      </c>
      <c r="D8435">
        <v>0</v>
      </c>
    </row>
    <row r="8436" spans="1:4" hidden="1" x14ac:dyDescent="0.3">
      <c r="A8436" t="s">
        <v>735</v>
      </c>
      <c r="B8436" t="s">
        <v>11</v>
      </c>
      <c r="C8436" s="1">
        <f>HYPERLINK("https://cao.dolgi.msk.ru/account/1011351177/", 1011351177)</f>
        <v>1011351177</v>
      </c>
      <c r="D8436">
        <v>0</v>
      </c>
    </row>
    <row r="8437" spans="1:4" hidden="1" x14ac:dyDescent="0.3">
      <c r="A8437" t="s">
        <v>735</v>
      </c>
      <c r="B8437" t="s">
        <v>12</v>
      </c>
      <c r="C8437" s="1">
        <f>HYPERLINK("https://cao.dolgi.msk.ru/account/1011351708/", 1011351708)</f>
        <v>1011351708</v>
      </c>
      <c r="D8437">
        <v>0</v>
      </c>
    </row>
    <row r="8438" spans="1:4" hidden="1" x14ac:dyDescent="0.3">
      <c r="A8438" t="s">
        <v>735</v>
      </c>
      <c r="B8438" t="s">
        <v>23</v>
      </c>
      <c r="C8438" s="1">
        <f>HYPERLINK("https://cao.dolgi.msk.ru/account/1011351767/", 1011351767)</f>
        <v>1011351767</v>
      </c>
      <c r="D8438">
        <v>0</v>
      </c>
    </row>
    <row r="8439" spans="1:4" hidden="1" x14ac:dyDescent="0.3">
      <c r="A8439" t="s">
        <v>735</v>
      </c>
      <c r="B8439" t="s">
        <v>13</v>
      </c>
      <c r="C8439" s="1">
        <f>HYPERLINK("https://cao.dolgi.msk.ru/account/1011350553/", 1011350553)</f>
        <v>1011350553</v>
      </c>
      <c r="D8439">
        <v>0</v>
      </c>
    </row>
    <row r="8440" spans="1:4" hidden="1" x14ac:dyDescent="0.3">
      <c r="A8440" t="s">
        <v>735</v>
      </c>
      <c r="B8440" t="s">
        <v>14</v>
      </c>
      <c r="C8440" s="1">
        <f>HYPERLINK("https://cao.dolgi.msk.ru/account/1011351628/", 1011351628)</f>
        <v>1011351628</v>
      </c>
      <c r="D8440">
        <v>0</v>
      </c>
    </row>
    <row r="8441" spans="1:4" hidden="1" x14ac:dyDescent="0.3">
      <c r="A8441" t="s">
        <v>735</v>
      </c>
      <c r="B8441" t="s">
        <v>16</v>
      </c>
      <c r="C8441" s="1">
        <f>HYPERLINK("https://cao.dolgi.msk.ru/account/1011350756/", 1011350756)</f>
        <v>1011350756</v>
      </c>
      <c r="D8441">
        <v>0</v>
      </c>
    </row>
    <row r="8442" spans="1:4" hidden="1" x14ac:dyDescent="0.3">
      <c r="A8442" t="s">
        <v>735</v>
      </c>
      <c r="B8442" t="s">
        <v>17</v>
      </c>
      <c r="C8442" s="1">
        <f>HYPERLINK("https://cao.dolgi.msk.ru/account/1011350828/", 1011350828)</f>
        <v>1011350828</v>
      </c>
      <c r="D8442">
        <v>-3787.81</v>
      </c>
    </row>
    <row r="8443" spans="1:4" hidden="1" x14ac:dyDescent="0.3">
      <c r="A8443" t="s">
        <v>735</v>
      </c>
      <c r="B8443" t="s">
        <v>18</v>
      </c>
      <c r="C8443" s="1">
        <f>HYPERLINK("https://cao.dolgi.msk.ru/account/1011350836/", 1011350836)</f>
        <v>1011350836</v>
      </c>
      <c r="D8443">
        <v>-5118.05</v>
      </c>
    </row>
    <row r="8444" spans="1:4" hidden="1" x14ac:dyDescent="0.3">
      <c r="A8444" t="s">
        <v>735</v>
      </c>
      <c r="B8444" t="s">
        <v>19</v>
      </c>
      <c r="C8444" s="1">
        <f>HYPERLINK("https://cao.dolgi.msk.ru/account/1011350502/", 1011350502)</f>
        <v>1011350502</v>
      </c>
      <c r="D8444">
        <v>0</v>
      </c>
    </row>
    <row r="8445" spans="1:4" hidden="1" x14ac:dyDescent="0.3">
      <c r="A8445" t="s">
        <v>735</v>
      </c>
      <c r="B8445" t="s">
        <v>20</v>
      </c>
      <c r="C8445" s="1">
        <f>HYPERLINK("https://cao.dolgi.msk.ru/account/1011350545/", 1011350545)</f>
        <v>1011350545</v>
      </c>
      <c r="D8445">
        <v>-3621.95</v>
      </c>
    </row>
    <row r="8446" spans="1:4" hidden="1" x14ac:dyDescent="0.3">
      <c r="A8446" t="s">
        <v>735</v>
      </c>
      <c r="B8446" t="s">
        <v>21</v>
      </c>
      <c r="C8446" s="1">
        <f>HYPERLINK("https://cao.dolgi.msk.ru/account/1011350764/", 1011350764)</f>
        <v>1011350764</v>
      </c>
      <c r="D8446">
        <v>0</v>
      </c>
    </row>
    <row r="8447" spans="1:4" hidden="1" x14ac:dyDescent="0.3">
      <c r="A8447" t="s">
        <v>735</v>
      </c>
      <c r="B8447" t="s">
        <v>22</v>
      </c>
      <c r="C8447" s="1">
        <f>HYPERLINK("https://cao.dolgi.msk.ru/account/1011350959/", 1011350959)</f>
        <v>1011350959</v>
      </c>
      <c r="D8447">
        <v>0</v>
      </c>
    </row>
    <row r="8448" spans="1:4" x14ac:dyDescent="0.3">
      <c r="A8448" t="s">
        <v>735</v>
      </c>
      <c r="B8448" t="s">
        <v>24</v>
      </c>
      <c r="C8448" s="1">
        <f>HYPERLINK("https://cao.dolgi.msk.ru/account/1011351062/", 1011351062)</f>
        <v>1011351062</v>
      </c>
      <c r="D8448">
        <v>5130.17</v>
      </c>
    </row>
    <row r="8449" spans="1:4" x14ac:dyDescent="0.3">
      <c r="A8449" t="s">
        <v>735</v>
      </c>
      <c r="B8449" t="s">
        <v>25</v>
      </c>
      <c r="C8449" s="1">
        <f>HYPERLINK("https://cao.dolgi.msk.ru/account/1011351388/", 1011351388)</f>
        <v>1011351388</v>
      </c>
      <c r="D8449">
        <v>5463.79</v>
      </c>
    </row>
    <row r="8450" spans="1:4" hidden="1" x14ac:dyDescent="0.3">
      <c r="A8450" t="s">
        <v>735</v>
      </c>
      <c r="B8450" t="s">
        <v>26</v>
      </c>
      <c r="C8450" s="1">
        <f>HYPERLINK("https://cao.dolgi.msk.ru/account/1011351353/", 1011351353)</f>
        <v>1011351353</v>
      </c>
      <c r="D8450">
        <v>0</v>
      </c>
    </row>
    <row r="8451" spans="1:4" hidden="1" x14ac:dyDescent="0.3">
      <c r="A8451" t="s">
        <v>735</v>
      </c>
      <c r="B8451" t="s">
        <v>27</v>
      </c>
      <c r="C8451" s="1">
        <f>HYPERLINK("https://cao.dolgi.msk.ru/account/1011351468/", 1011351468)</f>
        <v>1011351468</v>
      </c>
      <c r="D8451">
        <v>0</v>
      </c>
    </row>
    <row r="8452" spans="1:4" hidden="1" x14ac:dyDescent="0.3">
      <c r="A8452" t="s">
        <v>735</v>
      </c>
      <c r="B8452" t="s">
        <v>29</v>
      </c>
      <c r="C8452" s="1">
        <f>HYPERLINK("https://cao.dolgi.msk.ru/account/1011350668/", 1011350668)</f>
        <v>1011350668</v>
      </c>
      <c r="D8452">
        <v>0</v>
      </c>
    </row>
    <row r="8453" spans="1:4" hidden="1" x14ac:dyDescent="0.3">
      <c r="A8453" t="s">
        <v>735</v>
      </c>
      <c r="B8453" t="s">
        <v>38</v>
      </c>
      <c r="C8453" s="1">
        <f>HYPERLINK("https://cao.dolgi.msk.ru/account/1011350879/", 1011350879)</f>
        <v>1011350879</v>
      </c>
      <c r="D8453">
        <v>0</v>
      </c>
    </row>
    <row r="8454" spans="1:4" hidden="1" x14ac:dyDescent="0.3">
      <c r="A8454" t="s">
        <v>735</v>
      </c>
      <c r="B8454" t="s">
        <v>39</v>
      </c>
      <c r="C8454" s="1">
        <f>HYPERLINK("https://cao.dolgi.msk.ru/account/1011351425/", 1011351425)</f>
        <v>1011351425</v>
      </c>
      <c r="D8454">
        <v>0</v>
      </c>
    </row>
    <row r="8455" spans="1:4" hidden="1" x14ac:dyDescent="0.3">
      <c r="A8455" t="s">
        <v>735</v>
      </c>
      <c r="B8455" t="s">
        <v>40</v>
      </c>
      <c r="C8455" s="1">
        <f>HYPERLINK("https://cao.dolgi.msk.ru/account/1011351361/", 1011351361)</f>
        <v>1011351361</v>
      </c>
      <c r="D8455">
        <v>0</v>
      </c>
    </row>
    <row r="8456" spans="1:4" hidden="1" x14ac:dyDescent="0.3">
      <c r="A8456" t="s">
        <v>735</v>
      </c>
      <c r="B8456" t="s">
        <v>41</v>
      </c>
      <c r="C8456" s="1">
        <f>HYPERLINK("https://cao.dolgi.msk.ru/account/1011351521/", 1011351521)</f>
        <v>1011351521</v>
      </c>
      <c r="D8456">
        <v>-6183.01</v>
      </c>
    </row>
    <row r="8457" spans="1:4" x14ac:dyDescent="0.3">
      <c r="A8457" t="s">
        <v>735</v>
      </c>
      <c r="B8457" t="s">
        <v>51</v>
      </c>
      <c r="C8457" s="1">
        <f>HYPERLINK("https://cao.dolgi.msk.ru/account/1011351089/", 1011351089)</f>
        <v>1011351089</v>
      </c>
      <c r="D8457">
        <v>11225.14</v>
      </c>
    </row>
    <row r="8458" spans="1:4" x14ac:dyDescent="0.3">
      <c r="A8458" t="s">
        <v>735</v>
      </c>
      <c r="B8458" t="s">
        <v>52</v>
      </c>
      <c r="C8458" s="1">
        <f>HYPERLINK("https://cao.dolgi.msk.ru/account/1011351193/", 1011351193)</f>
        <v>1011351193</v>
      </c>
      <c r="D8458">
        <v>555.83000000000004</v>
      </c>
    </row>
    <row r="8459" spans="1:4" hidden="1" x14ac:dyDescent="0.3">
      <c r="A8459" t="s">
        <v>735</v>
      </c>
      <c r="B8459" t="s">
        <v>53</v>
      </c>
      <c r="C8459" s="1">
        <f>HYPERLINK("https://cao.dolgi.msk.ru/account/1011351185/", 1011351185)</f>
        <v>1011351185</v>
      </c>
      <c r="D8459">
        <v>0</v>
      </c>
    </row>
    <row r="8460" spans="1:4" x14ac:dyDescent="0.3">
      <c r="A8460" t="s">
        <v>735</v>
      </c>
      <c r="B8460" t="s">
        <v>54</v>
      </c>
      <c r="C8460" s="1">
        <f>HYPERLINK("https://cao.dolgi.msk.ru/account/1011351417/", 1011351417)</f>
        <v>1011351417</v>
      </c>
      <c r="D8460">
        <v>6368.73</v>
      </c>
    </row>
    <row r="8461" spans="1:4" x14ac:dyDescent="0.3">
      <c r="A8461" t="s">
        <v>735</v>
      </c>
      <c r="B8461" t="s">
        <v>55</v>
      </c>
      <c r="C8461" s="1">
        <f>HYPERLINK("https://cao.dolgi.msk.ru/account/1011350772/", 1011350772)</f>
        <v>1011350772</v>
      </c>
      <c r="D8461">
        <v>15041.01</v>
      </c>
    </row>
    <row r="8462" spans="1:4" hidden="1" x14ac:dyDescent="0.3">
      <c r="A8462" t="s">
        <v>735</v>
      </c>
      <c r="B8462" t="s">
        <v>56</v>
      </c>
      <c r="C8462" s="1">
        <f>HYPERLINK("https://cao.dolgi.msk.ru/account/1011350529/", 1011350529)</f>
        <v>1011350529</v>
      </c>
      <c r="D8462">
        <v>-21371.63</v>
      </c>
    </row>
    <row r="8463" spans="1:4" hidden="1" x14ac:dyDescent="0.3">
      <c r="A8463" t="s">
        <v>735</v>
      </c>
      <c r="B8463" t="s">
        <v>87</v>
      </c>
      <c r="C8463" s="1">
        <f>HYPERLINK("https://cao.dolgi.msk.ru/account/1011351257/", 1011351257)</f>
        <v>1011351257</v>
      </c>
      <c r="D8463">
        <v>-926.8</v>
      </c>
    </row>
    <row r="8464" spans="1:4" hidden="1" x14ac:dyDescent="0.3">
      <c r="A8464" t="s">
        <v>735</v>
      </c>
      <c r="B8464" t="s">
        <v>88</v>
      </c>
      <c r="C8464" s="1">
        <f>HYPERLINK("https://cao.dolgi.msk.ru/account/1011350852/", 1011350852)</f>
        <v>1011350852</v>
      </c>
      <c r="D8464">
        <v>0</v>
      </c>
    </row>
    <row r="8465" spans="1:4" hidden="1" x14ac:dyDescent="0.3">
      <c r="A8465" t="s">
        <v>735</v>
      </c>
      <c r="B8465" t="s">
        <v>89</v>
      </c>
      <c r="C8465" s="1">
        <f>HYPERLINK("https://cao.dolgi.msk.ru/account/1011351329/", 1011351329)</f>
        <v>1011351329</v>
      </c>
      <c r="D8465">
        <v>-111.23</v>
      </c>
    </row>
    <row r="8466" spans="1:4" hidden="1" x14ac:dyDescent="0.3">
      <c r="A8466" t="s">
        <v>735</v>
      </c>
      <c r="B8466" t="s">
        <v>90</v>
      </c>
      <c r="C8466" s="1">
        <f>HYPERLINK("https://cao.dolgi.msk.ru/account/1011351484/", 1011351484)</f>
        <v>1011351484</v>
      </c>
      <c r="D8466">
        <v>0</v>
      </c>
    </row>
    <row r="8467" spans="1:4" hidden="1" x14ac:dyDescent="0.3">
      <c r="A8467" t="s">
        <v>735</v>
      </c>
      <c r="B8467" t="s">
        <v>96</v>
      </c>
      <c r="C8467" s="1">
        <f>HYPERLINK("https://cao.dolgi.msk.ru/account/1011351249/", 1011351249)</f>
        <v>1011351249</v>
      </c>
      <c r="D8467">
        <v>0</v>
      </c>
    </row>
    <row r="8468" spans="1:4" hidden="1" x14ac:dyDescent="0.3">
      <c r="A8468" t="s">
        <v>735</v>
      </c>
      <c r="B8468" t="s">
        <v>97</v>
      </c>
      <c r="C8468" s="1">
        <f>HYPERLINK("https://cao.dolgi.msk.ru/account/1011351433/", 1011351433)</f>
        <v>1011351433</v>
      </c>
      <c r="D8468">
        <v>0</v>
      </c>
    </row>
    <row r="8469" spans="1:4" x14ac:dyDescent="0.3">
      <c r="A8469" t="s">
        <v>735</v>
      </c>
      <c r="B8469" t="s">
        <v>98</v>
      </c>
      <c r="C8469" s="1">
        <f>HYPERLINK("https://cao.dolgi.msk.ru/account/1011351716/", 1011351716)</f>
        <v>1011351716</v>
      </c>
      <c r="D8469">
        <v>3033.28</v>
      </c>
    </row>
    <row r="8470" spans="1:4" hidden="1" x14ac:dyDescent="0.3">
      <c r="A8470" t="s">
        <v>735</v>
      </c>
      <c r="B8470" t="s">
        <v>58</v>
      </c>
      <c r="C8470" s="1">
        <f>HYPERLINK("https://cao.dolgi.msk.ru/account/1011351142/", 1011351142)</f>
        <v>1011351142</v>
      </c>
      <c r="D8470">
        <v>-4773.46</v>
      </c>
    </row>
    <row r="8471" spans="1:4" hidden="1" x14ac:dyDescent="0.3">
      <c r="A8471" t="s">
        <v>735</v>
      </c>
      <c r="B8471" t="s">
        <v>58</v>
      </c>
      <c r="C8471" s="1">
        <f>HYPERLINK("https://cao.dolgi.msk.ru/account/1011351644/", 1011351644)</f>
        <v>1011351644</v>
      </c>
      <c r="D8471">
        <v>-1653.17</v>
      </c>
    </row>
    <row r="8472" spans="1:4" hidden="1" x14ac:dyDescent="0.3">
      <c r="A8472" t="s">
        <v>735</v>
      </c>
      <c r="B8472" t="s">
        <v>59</v>
      </c>
      <c r="C8472" s="1">
        <f>HYPERLINK("https://cao.dolgi.msk.ru/account/1011350799/", 1011350799)</f>
        <v>1011350799</v>
      </c>
      <c r="D8472">
        <v>-7840.63</v>
      </c>
    </row>
    <row r="8473" spans="1:4" hidden="1" x14ac:dyDescent="0.3">
      <c r="A8473" t="s">
        <v>735</v>
      </c>
      <c r="B8473" t="s">
        <v>60</v>
      </c>
      <c r="C8473" s="1">
        <f>HYPERLINK("https://cao.dolgi.msk.ru/account/1011350676/", 1011350676)</f>
        <v>1011350676</v>
      </c>
      <c r="D8473">
        <v>-0.71</v>
      </c>
    </row>
    <row r="8474" spans="1:4" hidden="1" x14ac:dyDescent="0.3">
      <c r="A8474" t="s">
        <v>735</v>
      </c>
      <c r="B8474" t="s">
        <v>61</v>
      </c>
      <c r="C8474" s="1">
        <f>HYPERLINK("https://cao.dolgi.msk.ru/account/1011351732/", 1011351732)</f>
        <v>1011351732</v>
      </c>
      <c r="D8474">
        <v>-945.45</v>
      </c>
    </row>
    <row r="8475" spans="1:4" hidden="1" x14ac:dyDescent="0.3">
      <c r="A8475" t="s">
        <v>735</v>
      </c>
      <c r="B8475" t="s">
        <v>62</v>
      </c>
      <c r="C8475" s="1">
        <f>HYPERLINK("https://cao.dolgi.msk.ru/account/1011351097/", 1011351097)</f>
        <v>1011351097</v>
      </c>
      <c r="D8475">
        <v>0</v>
      </c>
    </row>
    <row r="8476" spans="1:4" hidden="1" x14ac:dyDescent="0.3">
      <c r="A8476" t="s">
        <v>735</v>
      </c>
      <c r="B8476" t="s">
        <v>63</v>
      </c>
      <c r="C8476" s="1">
        <f>HYPERLINK("https://cao.dolgi.msk.ru/account/1011351118/", 1011351118)</f>
        <v>1011351118</v>
      </c>
      <c r="D8476">
        <v>0</v>
      </c>
    </row>
    <row r="8477" spans="1:4" x14ac:dyDescent="0.3">
      <c r="A8477" t="s">
        <v>735</v>
      </c>
      <c r="B8477" t="s">
        <v>64</v>
      </c>
      <c r="C8477" s="1">
        <f>HYPERLINK("https://cao.dolgi.msk.ru/account/1011351599/", 1011351599)</f>
        <v>1011351599</v>
      </c>
      <c r="D8477">
        <v>5121.1400000000003</v>
      </c>
    </row>
    <row r="8478" spans="1:4" hidden="1" x14ac:dyDescent="0.3">
      <c r="A8478" t="s">
        <v>735</v>
      </c>
      <c r="B8478" t="s">
        <v>65</v>
      </c>
      <c r="C8478" s="1">
        <f>HYPERLINK("https://cao.dolgi.msk.ru/account/1011351601/", 1011351601)</f>
        <v>1011351601</v>
      </c>
      <c r="D8478">
        <v>0</v>
      </c>
    </row>
    <row r="8479" spans="1:4" hidden="1" x14ac:dyDescent="0.3">
      <c r="A8479" t="s">
        <v>735</v>
      </c>
      <c r="B8479" t="s">
        <v>66</v>
      </c>
      <c r="C8479" s="1">
        <f>HYPERLINK("https://cao.dolgi.msk.ru/account/1011350481/", 1011350481)</f>
        <v>1011350481</v>
      </c>
      <c r="D8479">
        <v>0</v>
      </c>
    </row>
    <row r="8480" spans="1:4" x14ac:dyDescent="0.3">
      <c r="A8480" t="s">
        <v>735</v>
      </c>
      <c r="B8480" t="s">
        <v>67</v>
      </c>
      <c r="C8480" s="1">
        <f>HYPERLINK("https://cao.dolgi.msk.ru/account/1011351265/", 1011351265)</f>
        <v>1011351265</v>
      </c>
      <c r="D8480">
        <v>3606.65</v>
      </c>
    </row>
    <row r="8481" spans="1:4" hidden="1" x14ac:dyDescent="0.3">
      <c r="A8481" t="s">
        <v>735</v>
      </c>
      <c r="B8481" t="s">
        <v>68</v>
      </c>
      <c r="C8481" s="1">
        <f>HYPERLINK("https://cao.dolgi.msk.ru/account/1011350561/", 1011350561)</f>
        <v>1011350561</v>
      </c>
      <c r="D8481">
        <v>0</v>
      </c>
    </row>
    <row r="8482" spans="1:4" hidden="1" x14ac:dyDescent="0.3">
      <c r="A8482" t="s">
        <v>735</v>
      </c>
      <c r="B8482" t="s">
        <v>69</v>
      </c>
      <c r="C8482" s="1">
        <f>HYPERLINK("https://cao.dolgi.msk.ru/account/1011351652/", 1011351652)</f>
        <v>1011351652</v>
      </c>
      <c r="D8482">
        <v>-3418.78</v>
      </c>
    </row>
    <row r="8483" spans="1:4" hidden="1" x14ac:dyDescent="0.3">
      <c r="A8483" t="s">
        <v>735</v>
      </c>
      <c r="B8483" t="s">
        <v>70</v>
      </c>
      <c r="C8483" s="1">
        <f>HYPERLINK("https://cao.dolgi.msk.ru/account/1011350588/", 1011350588)</f>
        <v>1011350588</v>
      </c>
      <c r="D8483">
        <v>0</v>
      </c>
    </row>
    <row r="8484" spans="1:4" x14ac:dyDescent="0.3">
      <c r="A8484" t="s">
        <v>735</v>
      </c>
      <c r="B8484" t="s">
        <v>259</v>
      </c>
      <c r="C8484" s="1">
        <f>HYPERLINK("https://cao.dolgi.msk.ru/account/1011350684/", 1011350684)</f>
        <v>1011350684</v>
      </c>
      <c r="D8484">
        <v>6838.14</v>
      </c>
    </row>
    <row r="8485" spans="1:4" hidden="1" x14ac:dyDescent="0.3">
      <c r="A8485" t="s">
        <v>735</v>
      </c>
      <c r="B8485" t="s">
        <v>100</v>
      </c>
      <c r="C8485" s="1">
        <f>HYPERLINK("https://cao.dolgi.msk.ru/account/1011351011/", 1011351011)</f>
        <v>1011351011</v>
      </c>
      <c r="D8485">
        <v>0</v>
      </c>
    </row>
    <row r="8486" spans="1:4" hidden="1" x14ac:dyDescent="0.3">
      <c r="A8486" t="s">
        <v>735</v>
      </c>
      <c r="B8486" t="s">
        <v>72</v>
      </c>
      <c r="C8486" s="1">
        <f>HYPERLINK("https://cao.dolgi.msk.ru/account/1011351206/", 1011351206)</f>
        <v>1011351206</v>
      </c>
      <c r="D8486">
        <v>-3707.53</v>
      </c>
    </row>
    <row r="8487" spans="1:4" x14ac:dyDescent="0.3">
      <c r="A8487" t="s">
        <v>735</v>
      </c>
      <c r="B8487" t="s">
        <v>73</v>
      </c>
      <c r="C8487" s="1">
        <f>HYPERLINK("https://cao.dolgi.msk.ru/account/1011351724/", 1011351724)</f>
        <v>1011351724</v>
      </c>
      <c r="D8487">
        <v>154.09</v>
      </c>
    </row>
    <row r="8488" spans="1:4" hidden="1" x14ac:dyDescent="0.3">
      <c r="A8488" t="s">
        <v>735</v>
      </c>
      <c r="B8488" t="s">
        <v>74</v>
      </c>
      <c r="C8488" s="1">
        <f>HYPERLINK("https://cao.dolgi.msk.ru/account/1011351679/", 1011351679)</f>
        <v>1011351679</v>
      </c>
      <c r="D8488">
        <v>-134.91</v>
      </c>
    </row>
    <row r="8489" spans="1:4" hidden="1" x14ac:dyDescent="0.3">
      <c r="A8489" t="s">
        <v>735</v>
      </c>
      <c r="B8489" t="s">
        <v>75</v>
      </c>
      <c r="C8489" s="1">
        <f>HYPERLINK("https://cao.dolgi.msk.ru/account/1011350967/", 1011350967)</f>
        <v>1011350967</v>
      </c>
      <c r="D8489">
        <v>0</v>
      </c>
    </row>
    <row r="8490" spans="1:4" hidden="1" x14ac:dyDescent="0.3">
      <c r="A8490" t="s">
        <v>735</v>
      </c>
      <c r="B8490" t="s">
        <v>76</v>
      </c>
      <c r="C8490" s="1">
        <f>HYPERLINK("https://cao.dolgi.msk.ru/account/1011351046/", 1011351046)</f>
        <v>1011351046</v>
      </c>
      <c r="D8490">
        <v>-152.56</v>
      </c>
    </row>
    <row r="8491" spans="1:4" hidden="1" x14ac:dyDescent="0.3">
      <c r="A8491" t="s">
        <v>735</v>
      </c>
      <c r="B8491" t="s">
        <v>77</v>
      </c>
      <c r="C8491" s="1">
        <f>HYPERLINK("https://cao.dolgi.msk.ru/account/1011351169/", 1011351169)</f>
        <v>1011351169</v>
      </c>
      <c r="D8491">
        <v>0</v>
      </c>
    </row>
    <row r="8492" spans="1:4" hidden="1" x14ac:dyDescent="0.3">
      <c r="A8492" t="s">
        <v>735</v>
      </c>
      <c r="B8492" t="s">
        <v>78</v>
      </c>
      <c r="C8492" s="1">
        <f>HYPERLINK("https://cao.dolgi.msk.ru/account/1011351337/", 1011351337)</f>
        <v>1011351337</v>
      </c>
      <c r="D8492">
        <v>0</v>
      </c>
    </row>
    <row r="8493" spans="1:4" hidden="1" x14ac:dyDescent="0.3">
      <c r="A8493" t="s">
        <v>735</v>
      </c>
      <c r="B8493" t="s">
        <v>79</v>
      </c>
      <c r="C8493" s="1">
        <f>HYPERLINK("https://cao.dolgi.msk.ru/account/1011351505/", 1011351505)</f>
        <v>1011351505</v>
      </c>
      <c r="D8493">
        <v>-245</v>
      </c>
    </row>
    <row r="8494" spans="1:4" hidden="1" x14ac:dyDescent="0.3">
      <c r="A8494" t="s">
        <v>735</v>
      </c>
      <c r="B8494" t="s">
        <v>80</v>
      </c>
      <c r="C8494" s="1">
        <f>HYPERLINK("https://cao.dolgi.msk.ru/account/1011351214/", 1011351214)</f>
        <v>1011351214</v>
      </c>
      <c r="D8494">
        <v>-6365.62</v>
      </c>
    </row>
    <row r="8495" spans="1:4" hidden="1" x14ac:dyDescent="0.3">
      <c r="A8495" t="s">
        <v>735</v>
      </c>
      <c r="B8495" t="s">
        <v>81</v>
      </c>
      <c r="C8495" s="1">
        <f>HYPERLINK("https://cao.dolgi.msk.ru/account/1011351134/", 1011351134)</f>
        <v>1011351134</v>
      </c>
      <c r="D8495">
        <v>0</v>
      </c>
    </row>
    <row r="8496" spans="1:4" hidden="1" x14ac:dyDescent="0.3">
      <c r="A8496" t="s">
        <v>735</v>
      </c>
      <c r="B8496" t="s">
        <v>101</v>
      </c>
      <c r="C8496" s="1">
        <f>HYPERLINK("https://cao.dolgi.msk.ru/account/1011350692/", 1011350692)</f>
        <v>1011350692</v>
      </c>
      <c r="D8496">
        <v>-2771.93</v>
      </c>
    </row>
    <row r="8497" spans="1:4" x14ac:dyDescent="0.3">
      <c r="A8497" t="s">
        <v>735</v>
      </c>
      <c r="B8497" t="s">
        <v>82</v>
      </c>
      <c r="C8497" s="1">
        <f>HYPERLINK("https://cao.dolgi.msk.ru/account/1011351441/", 1011351441)</f>
        <v>1011351441</v>
      </c>
      <c r="D8497">
        <v>5948.04</v>
      </c>
    </row>
    <row r="8498" spans="1:4" hidden="1" x14ac:dyDescent="0.3">
      <c r="A8498" t="s">
        <v>735</v>
      </c>
      <c r="B8498" t="s">
        <v>82</v>
      </c>
      <c r="C8498" s="1">
        <f>HYPERLINK("https://cao.dolgi.msk.ru/account/1011385596/", 1011385596)</f>
        <v>1011385596</v>
      </c>
      <c r="D8498">
        <v>0</v>
      </c>
    </row>
    <row r="8499" spans="1:4" x14ac:dyDescent="0.3">
      <c r="A8499" t="s">
        <v>735</v>
      </c>
      <c r="B8499" t="s">
        <v>83</v>
      </c>
      <c r="C8499" s="1">
        <f>HYPERLINK("https://cao.dolgi.msk.ru/account/1011351513/", 1011351513)</f>
        <v>1011351513</v>
      </c>
      <c r="D8499">
        <v>3071.63</v>
      </c>
    </row>
    <row r="8500" spans="1:4" hidden="1" x14ac:dyDescent="0.3">
      <c r="A8500" t="s">
        <v>735</v>
      </c>
      <c r="B8500" t="s">
        <v>84</v>
      </c>
      <c r="C8500" s="1">
        <f>HYPERLINK("https://cao.dolgi.msk.ru/account/1011351302/", 1011351302)</f>
        <v>1011351302</v>
      </c>
      <c r="D8500">
        <v>0</v>
      </c>
    </row>
    <row r="8501" spans="1:4" hidden="1" x14ac:dyDescent="0.3">
      <c r="A8501" t="s">
        <v>735</v>
      </c>
      <c r="B8501" t="s">
        <v>85</v>
      </c>
      <c r="C8501" s="1">
        <f>HYPERLINK("https://cao.dolgi.msk.ru/account/1011350721/", 1011350721)</f>
        <v>1011350721</v>
      </c>
      <c r="D8501">
        <v>0</v>
      </c>
    </row>
    <row r="8502" spans="1:4" hidden="1" x14ac:dyDescent="0.3">
      <c r="A8502" t="s">
        <v>735</v>
      </c>
      <c r="B8502" t="s">
        <v>102</v>
      </c>
      <c r="C8502" s="1">
        <f>HYPERLINK("https://cao.dolgi.msk.ru/account/1011350713/", 1011350713)</f>
        <v>1011350713</v>
      </c>
      <c r="D8502">
        <v>0</v>
      </c>
    </row>
    <row r="8503" spans="1:4" hidden="1" x14ac:dyDescent="0.3">
      <c r="A8503" t="s">
        <v>735</v>
      </c>
      <c r="B8503" t="s">
        <v>103</v>
      </c>
      <c r="C8503" s="1">
        <f>HYPERLINK("https://cao.dolgi.msk.ru/account/1011351636/", 1011351636)</f>
        <v>1011351636</v>
      </c>
      <c r="D8503">
        <v>0</v>
      </c>
    </row>
    <row r="8504" spans="1:4" hidden="1" x14ac:dyDescent="0.3">
      <c r="A8504" t="s">
        <v>735</v>
      </c>
      <c r="B8504" t="s">
        <v>104</v>
      </c>
      <c r="C8504" s="1">
        <f>HYPERLINK("https://cao.dolgi.msk.ru/account/1011350983/", 1011350983)</f>
        <v>1011350983</v>
      </c>
      <c r="D8504">
        <v>0</v>
      </c>
    </row>
    <row r="8505" spans="1:4" hidden="1" x14ac:dyDescent="0.3">
      <c r="A8505" t="s">
        <v>735</v>
      </c>
      <c r="B8505" t="s">
        <v>105</v>
      </c>
      <c r="C8505" s="1">
        <f>HYPERLINK("https://cao.dolgi.msk.ru/account/1011351396/", 1011351396)</f>
        <v>1011351396</v>
      </c>
      <c r="D8505">
        <v>0</v>
      </c>
    </row>
    <row r="8506" spans="1:4" x14ac:dyDescent="0.3">
      <c r="A8506" t="s">
        <v>735</v>
      </c>
      <c r="B8506" t="s">
        <v>106</v>
      </c>
      <c r="C8506" s="1">
        <f>HYPERLINK("https://cao.dolgi.msk.ru/account/1011351492/", 1011351492)</f>
        <v>1011351492</v>
      </c>
      <c r="D8506">
        <v>13394.84</v>
      </c>
    </row>
    <row r="8507" spans="1:4" hidden="1" x14ac:dyDescent="0.3">
      <c r="A8507" t="s">
        <v>735</v>
      </c>
      <c r="B8507" t="s">
        <v>107</v>
      </c>
      <c r="C8507" s="1">
        <f>HYPERLINK("https://cao.dolgi.msk.ru/account/1011350633/", 1011350633)</f>
        <v>1011350633</v>
      </c>
      <c r="D8507">
        <v>0</v>
      </c>
    </row>
    <row r="8508" spans="1:4" hidden="1" x14ac:dyDescent="0.3">
      <c r="A8508" t="s">
        <v>735</v>
      </c>
      <c r="B8508" t="s">
        <v>108</v>
      </c>
      <c r="C8508" s="1">
        <f>HYPERLINK("https://cao.dolgi.msk.ru/account/1011350916/", 1011350916)</f>
        <v>1011350916</v>
      </c>
      <c r="D8508">
        <v>0</v>
      </c>
    </row>
    <row r="8509" spans="1:4" hidden="1" x14ac:dyDescent="0.3">
      <c r="A8509" t="s">
        <v>735</v>
      </c>
      <c r="B8509" t="s">
        <v>109</v>
      </c>
      <c r="C8509" s="1">
        <f>HYPERLINK("https://cao.dolgi.msk.ru/account/1011351345/", 1011351345)</f>
        <v>1011351345</v>
      </c>
      <c r="D8509">
        <v>0</v>
      </c>
    </row>
    <row r="8510" spans="1:4" hidden="1" x14ac:dyDescent="0.3">
      <c r="A8510" t="s">
        <v>735</v>
      </c>
      <c r="B8510" t="s">
        <v>110</v>
      </c>
      <c r="C8510" s="1">
        <f>HYPERLINK("https://cao.dolgi.msk.ru/account/1011351476/", 1011351476)</f>
        <v>1011351476</v>
      </c>
      <c r="D8510">
        <v>-3077.13</v>
      </c>
    </row>
    <row r="8511" spans="1:4" hidden="1" x14ac:dyDescent="0.3">
      <c r="A8511" t="s">
        <v>735</v>
      </c>
      <c r="B8511" t="s">
        <v>111</v>
      </c>
      <c r="C8511" s="1">
        <f>HYPERLINK("https://cao.dolgi.msk.ru/account/1011350596/", 1011350596)</f>
        <v>1011350596</v>
      </c>
      <c r="D8511">
        <v>0</v>
      </c>
    </row>
    <row r="8512" spans="1:4" hidden="1" x14ac:dyDescent="0.3">
      <c r="A8512" t="s">
        <v>735</v>
      </c>
      <c r="B8512" t="s">
        <v>112</v>
      </c>
      <c r="C8512" s="1">
        <f>HYPERLINK("https://cao.dolgi.msk.ru/account/1011350975/", 1011350975)</f>
        <v>1011350975</v>
      </c>
      <c r="D8512">
        <v>0</v>
      </c>
    </row>
    <row r="8513" spans="1:4" hidden="1" x14ac:dyDescent="0.3">
      <c r="A8513" t="s">
        <v>735</v>
      </c>
      <c r="B8513" t="s">
        <v>113</v>
      </c>
      <c r="C8513" s="1">
        <f>HYPERLINK("https://cao.dolgi.msk.ru/account/1011350908/", 1011350908)</f>
        <v>1011350908</v>
      </c>
      <c r="D8513">
        <v>0</v>
      </c>
    </row>
    <row r="8514" spans="1:4" hidden="1" x14ac:dyDescent="0.3">
      <c r="A8514" t="s">
        <v>735</v>
      </c>
      <c r="B8514" t="s">
        <v>114</v>
      </c>
      <c r="C8514" s="1">
        <f>HYPERLINK("https://cao.dolgi.msk.ru/account/1011350801/", 1011350801)</f>
        <v>1011350801</v>
      </c>
      <c r="D8514">
        <v>-6763.23</v>
      </c>
    </row>
    <row r="8515" spans="1:4" hidden="1" x14ac:dyDescent="0.3">
      <c r="A8515" t="s">
        <v>735</v>
      </c>
      <c r="B8515" t="s">
        <v>115</v>
      </c>
      <c r="C8515" s="1">
        <f>HYPERLINK("https://cao.dolgi.msk.ru/account/1011351273/", 1011351273)</f>
        <v>1011351273</v>
      </c>
      <c r="D8515">
        <v>-572.98</v>
      </c>
    </row>
    <row r="8516" spans="1:4" hidden="1" x14ac:dyDescent="0.3">
      <c r="A8516" t="s">
        <v>735</v>
      </c>
      <c r="B8516" t="s">
        <v>116</v>
      </c>
      <c r="C8516" s="1">
        <f>HYPERLINK("https://cao.dolgi.msk.ru/account/1011350844/", 1011350844)</f>
        <v>1011350844</v>
      </c>
      <c r="D8516">
        <v>0</v>
      </c>
    </row>
    <row r="8517" spans="1:4" hidden="1" x14ac:dyDescent="0.3">
      <c r="A8517" t="s">
        <v>735</v>
      </c>
      <c r="B8517" t="s">
        <v>266</v>
      </c>
      <c r="C8517" s="1">
        <f>HYPERLINK("https://cao.dolgi.msk.ru/account/1011350609/", 1011350609)</f>
        <v>1011350609</v>
      </c>
      <c r="D8517">
        <v>-2232.21</v>
      </c>
    </row>
    <row r="8518" spans="1:4" hidden="1" x14ac:dyDescent="0.3">
      <c r="A8518" t="s">
        <v>735</v>
      </c>
      <c r="B8518" t="s">
        <v>117</v>
      </c>
      <c r="C8518" s="1">
        <f>HYPERLINK("https://cao.dolgi.msk.ru/account/1011351409/", 1011351409)</f>
        <v>1011351409</v>
      </c>
      <c r="D8518">
        <v>-1823.1</v>
      </c>
    </row>
    <row r="8519" spans="1:4" hidden="1" x14ac:dyDescent="0.3">
      <c r="A8519" t="s">
        <v>735</v>
      </c>
      <c r="B8519" t="s">
        <v>118</v>
      </c>
      <c r="C8519" s="1">
        <f>HYPERLINK("https://cao.dolgi.msk.ru/account/1011350617/", 1011350617)</f>
        <v>1011350617</v>
      </c>
      <c r="D8519">
        <v>-134.84</v>
      </c>
    </row>
    <row r="8520" spans="1:4" x14ac:dyDescent="0.3">
      <c r="A8520" t="s">
        <v>735</v>
      </c>
      <c r="B8520" t="s">
        <v>119</v>
      </c>
      <c r="C8520" s="1">
        <f>HYPERLINK("https://cao.dolgi.msk.ru/account/1011350537/", 1011350537)</f>
        <v>1011350537</v>
      </c>
      <c r="D8520">
        <v>7834.52</v>
      </c>
    </row>
    <row r="8521" spans="1:4" hidden="1" x14ac:dyDescent="0.3">
      <c r="A8521" t="s">
        <v>735</v>
      </c>
      <c r="B8521" t="s">
        <v>120</v>
      </c>
      <c r="C8521" s="1">
        <f>HYPERLINK("https://cao.dolgi.msk.ru/account/1011351564/", 1011351564)</f>
        <v>1011351564</v>
      </c>
      <c r="D8521">
        <v>0</v>
      </c>
    </row>
    <row r="8522" spans="1:4" hidden="1" x14ac:dyDescent="0.3">
      <c r="A8522" t="s">
        <v>735</v>
      </c>
      <c r="B8522" t="s">
        <v>121</v>
      </c>
      <c r="C8522" s="1">
        <f>HYPERLINK("https://cao.dolgi.msk.ru/account/1011351548/", 1011351548)</f>
        <v>1011351548</v>
      </c>
      <c r="D8522">
        <v>0</v>
      </c>
    </row>
    <row r="8523" spans="1:4" hidden="1" x14ac:dyDescent="0.3">
      <c r="A8523" t="s">
        <v>735</v>
      </c>
      <c r="B8523" t="s">
        <v>122</v>
      </c>
      <c r="C8523" s="1">
        <f>HYPERLINK("https://cao.dolgi.msk.ru/account/1011351687/", 1011351687)</f>
        <v>1011351687</v>
      </c>
      <c r="D8523">
        <v>0</v>
      </c>
    </row>
    <row r="8524" spans="1:4" hidden="1" x14ac:dyDescent="0.3">
      <c r="A8524" t="s">
        <v>735</v>
      </c>
      <c r="B8524" t="s">
        <v>123</v>
      </c>
      <c r="C8524" s="1">
        <f>HYPERLINK("https://cao.dolgi.msk.ru/account/1011351759/", 1011351759)</f>
        <v>1011351759</v>
      </c>
      <c r="D8524">
        <v>0</v>
      </c>
    </row>
    <row r="8525" spans="1:4" hidden="1" x14ac:dyDescent="0.3">
      <c r="A8525" t="s">
        <v>735</v>
      </c>
      <c r="B8525" t="s">
        <v>124</v>
      </c>
      <c r="C8525" s="1">
        <f>HYPERLINK("https://cao.dolgi.msk.ru/account/1011351038/", 1011351038)</f>
        <v>1011351038</v>
      </c>
      <c r="D8525">
        <v>-3652.64</v>
      </c>
    </row>
    <row r="8526" spans="1:4" hidden="1" x14ac:dyDescent="0.3">
      <c r="A8526" t="s">
        <v>735</v>
      </c>
      <c r="B8526" t="s">
        <v>125</v>
      </c>
      <c r="C8526" s="1">
        <f>HYPERLINK("https://cao.dolgi.msk.ru/account/1011350991/", 1011350991)</f>
        <v>1011350991</v>
      </c>
      <c r="D8526">
        <v>0</v>
      </c>
    </row>
    <row r="8527" spans="1:4" hidden="1" x14ac:dyDescent="0.3">
      <c r="A8527" t="s">
        <v>735</v>
      </c>
      <c r="B8527" t="s">
        <v>126</v>
      </c>
      <c r="C8527" s="1">
        <f>HYPERLINK("https://cao.dolgi.msk.ru/account/1011350705/", 1011350705)</f>
        <v>1011350705</v>
      </c>
      <c r="D8527">
        <v>0</v>
      </c>
    </row>
    <row r="8528" spans="1:4" hidden="1" x14ac:dyDescent="0.3">
      <c r="A8528" t="s">
        <v>735</v>
      </c>
      <c r="B8528" t="s">
        <v>127</v>
      </c>
      <c r="C8528" s="1">
        <f>HYPERLINK("https://cao.dolgi.msk.ru/account/1011350641/", 1011350641)</f>
        <v>1011350641</v>
      </c>
      <c r="D8528">
        <v>0</v>
      </c>
    </row>
    <row r="8529" spans="1:4" hidden="1" x14ac:dyDescent="0.3">
      <c r="A8529" t="s">
        <v>735</v>
      </c>
      <c r="B8529" t="s">
        <v>262</v>
      </c>
      <c r="C8529" s="1">
        <f>HYPERLINK("https://cao.dolgi.msk.ru/account/1011350887/", 1011350887)</f>
        <v>1011350887</v>
      </c>
      <c r="D8529">
        <v>-4012.46</v>
      </c>
    </row>
    <row r="8530" spans="1:4" hidden="1" x14ac:dyDescent="0.3">
      <c r="A8530" t="s">
        <v>735</v>
      </c>
      <c r="B8530" t="s">
        <v>128</v>
      </c>
      <c r="C8530" s="1">
        <f>HYPERLINK("https://cao.dolgi.msk.ru/account/1011350625/", 1011350625)</f>
        <v>1011350625</v>
      </c>
      <c r="D8530">
        <v>-311.99</v>
      </c>
    </row>
    <row r="8531" spans="1:4" hidden="1" x14ac:dyDescent="0.3">
      <c r="A8531" t="s">
        <v>735</v>
      </c>
      <c r="B8531" t="s">
        <v>129</v>
      </c>
      <c r="C8531" s="1">
        <f>HYPERLINK("https://cao.dolgi.msk.ru/account/1011351222/", 1011351222)</f>
        <v>1011351222</v>
      </c>
      <c r="D8531">
        <v>-2644.22</v>
      </c>
    </row>
    <row r="8532" spans="1:4" hidden="1" x14ac:dyDescent="0.3">
      <c r="A8532" t="s">
        <v>735</v>
      </c>
      <c r="B8532" t="s">
        <v>130</v>
      </c>
      <c r="C8532" s="1">
        <f>HYPERLINK("https://cao.dolgi.msk.ru/account/1011350895/", 1011350895)</f>
        <v>1011350895</v>
      </c>
      <c r="D8532">
        <v>-3330.64</v>
      </c>
    </row>
    <row r="8533" spans="1:4" hidden="1" x14ac:dyDescent="0.3">
      <c r="A8533" t="s">
        <v>735</v>
      </c>
      <c r="B8533" t="s">
        <v>131</v>
      </c>
      <c r="C8533" s="1">
        <f>HYPERLINK("https://cao.dolgi.msk.ru/account/1011351695/", 1011351695)</f>
        <v>1011351695</v>
      </c>
      <c r="D8533">
        <v>-4549.7</v>
      </c>
    </row>
    <row r="8534" spans="1:4" hidden="1" x14ac:dyDescent="0.3">
      <c r="A8534" t="s">
        <v>736</v>
      </c>
      <c r="B8534" t="s">
        <v>6</v>
      </c>
      <c r="C8534" s="1">
        <f>HYPERLINK("https://cao.dolgi.msk.ru/account/1011334801/", 1011334801)</f>
        <v>1011334801</v>
      </c>
      <c r="D8534">
        <v>0</v>
      </c>
    </row>
    <row r="8535" spans="1:4" hidden="1" x14ac:dyDescent="0.3">
      <c r="A8535" t="s">
        <v>736</v>
      </c>
      <c r="B8535" t="s">
        <v>5</v>
      </c>
      <c r="C8535" s="1">
        <f>HYPERLINK("https://cao.dolgi.msk.ru/account/1011335038/", 1011335038)</f>
        <v>1011335038</v>
      </c>
      <c r="D8535">
        <v>0</v>
      </c>
    </row>
    <row r="8536" spans="1:4" hidden="1" x14ac:dyDescent="0.3">
      <c r="A8536" t="s">
        <v>736</v>
      </c>
      <c r="B8536" t="s">
        <v>7</v>
      </c>
      <c r="C8536" s="1">
        <f>HYPERLINK("https://cao.dolgi.msk.ru/account/1011334748/", 1011334748)</f>
        <v>1011334748</v>
      </c>
      <c r="D8536">
        <v>0</v>
      </c>
    </row>
    <row r="8537" spans="1:4" hidden="1" x14ac:dyDescent="0.3">
      <c r="A8537" t="s">
        <v>736</v>
      </c>
      <c r="B8537" t="s">
        <v>8</v>
      </c>
      <c r="C8537" s="1">
        <f>HYPERLINK("https://cao.dolgi.msk.ru/account/1011334668/", 1011334668)</f>
        <v>1011334668</v>
      </c>
      <c r="D8537">
        <v>-4053.64</v>
      </c>
    </row>
    <row r="8538" spans="1:4" hidden="1" x14ac:dyDescent="0.3">
      <c r="A8538" t="s">
        <v>736</v>
      </c>
      <c r="B8538" t="s">
        <v>31</v>
      </c>
      <c r="C8538" s="1">
        <f>HYPERLINK("https://cao.dolgi.msk.ru/account/1011334887/", 1011334887)</f>
        <v>1011334887</v>
      </c>
      <c r="D8538">
        <v>0</v>
      </c>
    </row>
    <row r="8539" spans="1:4" hidden="1" x14ac:dyDescent="0.3">
      <c r="A8539" t="s">
        <v>736</v>
      </c>
      <c r="B8539" t="s">
        <v>9</v>
      </c>
      <c r="C8539" s="1">
        <f>HYPERLINK("https://cao.dolgi.msk.ru/account/1011334895/", 1011334895)</f>
        <v>1011334895</v>
      </c>
      <c r="D8539">
        <v>0</v>
      </c>
    </row>
    <row r="8540" spans="1:4" hidden="1" x14ac:dyDescent="0.3">
      <c r="A8540" t="s">
        <v>736</v>
      </c>
      <c r="B8540" t="s">
        <v>10</v>
      </c>
      <c r="C8540" s="1">
        <f>HYPERLINK("https://cao.dolgi.msk.ru/account/1011334975/", 1011334975)</f>
        <v>1011334975</v>
      </c>
      <c r="D8540">
        <v>0</v>
      </c>
    </row>
    <row r="8541" spans="1:4" hidden="1" x14ac:dyDescent="0.3">
      <c r="A8541" t="s">
        <v>736</v>
      </c>
      <c r="B8541" t="s">
        <v>11</v>
      </c>
      <c r="C8541" s="1">
        <f>HYPERLINK("https://cao.dolgi.msk.ru/account/1011335046/", 1011335046)</f>
        <v>1011335046</v>
      </c>
      <c r="D8541">
        <v>0</v>
      </c>
    </row>
    <row r="8542" spans="1:4" hidden="1" x14ac:dyDescent="0.3">
      <c r="A8542" t="s">
        <v>736</v>
      </c>
      <c r="B8542" t="s">
        <v>12</v>
      </c>
      <c r="C8542" s="1">
        <f>HYPERLINK("https://cao.dolgi.msk.ru/account/1011334924/", 1011334924)</f>
        <v>1011334924</v>
      </c>
      <c r="D8542">
        <v>-6181.71</v>
      </c>
    </row>
    <row r="8543" spans="1:4" hidden="1" x14ac:dyDescent="0.3">
      <c r="A8543" t="s">
        <v>736</v>
      </c>
      <c r="B8543" t="s">
        <v>23</v>
      </c>
      <c r="C8543" s="1">
        <f>HYPERLINK("https://cao.dolgi.msk.ru/account/1011334932/", 1011334932)</f>
        <v>1011334932</v>
      </c>
      <c r="D8543">
        <v>-740.76</v>
      </c>
    </row>
    <row r="8544" spans="1:4" hidden="1" x14ac:dyDescent="0.3">
      <c r="A8544" t="s">
        <v>736</v>
      </c>
      <c r="B8544" t="s">
        <v>13</v>
      </c>
      <c r="C8544" s="1">
        <f>HYPERLINK("https://cao.dolgi.msk.ru/account/1011334713/", 1011334713)</f>
        <v>1011334713</v>
      </c>
      <c r="D8544">
        <v>0</v>
      </c>
    </row>
    <row r="8545" spans="1:4" hidden="1" x14ac:dyDescent="0.3">
      <c r="A8545" t="s">
        <v>736</v>
      </c>
      <c r="B8545" t="s">
        <v>14</v>
      </c>
      <c r="C8545" s="1">
        <f>HYPERLINK("https://cao.dolgi.msk.ru/account/1011334553/", 1011334553)</f>
        <v>1011334553</v>
      </c>
      <c r="D8545">
        <v>0</v>
      </c>
    </row>
    <row r="8546" spans="1:4" hidden="1" x14ac:dyDescent="0.3">
      <c r="A8546" t="s">
        <v>736</v>
      </c>
      <c r="B8546" t="s">
        <v>16</v>
      </c>
      <c r="C8546" s="1">
        <f>HYPERLINK("https://cao.dolgi.msk.ru/account/1011335089/", 1011335089)</f>
        <v>1011335089</v>
      </c>
      <c r="D8546">
        <v>-1253.05</v>
      </c>
    </row>
    <row r="8547" spans="1:4" hidden="1" x14ac:dyDescent="0.3">
      <c r="A8547" t="s">
        <v>736</v>
      </c>
      <c r="B8547" t="s">
        <v>17</v>
      </c>
      <c r="C8547" s="1">
        <f>HYPERLINK("https://cao.dolgi.msk.ru/account/1011334481/", 1011334481)</f>
        <v>1011334481</v>
      </c>
      <c r="D8547">
        <v>-3533.46</v>
      </c>
    </row>
    <row r="8548" spans="1:4" hidden="1" x14ac:dyDescent="0.3">
      <c r="A8548" t="s">
        <v>736</v>
      </c>
      <c r="B8548" t="s">
        <v>18</v>
      </c>
      <c r="C8548" s="1">
        <f>HYPERLINK("https://cao.dolgi.msk.ru/account/1011335054/", 1011335054)</f>
        <v>1011335054</v>
      </c>
      <c r="D8548">
        <v>-7129.95</v>
      </c>
    </row>
    <row r="8549" spans="1:4" hidden="1" x14ac:dyDescent="0.3">
      <c r="A8549" t="s">
        <v>736</v>
      </c>
      <c r="B8549" t="s">
        <v>19</v>
      </c>
      <c r="C8549" s="1">
        <f>HYPERLINK("https://cao.dolgi.msk.ru/account/1011335206/", 1011335206)</f>
        <v>1011335206</v>
      </c>
      <c r="D8549">
        <v>-4244.49</v>
      </c>
    </row>
    <row r="8550" spans="1:4" hidden="1" x14ac:dyDescent="0.3">
      <c r="A8550" t="s">
        <v>736</v>
      </c>
      <c r="B8550" t="s">
        <v>20</v>
      </c>
      <c r="C8550" s="1">
        <f>HYPERLINK("https://cao.dolgi.msk.ru/account/1011334596/", 1011334596)</f>
        <v>1011334596</v>
      </c>
      <c r="D8550">
        <v>0</v>
      </c>
    </row>
    <row r="8551" spans="1:4" hidden="1" x14ac:dyDescent="0.3">
      <c r="A8551" t="s">
        <v>736</v>
      </c>
      <c r="B8551" t="s">
        <v>21</v>
      </c>
      <c r="C8551" s="1">
        <f>HYPERLINK("https://cao.dolgi.msk.ru/account/1011335062/", 1011335062)</f>
        <v>1011335062</v>
      </c>
      <c r="D8551">
        <v>0</v>
      </c>
    </row>
    <row r="8552" spans="1:4" x14ac:dyDescent="0.3">
      <c r="A8552" t="s">
        <v>736</v>
      </c>
      <c r="B8552" t="s">
        <v>22</v>
      </c>
      <c r="C8552" s="1">
        <f>HYPERLINK("https://cao.dolgi.msk.ru/account/1011334529/", 1011334529)</f>
        <v>1011334529</v>
      </c>
      <c r="D8552">
        <v>271300.33</v>
      </c>
    </row>
    <row r="8553" spans="1:4" x14ac:dyDescent="0.3">
      <c r="A8553" t="s">
        <v>736</v>
      </c>
      <c r="B8553" t="s">
        <v>24</v>
      </c>
      <c r="C8553" s="1">
        <f>HYPERLINK("https://cao.dolgi.msk.ru/account/1011334836/", 1011334836)</f>
        <v>1011334836</v>
      </c>
      <c r="D8553">
        <v>6471.31</v>
      </c>
    </row>
    <row r="8554" spans="1:4" hidden="1" x14ac:dyDescent="0.3">
      <c r="A8554" t="s">
        <v>736</v>
      </c>
      <c r="B8554" t="s">
        <v>25</v>
      </c>
      <c r="C8554" s="1">
        <f>HYPERLINK("https://cao.dolgi.msk.ru/account/1011334406/", 1011334406)</f>
        <v>1011334406</v>
      </c>
      <c r="D8554">
        <v>0</v>
      </c>
    </row>
    <row r="8555" spans="1:4" hidden="1" x14ac:dyDescent="0.3">
      <c r="A8555" t="s">
        <v>736</v>
      </c>
      <c r="B8555" t="s">
        <v>26</v>
      </c>
      <c r="C8555" s="1">
        <f>HYPERLINK("https://cao.dolgi.msk.ru/account/1011334502/", 1011334502)</f>
        <v>1011334502</v>
      </c>
      <c r="D8555">
        <v>0</v>
      </c>
    </row>
    <row r="8556" spans="1:4" hidden="1" x14ac:dyDescent="0.3">
      <c r="A8556" t="s">
        <v>736</v>
      </c>
      <c r="B8556" t="s">
        <v>27</v>
      </c>
      <c r="C8556" s="1">
        <f>HYPERLINK("https://cao.dolgi.msk.ru/account/1011334879/", 1011334879)</f>
        <v>1011334879</v>
      </c>
      <c r="D8556">
        <v>0</v>
      </c>
    </row>
    <row r="8557" spans="1:4" hidden="1" x14ac:dyDescent="0.3">
      <c r="A8557" t="s">
        <v>736</v>
      </c>
      <c r="B8557" t="s">
        <v>29</v>
      </c>
      <c r="C8557" s="1">
        <f>HYPERLINK("https://cao.dolgi.msk.ru/account/1011334756/", 1011334756)</f>
        <v>1011334756</v>
      </c>
      <c r="D8557">
        <v>0</v>
      </c>
    </row>
    <row r="8558" spans="1:4" hidden="1" x14ac:dyDescent="0.3">
      <c r="A8558" t="s">
        <v>736</v>
      </c>
      <c r="B8558" t="s">
        <v>38</v>
      </c>
      <c r="C8558" s="1">
        <f>HYPERLINK("https://cao.dolgi.msk.ru/account/1011334465/", 1011334465)</f>
        <v>1011334465</v>
      </c>
      <c r="D8558">
        <v>0</v>
      </c>
    </row>
    <row r="8559" spans="1:4" hidden="1" x14ac:dyDescent="0.3">
      <c r="A8559" t="s">
        <v>736</v>
      </c>
      <c r="B8559" t="s">
        <v>39</v>
      </c>
      <c r="C8559" s="1">
        <f>HYPERLINK("https://cao.dolgi.msk.ru/account/1011334676/", 1011334676)</f>
        <v>1011334676</v>
      </c>
      <c r="D8559">
        <v>0</v>
      </c>
    </row>
    <row r="8560" spans="1:4" hidden="1" x14ac:dyDescent="0.3">
      <c r="A8560" t="s">
        <v>736</v>
      </c>
      <c r="B8560" t="s">
        <v>40</v>
      </c>
      <c r="C8560" s="1">
        <f>HYPERLINK("https://cao.dolgi.msk.ru/account/1011334561/", 1011334561)</f>
        <v>1011334561</v>
      </c>
      <c r="D8560">
        <v>0</v>
      </c>
    </row>
    <row r="8561" spans="1:4" hidden="1" x14ac:dyDescent="0.3">
      <c r="A8561" t="s">
        <v>736</v>
      </c>
      <c r="B8561" t="s">
        <v>41</v>
      </c>
      <c r="C8561" s="1">
        <f>HYPERLINK("https://cao.dolgi.msk.ru/account/1011335118/", 1011335118)</f>
        <v>1011335118</v>
      </c>
      <c r="D8561">
        <v>0</v>
      </c>
    </row>
    <row r="8562" spans="1:4" hidden="1" x14ac:dyDescent="0.3">
      <c r="A8562" t="s">
        <v>736</v>
      </c>
      <c r="B8562" t="s">
        <v>51</v>
      </c>
      <c r="C8562" s="1">
        <f>HYPERLINK("https://cao.dolgi.msk.ru/account/1011334959/", 1011334959)</f>
        <v>1011334959</v>
      </c>
      <c r="D8562">
        <v>0</v>
      </c>
    </row>
    <row r="8563" spans="1:4" hidden="1" x14ac:dyDescent="0.3">
      <c r="A8563" t="s">
        <v>736</v>
      </c>
      <c r="B8563" t="s">
        <v>52</v>
      </c>
      <c r="C8563" s="1">
        <f>HYPERLINK("https://cao.dolgi.msk.ru/account/1011334684/", 1011334684)</f>
        <v>1011334684</v>
      </c>
      <c r="D8563">
        <v>0</v>
      </c>
    </row>
    <row r="8564" spans="1:4" hidden="1" x14ac:dyDescent="0.3">
      <c r="A8564" t="s">
        <v>736</v>
      </c>
      <c r="B8564" t="s">
        <v>53</v>
      </c>
      <c r="C8564" s="1">
        <f>HYPERLINK("https://cao.dolgi.msk.ru/account/1011335011/", 1011335011)</f>
        <v>1011335011</v>
      </c>
      <c r="D8564">
        <v>0</v>
      </c>
    </row>
    <row r="8565" spans="1:4" hidden="1" x14ac:dyDescent="0.3">
      <c r="A8565" t="s">
        <v>736</v>
      </c>
      <c r="B8565" t="s">
        <v>54</v>
      </c>
      <c r="C8565" s="1">
        <f>HYPERLINK("https://cao.dolgi.msk.ru/account/1011334422/", 1011334422)</f>
        <v>1011334422</v>
      </c>
      <c r="D8565">
        <v>-2852.99</v>
      </c>
    </row>
    <row r="8566" spans="1:4" hidden="1" x14ac:dyDescent="0.3">
      <c r="A8566" t="s">
        <v>736</v>
      </c>
      <c r="B8566" t="s">
        <v>55</v>
      </c>
      <c r="C8566" s="1">
        <f>HYPERLINK("https://cao.dolgi.msk.ru/account/1011334799/", 1011334799)</f>
        <v>1011334799</v>
      </c>
      <c r="D8566">
        <v>-695.52</v>
      </c>
    </row>
    <row r="8567" spans="1:4" hidden="1" x14ac:dyDescent="0.3">
      <c r="A8567" t="s">
        <v>736</v>
      </c>
      <c r="B8567" t="s">
        <v>56</v>
      </c>
      <c r="C8567" s="1">
        <f>HYPERLINK("https://cao.dolgi.msk.ru/account/1011334983/", 1011334983)</f>
        <v>1011334983</v>
      </c>
      <c r="D8567">
        <v>0</v>
      </c>
    </row>
    <row r="8568" spans="1:4" x14ac:dyDescent="0.3">
      <c r="A8568" t="s">
        <v>736</v>
      </c>
      <c r="B8568" t="s">
        <v>87</v>
      </c>
      <c r="C8568" s="1">
        <f>HYPERLINK("https://cao.dolgi.msk.ru/account/1011335126/", 1011335126)</f>
        <v>1011335126</v>
      </c>
      <c r="D8568">
        <v>151.18</v>
      </c>
    </row>
    <row r="8569" spans="1:4" hidden="1" x14ac:dyDescent="0.3">
      <c r="A8569" t="s">
        <v>736</v>
      </c>
      <c r="B8569" t="s">
        <v>88</v>
      </c>
      <c r="C8569" s="1">
        <f>HYPERLINK("https://cao.dolgi.msk.ru/account/1011334852/", 1011334852)</f>
        <v>1011334852</v>
      </c>
      <c r="D8569">
        <v>0</v>
      </c>
    </row>
    <row r="8570" spans="1:4" hidden="1" x14ac:dyDescent="0.3">
      <c r="A8570" t="s">
        <v>736</v>
      </c>
      <c r="B8570" t="s">
        <v>89</v>
      </c>
      <c r="C8570" s="1">
        <f>HYPERLINK("https://cao.dolgi.msk.ru/account/1011335169/", 1011335169)</f>
        <v>1011335169</v>
      </c>
      <c r="D8570">
        <v>0</v>
      </c>
    </row>
    <row r="8571" spans="1:4" hidden="1" x14ac:dyDescent="0.3">
      <c r="A8571" t="s">
        <v>736</v>
      </c>
      <c r="B8571" t="s">
        <v>90</v>
      </c>
      <c r="C8571" s="1">
        <f>HYPERLINK("https://cao.dolgi.msk.ru/account/1011334537/", 1011334537)</f>
        <v>1011334537</v>
      </c>
      <c r="D8571">
        <v>0</v>
      </c>
    </row>
    <row r="8572" spans="1:4" hidden="1" x14ac:dyDescent="0.3">
      <c r="A8572" t="s">
        <v>736</v>
      </c>
      <c r="B8572" t="s">
        <v>96</v>
      </c>
      <c r="C8572" s="1">
        <f>HYPERLINK("https://cao.dolgi.msk.ru/account/1011334588/", 1011334588)</f>
        <v>1011334588</v>
      </c>
      <c r="D8572">
        <v>0</v>
      </c>
    </row>
    <row r="8573" spans="1:4" hidden="1" x14ac:dyDescent="0.3">
      <c r="A8573" t="s">
        <v>736</v>
      </c>
      <c r="B8573" t="s">
        <v>97</v>
      </c>
      <c r="C8573" s="1">
        <f>HYPERLINK("https://cao.dolgi.msk.ru/account/1011334908/", 1011334908)</f>
        <v>1011334908</v>
      </c>
      <c r="D8573">
        <v>0</v>
      </c>
    </row>
    <row r="8574" spans="1:4" hidden="1" x14ac:dyDescent="0.3">
      <c r="A8574" t="s">
        <v>736</v>
      </c>
      <c r="B8574" t="s">
        <v>98</v>
      </c>
      <c r="C8574" s="1">
        <f>HYPERLINK("https://cao.dolgi.msk.ru/account/1011334844/", 1011334844)</f>
        <v>1011334844</v>
      </c>
      <c r="D8574">
        <v>0</v>
      </c>
    </row>
    <row r="8575" spans="1:4" hidden="1" x14ac:dyDescent="0.3">
      <c r="A8575" t="s">
        <v>736</v>
      </c>
      <c r="B8575" t="s">
        <v>58</v>
      </c>
      <c r="C8575" s="1">
        <f>HYPERLINK("https://cao.dolgi.msk.ru/account/1011334449/", 1011334449)</f>
        <v>1011334449</v>
      </c>
      <c r="D8575">
        <v>-4274.32</v>
      </c>
    </row>
    <row r="8576" spans="1:4" hidden="1" x14ac:dyDescent="0.3">
      <c r="A8576" t="s">
        <v>736</v>
      </c>
      <c r="B8576" t="s">
        <v>59</v>
      </c>
      <c r="C8576" s="1">
        <f>HYPERLINK("https://cao.dolgi.msk.ru/account/1011334916/", 1011334916)</f>
        <v>1011334916</v>
      </c>
      <c r="D8576">
        <v>0</v>
      </c>
    </row>
    <row r="8577" spans="1:4" x14ac:dyDescent="0.3">
      <c r="A8577" t="s">
        <v>736</v>
      </c>
      <c r="B8577" t="s">
        <v>60</v>
      </c>
      <c r="C8577" s="1">
        <f>HYPERLINK("https://cao.dolgi.msk.ru/account/1011334692/", 1011334692)</f>
        <v>1011334692</v>
      </c>
      <c r="D8577">
        <v>10021.84</v>
      </c>
    </row>
    <row r="8578" spans="1:4" hidden="1" x14ac:dyDescent="0.3">
      <c r="A8578" t="s">
        <v>736</v>
      </c>
      <c r="B8578" t="s">
        <v>61</v>
      </c>
      <c r="C8578" s="1">
        <f>HYPERLINK("https://cao.dolgi.msk.ru/account/1011334617/", 1011334617)</f>
        <v>1011334617</v>
      </c>
      <c r="D8578">
        <v>0</v>
      </c>
    </row>
    <row r="8579" spans="1:4" hidden="1" x14ac:dyDescent="0.3">
      <c r="A8579" t="s">
        <v>736</v>
      </c>
      <c r="B8579" t="s">
        <v>62</v>
      </c>
      <c r="C8579" s="1">
        <f>HYPERLINK("https://cao.dolgi.msk.ru/account/1011334705/", 1011334705)</f>
        <v>1011334705</v>
      </c>
      <c r="D8579">
        <v>0</v>
      </c>
    </row>
    <row r="8580" spans="1:4" hidden="1" x14ac:dyDescent="0.3">
      <c r="A8580" t="s">
        <v>736</v>
      </c>
      <c r="B8580" t="s">
        <v>63</v>
      </c>
      <c r="C8580" s="1">
        <f>HYPERLINK("https://cao.dolgi.msk.ru/account/1011335134/", 1011335134)</f>
        <v>1011335134</v>
      </c>
      <c r="D8580">
        <v>-425.32</v>
      </c>
    </row>
    <row r="8581" spans="1:4" hidden="1" x14ac:dyDescent="0.3">
      <c r="A8581" t="s">
        <v>736</v>
      </c>
      <c r="B8581" t="s">
        <v>64</v>
      </c>
      <c r="C8581" s="1">
        <f>HYPERLINK("https://cao.dolgi.msk.ru/account/1011335214/", 1011335214)</f>
        <v>1011335214</v>
      </c>
      <c r="D8581">
        <v>0</v>
      </c>
    </row>
    <row r="8582" spans="1:4" x14ac:dyDescent="0.3">
      <c r="A8582" t="s">
        <v>736</v>
      </c>
      <c r="B8582" t="s">
        <v>65</v>
      </c>
      <c r="C8582" s="1">
        <f>HYPERLINK("https://cao.dolgi.msk.ru/account/1011335177/", 1011335177)</f>
        <v>1011335177</v>
      </c>
      <c r="D8582">
        <v>1215.08</v>
      </c>
    </row>
    <row r="8583" spans="1:4" hidden="1" x14ac:dyDescent="0.3">
      <c r="A8583" t="s">
        <v>736</v>
      </c>
      <c r="B8583" t="s">
        <v>66</v>
      </c>
      <c r="C8583" s="1">
        <f>HYPERLINK("https://cao.dolgi.msk.ru/account/1011334633/", 1011334633)</f>
        <v>1011334633</v>
      </c>
      <c r="D8583">
        <v>-67.14</v>
      </c>
    </row>
    <row r="8584" spans="1:4" hidden="1" x14ac:dyDescent="0.3">
      <c r="A8584" t="s">
        <v>736</v>
      </c>
      <c r="B8584" t="s">
        <v>67</v>
      </c>
      <c r="C8584" s="1">
        <f>HYPERLINK("https://cao.dolgi.msk.ru/account/1011335193/", 1011335193)</f>
        <v>1011335193</v>
      </c>
      <c r="D8584">
        <v>0</v>
      </c>
    </row>
    <row r="8585" spans="1:4" hidden="1" x14ac:dyDescent="0.3">
      <c r="A8585" t="s">
        <v>736</v>
      </c>
      <c r="B8585" t="s">
        <v>68</v>
      </c>
      <c r="C8585" s="1">
        <f>HYPERLINK("https://cao.dolgi.msk.ru/account/1011334967/", 1011334967)</f>
        <v>1011334967</v>
      </c>
      <c r="D8585">
        <v>0</v>
      </c>
    </row>
    <row r="8586" spans="1:4" hidden="1" x14ac:dyDescent="0.3">
      <c r="A8586" t="s">
        <v>736</v>
      </c>
      <c r="B8586" t="s">
        <v>69</v>
      </c>
      <c r="C8586" s="1">
        <f>HYPERLINK("https://cao.dolgi.msk.ru/account/1011334764/", 1011334764)</f>
        <v>1011334764</v>
      </c>
      <c r="D8586">
        <v>-5273.49</v>
      </c>
    </row>
    <row r="8587" spans="1:4" hidden="1" x14ac:dyDescent="0.3">
      <c r="A8587" t="s">
        <v>736</v>
      </c>
      <c r="B8587" t="s">
        <v>70</v>
      </c>
      <c r="C8587" s="1">
        <f>HYPERLINK("https://cao.dolgi.msk.ru/account/1011335222/", 1011335222)</f>
        <v>1011335222</v>
      </c>
      <c r="D8587">
        <v>-393.77</v>
      </c>
    </row>
    <row r="8588" spans="1:4" hidden="1" x14ac:dyDescent="0.3">
      <c r="A8588" t="s">
        <v>736</v>
      </c>
      <c r="B8588" t="s">
        <v>259</v>
      </c>
      <c r="C8588" s="1">
        <f>HYPERLINK("https://cao.dolgi.msk.ru/account/1011335097/", 1011335097)</f>
        <v>1011335097</v>
      </c>
      <c r="D8588">
        <v>0</v>
      </c>
    </row>
    <row r="8589" spans="1:4" hidden="1" x14ac:dyDescent="0.3">
      <c r="A8589" t="s">
        <v>736</v>
      </c>
      <c r="B8589" t="s">
        <v>100</v>
      </c>
      <c r="C8589" s="1">
        <f>HYPERLINK("https://cao.dolgi.msk.ru/account/1011334414/", 1011334414)</f>
        <v>1011334414</v>
      </c>
      <c r="D8589">
        <v>0</v>
      </c>
    </row>
    <row r="8590" spans="1:4" hidden="1" x14ac:dyDescent="0.3">
      <c r="A8590" t="s">
        <v>736</v>
      </c>
      <c r="B8590" t="s">
        <v>72</v>
      </c>
      <c r="C8590" s="1">
        <f>HYPERLINK("https://cao.dolgi.msk.ru/account/1011334457/", 1011334457)</f>
        <v>1011334457</v>
      </c>
      <c r="D8590">
        <v>0</v>
      </c>
    </row>
    <row r="8591" spans="1:4" hidden="1" x14ac:dyDescent="0.3">
      <c r="A8591" t="s">
        <v>736</v>
      </c>
      <c r="B8591" t="s">
        <v>73</v>
      </c>
      <c r="C8591" s="1">
        <f>HYPERLINK("https://cao.dolgi.msk.ru/account/1011334609/", 1011334609)</f>
        <v>1011334609</v>
      </c>
      <c r="D8591">
        <v>0</v>
      </c>
    </row>
    <row r="8592" spans="1:4" x14ac:dyDescent="0.3">
      <c r="A8592" t="s">
        <v>736</v>
      </c>
      <c r="B8592" t="s">
        <v>74</v>
      </c>
      <c r="C8592" s="1">
        <f>HYPERLINK("https://cao.dolgi.msk.ru/account/1011335185/", 1011335185)</f>
        <v>1011335185</v>
      </c>
      <c r="D8592">
        <v>17198.740000000002</v>
      </c>
    </row>
    <row r="8593" spans="1:4" hidden="1" x14ac:dyDescent="0.3">
      <c r="A8593" t="s">
        <v>736</v>
      </c>
      <c r="B8593" t="s">
        <v>75</v>
      </c>
      <c r="C8593" s="1">
        <f>HYPERLINK("https://cao.dolgi.msk.ru/account/1011334772/", 1011334772)</f>
        <v>1011334772</v>
      </c>
      <c r="D8593">
        <v>-462.37</v>
      </c>
    </row>
    <row r="8594" spans="1:4" x14ac:dyDescent="0.3">
      <c r="A8594" t="s">
        <v>736</v>
      </c>
      <c r="B8594" t="s">
        <v>76</v>
      </c>
      <c r="C8594" s="1">
        <f>HYPERLINK("https://cao.dolgi.msk.ru/account/1011334625/", 1011334625)</f>
        <v>1011334625</v>
      </c>
      <c r="D8594">
        <v>80800.3</v>
      </c>
    </row>
    <row r="8595" spans="1:4" hidden="1" x14ac:dyDescent="0.3">
      <c r="A8595" t="s">
        <v>736</v>
      </c>
      <c r="B8595" t="s">
        <v>77</v>
      </c>
      <c r="C8595" s="1">
        <f>HYPERLINK("https://cao.dolgi.msk.ru/account/1011335142/", 1011335142)</f>
        <v>1011335142</v>
      </c>
      <c r="D8595">
        <v>0</v>
      </c>
    </row>
    <row r="8596" spans="1:4" hidden="1" x14ac:dyDescent="0.3">
      <c r="A8596" t="s">
        <v>736</v>
      </c>
      <c r="B8596" t="s">
        <v>78</v>
      </c>
      <c r="C8596" s="1">
        <f>HYPERLINK("https://cao.dolgi.msk.ru/account/1011334641/", 1011334641)</f>
        <v>1011334641</v>
      </c>
      <c r="D8596">
        <v>0</v>
      </c>
    </row>
    <row r="8597" spans="1:4" hidden="1" x14ac:dyDescent="0.3">
      <c r="A8597" t="s">
        <v>736</v>
      </c>
      <c r="B8597" t="s">
        <v>79</v>
      </c>
      <c r="C8597" s="1">
        <f>HYPERLINK("https://cao.dolgi.msk.ru/account/1011334721/", 1011334721)</f>
        <v>1011334721</v>
      </c>
      <c r="D8597">
        <v>0</v>
      </c>
    </row>
    <row r="8598" spans="1:4" x14ac:dyDescent="0.3">
      <c r="A8598" t="s">
        <v>736</v>
      </c>
      <c r="B8598" t="s">
        <v>79</v>
      </c>
      <c r="C8598" s="1">
        <f>HYPERLINK("https://cao.dolgi.msk.ru/account/1011334828/", 1011334828)</f>
        <v>1011334828</v>
      </c>
      <c r="D8598">
        <v>1278.1600000000001</v>
      </c>
    </row>
    <row r="8599" spans="1:4" hidden="1" x14ac:dyDescent="0.3">
      <c r="A8599" t="s">
        <v>736</v>
      </c>
      <c r="B8599" t="s">
        <v>80</v>
      </c>
      <c r="C8599" s="1">
        <f>HYPERLINK("https://cao.dolgi.msk.ru/account/1011334991/", 1011334991)</f>
        <v>1011334991</v>
      </c>
      <c r="D8599">
        <v>-23439.26</v>
      </c>
    </row>
    <row r="8600" spans="1:4" hidden="1" x14ac:dyDescent="0.3">
      <c r="A8600" t="s">
        <v>736</v>
      </c>
      <c r="B8600" t="s">
        <v>81</v>
      </c>
      <c r="C8600" s="1">
        <f>HYPERLINK("https://cao.dolgi.msk.ru/account/1011334545/", 1011334545)</f>
        <v>1011334545</v>
      </c>
      <c r="D8600">
        <v>0</v>
      </c>
    </row>
    <row r="8601" spans="1:4" hidden="1" x14ac:dyDescent="0.3">
      <c r="A8601" t="s">
        <v>736</v>
      </c>
      <c r="B8601" t="s">
        <v>101</v>
      </c>
      <c r="C8601" s="1">
        <f>HYPERLINK("https://cao.dolgi.msk.ru/account/1011334473/", 1011334473)</f>
        <v>1011334473</v>
      </c>
      <c r="D8601">
        <v>-2725.96</v>
      </c>
    </row>
    <row r="8602" spans="1:4" hidden="1" x14ac:dyDescent="0.3">
      <c r="A8602" t="s">
        <v>737</v>
      </c>
      <c r="B8602" t="s">
        <v>6</v>
      </c>
      <c r="C8602" s="1">
        <f>HYPERLINK("https://cao.dolgi.msk.ru/account/1011359814/", 1011359814)</f>
        <v>1011359814</v>
      </c>
      <c r="D8602">
        <v>0</v>
      </c>
    </row>
    <row r="8603" spans="1:4" hidden="1" x14ac:dyDescent="0.3">
      <c r="A8603" t="s">
        <v>737</v>
      </c>
      <c r="B8603" t="s">
        <v>28</v>
      </c>
      <c r="C8603" s="1">
        <f>HYPERLINK("https://cao.dolgi.msk.ru/account/1011360604/", 1011360604)</f>
        <v>1011360604</v>
      </c>
      <c r="D8603">
        <v>0</v>
      </c>
    </row>
    <row r="8604" spans="1:4" hidden="1" x14ac:dyDescent="0.3">
      <c r="A8604" t="s">
        <v>737</v>
      </c>
      <c r="B8604" t="s">
        <v>35</v>
      </c>
      <c r="C8604" s="1">
        <f>HYPERLINK("https://cao.dolgi.msk.ru/account/1011360567/", 1011360567)</f>
        <v>1011360567</v>
      </c>
      <c r="D8604">
        <v>0</v>
      </c>
    </row>
    <row r="8605" spans="1:4" hidden="1" x14ac:dyDescent="0.3">
      <c r="A8605" t="s">
        <v>737</v>
      </c>
      <c r="B8605" t="s">
        <v>5</v>
      </c>
      <c r="C8605" s="1">
        <f>HYPERLINK("https://cao.dolgi.msk.ru/account/1011360516/", 1011360516)</f>
        <v>1011360516</v>
      </c>
      <c r="D8605">
        <v>0</v>
      </c>
    </row>
    <row r="8606" spans="1:4" hidden="1" x14ac:dyDescent="0.3">
      <c r="A8606" t="s">
        <v>737</v>
      </c>
      <c r="B8606" t="s">
        <v>7</v>
      </c>
      <c r="C8606" s="1">
        <f>HYPERLINK("https://cao.dolgi.msk.ru/account/1011359953/", 1011359953)</f>
        <v>1011359953</v>
      </c>
      <c r="D8606">
        <v>0</v>
      </c>
    </row>
    <row r="8607" spans="1:4" hidden="1" x14ac:dyDescent="0.3">
      <c r="A8607" t="s">
        <v>737</v>
      </c>
      <c r="B8607" t="s">
        <v>8</v>
      </c>
      <c r="C8607" s="1">
        <f>HYPERLINK("https://cao.dolgi.msk.ru/account/1011360348/", 1011360348)</f>
        <v>1011360348</v>
      </c>
      <c r="D8607">
        <v>0</v>
      </c>
    </row>
    <row r="8608" spans="1:4" hidden="1" x14ac:dyDescent="0.3">
      <c r="A8608" t="s">
        <v>737</v>
      </c>
      <c r="B8608" t="s">
        <v>31</v>
      </c>
      <c r="C8608" s="1">
        <f>HYPERLINK("https://cao.dolgi.msk.ru/account/1011360241/", 1011360241)</f>
        <v>1011360241</v>
      </c>
      <c r="D8608">
        <v>-3932.08</v>
      </c>
    </row>
    <row r="8609" spans="1:4" hidden="1" x14ac:dyDescent="0.3">
      <c r="A8609" t="s">
        <v>737</v>
      </c>
      <c r="B8609" t="s">
        <v>31</v>
      </c>
      <c r="C8609" s="1">
        <f>HYPERLINK("https://cao.dolgi.msk.ru/account/1011360452/", 1011360452)</f>
        <v>1011360452</v>
      </c>
      <c r="D8609">
        <v>-5026.84</v>
      </c>
    </row>
    <row r="8610" spans="1:4" hidden="1" x14ac:dyDescent="0.3">
      <c r="A8610" t="s">
        <v>737</v>
      </c>
      <c r="B8610" t="s">
        <v>9</v>
      </c>
      <c r="C8610" s="1">
        <f>HYPERLINK("https://cao.dolgi.msk.ru/account/1011359857/", 1011359857)</f>
        <v>1011359857</v>
      </c>
      <c r="D8610">
        <v>-5025.6499999999996</v>
      </c>
    </row>
    <row r="8611" spans="1:4" hidden="1" x14ac:dyDescent="0.3">
      <c r="A8611" t="s">
        <v>737</v>
      </c>
      <c r="B8611" t="s">
        <v>10</v>
      </c>
      <c r="C8611" s="1">
        <f>HYPERLINK("https://cao.dolgi.msk.ru/account/1011360495/", 1011360495)</f>
        <v>1011360495</v>
      </c>
      <c r="D8611">
        <v>0</v>
      </c>
    </row>
    <row r="8612" spans="1:4" x14ac:dyDescent="0.3">
      <c r="A8612" t="s">
        <v>737</v>
      </c>
      <c r="B8612" t="s">
        <v>11</v>
      </c>
      <c r="C8612" s="1">
        <f>HYPERLINK("https://cao.dolgi.msk.ru/account/1011360102/", 1011360102)</f>
        <v>1011360102</v>
      </c>
      <c r="D8612">
        <v>183835.32</v>
      </c>
    </row>
    <row r="8613" spans="1:4" x14ac:dyDescent="0.3">
      <c r="A8613" t="s">
        <v>737</v>
      </c>
      <c r="B8613" t="s">
        <v>12</v>
      </c>
      <c r="C8613" s="1">
        <f>HYPERLINK("https://cao.dolgi.msk.ru/account/1011360006/", 1011360006)</f>
        <v>1011360006</v>
      </c>
      <c r="D8613">
        <v>7065.8</v>
      </c>
    </row>
    <row r="8614" spans="1:4" hidden="1" x14ac:dyDescent="0.3">
      <c r="A8614" t="s">
        <v>737</v>
      </c>
      <c r="B8614" t="s">
        <v>23</v>
      </c>
      <c r="C8614" s="1">
        <f>HYPERLINK("https://cao.dolgi.msk.ru/account/1011360073/", 1011360073)</f>
        <v>1011360073</v>
      </c>
      <c r="D8614">
        <v>-30803.61</v>
      </c>
    </row>
    <row r="8615" spans="1:4" hidden="1" x14ac:dyDescent="0.3">
      <c r="A8615" t="s">
        <v>737</v>
      </c>
      <c r="B8615" t="s">
        <v>13</v>
      </c>
      <c r="C8615" s="1">
        <f>HYPERLINK("https://cao.dolgi.msk.ru/account/1011360428/", 1011360428)</f>
        <v>1011360428</v>
      </c>
      <c r="D8615">
        <v>0</v>
      </c>
    </row>
    <row r="8616" spans="1:4" hidden="1" x14ac:dyDescent="0.3">
      <c r="A8616" t="s">
        <v>737</v>
      </c>
      <c r="B8616" t="s">
        <v>14</v>
      </c>
      <c r="C8616" s="1">
        <f>HYPERLINK("https://cao.dolgi.msk.ru/account/1011360014/", 1011360014)</f>
        <v>1011360014</v>
      </c>
      <c r="D8616">
        <v>0</v>
      </c>
    </row>
    <row r="8617" spans="1:4" hidden="1" x14ac:dyDescent="0.3">
      <c r="A8617" t="s">
        <v>737</v>
      </c>
      <c r="B8617" t="s">
        <v>16</v>
      </c>
      <c r="C8617" s="1">
        <f>HYPERLINK("https://cao.dolgi.msk.ru/account/1011360639/", 1011360639)</f>
        <v>1011360639</v>
      </c>
      <c r="D8617">
        <v>-164.52</v>
      </c>
    </row>
    <row r="8618" spans="1:4" hidden="1" x14ac:dyDescent="0.3">
      <c r="A8618" t="s">
        <v>737</v>
      </c>
      <c r="B8618" t="s">
        <v>17</v>
      </c>
      <c r="C8618" s="1">
        <f>HYPERLINK("https://cao.dolgi.msk.ru/account/1011359865/", 1011359865)</f>
        <v>1011359865</v>
      </c>
      <c r="D8618">
        <v>0</v>
      </c>
    </row>
    <row r="8619" spans="1:4" x14ac:dyDescent="0.3">
      <c r="A8619" t="s">
        <v>737</v>
      </c>
      <c r="B8619" t="s">
        <v>18</v>
      </c>
      <c r="C8619" s="1">
        <f>HYPERLINK("https://cao.dolgi.msk.ru/account/1011360583/", 1011360583)</f>
        <v>1011360583</v>
      </c>
      <c r="D8619">
        <v>6202.59</v>
      </c>
    </row>
    <row r="8620" spans="1:4" hidden="1" x14ac:dyDescent="0.3">
      <c r="A8620" t="s">
        <v>737</v>
      </c>
      <c r="B8620" t="s">
        <v>19</v>
      </c>
      <c r="C8620" s="1">
        <f>HYPERLINK("https://cao.dolgi.msk.ru/account/1011360591/", 1011360591)</f>
        <v>1011360591</v>
      </c>
      <c r="D8620">
        <v>0</v>
      </c>
    </row>
    <row r="8621" spans="1:4" hidden="1" x14ac:dyDescent="0.3">
      <c r="A8621" t="s">
        <v>737</v>
      </c>
      <c r="B8621" t="s">
        <v>20</v>
      </c>
      <c r="C8621" s="1">
        <f>HYPERLINK("https://cao.dolgi.msk.ru/account/1011360321/", 1011360321)</f>
        <v>1011360321</v>
      </c>
      <c r="D8621">
        <v>0</v>
      </c>
    </row>
    <row r="8622" spans="1:4" hidden="1" x14ac:dyDescent="0.3">
      <c r="A8622" t="s">
        <v>737</v>
      </c>
      <c r="B8622" t="s">
        <v>21</v>
      </c>
      <c r="C8622" s="1">
        <f>HYPERLINK("https://cao.dolgi.msk.ru/account/1011360209/", 1011360209)</f>
        <v>1011360209</v>
      </c>
      <c r="D8622">
        <v>-5352.03</v>
      </c>
    </row>
    <row r="8623" spans="1:4" hidden="1" x14ac:dyDescent="0.3">
      <c r="A8623" t="s">
        <v>737</v>
      </c>
      <c r="B8623" t="s">
        <v>22</v>
      </c>
      <c r="C8623" s="1">
        <f>HYPERLINK("https://cao.dolgi.msk.ru/account/1011360313/", 1011360313)</f>
        <v>1011360313</v>
      </c>
      <c r="D8623">
        <v>0</v>
      </c>
    </row>
    <row r="8624" spans="1:4" hidden="1" x14ac:dyDescent="0.3">
      <c r="A8624" t="s">
        <v>737</v>
      </c>
      <c r="B8624" t="s">
        <v>24</v>
      </c>
      <c r="C8624" s="1">
        <f>HYPERLINK("https://cao.dolgi.msk.ru/account/1011360524/", 1011360524)</f>
        <v>1011360524</v>
      </c>
      <c r="D8624">
        <v>-6973.07</v>
      </c>
    </row>
    <row r="8625" spans="1:4" hidden="1" x14ac:dyDescent="0.3">
      <c r="A8625" t="s">
        <v>737</v>
      </c>
      <c r="B8625" t="s">
        <v>25</v>
      </c>
      <c r="C8625" s="1">
        <f>HYPERLINK("https://cao.dolgi.msk.ru/account/1011360436/", 1011360436)</f>
        <v>1011360436</v>
      </c>
      <c r="D8625">
        <v>-2755.3</v>
      </c>
    </row>
    <row r="8626" spans="1:4" x14ac:dyDescent="0.3">
      <c r="A8626" t="s">
        <v>737</v>
      </c>
      <c r="B8626" t="s">
        <v>26</v>
      </c>
      <c r="C8626" s="1">
        <f>HYPERLINK("https://cao.dolgi.msk.ru/account/1011359873/", 1011359873)</f>
        <v>1011359873</v>
      </c>
      <c r="D8626">
        <v>7884.95</v>
      </c>
    </row>
    <row r="8627" spans="1:4" hidden="1" x14ac:dyDescent="0.3">
      <c r="A8627" t="s">
        <v>737</v>
      </c>
      <c r="B8627" t="s">
        <v>27</v>
      </c>
      <c r="C8627" s="1">
        <f>HYPERLINK("https://cao.dolgi.msk.ru/account/1011359945/", 1011359945)</f>
        <v>1011359945</v>
      </c>
      <c r="D8627">
        <v>0</v>
      </c>
    </row>
    <row r="8628" spans="1:4" hidden="1" x14ac:dyDescent="0.3">
      <c r="A8628" t="s">
        <v>737</v>
      </c>
      <c r="B8628" t="s">
        <v>29</v>
      </c>
      <c r="C8628" s="1">
        <f>HYPERLINK("https://cao.dolgi.msk.ru/account/1011360612/", 1011360612)</f>
        <v>1011360612</v>
      </c>
      <c r="D8628">
        <v>-4234.74</v>
      </c>
    </row>
    <row r="8629" spans="1:4" hidden="1" x14ac:dyDescent="0.3">
      <c r="A8629" t="s">
        <v>737</v>
      </c>
      <c r="B8629" t="s">
        <v>38</v>
      </c>
      <c r="C8629" s="1">
        <f>HYPERLINK("https://cao.dolgi.msk.ru/account/1011360284/", 1011360284)</f>
        <v>1011360284</v>
      </c>
      <c r="D8629">
        <v>0</v>
      </c>
    </row>
    <row r="8630" spans="1:4" hidden="1" x14ac:dyDescent="0.3">
      <c r="A8630" t="s">
        <v>737</v>
      </c>
      <c r="B8630" t="s">
        <v>39</v>
      </c>
      <c r="C8630" s="1">
        <f>HYPERLINK("https://cao.dolgi.msk.ru/account/1011360217/", 1011360217)</f>
        <v>1011360217</v>
      </c>
      <c r="D8630">
        <v>-7181.35</v>
      </c>
    </row>
    <row r="8631" spans="1:4" hidden="1" x14ac:dyDescent="0.3">
      <c r="A8631" t="s">
        <v>737</v>
      </c>
      <c r="B8631" t="s">
        <v>40</v>
      </c>
      <c r="C8631" s="1">
        <f>HYPERLINK("https://cao.dolgi.msk.ru/account/1011360081/", 1011360081)</f>
        <v>1011360081</v>
      </c>
      <c r="D8631">
        <v>-3902.57</v>
      </c>
    </row>
    <row r="8632" spans="1:4" hidden="1" x14ac:dyDescent="0.3">
      <c r="A8632" t="s">
        <v>737</v>
      </c>
      <c r="B8632" t="s">
        <v>41</v>
      </c>
      <c r="C8632" s="1">
        <f>HYPERLINK("https://cao.dolgi.msk.ru/account/1011360292/", 1011360292)</f>
        <v>1011360292</v>
      </c>
      <c r="D8632">
        <v>0</v>
      </c>
    </row>
    <row r="8633" spans="1:4" hidden="1" x14ac:dyDescent="0.3">
      <c r="A8633" t="s">
        <v>737</v>
      </c>
      <c r="B8633" t="s">
        <v>51</v>
      </c>
      <c r="C8633" s="1">
        <f>HYPERLINK("https://cao.dolgi.msk.ru/account/1011359961/", 1011359961)</f>
        <v>1011359961</v>
      </c>
      <c r="D8633">
        <v>0</v>
      </c>
    </row>
    <row r="8634" spans="1:4" hidden="1" x14ac:dyDescent="0.3">
      <c r="A8634" t="s">
        <v>737</v>
      </c>
      <c r="B8634" t="s">
        <v>52</v>
      </c>
      <c r="C8634" s="1">
        <f>HYPERLINK("https://cao.dolgi.msk.ru/account/1011359881/", 1011359881)</f>
        <v>1011359881</v>
      </c>
      <c r="D8634">
        <v>-8556.6</v>
      </c>
    </row>
    <row r="8635" spans="1:4" hidden="1" x14ac:dyDescent="0.3">
      <c r="A8635" t="s">
        <v>737</v>
      </c>
      <c r="B8635" t="s">
        <v>53</v>
      </c>
      <c r="C8635" s="1">
        <f>HYPERLINK("https://cao.dolgi.msk.ru/account/1011360268/", 1011360268)</f>
        <v>1011360268</v>
      </c>
      <c r="D8635">
        <v>0</v>
      </c>
    </row>
    <row r="8636" spans="1:4" hidden="1" x14ac:dyDescent="0.3">
      <c r="A8636" t="s">
        <v>737</v>
      </c>
      <c r="B8636" t="s">
        <v>54</v>
      </c>
      <c r="C8636" s="1">
        <f>HYPERLINK("https://cao.dolgi.msk.ru/account/1011359929/", 1011359929)</f>
        <v>1011359929</v>
      </c>
      <c r="D8636">
        <v>0</v>
      </c>
    </row>
    <row r="8637" spans="1:4" hidden="1" x14ac:dyDescent="0.3">
      <c r="A8637" t="s">
        <v>737</v>
      </c>
      <c r="B8637" t="s">
        <v>55</v>
      </c>
      <c r="C8637" s="1">
        <f>HYPERLINK("https://cao.dolgi.msk.ru/account/1011359996/", 1011359996)</f>
        <v>1011359996</v>
      </c>
      <c r="D8637">
        <v>0</v>
      </c>
    </row>
    <row r="8638" spans="1:4" x14ac:dyDescent="0.3">
      <c r="A8638" t="s">
        <v>737</v>
      </c>
      <c r="B8638" t="s">
        <v>56</v>
      </c>
      <c r="C8638" s="1">
        <f>HYPERLINK("https://cao.dolgi.msk.ru/account/1011359849/", 1011359849)</f>
        <v>1011359849</v>
      </c>
      <c r="D8638">
        <v>238.74</v>
      </c>
    </row>
    <row r="8639" spans="1:4" hidden="1" x14ac:dyDescent="0.3">
      <c r="A8639" t="s">
        <v>737</v>
      </c>
      <c r="B8639" t="s">
        <v>56</v>
      </c>
      <c r="C8639" s="1">
        <f>HYPERLINK("https://cao.dolgi.msk.ru/account/1011360188/", 1011360188)</f>
        <v>1011360188</v>
      </c>
      <c r="D8639">
        <v>-3036.29</v>
      </c>
    </row>
    <row r="8640" spans="1:4" hidden="1" x14ac:dyDescent="0.3">
      <c r="A8640" t="s">
        <v>737</v>
      </c>
      <c r="B8640" t="s">
        <v>87</v>
      </c>
      <c r="C8640" s="1">
        <f>HYPERLINK("https://cao.dolgi.msk.ru/account/1011360356/", 1011360356)</f>
        <v>1011360356</v>
      </c>
      <c r="D8640">
        <v>0</v>
      </c>
    </row>
    <row r="8641" spans="1:4" hidden="1" x14ac:dyDescent="0.3">
      <c r="A8641" t="s">
        <v>737</v>
      </c>
      <c r="B8641" t="s">
        <v>88</v>
      </c>
      <c r="C8641" s="1">
        <f>HYPERLINK("https://cao.dolgi.msk.ru/account/1011359902/", 1011359902)</f>
        <v>1011359902</v>
      </c>
      <c r="D8641">
        <v>-3156.96</v>
      </c>
    </row>
    <row r="8642" spans="1:4" hidden="1" x14ac:dyDescent="0.3">
      <c r="A8642" t="s">
        <v>737</v>
      </c>
      <c r="B8642" t="s">
        <v>89</v>
      </c>
      <c r="C8642" s="1">
        <f>HYPERLINK("https://cao.dolgi.msk.ru/account/1011360655/", 1011360655)</f>
        <v>1011360655</v>
      </c>
      <c r="D8642">
        <v>0</v>
      </c>
    </row>
    <row r="8643" spans="1:4" hidden="1" x14ac:dyDescent="0.3">
      <c r="A8643" t="s">
        <v>737</v>
      </c>
      <c r="B8643" t="s">
        <v>90</v>
      </c>
      <c r="C8643" s="1">
        <f>HYPERLINK("https://cao.dolgi.msk.ru/account/1011360487/", 1011360487)</f>
        <v>1011360487</v>
      </c>
      <c r="D8643">
        <v>0</v>
      </c>
    </row>
    <row r="8644" spans="1:4" x14ac:dyDescent="0.3">
      <c r="A8644" t="s">
        <v>737</v>
      </c>
      <c r="B8644" t="s">
        <v>96</v>
      </c>
      <c r="C8644" s="1">
        <f>HYPERLINK("https://cao.dolgi.msk.ru/account/1011360372/", 1011360372)</f>
        <v>1011360372</v>
      </c>
      <c r="D8644">
        <v>12317.34</v>
      </c>
    </row>
    <row r="8645" spans="1:4" hidden="1" x14ac:dyDescent="0.3">
      <c r="A8645" t="s">
        <v>737</v>
      </c>
      <c r="B8645" t="s">
        <v>97</v>
      </c>
      <c r="C8645" s="1">
        <f>HYPERLINK("https://cao.dolgi.msk.ru/account/1011360399/", 1011360399)</f>
        <v>1011360399</v>
      </c>
      <c r="D8645">
        <v>0</v>
      </c>
    </row>
    <row r="8646" spans="1:4" hidden="1" x14ac:dyDescent="0.3">
      <c r="A8646" t="s">
        <v>737</v>
      </c>
      <c r="B8646" t="s">
        <v>98</v>
      </c>
      <c r="C8646" s="1">
        <f>HYPERLINK("https://cao.dolgi.msk.ru/account/1011360129/", 1011360129)</f>
        <v>1011360129</v>
      </c>
      <c r="D8646">
        <v>0</v>
      </c>
    </row>
    <row r="8647" spans="1:4" hidden="1" x14ac:dyDescent="0.3">
      <c r="A8647" t="s">
        <v>737</v>
      </c>
      <c r="B8647" t="s">
        <v>58</v>
      </c>
      <c r="C8647" s="1">
        <f>HYPERLINK("https://cao.dolgi.msk.ru/account/1011360508/", 1011360508)</f>
        <v>1011360508</v>
      </c>
      <c r="D8647">
        <v>0</v>
      </c>
    </row>
    <row r="8648" spans="1:4" hidden="1" x14ac:dyDescent="0.3">
      <c r="A8648" t="s">
        <v>737</v>
      </c>
      <c r="B8648" t="s">
        <v>59</v>
      </c>
      <c r="C8648" s="1">
        <f>HYPERLINK("https://cao.dolgi.msk.ru/account/1011360225/", 1011360225)</f>
        <v>1011360225</v>
      </c>
      <c r="D8648">
        <v>-2936.37</v>
      </c>
    </row>
    <row r="8649" spans="1:4" hidden="1" x14ac:dyDescent="0.3">
      <c r="A8649" t="s">
        <v>737</v>
      </c>
      <c r="B8649" t="s">
        <v>60</v>
      </c>
      <c r="C8649" s="1">
        <f>HYPERLINK("https://cao.dolgi.msk.ru/account/1011360049/", 1011360049)</f>
        <v>1011360049</v>
      </c>
      <c r="D8649">
        <v>0</v>
      </c>
    </row>
    <row r="8650" spans="1:4" hidden="1" x14ac:dyDescent="0.3">
      <c r="A8650" t="s">
        <v>737</v>
      </c>
      <c r="B8650" t="s">
        <v>61</v>
      </c>
      <c r="C8650" s="1">
        <f>HYPERLINK("https://cao.dolgi.msk.ru/account/1011360575/", 1011360575)</f>
        <v>1011360575</v>
      </c>
      <c r="D8650">
        <v>-605.04</v>
      </c>
    </row>
    <row r="8651" spans="1:4" hidden="1" x14ac:dyDescent="0.3">
      <c r="A8651" t="s">
        <v>737</v>
      </c>
      <c r="B8651" t="s">
        <v>62</v>
      </c>
      <c r="C8651" s="1">
        <f>HYPERLINK("https://cao.dolgi.msk.ru/account/1011360479/", 1011360479)</f>
        <v>1011360479</v>
      </c>
      <c r="D8651">
        <v>0</v>
      </c>
    </row>
    <row r="8652" spans="1:4" hidden="1" x14ac:dyDescent="0.3">
      <c r="A8652" t="s">
        <v>737</v>
      </c>
      <c r="B8652" t="s">
        <v>63</v>
      </c>
      <c r="C8652" s="1">
        <f>HYPERLINK("https://cao.dolgi.msk.ru/account/1011360137/", 1011360137)</f>
        <v>1011360137</v>
      </c>
      <c r="D8652">
        <v>0</v>
      </c>
    </row>
    <row r="8653" spans="1:4" hidden="1" x14ac:dyDescent="0.3">
      <c r="A8653" t="s">
        <v>737</v>
      </c>
      <c r="B8653" t="s">
        <v>64</v>
      </c>
      <c r="C8653" s="1">
        <f>HYPERLINK("https://cao.dolgi.msk.ru/account/1011360276/", 1011360276)</f>
        <v>1011360276</v>
      </c>
      <c r="D8653">
        <v>-5352.47</v>
      </c>
    </row>
    <row r="8654" spans="1:4" hidden="1" x14ac:dyDescent="0.3">
      <c r="A8654" t="s">
        <v>737</v>
      </c>
      <c r="B8654" t="s">
        <v>65</v>
      </c>
      <c r="C8654" s="1">
        <f>HYPERLINK("https://cao.dolgi.msk.ru/account/1011360401/", 1011360401)</f>
        <v>1011360401</v>
      </c>
      <c r="D8654">
        <v>0</v>
      </c>
    </row>
    <row r="8655" spans="1:4" hidden="1" x14ac:dyDescent="0.3">
      <c r="A8655" t="s">
        <v>737</v>
      </c>
      <c r="B8655" t="s">
        <v>66</v>
      </c>
      <c r="C8655" s="1">
        <f>HYPERLINK("https://cao.dolgi.msk.ru/account/1011360647/", 1011360647)</f>
        <v>1011360647</v>
      </c>
      <c r="D8655">
        <v>0</v>
      </c>
    </row>
    <row r="8656" spans="1:4" hidden="1" x14ac:dyDescent="0.3">
      <c r="A8656" t="s">
        <v>737</v>
      </c>
      <c r="B8656" t="s">
        <v>67</v>
      </c>
      <c r="C8656" s="1">
        <f>HYPERLINK("https://cao.dolgi.msk.ru/account/1011360364/", 1011360364)</f>
        <v>1011360364</v>
      </c>
      <c r="D8656">
        <v>0</v>
      </c>
    </row>
    <row r="8657" spans="1:4" hidden="1" x14ac:dyDescent="0.3">
      <c r="A8657" t="s">
        <v>737</v>
      </c>
      <c r="B8657" t="s">
        <v>68</v>
      </c>
      <c r="C8657" s="1">
        <f>HYPERLINK("https://cao.dolgi.msk.ru/account/1011360305/", 1011360305)</f>
        <v>1011360305</v>
      </c>
      <c r="D8657">
        <v>0</v>
      </c>
    </row>
    <row r="8658" spans="1:4" hidden="1" x14ac:dyDescent="0.3">
      <c r="A8658" t="s">
        <v>737</v>
      </c>
      <c r="B8658" t="s">
        <v>69</v>
      </c>
      <c r="C8658" s="1">
        <f>HYPERLINK("https://cao.dolgi.msk.ru/account/1011360532/", 1011360532)</f>
        <v>1011360532</v>
      </c>
      <c r="D8658">
        <v>0</v>
      </c>
    </row>
    <row r="8659" spans="1:4" x14ac:dyDescent="0.3">
      <c r="A8659" t="s">
        <v>737</v>
      </c>
      <c r="B8659" t="s">
        <v>70</v>
      </c>
      <c r="C8659" s="1">
        <f>HYPERLINK("https://cao.dolgi.msk.ru/account/1011360153/", 1011360153)</f>
        <v>1011360153</v>
      </c>
      <c r="D8659">
        <v>3380.02</v>
      </c>
    </row>
    <row r="8660" spans="1:4" hidden="1" x14ac:dyDescent="0.3">
      <c r="A8660" t="s">
        <v>737</v>
      </c>
      <c r="B8660" t="s">
        <v>259</v>
      </c>
      <c r="C8660" s="1">
        <f>HYPERLINK("https://cao.dolgi.msk.ru/account/1011360161/", 1011360161)</f>
        <v>1011360161</v>
      </c>
      <c r="D8660">
        <v>0</v>
      </c>
    </row>
    <row r="8661" spans="1:4" hidden="1" x14ac:dyDescent="0.3">
      <c r="A8661" t="s">
        <v>737</v>
      </c>
      <c r="B8661" t="s">
        <v>100</v>
      </c>
      <c r="C8661" s="1">
        <f>HYPERLINK("https://cao.dolgi.msk.ru/account/1011359937/", 1011359937)</f>
        <v>1011359937</v>
      </c>
      <c r="D8661">
        <v>-5417.05</v>
      </c>
    </row>
    <row r="8662" spans="1:4" hidden="1" x14ac:dyDescent="0.3">
      <c r="A8662" t="s">
        <v>737</v>
      </c>
      <c r="B8662" t="s">
        <v>72</v>
      </c>
      <c r="C8662" s="1">
        <f>HYPERLINK("https://cao.dolgi.msk.ru/account/1011360145/", 1011360145)</f>
        <v>1011360145</v>
      </c>
      <c r="D8662">
        <v>0</v>
      </c>
    </row>
    <row r="8663" spans="1:4" hidden="1" x14ac:dyDescent="0.3">
      <c r="A8663" t="s">
        <v>737</v>
      </c>
      <c r="B8663" t="s">
        <v>73</v>
      </c>
      <c r="C8663" s="1">
        <f>HYPERLINK("https://cao.dolgi.msk.ru/account/1011360057/", 1011360057)</f>
        <v>1011360057</v>
      </c>
      <c r="D8663">
        <v>-985.2</v>
      </c>
    </row>
    <row r="8664" spans="1:4" hidden="1" x14ac:dyDescent="0.3">
      <c r="A8664" t="s">
        <v>737</v>
      </c>
      <c r="B8664" t="s">
        <v>74</v>
      </c>
      <c r="C8664" s="1">
        <f>HYPERLINK("https://cao.dolgi.msk.ru/account/1011360022/", 1011360022)</f>
        <v>1011360022</v>
      </c>
      <c r="D8664">
        <v>0</v>
      </c>
    </row>
    <row r="8665" spans="1:4" hidden="1" x14ac:dyDescent="0.3">
      <c r="A8665" t="s">
        <v>737</v>
      </c>
      <c r="B8665" t="s">
        <v>75</v>
      </c>
      <c r="C8665" s="1">
        <f>HYPERLINK("https://cao.dolgi.msk.ru/account/1011360559/", 1011360559)</f>
        <v>1011360559</v>
      </c>
      <c r="D8665">
        <v>0</v>
      </c>
    </row>
    <row r="8666" spans="1:4" hidden="1" x14ac:dyDescent="0.3">
      <c r="A8666" t="s">
        <v>737</v>
      </c>
      <c r="B8666" t="s">
        <v>76</v>
      </c>
      <c r="C8666" s="1">
        <f>HYPERLINK("https://cao.dolgi.msk.ru/account/1011360663/", 1011360663)</f>
        <v>1011360663</v>
      </c>
      <c r="D8666">
        <v>-18047.63</v>
      </c>
    </row>
    <row r="8667" spans="1:4" hidden="1" x14ac:dyDescent="0.3">
      <c r="A8667" t="s">
        <v>737</v>
      </c>
      <c r="B8667" t="s">
        <v>77</v>
      </c>
      <c r="C8667" s="1">
        <f>HYPERLINK("https://cao.dolgi.msk.ru/account/1011359988/", 1011359988)</f>
        <v>1011359988</v>
      </c>
      <c r="D8667">
        <v>0</v>
      </c>
    </row>
    <row r="8668" spans="1:4" hidden="1" x14ac:dyDescent="0.3">
      <c r="A8668" t="s">
        <v>737</v>
      </c>
      <c r="B8668" t="s">
        <v>78</v>
      </c>
      <c r="C8668" s="1">
        <f>HYPERLINK("https://cao.dolgi.msk.ru/account/1011360196/", 1011360196)</f>
        <v>1011360196</v>
      </c>
      <c r="D8668">
        <v>0</v>
      </c>
    </row>
    <row r="8669" spans="1:4" hidden="1" x14ac:dyDescent="0.3">
      <c r="A8669" t="s">
        <v>737</v>
      </c>
      <c r="B8669" t="s">
        <v>79</v>
      </c>
      <c r="C8669" s="1">
        <f>HYPERLINK("https://cao.dolgi.msk.ru/account/1011359822/", 1011359822)</f>
        <v>1011359822</v>
      </c>
      <c r="D8669">
        <v>-1588.17</v>
      </c>
    </row>
    <row r="8670" spans="1:4" x14ac:dyDescent="0.3">
      <c r="A8670" t="s">
        <v>737</v>
      </c>
      <c r="B8670" t="s">
        <v>80</v>
      </c>
      <c r="C8670" s="1">
        <f>HYPERLINK("https://cao.dolgi.msk.ru/account/1011360444/", 1011360444)</f>
        <v>1011360444</v>
      </c>
      <c r="D8670">
        <v>13561.5</v>
      </c>
    </row>
    <row r="8671" spans="1:4" hidden="1" x14ac:dyDescent="0.3">
      <c r="A8671" t="s">
        <v>737</v>
      </c>
      <c r="B8671" t="s">
        <v>81</v>
      </c>
      <c r="C8671" s="1">
        <f>HYPERLINK("https://cao.dolgi.msk.ru/account/1011360233/", 1011360233)</f>
        <v>1011360233</v>
      </c>
      <c r="D8671">
        <v>0</v>
      </c>
    </row>
    <row r="8672" spans="1:4" hidden="1" x14ac:dyDescent="0.3">
      <c r="A8672" t="s">
        <v>737</v>
      </c>
      <c r="B8672" t="s">
        <v>101</v>
      </c>
      <c r="C8672" s="1">
        <f>HYPERLINK("https://cao.dolgi.msk.ru/account/1011360065/", 1011360065)</f>
        <v>1011360065</v>
      </c>
      <c r="D8672">
        <v>0</v>
      </c>
    </row>
    <row r="8673" spans="1:4" x14ac:dyDescent="0.3">
      <c r="A8673" t="s">
        <v>738</v>
      </c>
      <c r="B8673" t="s">
        <v>6</v>
      </c>
      <c r="C8673" s="1">
        <f>HYPERLINK("https://cao.dolgi.msk.ru/account/1011402915/", 1011402915)</f>
        <v>1011402915</v>
      </c>
      <c r="D8673">
        <v>7637.82</v>
      </c>
    </row>
    <row r="8674" spans="1:4" hidden="1" x14ac:dyDescent="0.3">
      <c r="A8674" t="s">
        <v>738</v>
      </c>
      <c r="B8674" t="s">
        <v>28</v>
      </c>
      <c r="C8674" s="1">
        <f>HYPERLINK("https://cao.dolgi.msk.ru/account/1011402739/", 1011402739)</f>
        <v>1011402739</v>
      </c>
      <c r="D8674">
        <v>-6143.16</v>
      </c>
    </row>
    <row r="8675" spans="1:4" hidden="1" x14ac:dyDescent="0.3">
      <c r="A8675" t="s">
        <v>738</v>
      </c>
      <c r="B8675" t="s">
        <v>35</v>
      </c>
      <c r="C8675" s="1">
        <f>HYPERLINK("https://cao.dolgi.msk.ru/account/1011402579/", 1011402579)</f>
        <v>1011402579</v>
      </c>
      <c r="D8675">
        <v>-12882.18</v>
      </c>
    </row>
    <row r="8676" spans="1:4" hidden="1" x14ac:dyDescent="0.3">
      <c r="A8676" t="s">
        <v>738</v>
      </c>
      <c r="B8676" t="s">
        <v>739</v>
      </c>
      <c r="C8676" s="1">
        <f>HYPERLINK("https://cao.dolgi.msk.ru/account/1011402755/", 1011402755)</f>
        <v>1011402755</v>
      </c>
      <c r="D8676">
        <v>0</v>
      </c>
    </row>
    <row r="8677" spans="1:4" hidden="1" x14ac:dyDescent="0.3">
      <c r="A8677" t="s">
        <v>738</v>
      </c>
      <c r="B8677" t="s">
        <v>5</v>
      </c>
      <c r="C8677" s="1">
        <f>HYPERLINK("https://cao.dolgi.msk.ru/account/1011402691/", 1011402691)</f>
        <v>1011402691</v>
      </c>
      <c r="D8677">
        <v>-13064.87</v>
      </c>
    </row>
    <row r="8678" spans="1:4" hidden="1" x14ac:dyDescent="0.3">
      <c r="A8678" t="s">
        <v>738</v>
      </c>
      <c r="B8678" t="s">
        <v>740</v>
      </c>
      <c r="C8678" s="1">
        <f>HYPERLINK("https://cao.dolgi.msk.ru/account/1011402501/", 1011402501)</f>
        <v>1011402501</v>
      </c>
      <c r="D8678">
        <v>0</v>
      </c>
    </row>
    <row r="8679" spans="1:4" hidden="1" x14ac:dyDescent="0.3">
      <c r="A8679" t="s">
        <v>738</v>
      </c>
      <c r="B8679" t="s">
        <v>7</v>
      </c>
      <c r="C8679" s="1">
        <f>HYPERLINK("https://cao.dolgi.msk.ru/account/1011402405/", 1011402405)</f>
        <v>1011402405</v>
      </c>
      <c r="D8679">
        <v>0</v>
      </c>
    </row>
    <row r="8680" spans="1:4" hidden="1" x14ac:dyDescent="0.3">
      <c r="A8680" t="s">
        <v>738</v>
      </c>
      <c r="B8680" t="s">
        <v>342</v>
      </c>
      <c r="C8680" s="1">
        <f>HYPERLINK("https://cao.dolgi.msk.ru/account/1011402907/", 1011402907)</f>
        <v>1011402907</v>
      </c>
      <c r="D8680">
        <v>-10301.84</v>
      </c>
    </row>
    <row r="8681" spans="1:4" hidden="1" x14ac:dyDescent="0.3">
      <c r="A8681" t="s">
        <v>738</v>
      </c>
      <c r="B8681" t="s">
        <v>8</v>
      </c>
      <c r="C8681" s="1">
        <f>HYPERLINK("https://cao.dolgi.msk.ru/account/1011402771/", 1011402771)</f>
        <v>1011402771</v>
      </c>
      <c r="D8681">
        <v>-60.24</v>
      </c>
    </row>
    <row r="8682" spans="1:4" hidden="1" x14ac:dyDescent="0.3">
      <c r="A8682" t="s">
        <v>738</v>
      </c>
      <c r="B8682" t="s">
        <v>343</v>
      </c>
      <c r="C8682" s="1">
        <f>HYPERLINK("https://cao.dolgi.msk.ru/account/1011402827/", 1011402827)</f>
        <v>1011402827</v>
      </c>
      <c r="D8682">
        <v>-67.150000000000006</v>
      </c>
    </row>
    <row r="8683" spans="1:4" hidden="1" x14ac:dyDescent="0.3">
      <c r="A8683" t="s">
        <v>738</v>
      </c>
      <c r="B8683" t="s">
        <v>31</v>
      </c>
      <c r="C8683" s="1">
        <f>HYPERLINK("https://cao.dolgi.msk.ru/account/1011402421/", 1011402421)</f>
        <v>1011402421</v>
      </c>
      <c r="D8683">
        <v>0</v>
      </c>
    </row>
    <row r="8684" spans="1:4" hidden="1" x14ac:dyDescent="0.3">
      <c r="A8684" t="s">
        <v>738</v>
      </c>
      <c r="B8684" t="s">
        <v>31</v>
      </c>
      <c r="C8684" s="1">
        <f>HYPERLINK("https://cao.dolgi.msk.ru/account/1011402536/", 1011402536)</f>
        <v>1011402536</v>
      </c>
      <c r="D8684">
        <v>0</v>
      </c>
    </row>
    <row r="8685" spans="1:4" hidden="1" x14ac:dyDescent="0.3">
      <c r="A8685" t="s">
        <v>738</v>
      </c>
      <c r="B8685" t="s">
        <v>9</v>
      </c>
      <c r="C8685" s="1">
        <f>HYPERLINK("https://cao.dolgi.msk.ru/account/1011402392/", 1011402392)</f>
        <v>1011402392</v>
      </c>
      <c r="D8685">
        <v>-9319.86</v>
      </c>
    </row>
    <row r="8686" spans="1:4" hidden="1" x14ac:dyDescent="0.3">
      <c r="A8686" t="s">
        <v>738</v>
      </c>
      <c r="B8686" t="s">
        <v>10</v>
      </c>
      <c r="C8686" s="1">
        <f>HYPERLINK("https://cao.dolgi.msk.ru/account/1011403002/", 1011403002)</f>
        <v>1011403002</v>
      </c>
      <c r="D8686">
        <v>0</v>
      </c>
    </row>
    <row r="8687" spans="1:4" hidden="1" x14ac:dyDescent="0.3">
      <c r="A8687" t="s">
        <v>738</v>
      </c>
      <c r="B8687" t="s">
        <v>11</v>
      </c>
      <c r="C8687" s="1">
        <f>HYPERLINK("https://cao.dolgi.msk.ru/account/1011402528/", 1011402528)</f>
        <v>1011402528</v>
      </c>
      <c r="D8687">
        <v>0</v>
      </c>
    </row>
    <row r="8688" spans="1:4" x14ac:dyDescent="0.3">
      <c r="A8688" t="s">
        <v>738</v>
      </c>
      <c r="B8688" t="s">
        <v>12</v>
      </c>
      <c r="C8688" s="1">
        <f>HYPERLINK("https://cao.dolgi.msk.ru/account/1011403088/", 1011403088)</f>
        <v>1011403088</v>
      </c>
      <c r="D8688">
        <v>5136.7</v>
      </c>
    </row>
    <row r="8689" spans="1:4" hidden="1" x14ac:dyDescent="0.3">
      <c r="A8689" t="s">
        <v>738</v>
      </c>
      <c r="B8689" t="s">
        <v>23</v>
      </c>
      <c r="C8689" s="1">
        <f>HYPERLINK("https://cao.dolgi.msk.ru/account/1011402632/", 1011402632)</f>
        <v>1011402632</v>
      </c>
      <c r="D8689">
        <v>0</v>
      </c>
    </row>
    <row r="8690" spans="1:4" hidden="1" x14ac:dyDescent="0.3">
      <c r="A8690" t="s">
        <v>738</v>
      </c>
      <c r="B8690" t="s">
        <v>13</v>
      </c>
      <c r="C8690" s="1">
        <f>HYPERLINK("https://cao.dolgi.msk.ru/account/1011402616/", 1011402616)</f>
        <v>1011402616</v>
      </c>
      <c r="D8690">
        <v>0</v>
      </c>
    </row>
    <row r="8691" spans="1:4" hidden="1" x14ac:dyDescent="0.3">
      <c r="A8691" t="s">
        <v>738</v>
      </c>
      <c r="B8691" t="s">
        <v>14</v>
      </c>
      <c r="C8691" s="1">
        <f>HYPERLINK("https://cao.dolgi.msk.ru/account/1011403061/", 1011403061)</f>
        <v>1011403061</v>
      </c>
      <c r="D8691">
        <v>0</v>
      </c>
    </row>
    <row r="8692" spans="1:4" hidden="1" x14ac:dyDescent="0.3">
      <c r="A8692" t="s">
        <v>738</v>
      </c>
      <c r="B8692" t="s">
        <v>16</v>
      </c>
      <c r="C8692" s="1">
        <f>HYPERLINK("https://cao.dolgi.msk.ru/account/1011402464/", 1011402464)</f>
        <v>1011402464</v>
      </c>
      <c r="D8692">
        <v>0</v>
      </c>
    </row>
    <row r="8693" spans="1:4" hidden="1" x14ac:dyDescent="0.3">
      <c r="A8693" t="s">
        <v>738</v>
      </c>
      <c r="B8693" t="s">
        <v>17</v>
      </c>
      <c r="C8693" s="1">
        <f>HYPERLINK("https://cao.dolgi.msk.ru/account/1011403096/", 1011403096)</f>
        <v>1011403096</v>
      </c>
      <c r="D8693">
        <v>-15751.56</v>
      </c>
    </row>
    <row r="8694" spans="1:4" hidden="1" x14ac:dyDescent="0.3">
      <c r="A8694" t="s">
        <v>738</v>
      </c>
      <c r="B8694" t="s">
        <v>18</v>
      </c>
      <c r="C8694" s="1">
        <f>HYPERLINK("https://cao.dolgi.msk.ru/account/1011402712/", 1011402712)</f>
        <v>1011402712</v>
      </c>
      <c r="D8694">
        <v>0</v>
      </c>
    </row>
    <row r="8695" spans="1:4" hidden="1" x14ac:dyDescent="0.3">
      <c r="A8695" t="s">
        <v>738</v>
      </c>
      <c r="B8695" t="s">
        <v>19</v>
      </c>
      <c r="C8695" s="1">
        <f>HYPERLINK("https://cao.dolgi.msk.ru/account/1011402624/", 1011402624)</f>
        <v>1011402624</v>
      </c>
      <c r="D8695">
        <v>-19353.349999999999</v>
      </c>
    </row>
    <row r="8696" spans="1:4" hidden="1" x14ac:dyDescent="0.3">
      <c r="A8696" t="s">
        <v>738</v>
      </c>
      <c r="B8696" t="s">
        <v>20</v>
      </c>
      <c r="C8696" s="1">
        <f>HYPERLINK("https://cao.dolgi.msk.ru/account/1011402544/", 1011402544)</f>
        <v>1011402544</v>
      </c>
      <c r="D8696">
        <v>0</v>
      </c>
    </row>
    <row r="8697" spans="1:4" hidden="1" x14ac:dyDescent="0.3">
      <c r="A8697" t="s">
        <v>738</v>
      </c>
      <c r="B8697" t="s">
        <v>21</v>
      </c>
      <c r="C8697" s="1">
        <f>HYPERLINK("https://cao.dolgi.msk.ru/account/1011402704/", 1011402704)</f>
        <v>1011402704</v>
      </c>
      <c r="D8697">
        <v>-629.28</v>
      </c>
    </row>
    <row r="8698" spans="1:4" hidden="1" x14ac:dyDescent="0.3">
      <c r="A8698" t="s">
        <v>738</v>
      </c>
      <c r="B8698" t="s">
        <v>22</v>
      </c>
      <c r="C8698" s="1">
        <f>HYPERLINK("https://cao.dolgi.msk.ru/account/1011402923/", 1011402923)</f>
        <v>1011402923</v>
      </c>
      <c r="D8698">
        <v>-15751.33</v>
      </c>
    </row>
    <row r="8699" spans="1:4" hidden="1" x14ac:dyDescent="0.3">
      <c r="A8699" t="s">
        <v>738</v>
      </c>
      <c r="B8699" t="s">
        <v>24</v>
      </c>
      <c r="C8699" s="1">
        <f>HYPERLINK("https://cao.dolgi.msk.ru/account/1011402851/", 1011402851)</f>
        <v>1011402851</v>
      </c>
      <c r="D8699">
        <v>0</v>
      </c>
    </row>
    <row r="8700" spans="1:4" hidden="1" x14ac:dyDescent="0.3">
      <c r="A8700" t="s">
        <v>738</v>
      </c>
      <c r="B8700" t="s">
        <v>25</v>
      </c>
      <c r="C8700" s="1">
        <f>HYPERLINK("https://cao.dolgi.msk.ru/account/1011402835/", 1011402835)</f>
        <v>1011402835</v>
      </c>
      <c r="D8700">
        <v>-15862.65</v>
      </c>
    </row>
    <row r="8701" spans="1:4" hidden="1" x14ac:dyDescent="0.3">
      <c r="A8701" t="s">
        <v>738</v>
      </c>
      <c r="B8701" t="s">
        <v>26</v>
      </c>
      <c r="C8701" s="1">
        <f>HYPERLINK("https://cao.dolgi.msk.ru/account/1011402931/", 1011402931)</f>
        <v>1011402931</v>
      </c>
      <c r="D8701">
        <v>0</v>
      </c>
    </row>
    <row r="8702" spans="1:4" hidden="1" x14ac:dyDescent="0.3">
      <c r="A8702" t="s">
        <v>738</v>
      </c>
      <c r="B8702" t="s">
        <v>27</v>
      </c>
      <c r="C8702" s="1">
        <f>HYPERLINK("https://cao.dolgi.msk.ru/account/1011402587/", 1011402587)</f>
        <v>1011402587</v>
      </c>
      <c r="D8702">
        <v>-10646.66</v>
      </c>
    </row>
    <row r="8703" spans="1:4" x14ac:dyDescent="0.3">
      <c r="A8703" t="s">
        <v>738</v>
      </c>
      <c r="B8703" t="s">
        <v>29</v>
      </c>
      <c r="C8703" s="1">
        <f>HYPERLINK("https://cao.dolgi.msk.ru/account/1011402413/", 1011402413)</f>
        <v>1011402413</v>
      </c>
      <c r="D8703">
        <v>3245.36</v>
      </c>
    </row>
    <row r="8704" spans="1:4" hidden="1" x14ac:dyDescent="0.3">
      <c r="A8704" t="s">
        <v>738</v>
      </c>
      <c r="B8704" t="s">
        <v>38</v>
      </c>
      <c r="C8704" s="1">
        <f>HYPERLINK("https://cao.dolgi.msk.ru/account/1011402472/", 1011402472)</f>
        <v>1011402472</v>
      </c>
      <c r="D8704">
        <v>0</v>
      </c>
    </row>
    <row r="8705" spans="1:4" hidden="1" x14ac:dyDescent="0.3">
      <c r="A8705" t="s">
        <v>738</v>
      </c>
      <c r="B8705" t="s">
        <v>39</v>
      </c>
      <c r="C8705" s="1">
        <f>HYPERLINK("https://cao.dolgi.msk.ru/account/1011402798/", 1011402798)</f>
        <v>1011402798</v>
      </c>
      <c r="D8705">
        <v>-12035.36</v>
      </c>
    </row>
    <row r="8706" spans="1:4" hidden="1" x14ac:dyDescent="0.3">
      <c r="A8706" t="s">
        <v>738</v>
      </c>
      <c r="B8706" t="s">
        <v>40</v>
      </c>
      <c r="C8706" s="1">
        <f>HYPERLINK("https://cao.dolgi.msk.ru/account/1011402878/", 1011402878)</f>
        <v>1011402878</v>
      </c>
      <c r="D8706">
        <v>-10245.049999999999</v>
      </c>
    </row>
    <row r="8707" spans="1:4" hidden="1" x14ac:dyDescent="0.3">
      <c r="A8707" t="s">
        <v>738</v>
      </c>
      <c r="B8707" t="s">
        <v>41</v>
      </c>
      <c r="C8707" s="1">
        <f>HYPERLINK("https://cao.dolgi.msk.ru/account/1011402958/", 1011402958)</f>
        <v>1011402958</v>
      </c>
      <c r="D8707">
        <v>-14452.7</v>
      </c>
    </row>
    <row r="8708" spans="1:4" hidden="1" x14ac:dyDescent="0.3">
      <c r="A8708" t="s">
        <v>738</v>
      </c>
      <c r="B8708" t="s">
        <v>51</v>
      </c>
      <c r="C8708" s="1">
        <f>HYPERLINK("https://cao.dolgi.msk.ru/account/1011402499/", 1011402499)</f>
        <v>1011402499</v>
      </c>
      <c r="D8708">
        <v>0</v>
      </c>
    </row>
    <row r="8709" spans="1:4" hidden="1" x14ac:dyDescent="0.3">
      <c r="A8709" t="s">
        <v>738</v>
      </c>
      <c r="B8709" t="s">
        <v>52</v>
      </c>
      <c r="C8709" s="1">
        <f>HYPERLINK("https://cao.dolgi.msk.ru/account/1011402552/", 1011402552)</f>
        <v>1011402552</v>
      </c>
      <c r="D8709">
        <v>-58.21</v>
      </c>
    </row>
    <row r="8710" spans="1:4" hidden="1" x14ac:dyDescent="0.3">
      <c r="A8710" t="s">
        <v>738</v>
      </c>
      <c r="B8710" t="s">
        <v>53</v>
      </c>
      <c r="C8710" s="1">
        <f>HYPERLINK("https://cao.dolgi.msk.ru/account/1011402667/", 1011402667)</f>
        <v>1011402667</v>
      </c>
      <c r="D8710">
        <v>-9730.8700000000008</v>
      </c>
    </row>
    <row r="8711" spans="1:4" hidden="1" x14ac:dyDescent="0.3">
      <c r="A8711" t="s">
        <v>738</v>
      </c>
      <c r="B8711" t="s">
        <v>54</v>
      </c>
      <c r="C8711" s="1">
        <f>HYPERLINK("https://cao.dolgi.msk.ru/account/1011402675/", 1011402675)</f>
        <v>1011402675</v>
      </c>
      <c r="D8711">
        <v>-13127.98</v>
      </c>
    </row>
    <row r="8712" spans="1:4" x14ac:dyDescent="0.3">
      <c r="A8712" t="s">
        <v>738</v>
      </c>
      <c r="B8712" t="s">
        <v>55</v>
      </c>
      <c r="C8712" s="1">
        <f>HYPERLINK("https://cao.dolgi.msk.ru/account/1011402595/", 1011402595)</f>
        <v>1011402595</v>
      </c>
      <c r="D8712">
        <v>8058.47</v>
      </c>
    </row>
    <row r="8713" spans="1:4" hidden="1" x14ac:dyDescent="0.3">
      <c r="A8713" t="s">
        <v>738</v>
      </c>
      <c r="B8713" t="s">
        <v>56</v>
      </c>
      <c r="C8713" s="1">
        <f>HYPERLINK("https://cao.dolgi.msk.ru/account/1011402974/", 1011402974)</f>
        <v>1011402974</v>
      </c>
      <c r="D8713">
        <v>0</v>
      </c>
    </row>
    <row r="8714" spans="1:4" x14ac:dyDescent="0.3">
      <c r="A8714" t="s">
        <v>738</v>
      </c>
      <c r="B8714" t="s">
        <v>87</v>
      </c>
      <c r="C8714" s="1">
        <f>HYPERLINK("https://cao.dolgi.msk.ru/account/1011402683/", 1011402683)</f>
        <v>1011402683</v>
      </c>
      <c r="D8714">
        <v>8040.57</v>
      </c>
    </row>
    <row r="8715" spans="1:4" hidden="1" x14ac:dyDescent="0.3">
      <c r="A8715" t="s">
        <v>738</v>
      </c>
      <c r="B8715" t="s">
        <v>88</v>
      </c>
      <c r="C8715" s="1">
        <f>HYPERLINK("https://cao.dolgi.msk.ru/account/1011403037/", 1011403037)</f>
        <v>1011403037</v>
      </c>
      <c r="D8715">
        <v>0</v>
      </c>
    </row>
    <row r="8716" spans="1:4" hidden="1" x14ac:dyDescent="0.3">
      <c r="A8716" t="s">
        <v>738</v>
      </c>
      <c r="B8716" t="s">
        <v>89</v>
      </c>
      <c r="C8716" s="1">
        <f>HYPERLINK("https://cao.dolgi.msk.ru/account/1011402886/", 1011402886)</f>
        <v>1011402886</v>
      </c>
      <c r="D8716">
        <v>0</v>
      </c>
    </row>
    <row r="8717" spans="1:4" hidden="1" x14ac:dyDescent="0.3">
      <c r="A8717" t="s">
        <v>738</v>
      </c>
      <c r="B8717" t="s">
        <v>90</v>
      </c>
      <c r="C8717" s="1">
        <f>HYPERLINK("https://cao.dolgi.msk.ru/account/1011402448/", 1011402448)</f>
        <v>1011402448</v>
      </c>
      <c r="D8717">
        <v>0</v>
      </c>
    </row>
    <row r="8718" spans="1:4" hidden="1" x14ac:dyDescent="0.3">
      <c r="A8718" t="s">
        <v>738</v>
      </c>
      <c r="B8718" t="s">
        <v>97</v>
      </c>
      <c r="C8718" s="1">
        <f>HYPERLINK("https://cao.dolgi.msk.ru/account/1011402966/", 1011402966)</f>
        <v>1011402966</v>
      </c>
      <c r="D8718">
        <v>-11728.16</v>
      </c>
    </row>
    <row r="8719" spans="1:4" hidden="1" x14ac:dyDescent="0.3">
      <c r="A8719" t="s">
        <v>738</v>
      </c>
      <c r="B8719" t="s">
        <v>98</v>
      </c>
      <c r="C8719" s="1">
        <f>HYPERLINK("https://cao.dolgi.msk.ru/account/1011402456/", 1011402456)</f>
        <v>1011402456</v>
      </c>
      <c r="D8719">
        <v>0</v>
      </c>
    </row>
    <row r="8720" spans="1:4" hidden="1" x14ac:dyDescent="0.3">
      <c r="A8720" t="s">
        <v>738</v>
      </c>
      <c r="B8720" t="s">
        <v>58</v>
      </c>
      <c r="C8720" s="1">
        <f>HYPERLINK("https://cao.dolgi.msk.ru/account/1011402894/", 1011402894)</f>
        <v>1011402894</v>
      </c>
      <c r="D8720">
        <v>-29.1</v>
      </c>
    </row>
    <row r="8721" spans="1:4" hidden="1" x14ac:dyDescent="0.3">
      <c r="A8721" t="s">
        <v>738</v>
      </c>
      <c r="B8721" t="s">
        <v>741</v>
      </c>
      <c r="C8721" s="1">
        <f>HYPERLINK("https://cao.dolgi.msk.ru/account/1011402763/", 1011402763)</f>
        <v>1011402763</v>
      </c>
      <c r="D8721">
        <v>-29.1</v>
      </c>
    </row>
    <row r="8722" spans="1:4" hidden="1" x14ac:dyDescent="0.3">
      <c r="A8722" t="s">
        <v>738</v>
      </c>
      <c r="B8722" t="s">
        <v>59</v>
      </c>
      <c r="C8722" s="1">
        <f>HYPERLINK("https://cao.dolgi.msk.ru/account/1011402608/", 1011402608)</f>
        <v>1011402608</v>
      </c>
      <c r="D8722">
        <v>-10503.23</v>
      </c>
    </row>
    <row r="8723" spans="1:4" hidden="1" x14ac:dyDescent="0.3">
      <c r="A8723" t="s">
        <v>738</v>
      </c>
      <c r="B8723" t="s">
        <v>742</v>
      </c>
      <c r="C8723" s="1">
        <f>HYPERLINK("https://cao.dolgi.msk.ru/account/1011402982/", 1011402982)</f>
        <v>1011402982</v>
      </c>
      <c r="D8723">
        <v>-29.1</v>
      </c>
    </row>
    <row r="8724" spans="1:4" hidden="1" x14ac:dyDescent="0.3">
      <c r="A8724" t="s">
        <v>738</v>
      </c>
      <c r="B8724" t="s">
        <v>60</v>
      </c>
      <c r="C8724" s="1">
        <f>HYPERLINK("https://cao.dolgi.msk.ru/account/1011402368/", 1011402368)</f>
        <v>1011402368</v>
      </c>
      <c r="D8724">
        <v>-4534.05</v>
      </c>
    </row>
    <row r="8725" spans="1:4" hidden="1" x14ac:dyDescent="0.3">
      <c r="A8725" t="s">
        <v>738</v>
      </c>
      <c r="B8725" t="s">
        <v>743</v>
      </c>
      <c r="C8725" s="1">
        <f>HYPERLINK("https://cao.dolgi.msk.ru/account/1011510326/", 1011510326)</f>
        <v>1011510326</v>
      </c>
      <c r="D8725">
        <v>-10019.23</v>
      </c>
    </row>
    <row r="8726" spans="1:4" hidden="1" x14ac:dyDescent="0.3">
      <c r="A8726" t="s">
        <v>738</v>
      </c>
      <c r="B8726" t="s">
        <v>61</v>
      </c>
      <c r="C8726" s="1">
        <f>HYPERLINK("https://cao.dolgi.msk.ru/account/1011402384/", 1011402384)</f>
        <v>1011402384</v>
      </c>
      <c r="D8726">
        <v>-243.16</v>
      </c>
    </row>
    <row r="8727" spans="1:4" hidden="1" x14ac:dyDescent="0.3">
      <c r="A8727" t="s">
        <v>738</v>
      </c>
      <c r="B8727" t="s">
        <v>744</v>
      </c>
      <c r="C8727" s="1">
        <f>HYPERLINK("https://cao.dolgi.msk.ru/account/1011402747/", 1011402747)</f>
        <v>1011402747</v>
      </c>
      <c r="D8727">
        <v>-9076.15</v>
      </c>
    </row>
    <row r="8728" spans="1:4" hidden="1" x14ac:dyDescent="0.3">
      <c r="A8728" t="s">
        <v>738</v>
      </c>
      <c r="B8728" t="s">
        <v>62</v>
      </c>
      <c r="C8728" s="1">
        <f>HYPERLINK("https://cao.dolgi.msk.ru/account/1011402819/", 1011402819)</f>
        <v>1011402819</v>
      </c>
      <c r="D8728">
        <v>0</v>
      </c>
    </row>
    <row r="8729" spans="1:4" hidden="1" x14ac:dyDescent="0.3">
      <c r="A8729" t="s">
        <v>738</v>
      </c>
      <c r="B8729" t="s">
        <v>745</v>
      </c>
      <c r="C8729" s="1">
        <f>HYPERLINK("https://cao.dolgi.msk.ru/account/1011403045/", 1011403045)</f>
        <v>1011403045</v>
      </c>
      <c r="D8729">
        <v>0</v>
      </c>
    </row>
    <row r="8730" spans="1:4" hidden="1" x14ac:dyDescent="0.3">
      <c r="A8730" t="s">
        <v>738</v>
      </c>
      <c r="B8730" t="s">
        <v>63</v>
      </c>
      <c r="C8730" s="1">
        <f>HYPERLINK("https://cao.dolgi.msk.ru/account/1011403053/", 1011403053)</f>
        <v>1011403053</v>
      </c>
      <c r="D8730">
        <v>-9872.5</v>
      </c>
    </row>
    <row r="8731" spans="1:4" x14ac:dyDescent="0.3">
      <c r="A8731" t="s">
        <v>738</v>
      </c>
      <c r="B8731" t="s">
        <v>746</v>
      </c>
      <c r="C8731" s="1">
        <f>HYPERLINK("https://cao.dolgi.msk.ru/account/1011402843/", 1011402843)</f>
        <v>1011402843</v>
      </c>
      <c r="D8731">
        <v>17435.18</v>
      </c>
    </row>
    <row r="8732" spans="1:4" hidden="1" x14ac:dyDescent="0.3">
      <c r="A8732" t="s">
        <v>738</v>
      </c>
      <c r="B8732" t="s">
        <v>65</v>
      </c>
      <c r="C8732" s="1">
        <f>HYPERLINK("https://cao.dolgi.msk.ru/account/1011402659/", 1011402659)</f>
        <v>1011402659</v>
      </c>
      <c r="D8732">
        <v>-5619.91</v>
      </c>
    </row>
    <row r="8733" spans="1:4" hidden="1" x14ac:dyDescent="0.3">
      <c r="A8733" t="s">
        <v>747</v>
      </c>
      <c r="B8733" t="s">
        <v>5</v>
      </c>
      <c r="C8733" s="1">
        <f>HYPERLINK("https://cao.dolgi.msk.ru/account/1011486768/", 1011486768)</f>
        <v>1011486768</v>
      </c>
      <c r="D8733">
        <v>-8312.59</v>
      </c>
    </row>
    <row r="8734" spans="1:4" hidden="1" x14ac:dyDescent="0.3">
      <c r="A8734" t="s">
        <v>747</v>
      </c>
      <c r="B8734" t="s">
        <v>748</v>
      </c>
      <c r="C8734" s="1">
        <f>HYPERLINK("https://cao.dolgi.msk.ru/account/1011486784/", 1011486784)</f>
        <v>1011486784</v>
      </c>
      <c r="D8734">
        <v>-10193.469999999999</v>
      </c>
    </row>
    <row r="8735" spans="1:4" hidden="1" x14ac:dyDescent="0.3">
      <c r="A8735" t="s">
        <v>747</v>
      </c>
      <c r="B8735" t="s">
        <v>7</v>
      </c>
      <c r="C8735" s="1">
        <f>HYPERLINK("https://cao.dolgi.msk.ru/account/1011486741/", 1011486741)</f>
        <v>1011486741</v>
      </c>
      <c r="D8735">
        <v>-50126.17</v>
      </c>
    </row>
    <row r="8736" spans="1:4" hidden="1" x14ac:dyDescent="0.3">
      <c r="A8736" t="s">
        <v>747</v>
      </c>
      <c r="B8736" t="s">
        <v>8</v>
      </c>
      <c r="C8736" s="1">
        <f>HYPERLINK("https://cao.dolgi.msk.ru/account/1011486776/", 1011486776)</f>
        <v>1011486776</v>
      </c>
      <c r="D8736">
        <v>-9165.68</v>
      </c>
    </row>
    <row r="8737" spans="1:4" hidden="1" x14ac:dyDescent="0.3">
      <c r="A8737" t="s">
        <v>749</v>
      </c>
      <c r="B8737" t="s">
        <v>11</v>
      </c>
      <c r="C8737" s="1">
        <f>HYPERLINK("https://cao.dolgi.msk.ru/account/1011403192/", 1011403192)</f>
        <v>1011403192</v>
      </c>
      <c r="D8737">
        <v>0</v>
      </c>
    </row>
    <row r="8738" spans="1:4" x14ac:dyDescent="0.3">
      <c r="A8738" t="s">
        <v>749</v>
      </c>
      <c r="B8738" t="s">
        <v>12</v>
      </c>
      <c r="C8738" s="1">
        <f>HYPERLINK("https://cao.dolgi.msk.ru/account/1011507661/", 1011507661)</f>
        <v>1011507661</v>
      </c>
      <c r="D8738">
        <v>12661.76</v>
      </c>
    </row>
    <row r="8739" spans="1:4" hidden="1" x14ac:dyDescent="0.3">
      <c r="A8739" t="s">
        <v>749</v>
      </c>
      <c r="B8739" t="s">
        <v>14</v>
      </c>
      <c r="C8739" s="1">
        <f>HYPERLINK("https://cao.dolgi.msk.ru/account/1011403125/", 1011403125)</f>
        <v>1011403125</v>
      </c>
      <c r="D8739">
        <v>0</v>
      </c>
    </row>
    <row r="8740" spans="1:4" hidden="1" x14ac:dyDescent="0.3">
      <c r="A8740" t="s">
        <v>749</v>
      </c>
      <c r="B8740" t="s">
        <v>14</v>
      </c>
      <c r="C8740" s="1">
        <f>HYPERLINK("https://cao.dolgi.msk.ru/account/1011403272/", 1011403272)</f>
        <v>1011403272</v>
      </c>
      <c r="D8740">
        <v>-260</v>
      </c>
    </row>
    <row r="8741" spans="1:4" hidden="1" x14ac:dyDescent="0.3">
      <c r="A8741" t="s">
        <v>749</v>
      </c>
      <c r="B8741" t="s">
        <v>16</v>
      </c>
      <c r="C8741" s="1">
        <f>HYPERLINK("https://cao.dolgi.msk.ru/account/1011403141/", 1011403141)</f>
        <v>1011403141</v>
      </c>
      <c r="D8741">
        <v>0</v>
      </c>
    </row>
    <row r="8742" spans="1:4" hidden="1" x14ac:dyDescent="0.3">
      <c r="A8742" t="s">
        <v>749</v>
      </c>
      <c r="B8742" t="s">
        <v>19</v>
      </c>
      <c r="C8742" s="1">
        <f>HYPERLINK("https://cao.dolgi.msk.ru/account/1011403176/", 1011403176)</f>
        <v>1011403176</v>
      </c>
      <c r="D8742">
        <v>0</v>
      </c>
    </row>
    <row r="8743" spans="1:4" hidden="1" x14ac:dyDescent="0.3">
      <c r="A8743" t="s">
        <v>749</v>
      </c>
      <c r="B8743" t="s">
        <v>20</v>
      </c>
      <c r="C8743" s="1">
        <f>HYPERLINK("https://cao.dolgi.msk.ru/account/1011403213/", 1011403213)</f>
        <v>1011403213</v>
      </c>
      <c r="D8743">
        <v>-11765.68</v>
      </c>
    </row>
    <row r="8744" spans="1:4" hidden="1" x14ac:dyDescent="0.3">
      <c r="A8744" t="s">
        <v>749</v>
      </c>
      <c r="B8744" t="s">
        <v>24</v>
      </c>
      <c r="C8744" s="1">
        <f>HYPERLINK("https://cao.dolgi.msk.ru/account/1011403117/", 1011403117)</f>
        <v>1011403117</v>
      </c>
      <c r="D8744">
        <v>-98425.15</v>
      </c>
    </row>
    <row r="8745" spans="1:4" hidden="1" x14ac:dyDescent="0.3">
      <c r="A8745" t="s">
        <v>749</v>
      </c>
      <c r="B8745" t="s">
        <v>25</v>
      </c>
      <c r="C8745" s="1">
        <f>HYPERLINK("https://cao.dolgi.msk.ru/account/1011516939/", 1011516939)</f>
        <v>1011516939</v>
      </c>
      <c r="D8745">
        <v>0</v>
      </c>
    </row>
    <row r="8746" spans="1:4" hidden="1" x14ac:dyDescent="0.3">
      <c r="A8746" t="s">
        <v>749</v>
      </c>
      <c r="B8746" t="s">
        <v>27</v>
      </c>
      <c r="C8746" s="1">
        <f>HYPERLINK("https://cao.dolgi.msk.ru/account/1011403168/", 1011403168)</f>
        <v>1011403168</v>
      </c>
      <c r="D8746">
        <v>0</v>
      </c>
    </row>
    <row r="8747" spans="1:4" x14ac:dyDescent="0.3">
      <c r="A8747" t="s">
        <v>749</v>
      </c>
      <c r="B8747" t="s">
        <v>29</v>
      </c>
      <c r="C8747" s="1">
        <f>HYPERLINK("https://cao.dolgi.msk.ru/account/1011403264/", 1011403264)</f>
        <v>1011403264</v>
      </c>
      <c r="D8747">
        <v>177700.45</v>
      </c>
    </row>
    <row r="8748" spans="1:4" hidden="1" x14ac:dyDescent="0.3">
      <c r="A8748" t="s">
        <v>749</v>
      </c>
      <c r="B8748" t="s">
        <v>38</v>
      </c>
      <c r="C8748" s="1">
        <f>HYPERLINK("https://cao.dolgi.msk.ru/account/1011403133/", 1011403133)</f>
        <v>1011403133</v>
      </c>
      <c r="D8748">
        <v>0</v>
      </c>
    </row>
    <row r="8749" spans="1:4" hidden="1" x14ac:dyDescent="0.3">
      <c r="A8749" t="s">
        <v>750</v>
      </c>
      <c r="B8749" t="s">
        <v>54</v>
      </c>
      <c r="C8749" s="1">
        <f>HYPERLINK("https://cao.dolgi.msk.ru/account/1011318553/", 1011318553)</f>
        <v>1011318553</v>
      </c>
      <c r="D8749">
        <v>-19620.810000000001</v>
      </c>
    </row>
    <row r="8750" spans="1:4" x14ac:dyDescent="0.3">
      <c r="A8750" t="s">
        <v>750</v>
      </c>
      <c r="B8750" t="s">
        <v>54</v>
      </c>
      <c r="C8750" s="1">
        <f>HYPERLINK("https://cao.dolgi.msk.ru/account/1011318676/", 1011318676)</f>
        <v>1011318676</v>
      </c>
      <c r="D8750">
        <v>1316.16</v>
      </c>
    </row>
    <row r="8751" spans="1:4" hidden="1" x14ac:dyDescent="0.3">
      <c r="A8751" t="s">
        <v>750</v>
      </c>
      <c r="B8751" t="s">
        <v>55</v>
      </c>
      <c r="C8751" s="1">
        <f>HYPERLINK("https://cao.dolgi.msk.ru/account/1011318297/", 1011318297)</f>
        <v>1011318297</v>
      </c>
      <c r="D8751">
        <v>0</v>
      </c>
    </row>
    <row r="8752" spans="1:4" hidden="1" x14ac:dyDescent="0.3">
      <c r="A8752" t="s">
        <v>750</v>
      </c>
      <c r="B8752" t="s">
        <v>55</v>
      </c>
      <c r="C8752" s="1">
        <f>HYPERLINK("https://cao.dolgi.msk.ru/account/1011318449/", 1011318449)</f>
        <v>1011318449</v>
      </c>
      <c r="D8752">
        <v>0</v>
      </c>
    </row>
    <row r="8753" spans="1:4" hidden="1" x14ac:dyDescent="0.3">
      <c r="A8753" t="s">
        <v>750</v>
      </c>
      <c r="B8753" t="s">
        <v>55</v>
      </c>
      <c r="C8753" s="1">
        <f>HYPERLINK("https://cao.dolgi.msk.ru/account/1011318668/", 1011318668)</f>
        <v>1011318668</v>
      </c>
      <c r="D8753">
        <v>-368.76</v>
      </c>
    </row>
    <row r="8754" spans="1:4" hidden="1" x14ac:dyDescent="0.3">
      <c r="A8754" t="s">
        <v>750</v>
      </c>
      <c r="B8754" t="s">
        <v>88</v>
      </c>
      <c r="C8754" s="1">
        <f>HYPERLINK("https://cao.dolgi.msk.ru/account/1011318414/", 1011318414)</f>
        <v>1011318414</v>
      </c>
      <c r="D8754">
        <v>0</v>
      </c>
    </row>
    <row r="8755" spans="1:4" hidden="1" x14ac:dyDescent="0.3">
      <c r="A8755" t="s">
        <v>750</v>
      </c>
      <c r="B8755" t="s">
        <v>88</v>
      </c>
      <c r="C8755" s="1">
        <f>HYPERLINK("https://cao.dolgi.msk.ru/account/1011318561/", 1011318561)</f>
        <v>1011318561</v>
      </c>
      <c r="D8755">
        <v>0</v>
      </c>
    </row>
    <row r="8756" spans="1:4" hidden="1" x14ac:dyDescent="0.3">
      <c r="A8756" t="s">
        <v>750</v>
      </c>
      <c r="B8756" t="s">
        <v>89</v>
      </c>
      <c r="C8756" s="1">
        <f>HYPERLINK("https://cao.dolgi.msk.ru/account/1011318684/", 1011318684)</f>
        <v>1011318684</v>
      </c>
      <c r="D8756">
        <v>-18425.400000000001</v>
      </c>
    </row>
    <row r="8757" spans="1:4" x14ac:dyDescent="0.3">
      <c r="A8757" t="s">
        <v>750</v>
      </c>
      <c r="B8757" t="s">
        <v>97</v>
      </c>
      <c r="C8757" s="1">
        <f>HYPERLINK("https://cao.dolgi.msk.ru/account/1011318588/", 1011318588)</f>
        <v>1011318588</v>
      </c>
      <c r="D8757">
        <v>2602.6999999999998</v>
      </c>
    </row>
    <row r="8758" spans="1:4" hidden="1" x14ac:dyDescent="0.3">
      <c r="A8758" t="s">
        <v>750</v>
      </c>
      <c r="B8758" t="s">
        <v>98</v>
      </c>
      <c r="C8758" s="1">
        <f>HYPERLINK("https://cao.dolgi.msk.ru/account/1011318385/", 1011318385)</f>
        <v>1011318385</v>
      </c>
      <c r="D8758">
        <v>-7097.57</v>
      </c>
    </row>
    <row r="8759" spans="1:4" hidden="1" x14ac:dyDescent="0.3">
      <c r="A8759" t="s">
        <v>750</v>
      </c>
      <c r="B8759" t="s">
        <v>98</v>
      </c>
      <c r="C8759" s="1">
        <f>HYPERLINK("https://cao.dolgi.msk.ru/account/1011318457/", 1011318457)</f>
        <v>1011318457</v>
      </c>
      <c r="D8759">
        <v>-11310.82</v>
      </c>
    </row>
    <row r="8760" spans="1:4" hidden="1" x14ac:dyDescent="0.3">
      <c r="A8760" t="s">
        <v>750</v>
      </c>
      <c r="B8760" t="s">
        <v>58</v>
      </c>
      <c r="C8760" s="1">
        <f>HYPERLINK("https://cao.dolgi.msk.ru/account/1011318502/", 1011318502)</f>
        <v>1011318502</v>
      </c>
      <c r="D8760">
        <v>0</v>
      </c>
    </row>
    <row r="8761" spans="1:4" hidden="1" x14ac:dyDescent="0.3">
      <c r="A8761" t="s">
        <v>750</v>
      </c>
      <c r="B8761" t="s">
        <v>59</v>
      </c>
      <c r="C8761" s="1">
        <f>HYPERLINK("https://cao.dolgi.msk.ru/account/1011318393/", 1011318393)</f>
        <v>1011318393</v>
      </c>
      <c r="D8761">
        <v>-30500.12</v>
      </c>
    </row>
    <row r="8762" spans="1:4" hidden="1" x14ac:dyDescent="0.3">
      <c r="A8762" t="s">
        <v>750</v>
      </c>
      <c r="B8762" t="s">
        <v>62</v>
      </c>
      <c r="C8762" s="1">
        <f>HYPERLINK("https://cao.dolgi.msk.ru/account/1011318369/", 1011318369)</f>
        <v>1011318369</v>
      </c>
      <c r="D8762">
        <v>0</v>
      </c>
    </row>
    <row r="8763" spans="1:4" hidden="1" x14ac:dyDescent="0.3">
      <c r="A8763" t="s">
        <v>750</v>
      </c>
      <c r="B8763" t="s">
        <v>62</v>
      </c>
      <c r="C8763" s="1">
        <f>HYPERLINK("https://cao.dolgi.msk.ru/account/1011318406/", 1011318406)</f>
        <v>1011318406</v>
      </c>
      <c r="D8763">
        <v>0</v>
      </c>
    </row>
    <row r="8764" spans="1:4" hidden="1" x14ac:dyDescent="0.3">
      <c r="A8764" t="s">
        <v>750</v>
      </c>
      <c r="B8764" t="s">
        <v>62</v>
      </c>
      <c r="C8764" s="1">
        <f>HYPERLINK("https://cao.dolgi.msk.ru/account/1011318545/", 1011318545)</f>
        <v>1011318545</v>
      </c>
      <c r="D8764">
        <v>0</v>
      </c>
    </row>
    <row r="8765" spans="1:4" x14ac:dyDescent="0.3">
      <c r="A8765" t="s">
        <v>750</v>
      </c>
      <c r="B8765" t="s">
        <v>62</v>
      </c>
      <c r="C8765" s="1">
        <f>HYPERLINK("https://cao.dolgi.msk.ru/account/1011318641/", 1011318641)</f>
        <v>1011318641</v>
      </c>
      <c r="D8765">
        <v>10118.51</v>
      </c>
    </row>
    <row r="8766" spans="1:4" hidden="1" x14ac:dyDescent="0.3">
      <c r="A8766" t="s">
        <v>750</v>
      </c>
      <c r="B8766" t="s">
        <v>63</v>
      </c>
      <c r="C8766" s="1">
        <f>HYPERLINK("https://cao.dolgi.msk.ru/account/1011318326/", 1011318326)</f>
        <v>1011318326</v>
      </c>
      <c r="D8766">
        <v>0</v>
      </c>
    </row>
    <row r="8767" spans="1:4" hidden="1" x14ac:dyDescent="0.3">
      <c r="A8767" t="s">
        <v>750</v>
      </c>
      <c r="B8767" t="s">
        <v>63</v>
      </c>
      <c r="C8767" s="1">
        <f>HYPERLINK("https://cao.dolgi.msk.ru/account/1011318596/", 1011318596)</f>
        <v>1011318596</v>
      </c>
      <c r="D8767">
        <v>0</v>
      </c>
    </row>
    <row r="8768" spans="1:4" hidden="1" x14ac:dyDescent="0.3">
      <c r="A8768" t="s">
        <v>750</v>
      </c>
      <c r="B8768" t="s">
        <v>63</v>
      </c>
      <c r="C8768" s="1">
        <f>HYPERLINK("https://cao.dolgi.msk.ru/account/1011318609/", 1011318609)</f>
        <v>1011318609</v>
      </c>
      <c r="D8768">
        <v>0</v>
      </c>
    </row>
    <row r="8769" spans="1:4" hidden="1" x14ac:dyDescent="0.3">
      <c r="A8769" t="s">
        <v>750</v>
      </c>
      <c r="B8769" t="s">
        <v>64</v>
      </c>
      <c r="C8769" s="1">
        <f>HYPERLINK("https://cao.dolgi.msk.ru/account/1011318617/", 1011318617)</f>
        <v>1011318617</v>
      </c>
      <c r="D8769">
        <v>-12415.41</v>
      </c>
    </row>
    <row r="8770" spans="1:4" hidden="1" x14ac:dyDescent="0.3">
      <c r="A8770" t="s">
        <v>750</v>
      </c>
      <c r="B8770" t="s">
        <v>64</v>
      </c>
      <c r="C8770" s="1">
        <f>HYPERLINK("https://cao.dolgi.msk.ru/account/1011518627/", 1011518627)</f>
        <v>1011518627</v>
      </c>
      <c r="D8770">
        <v>-4964.68</v>
      </c>
    </row>
    <row r="8771" spans="1:4" hidden="1" x14ac:dyDescent="0.3">
      <c r="A8771" t="s">
        <v>750</v>
      </c>
      <c r="B8771" t="s">
        <v>65</v>
      </c>
      <c r="C8771" s="1">
        <f>HYPERLINK("https://cao.dolgi.msk.ru/account/1011318342/", 1011318342)</f>
        <v>1011318342</v>
      </c>
      <c r="D8771">
        <v>0</v>
      </c>
    </row>
    <row r="8772" spans="1:4" hidden="1" x14ac:dyDescent="0.3">
      <c r="A8772" t="s">
        <v>750</v>
      </c>
      <c r="B8772" t="s">
        <v>66</v>
      </c>
      <c r="C8772" s="1">
        <f>HYPERLINK("https://cao.dolgi.msk.ru/account/1011318422/", 1011318422)</f>
        <v>1011318422</v>
      </c>
      <c r="D8772">
        <v>-2659.68</v>
      </c>
    </row>
    <row r="8773" spans="1:4" x14ac:dyDescent="0.3">
      <c r="A8773" t="s">
        <v>750</v>
      </c>
      <c r="B8773" t="s">
        <v>66</v>
      </c>
      <c r="C8773" s="1">
        <f>HYPERLINK("https://cao.dolgi.msk.ru/account/1011318465/", 1011318465)</f>
        <v>1011318465</v>
      </c>
      <c r="D8773">
        <v>17994.96</v>
      </c>
    </row>
    <row r="8774" spans="1:4" hidden="1" x14ac:dyDescent="0.3">
      <c r="A8774" t="s">
        <v>750</v>
      </c>
      <c r="B8774" t="s">
        <v>66</v>
      </c>
      <c r="C8774" s="1">
        <f>HYPERLINK("https://cao.dolgi.msk.ru/account/1011318625/", 1011318625)</f>
        <v>1011318625</v>
      </c>
      <c r="D8774">
        <v>-761.88</v>
      </c>
    </row>
    <row r="8775" spans="1:4" hidden="1" x14ac:dyDescent="0.3">
      <c r="A8775" t="s">
        <v>750</v>
      </c>
      <c r="B8775" t="s">
        <v>66</v>
      </c>
      <c r="C8775" s="1">
        <f>HYPERLINK("https://cao.dolgi.msk.ru/account/1011527179/", 1011527179)</f>
        <v>1011527179</v>
      </c>
      <c r="D8775">
        <v>-4635.51</v>
      </c>
    </row>
    <row r="8776" spans="1:4" x14ac:dyDescent="0.3">
      <c r="A8776" t="s">
        <v>750</v>
      </c>
      <c r="B8776" t="s">
        <v>67</v>
      </c>
      <c r="C8776" s="1">
        <f>HYPERLINK("https://cao.dolgi.msk.ru/account/1011318334/", 1011318334)</f>
        <v>1011318334</v>
      </c>
      <c r="D8776">
        <v>13908.61</v>
      </c>
    </row>
    <row r="8777" spans="1:4" x14ac:dyDescent="0.3">
      <c r="A8777" t="s">
        <v>750</v>
      </c>
      <c r="B8777" t="s">
        <v>68</v>
      </c>
      <c r="C8777" s="1">
        <f>HYPERLINK("https://cao.dolgi.msk.ru/account/1011318473/", 1011318473)</f>
        <v>1011318473</v>
      </c>
      <c r="D8777">
        <v>25462.34</v>
      </c>
    </row>
    <row r="8778" spans="1:4" hidden="1" x14ac:dyDescent="0.3">
      <c r="A8778" t="s">
        <v>750</v>
      </c>
      <c r="B8778" t="s">
        <v>69</v>
      </c>
      <c r="C8778" s="1">
        <f>HYPERLINK("https://cao.dolgi.msk.ru/account/1011318377/", 1011318377)</f>
        <v>1011318377</v>
      </c>
      <c r="D8778">
        <v>0</v>
      </c>
    </row>
    <row r="8779" spans="1:4" hidden="1" x14ac:dyDescent="0.3">
      <c r="A8779" t="s">
        <v>751</v>
      </c>
      <c r="B8779" t="s">
        <v>6</v>
      </c>
      <c r="C8779" s="1">
        <f>HYPERLINK("https://cao.dolgi.msk.ru/account/1010731768/", 1010731768)</f>
        <v>1010731768</v>
      </c>
      <c r="D8779">
        <v>-3978.66</v>
      </c>
    </row>
    <row r="8780" spans="1:4" hidden="1" x14ac:dyDescent="0.3">
      <c r="A8780" t="s">
        <v>751</v>
      </c>
      <c r="B8780" t="s">
        <v>6</v>
      </c>
      <c r="C8780" s="1">
        <f>HYPERLINK("https://cao.dolgi.msk.ru/account/1010752964/", 1010752964)</f>
        <v>1010752964</v>
      </c>
      <c r="D8780">
        <v>-320.93</v>
      </c>
    </row>
    <row r="8781" spans="1:4" x14ac:dyDescent="0.3">
      <c r="A8781" t="s">
        <v>751</v>
      </c>
      <c r="B8781" t="s">
        <v>6</v>
      </c>
      <c r="C8781" s="1">
        <f>HYPERLINK("https://cao.dolgi.msk.ru/account/1011014875/", 1011014875)</f>
        <v>1011014875</v>
      </c>
      <c r="D8781">
        <v>3658.33</v>
      </c>
    </row>
    <row r="8782" spans="1:4" hidden="1" x14ac:dyDescent="0.3">
      <c r="A8782" t="s">
        <v>751</v>
      </c>
      <c r="B8782" t="s">
        <v>28</v>
      </c>
      <c r="C8782" s="1">
        <f>HYPERLINK("https://cao.dolgi.msk.ru/account/1010731776/", 1010731776)</f>
        <v>1010731776</v>
      </c>
      <c r="D8782">
        <v>-856.38</v>
      </c>
    </row>
    <row r="8783" spans="1:4" hidden="1" x14ac:dyDescent="0.3">
      <c r="A8783" t="s">
        <v>751</v>
      </c>
      <c r="B8783" t="s">
        <v>35</v>
      </c>
      <c r="C8783" s="1">
        <f>HYPERLINK("https://cao.dolgi.msk.ru/account/1010731792/", 1010731792)</f>
        <v>1010731792</v>
      </c>
      <c r="D8783">
        <v>-349.08</v>
      </c>
    </row>
    <row r="8784" spans="1:4" hidden="1" x14ac:dyDescent="0.3">
      <c r="A8784" t="s">
        <v>751</v>
      </c>
      <c r="B8784" t="s">
        <v>5</v>
      </c>
      <c r="C8784" s="1">
        <f>HYPERLINK("https://cao.dolgi.msk.ru/account/1010731813/", 1010731813)</f>
        <v>1010731813</v>
      </c>
      <c r="D8784">
        <v>0</v>
      </c>
    </row>
    <row r="8785" spans="1:4" hidden="1" x14ac:dyDescent="0.3">
      <c r="A8785" t="s">
        <v>751</v>
      </c>
      <c r="B8785" t="s">
        <v>7</v>
      </c>
      <c r="C8785" s="1">
        <f>HYPERLINK("https://cao.dolgi.msk.ru/account/1010731821/", 1010731821)</f>
        <v>1010731821</v>
      </c>
      <c r="D8785">
        <v>-709.67</v>
      </c>
    </row>
    <row r="8786" spans="1:4" hidden="1" x14ac:dyDescent="0.3">
      <c r="A8786" t="s">
        <v>751</v>
      </c>
      <c r="B8786" t="s">
        <v>8</v>
      </c>
      <c r="C8786" s="1">
        <f>HYPERLINK("https://cao.dolgi.msk.ru/account/1010731856/", 1010731856)</f>
        <v>1010731856</v>
      </c>
      <c r="D8786">
        <v>-9864.44</v>
      </c>
    </row>
    <row r="8787" spans="1:4" hidden="1" x14ac:dyDescent="0.3">
      <c r="A8787" t="s">
        <v>751</v>
      </c>
      <c r="B8787" t="s">
        <v>10</v>
      </c>
      <c r="C8787" s="1">
        <f>HYPERLINK("https://cao.dolgi.msk.ru/account/1011486223/", 1011486223)</f>
        <v>1011486223</v>
      </c>
      <c r="D8787">
        <v>-1050.81</v>
      </c>
    </row>
    <row r="8788" spans="1:4" hidden="1" x14ac:dyDescent="0.3">
      <c r="A8788" t="s">
        <v>751</v>
      </c>
      <c r="B8788" t="s">
        <v>10</v>
      </c>
      <c r="C8788" s="1">
        <f>HYPERLINK("https://cao.dolgi.msk.ru/account/1011505025/", 1011505025)</f>
        <v>1011505025</v>
      </c>
      <c r="D8788">
        <v>0</v>
      </c>
    </row>
    <row r="8789" spans="1:4" hidden="1" x14ac:dyDescent="0.3">
      <c r="A8789" t="s">
        <v>751</v>
      </c>
      <c r="B8789" t="s">
        <v>10</v>
      </c>
      <c r="C8789" s="1">
        <f>HYPERLINK("https://cao.dolgi.msk.ru/account/1011505033/", 1011505033)</f>
        <v>1011505033</v>
      </c>
      <c r="D8789">
        <v>-1551.52</v>
      </c>
    </row>
    <row r="8790" spans="1:4" x14ac:dyDescent="0.3">
      <c r="A8790" t="s">
        <v>751</v>
      </c>
      <c r="B8790" t="s">
        <v>10</v>
      </c>
      <c r="C8790" s="1">
        <f>HYPERLINK("https://cao.dolgi.msk.ru/account/1011505041/", 1011505041)</f>
        <v>1011505041</v>
      </c>
      <c r="D8790">
        <v>2158.59</v>
      </c>
    </row>
    <row r="8791" spans="1:4" hidden="1" x14ac:dyDescent="0.3">
      <c r="A8791" t="s">
        <v>751</v>
      </c>
      <c r="B8791" t="s">
        <v>10</v>
      </c>
      <c r="C8791" s="1">
        <f>HYPERLINK("https://cao.dolgi.msk.ru/account/1011505068/", 1011505068)</f>
        <v>1011505068</v>
      </c>
      <c r="D8791">
        <v>0</v>
      </c>
    </row>
    <row r="8792" spans="1:4" hidden="1" x14ac:dyDescent="0.3">
      <c r="A8792" t="s">
        <v>751</v>
      </c>
      <c r="B8792" t="s">
        <v>10</v>
      </c>
      <c r="C8792" s="1">
        <f>HYPERLINK("https://cao.dolgi.msk.ru/account/1011505076/", 1011505076)</f>
        <v>1011505076</v>
      </c>
      <c r="D8792">
        <v>-2967.8</v>
      </c>
    </row>
    <row r="8793" spans="1:4" hidden="1" x14ac:dyDescent="0.3">
      <c r="A8793" t="s">
        <v>751</v>
      </c>
      <c r="B8793" t="s">
        <v>10</v>
      </c>
      <c r="C8793" s="1">
        <f>HYPERLINK("https://cao.dolgi.msk.ru/account/1011505084/", 1011505084)</f>
        <v>1011505084</v>
      </c>
      <c r="D8793">
        <v>-129.76</v>
      </c>
    </row>
    <row r="8794" spans="1:4" hidden="1" x14ac:dyDescent="0.3">
      <c r="A8794" t="s">
        <v>751</v>
      </c>
      <c r="B8794" t="s">
        <v>11</v>
      </c>
      <c r="C8794" s="1">
        <f>HYPERLINK("https://cao.dolgi.msk.ru/account/1010731928/", 1010731928)</f>
        <v>1010731928</v>
      </c>
      <c r="D8794">
        <v>0</v>
      </c>
    </row>
    <row r="8795" spans="1:4" hidden="1" x14ac:dyDescent="0.3">
      <c r="A8795" t="s">
        <v>751</v>
      </c>
      <c r="B8795" t="s">
        <v>11</v>
      </c>
      <c r="C8795" s="1">
        <f>HYPERLINK("https://cao.dolgi.msk.ru/account/1010731936/", 1010731936)</f>
        <v>1010731936</v>
      </c>
      <c r="D8795">
        <v>-332.03</v>
      </c>
    </row>
    <row r="8796" spans="1:4" x14ac:dyDescent="0.3">
      <c r="A8796" t="s">
        <v>751</v>
      </c>
      <c r="B8796" t="s">
        <v>11</v>
      </c>
      <c r="C8796" s="1">
        <f>HYPERLINK("https://cao.dolgi.msk.ru/account/1010731944/", 1010731944)</f>
        <v>1010731944</v>
      </c>
      <c r="D8796">
        <v>5568.35</v>
      </c>
    </row>
    <row r="8797" spans="1:4" x14ac:dyDescent="0.3">
      <c r="A8797" t="s">
        <v>751</v>
      </c>
      <c r="B8797" t="s">
        <v>11</v>
      </c>
      <c r="C8797" s="1">
        <f>HYPERLINK("https://cao.dolgi.msk.ru/account/1010731952/", 1010731952)</f>
        <v>1010731952</v>
      </c>
      <c r="D8797">
        <v>72794.259999999995</v>
      </c>
    </row>
    <row r="8798" spans="1:4" hidden="1" x14ac:dyDescent="0.3">
      <c r="A8798" t="s">
        <v>751</v>
      </c>
      <c r="B8798" t="s">
        <v>11</v>
      </c>
      <c r="C8798" s="1">
        <f>HYPERLINK("https://cao.dolgi.msk.ru/account/1010731979/", 1010731979)</f>
        <v>1010731979</v>
      </c>
      <c r="D8798">
        <v>0</v>
      </c>
    </row>
    <row r="8799" spans="1:4" x14ac:dyDescent="0.3">
      <c r="A8799" t="s">
        <v>751</v>
      </c>
      <c r="B8799" t="s">
        <v>11</v>
      </c>
      <c r="C8799" s="1">
        <f>HYPERLINK("https://cao.dolgi.msk.ru/account/1011014883/", 1011014883)</f>
        <v>1011014883</v>
      </c>
      <c r="D8799">
        <v>882.86</v>
      </c>
    </row>
    <row r="8800" spans="1:4" x14ac:dyDescent="0.3">
      <c r="A8800" t="s">
        <v>751</v>
      </c>
      <c r="B8800" t="s">
        <v>12</v>
      </c>
      <c r="C8800" s="1">
        <f>HYPERLINK("https://cao.dolgi.msk.ru/account/1010732015/", 1010732015)</f>
        <v>1010732015</v>
      </c>
      <c r="D8800">
        <v>12444.85</v>
      </c>
    </row>
    <row r="8801" spans="1:4" hidden="1" x14ac:dyDescent="0.3">
      <c r="A8801" t="s">
        <v>751</v>
      </c>
      <c r="B8801" t="s">
        <v>23</v>
      </c>
      <c r="C8801" s="1">
        <f>HYPERLINK("https://cao.dolgi.msk.ru/account/1010753705/", 1010753705)</f>
        <v>1010753705</v>
      </c>
      <c r="D8801">
        <v>0</v>
      </c>
    </row>
    <row r="8802" spans="1:4" hidden="1" x14ac:dyDescent="0.3">
      <c r="A8802" t="s">
        <v>752</v>
      </c>
      <c r="B8802" t="s">
        <v>6</v>
      </c>
      <c r="C8802" s="1">
        <f>HYPERLINK("https://cao.dolgi.msk.ru/account/1011475145/", 1011475145)</f>
        <v>1011475145</v>
      </c>
      <c r="D8802">
        <v>-24412.6</v>
      </c>
    </row>
    <row r="8803" spans="1:4" hidden="1" x14ac:dyDescent="0.3">
      <c r="A8803" t="s">
        <v>752</v>
      </c>
      <c r="B8803" t="s">
        <v>35</v>
      </c>
      <c r="C8803" s="1">
        <f>HYPERLINK("https://cao.dolgi.msk.ru/account/1011475049/", 1011475049)</f>
        <v>1011475049</v>
      </c>
      <c r="D8803">
        <v>0</v>
      </c>
    </row>
    <row r="8804" spans="1:4" x14ac:dyDescent="0.3">
      <c r="A8804" t="s">
        <v>752</v>
      </c>
      <c r="B8804" t="s">
        <v>5</v>
      </c>
      <c r="C8804" s="1">
        <f>HYPERLINK("https://cao.dolgi.msk.ru/account/1011475225/", 1011475225)</f>
        <v>1011475225</v>
      </c>
      <c r="D8804">
        <v>5724.32</v>
      </c>
    </row>
    <row r="8805" spans="1:4" hidden="1" x14ac:dyDescent="0.3">
      <c r="A8805" t="s">
        <v>752</v>
      </c>
      <c r="B8805" t="s">
        <v>7</v>
      </c>
      <c r="C8805" s="1">
        <f>HYPERLINK("https://cao.dolgi.msk.ru/account/1011475129/", 1011475129)</f>
        <v>1011475129</v>
      </c>
      <c r="D8805">
        <v>0</v>
      </c>
    </row>
    <row r="8806" spans="1:4" hidden="1" x14ac:dyDescent="0.3">
      <c r="A8806" t="s">
        <v>752</v>
      </c>
      <c r="B8806" t="s">
        <v>8</v>
      </c>
      <c r="C8806" s="1">
        <f>HYPERLINK("https://cao.dolgi.msk.ru/account/1011475057/", 1011475057)</f>
        <v>1011475057</v>
      </c>
      <c r="D8806">
        <v>0</v>
      </c>
    </row>
    <row r="8807" spans="1:4" x14ac:dyDescent="0.3">
      <c r="A8807" t="s">
        <v>752</v>
      </c>
      <c r="B8807" t="s">
        <v>31</v>
      </c>
      <c r="C8807" s="1">
        <f>HYPERLINK("https://cao.dolgi.msk.ru/account/1011475073/", 1011475073)</f>
        <v>1011475073</v>
      </c>
      <c r="D8807">
        <v>90.27</v>
      </c>
    </row>
    <row r="8808" spans="1:4" x14ac:dyDescent="0.3">
      <c r="A8808" t="s">
        <v>752</v>
      </c>
      <c r="B8808" t="s">
        <v>9</v>
      </c>
      <c r="C8808" s="1">
        <f>HYPERLINK("https://cao.dolgi.msk.ru/account/1011475188/", 1011475188)</f>
        <v>1011475188</v>
      </c>
      <c r="D8808">
        <v>170827.94</v>
      </c>
    </row>
    <row r="8809" spans="1:4" x14ac:dyDescent="0.3">
      <c r="A8809" t="s">
        <v>752</v>
      </c>
      <c r="B8809" t="s">
        <v>10</v>
      </c>
      <c r="C8809" s="1">
        <f>HYPERLINK("https://cao.dolgi.msk.ru/account/1011475065/", 1011475065)</f>
        <v>1011475065</v>
      </c>
      <c r="D8809">
        <v>18774.43</v>
      </c>
    </row>
    <row r="8810" spans="1:4" hidden="1" x14ac:dyDescent="0.3">
      <c r="A8810" t="s">
        <v>752</v>
      </c>
      <c r="B8810" t="s">
        <v>12</v>
      </c>
      <c r="C8810" s="1">
        <f>HYPERLINK("https://cao.dolgi.msk.ru/account/1011475137/", 1011475137)</f>
        <v>1011475137</v>
      </c>
      <c r="D8810">
        <v>-137.31</v>
      </c>
    </row>
    <row r="8811" spans="1:4" hidden="1" x14ac:dyDescent="0.3">
      <c r="A8811" t="s">
        <v>752</v>
      </c>
      <c r="B8811" t="s">
        <v>23</v>
      </c>
      <c r="C8811" s="1">
        <f>HYPERLINK("https://cao.dolgi.msk.ru/account/1011475196/", 1011475196)</f>
        <v>1011475196</v>
      </c>
      <c r="D8811">
        <v>0</v>
      </c>
    </row>
    <row r="8812" spans="1:4" hidden="1" x14ac:dyDescent="0.3">
      <c r="A8812" t="s">
        <v>752</v>
      </c>
      <c r="B8812" t="s">
        <v>13</v>
      </c>
      <c r="C8812" s="1">
        <f>HYPERLINK("https://cao.dolgi.msk.ru/account/1011475217/", 1011475217)</f>
        <v>1011475217</v>
      </c>
      <c r="D8812">
        <v>0</v>
      </c>
    </row>
    <row r="8813" spans="1:4" x14ac:dyDescent="0.3">
      <c r="A8813" t="s">
        <v>752</v>
      </c>
      <c r="B8813" t="s">
        <v>14</v>
      </c>
      <c r="C8813" s="1">
        <f>HYPERLINK("https://cao.dolgi.msk.ru/account/1011475209/", 1011475209)</f>
        <v>1011475209</v>
      </c>
      <c r="D8813">
        <v>24117.79</v>
      </c>
    </row>
    <row r="8814" spans="1:4" hidden="1" x14ac:dyDescent="0.3">
      <c r="A8814" t="s">
        <v>752</v>
      </c>
      <c r="B8814" t="s">
        <v>16</v>
      </c>
      <c r="C8814" s="1">
        <f>HYPERLINK("https://cao.dolgi.msk.ru/account/1011475081/", 1011475081)</f>
        <v>1011475081</v>
      </c>
      <c r="D8814">
        <v>0</v>
      </c>
    </row>
    <row r="8815" spans="1:4" hidden="1" x14ac:dyDescent="0.3">
      <c r="A8815" t="s">
        <v>752</v>
      </c>
      <c r="B8815" t="s">
        <v>17</v>
      </c>
      <c r="C8815" s="1">
        <f>HYPERLINK("https://cao.dolgi.msk.ru/account/1011475241/", 1011475241)</f>
        <v>1011475241</v>
      </c>
      <c r="D8815">
        <v>-146</v>
      </c>
    </row>
    <row r="8816" spans="1:4" hidden="1" x14ac:dyDescent="0.3">
      <c r="A8816" t="s">
        <v>752</v>
      </c>
      <c r="B8816" t="s">
        <v>18</v>
      </c>
      <c r="C8816" s="1">
        <f>HYPERLINK("https://cao.dolgi.msk.ru/account/1011475102/", 1011475102)</f>
        <v>1011475102</v>
      </c>
      <c r="D8816">
        <v>0</v>
      </c>
    </row>
    <row r="8817" spans="1:4" hidden="1" x14ac:dyDescent="0.3">
      <c r="A8817" t="s">
        <v>752</v>
      </c>
      <c r="B8817" t="s">
        <v>19</v>
      </c>
      <c r="C8817" s="1">
        <f>HYPERLINK("https://cao.dolgi.msk.ru/account/1011475233/", 1011475233)</f>
        <v>1011475233</v>
      </c>
      <c r="D8817">
        <v>0</v>
      </c>
    </row>
    <row r="8818" spans="1:4" hidden="1" x14ac:dyDescent="0.3">
      <c r="A8818" t="s">
        <v>752</v>
      </c>
      <c r="B8818" t="s">
        <v>20</v>
      </c>
      <c r="C8818" s="1">
        <f>HYPERLINK("https://cao.dolgi.msk.ru/account/1011475153/", 1011475153)</f>
        <v>1011475153</v>
      </c>
      <c r="D8818">
        <v>0</v>
      </c>
    </row>
    <row r="8819" spans="1:4" hidden="1" x14ac:dyDescent="0.3">
      <c r="A8819" t="s">
        <v>752</v>
      </c>
      <c r="B8819" t="s">
        <v>21</v>
      </c>
      <c r="C8819" s="1">
        <f>HYPERLINK("https://cao.dolgi.msk.ru/account/1011475161/", 1011475161)</f>
        <v>1011475161</v>
      </c>
      <c r="D8819">
        <v>0</v>
      </c>
    </row>
    <row r="8820" spans="1:4" hidden="1" x14ac:dyDescent="0.3">
      <c r="A8820" t="s">
        <v>753</v>
      </c>
      <c r="B8820" t="s">
        <v>6</v>
      </c>
      <c r="C8820" s="1">
        <f>HYPERLINK("https://cao.dolgi.msk.ru/account/1011351898/", 1011351898)</f>
        <v>1011351898</v>
      </c>
      <c r="D8820">
        <v>0</v>
      </c>
    </row>
    <row r="8821" spans="1:4" hidden="1" x14ac:dyDescent="0.3">
      <c r="A8821" t="s">
        <v>753</v>
      </c>
      <c r="B8821" t="s">
        <v>28</v>
      </c>
      <c r="C8821" s="1">
        <f>HYPERLINK("https://cao.dolgi.msk.ru/account/1011352065/", 1011352065)</f>
        <v>1011352065</v>
      </c>
      <c r="D8821">
        <v>0</v>
      </c>
    </row>
    <row r="8822" spans="1:4" hidden="1" x14ac:dyDescent="0.3">
      <c r="A8822" t="s">
        <v>753</v>
      </c>
      <c r="B8822" t="s">
        <v>35</v>
      </c>
      <c r="C8822" s="1">
        <f>HYPERLINK("https://cao.dolgi.msk.ru/account/1011351775/", 1011351775)</f>
        <v>1011351775</v>
      </c>
      <c r="D8822">
        <v>-8702.36</v>
      </c>
    </row>
    <row r="8823" spans="1:4" x14ac:dyDescent="0.3">
      <c r="A8823" t="s">
        <v>753</v>
      </c>
      <c r="B8823" t="s">
        <v>5</v>
      </c>
      <c r="C8823" s="1">
        <f>HYPERLINK("https://cao.dolgi.msk.ru/account/1011352129/", 1011352129)</f>
        <v>1011352129</v>
      </c>
      <c r="D8823">
        <v>7888.27</v>
      </c>
    </row>
    <row r="8824" spans="1:4" hidden="1" x14ac:dyDescent="0.3">
      <c r="A8824" t="s">
        <v>753</v>
      </c>
      <c r="B8824" t="s">
        <v>7</v>
      </c>
      <c r="C8824" s="1">
        <f>HYPERLINK("https://cao.dolgi.msk.ru/account/1011351812/", 1011351812)</f>
        <v>1011351812</v>
      </c>
      <c r="D8824">
        <v>-5782.25</v>
      </c>
    </row>
    <row r="8825" spans="1:4" hidden="1" x14ac:dyDescent="0.3">
      <c r="A8825" t="s">
        <v>753</v>
      </c>
      <c r="B8825" t="s">
        <v>8</v>
      </c>
      <c r="C8825" s="1">
        <f>HYPERLINK("https://cao.dolgi.msk.ru/account/1011351871/", 1011351871)</f>
        <v>1011351871</v>
      </c>
      <c r="D8825">
        <v>0</v>
      </c>
    </row>
    <row r="8826" spans="1:4" hidden="1" x14ac:dyDescent="0.3">
      <c r="A8826" t="s">
        <v>753</v>
      </c>
      <c r="B8826" t="s">
        <v>31</v>
      </c>
      <c r="C8826" s="1">
        <f>HYPERLINK("https://cao.dolgi.msk.ru/account/1011352014/", 1011352014)</f>
        <v>1011352014</v>
      </c>
      <c r="D8826">
        <v>0</v>
      </c>
    </row>
    <row r="8827" spans="1:4" hidden="1" x14ac:dyDescent="0.3">
      <c r="A8827" t="s">
        <v>753</v>
      </c>
      <c r="B8827" t="s">
        <v>9</v>
      </c>
      <c r="C8827" s="1">
        <f>HYPERLINK("https://cao.dolgi.msk.ru/account/1011352073/", 1011352073)</f>
        <v>1011352073</v>
      </c>
      <c r="D8827">
        <v>0</v>
      </c>
    </row>
    <row r="8828" spans="1:4" hidden="1" x14ac:dyDescent="0.3">
      <c r="A8828" t="s">
        <v>753</v>
      </c>
      <c r="B8828" t="s">
        <v>10</v>
      </c>
      <c r="C8828" s="1">
        <f>HYPERLINK("https://cao.dolgi.msk.ru/account/1011352145/", 1011352145)</f>
        <v>1011352145</v>
      </c>
      <c r="D8828">
        <v>0</v>
      </c>
    </row>
    <row r="8829" spans="1:4" hidden="1" x14ac:dyDescent="0.3">
      <c r="A8829" t="s">
        <v>753</v>
      </c>
      <c r="B8829" t="s">
        <v>11</v>
      </c>
      <c r="C8829" s="1">
        <f>HYPERLINK("https://cao.dolgi.msk.ru/account/1011351855/", 1011351855)</f>
        <v>1011351855</v>
      </c>
      <c r="D8829">
        <v>-10004.9</v>
      </c>
    </row>
    <row r="8830" spans="1:4" hidden="1" x14ac:dyDescent="0.3">
      <c r="A8830" t="s">
        <v>753</v>
      </c>
      <c r="B8830" t="s">
        <v>12</v>
      </c>
      <c r="C8830" s="1">
        <f>HYPERLINK("https://cao.dolgi.msk.ru/account/1011351951/", 1011351951)</f>
        <v>1011351951</v>
      </c>
      <c r="D8830">
        <v>0</v>
      </c>
    </row>
    <row r="8831" spans="1:4" hidden="1" x14ac:dyDescent="0.3">
      <c r="A8831" t="s">
        <v>753</v>
      </c>
      <c r="B8831" t="s">
        <v>23</v>
      </c>
      <c r="C8831" s="1">
        <f>HYPERLINK("https://cao.dolgi.msk.ru/account/1011351919/", 1011351919)</f>
        <v>1011351919</v>
      </c>
      <c r="D8831">
        <v>-6798.95</v>
      </c>
    </row>
    <row r="8832" spans="1:4" hidden="1" x14ac:dyDescent="0.3">
      <c r="A8832" t="s">
        <v>753</v>
      </c>
      <c r="B8832" t="s">
        <v>13</v>
      </c>
      <c r="C8832" s="1">
        <f>HYPERLINK("https://cao.dolgi.msk.ru/account/1011351935/", 1011351935)</f>
        <v>1011351935</v>
      </c>
      <c r="D8832">
        <v>0</v>
      </c>
    </row>
    <row r="8833" spans="1:4" x14ac:dyDescent="0.3">
      <c r="A8833" t="s">
        <v>753</v>
      </c>
      <c r="B8833" t="s">
        <v>14</v>
      </c>
      <c r="C8833" s="1">
        <f>HYPERLINK("https://cao.dolgi.msk.ru/account/1011351839/", 1011351839)</f>
        <v>1011351839</v>
      </c>
      <c r="D8833">
        <v>22730.39</v>
      </c>
    </row>
    <row r="8834" spans="1:4" hidden="1" x14ac:dyDescent="0.3">
      <c r="A8834" t="s">
        <v>753</v>
      </c>
      <c r="B8834" t="s">
        <v>16</v>
      </c>
      <c r="C8834" s="1">
        <f>HYPERLINK("https://cao.dolgi.msk.ru/account/1011351804/", 1011351804)</f>
        <v>1011351804</v>
      </c>
      <c r="D8834">
        <v>-10944.53</v>
      </c>
    </row>
    <row r="8835" spans="1:4" hidden="1" x14ac:dyDescent="0.3">
      <c r="A8835" t="s">
        <v>753</v>
      </c>
      <c r="B8835" t="s">
        <v>18</v>
      </c>
      <c r="C8835" s="1">
        <f>HYPERLINK("https://cao.dolgi.msk.ru/account/1011352196/", 1011352196)</f>
        <v>1011352196</v>
      </c>
      <c r="D8835">
        <v>0</v>
      </c>
    </row>
    <row r="8836" spans="1:4" hidden="1" x14ac:dyDescent="0.3">
      <c r="A8836" t="s">
        <v>753</v>
      </c>
      <c r="B8836" t="s">
        <v>19</v>
      </c>
      <c r="C8836" s="1">
        <f>HYPERLINK("https://cao.dolgi.msk.ru/account/1011351943/", 1011351943)</f>
        <v>1011351943</v>
      </c>
      <c r="D8836">
        <v>0</v>
      </c>
    </row>
    <row r="8837" spans="1:4" hidden="1" x14ac:dyDescent="0.3">
      <c r="A8837" t="s">
        <v>753</v>
      </c>
      <c r="B8837" t="s">
        <v>20</v>
      </c>
      <c r="C8837" s="1">
        <f>HYPERLINK("https://cao.dolgi.msk.ru/account/1011352057/", 1011352057)</f>
        <v>1011352057</v>
      </c>
      <c r="D8837">
        <v>-11094.99</v>
      </c>
    </row>
    <row r="8838" spans="1:4" hidden="1" x14ac:dyDescent="0.3">
      <c r="A8838" t="s">
        <v>753</v>
      </c>
      <c r="B8838" t="s">
        <v>21</v>
      </c>
      <c r="C8838" s="1">
        <f>HYPERLINK("https://cao.dolgi.msk.ru/account/1011351791/", 1011351791)</f>
        <v>1011351791</v>
      </c>
      <c r="D8838">
        <v>-6636.1</v>
      </c>
    </row>
    <row r="8839" spans="1:4" hidden="1" x14ac:dyDescent="0.3">
      <c r="A8839" t="s">
        <v>753</v>
      </c>
      <c r="B8839" t="s">
        <v>22</v>
      </c>
      <c r="C8839" s="1">
        <f>HYPERLINK("https://cao.dolgi.msk.ru/account/1011352049/", 1011352049)</f>
        <v>1011352049</v>
      </c>
      <c r="D8839">
        <v>-10827.07</v>
      </c>
    </row>
    <row r="8840" spans="1:4" x14ac:dyDescent="0.3">
      <c r="A8840" t="s">
        <v>753</v>
      </c>
      <c r="B8840" t="s">
        <v>24</v>
      </c>
      <c r="C8840" s="1">
        <f>HYPERLINK("https://cao.dolgi.msk.ru/account/1011352217/", 1011352217)</f>
        <v>1011352217</v>
      </c>
      <c r="D8840">
        <v>7483.66</v>
      </c>
    </row>
    <row r="8841" spans="1:4" hidden="1" x14ac:dyDescent="0.3">
      <c r="A8841" t="s">
        <v>753</v>
      </c>
      <c r="B8841" t="s">
        <v>25</v>
      </c>
      <c r="C8841" s="1">
        <f>HYPERLINK("https://cao.dolgi.msk.ru/account/1011352022/", 1011352022)</f>
        <v>1011352022</v>
      </c>
      <c r="D8841">
        <v>-3947.68</v>
      </c>
    </row>
    <row r="8842" spans="1:4" hidden="1" x14ac:dyDescent="0.3">
      <c r="A8842" t="s">
        <v>753</v>
      </c>
      <c r="B8842" t="s">
        <v>26</v>
      </c>
      <c r="C8842" s="1">
        <f>HYPERLINK("https://cao.dolgi.msk.ru/account/1011352153/", 1011352153)</f>
        <v>1011352153</v>
      </c>
      <c r="D8842">
        <v>-230</v>
      </c>
    </row>
    <row r="8843" spans="1:4" hidden="1" x14ac:dyDescent="0.3">
      <c r="A8843" t="s">
        <v>753</v>
      </c>
      <c r="B8843" t="s">
        <v>27</v>
      </c>
      <c r="C8843" s="1">
        <f>HYPERLINK("https://cao.dolgi.msk.ru/account/1011351783/", 1011351783)</f>
        <v>1011351783</v>
      </c>
      <c r="D8843">
        <v>0</v>
      </c>
    </row>
    <row r="8844" spans="1:4" hidden="1" x14ac:dyDescent="0.3">
      <c r="A8844" t="s">
        <v>753</v>
      </c>
      <c r="B8844" t="s">
        <v>29</v>
      </c>
      <c r="C8844" s="1">
        <f>HYPERLINK("https://cao.dolgi.msk.ru/account/1011352137/", 1011352137)</f>
        <v>1011352137</v>
      </c>
      <c r="D8844">
        <v>0</v>
      </c>
    </row>
    <row r="8845" spans="1:4" hidden="1" x14ac:dyDescent="0.3">
      <c r="A8845" t="s">
        <v>753</v>
      </c>
      <c r="B8845" t="s">
        <v>754</v>
      </c>
      <c r="C8845" s="1">
        <f>HYPERLINK("https://cao.dolgi.msk.ru/account/1011352161/", 1011352161)</f>
        <v>1011352161</v>
      </c>
      <c r="D8845">
        <v>0</v>
      </c>
    </row>
    <row r="8846" spans="1:4" x14ac:dyDescent="0.3">
      <c r="A8846" t="s">
        <v>753</v>
      </c>
      <c r="B8846" t="s">
        <v>40</v>
      </c>
      <c r="C8846" s="1">
        <f>HYPERLINK("https://cao.dolgi.msk.ru/account/1011351978/", 1011351978)</f>
        <v>1011351978</v>
      </c>
      <c r="D8846">
        <v>18878.71</v>
      </c>
    </row>
    <row r="8847" spans="1:4" hidden="1" x14ac:dyDescent="0.3">
      <c r="A8847" t="s">
        <v>753</v>
      </c>
      <c r="B8847" t="s">
        <v>41</v>
      </c>
      <c r="C8847" s="1">
        <f>HYPERLINK("https://cao.dolgi.msk.ru/account/1011352188/", 1011352188)</f>
        <v>1011352188</v>
      </c>
      <c r="D8847">
        <v>0</v>
      </c>
    </row>
    <row r="8848" spans="1:4" hidden="1" x14ac:dyDescent="0.3">
      <c r="A8848" t="s">
        <v>753</v>
      </c>
      <c r="B8848" t="s">
        <v>51</v>
      </c>
      <c r="C8848" s="1">
        <f>HYPERLINK("https://cao.dolgi.msk.ru/account/1011351863/", 1011351863)</f>
        <v>1011351863</v>
      </c>
      <c r="D8848">
        <v>0</v>
      </c>
    </row>
    <row r="8849" spans="1:4" x14ac:dyDescent="0.3">
      <c r="A8849" t="s">
        <v>753</v>
      </c>
      <c r="B8849" t="s">
        <v>52</v>
      </c>
      <c r="C8849" s="1">
        <f>HYPERLINK("https://cao.dolgi.msk.ru/account/1011351994/", 1011351994)</f>
        <v>1011351994</v>
      </c>
      <c r="D8849">
        <v>7285.64</v>
      </c>
    </row>
    <row r="8850" spans="1:4" x14ac:dyDescent="0.3">
      <c r="A8850" t="s">
        <v>753</v>
      </c>
      <c r="B8850" t="s">
        <v>53</v>
      </c>
      <c r="C8850" s="1">
        <f>HYPERLINK("https://cao.dolgi.msk.ru/account/1011352006/", 1011352006)</f>
        <v>1011352006</v>
      </c>
      <c r="D8850">
        <v>742302.66</v>
      </c>
    </row>
    <row r="8851" spans="1:4" hidden="1" x14ac:dyDescent="0.3">
      <c r="A8851" t="s">
        <v>753</v>
      </c>
      <c r="B8851" t="s">
        <v>54</v>
      </c>
      <c r="C8851" s="1">
        <f>HYPERLINK("https://cao.dolgi.msk.ru/account/1011352081/", 1011352081)</f>
        <v>1011352081</v>
      </c>
      <c r="D8851">
        <v>-22381.31</v>
      </c>
    </row>
    <row r="8852" spans="1:4" hidden="1" x14ac:dyDescent="0.3">
      <c r="A8852" t="s">
        <v>753</v>
      </c>
      <c r="B8852" t="s">
        <v>55</v>
      </c>
      <c r="C8852" s="1">
        <f>HYPERLINK("https://cao.dolgi.msk.ru/account/1011352102/", 1011352102)</f>
        <v>1011352102</v>
      </c>
      <c r="D8852">
        <v>-7924.44</v>
      </c>
    </row>
    <row r="8853" spans="1:4" x14ac:dyDescent="0.3">
      <c r="A8853" t="s">
        <v>753</v>
      </c>
      <c r="B8853" t="s">
        <v>56</v>
      </c>
      <c r="C8853" s="1">
        <f>HYPERLINK("https://cao.dolgi.msk.ru/account/1011351847/", 1011351847)</f>
        <v>1011351847</v>
      </c>
      <c r="D8853">
        <v>24847.16</v>
      </c>
    </row>
    <row r="8854" spans="1:4" hidden="1" x14ac:dyDescent="0.3">
      <c r="A8854" t="s">
        <v>753</v>
      </c>
      <c r="B8854" t="s">
        <v>87</v>
      </c>
      <c r="C8854" s="1">
        <f>HYPERLINK("https://cao.dolgi.msk.ru/account/1011352209/", 1011352209)</f>
        <v>1011352209</v>
      </c>
      <c r="D8854">
        <v>0</v>
      </c>
    </row>
    <row r="8855" spans="1:4" hidden="1" x14ac:dyDescent="0.3">
      <c r="A8855" t="s">
        <v>753</v>
      </c>
      <c r="B8855" t="s">
        <v>88</v>
      </c>
      <c r="C8855" s="1">
        <f>HYPERLINK("https://cao.dolgi.msk.ru/account/1011351927/", 1011351927)</f>
        <v>1011351927</v>
      </c>
      <c r="D8855">
        <v>0</v>
      </c>
    </row>
    <row r="8856" spans="1:4" hidden="1" x14ac:dyDescent="0.3">
      <c r="A8856" t="s">
        <v>755</v>
      </c>
      <c r="B8856" t="s">
        <v>6</v>
      </c>
      <c r="C8856" s="1">
        <f>HYPERLINK("https://cao.dolgi.msk.ru/account/1011352428/", 1011352428)</f>
        <v>1011352428</v>
      </c>
      <c r="D8856">
        <v>-11148.36</v>
      </c>
    </row>
    <row r="8857" spans="1:4" hidden="1" x14ac:dyDescent="0.3">
      <c r="A8857" t="s">
        <v>755</v>
      </c>
      <c r="B8857" t="s">
        <v>35</v>
      </c>
      <c r="C8857" s="1">
        <f>HYPERLINK("https://cao.dolgi.msk.ru/account/1011352647/", 1011352647)</f>
        <v>1011352647</v>
      </c>
      <c r="D8857">
        <v>-6751.06</v>
      </c>
    </row>
    <row r="8858" spans="1:4" hidden="1" x14ac:dyDescent="0.3">
      <c r="A8858" t="s">
        <v>755</v>
      </c>
      <c r="B8858" t="s">
        <v>5</v>
      </c>
      <c r="C8858" s="1">
        <f>HYPERLINK("https://cao.dolgi.msk.ru/account/1011352575/", 1011352575)</f>
        <v>1011352575</v>
      </c>
      <c r="D8858">
        <v>0</v>
      </c>
    </row>
    <row r="8859" spans="1:4" hidden="1" x14ac:dyDescent="0.3">
      <c r="A8859" t="s">
        <v>755</v>
      </c>
      <c r="B8859" t="s">
        <v>7</v>
      </c>
      <c r="C8859" s="1">
        <f>HYPERLINK("https://cao.dolgi.msk.ru/account/1011352532/", 1011352532)</f>
        <v>1011352532</v>
      </c>
      <c r="D8859">
        <v>-430.76</v>
      </c>
    </row>
    <row r="8860" spans="1:4" x14ac:dyDescent="0.3">
      <c r="A8860" t="s">
        <v>755</v>
      </c>
      <c r="B8860" t="s">
        <v>8</v>
      </c>
      <c r="C8860" s="1">
        <f>HYPERLINK("https://cao.dolgi.msk.ru/account/1011352698/", 1011352698)</f>
        <v>1011352698</v>
      </c>
      <c r="D8860">
        <v>5723.6</v>
      </c>
    </row>
    <row r="8861" spans="1:4" x14ac:dyDescent="0.3">
      <c r="A8861" t="s">
        <v>755</v>
      </c>
      <c r="B8861" t="s">
        <v>31</v>
      </c>
      <c r="C8861" s="1">
        <f>HYPERLINK("https://cao.dolgi.msk.ru/account/1011352583/", 1011352583)</f>
        <v>1011352583</v>
      </c>
      <c r="D8861">
        <v>11698.74</v>
      </c>
    </row>
    <row r="8862" spans="1:4" x14ac:dyDescent="0.3">
      <c r="A8862" t="s">
        <v>755</v>
      </c>
      <c r="B8862" t="s">
        <v>9</v>
      </c>
      <c r="C8862" s="1">
        <f>HYPERLINK("https://cao.dolgi.msk.ru/account/1011352508/", 1011352508)</f>
        <v>1011352508</v>
      </c>
      <c r="D8862">
        <v>8246.57</v>
      </c>
    </row>
    <row r="8863" spans="1:4" hidden="1" x14ac:dyDescent="0.3">
      <c r="A8863" t="s">
        <v>755</v>
      </c>
      <c r="B8863" t="s">
        <v>10</v>
      </c>
      <c r="C8863" s="1">
        <f>HYPERLINK("https://cao.dolgi.msk.ru/account/1011352663/", 1011352663)</f>
        <v>1011352663</v>
      </c>
      <c r="D8863">
        <v>-6017.86</v>
      </c>
    </row>
    <row r="8864" spans="1:4" hidden="1" x14ac:dyDescent="0.3">
      <c r="A8864" t="s">
        <v>755</v>
      </c>
      <c r="B8864" t="s">
        <v>11</v>
      </c>
      <c r="C8864" s="1">
        <f>HYPERLINK("https://cao.dolgi.msk.ru/account/1011352225/", 1011352225)</f>
        <v>1011352225</v>
      </c>
      <c r="D8864">
        <v>0</v>
      </c>
    </row>
    <row r="8865" spans="1:4" x14ac:dyDescent="0.3">
      <c r="A8865" t="s">
        <v>755</v>
      </c>
      <c r="B8865" t="s">
        <v>12</v>
      </c>
      <c r="C8865" s="1">
        <f>HYPERLINK("https://cao.dolgi.msk.ru/account/1011352364/", 1011352364)</f>
        <v>1011352364</v>
      </c>
      <c r="D8865">
        <v>17841.46</v>
      </c>
    </row>
    <row r="8866" spans="1:4" x14ac:dyDescent="0.3">
      <c r="A8866" t="s">
        <v>755</v>
      </c>
      <c r="B8866" t="s">
        <v>23</v>
      </c>
      <c r="C8866" s="1">
        <f>HYPERLINK("https://cao.dolgi.msk.ru/account/1011352639/", 1011352639)</f>
        <v>1011352639</v>
      </c>
      <c r="D8866">
        <v>882.12</v>
      </c>
    </row>
    <row r="8867" spans="1:4" hidden="1" x14ac:dyDescent="0.3">
      <c r="A8867" t="s">
        <v>755</v>
      </c>
      <c r="B8867" t="s">
        <v>13</v>
      </c>
      <c r="C8867" s="1">
        <f>HYPERLINK("https://cao.dolgi.msk.ru/account/1011352372/", 1011352372)</f>
        <v>1011352372</v>
      </c>
      <c r="D8867">
        <v>-26129.19</v>
      </c>
    </row>
    <row r="8868" spans="1:4" hidden="1" x14ac:dyDescent="0.3">
      <c r="A8868" t="s">
        <v>755</v>
      </c>
      <c r="B8868" t="s">
        <v>14</v>
      </c>
      <c r="C8868" s="1">
        <f>HYPERLINK("https://cao.dolgi.msk.ru/account/1011352233/", 1011352233)</f>
        <v>1011352233</v>
      </c>
      <c r="D8868">
        <v>-6145.94</v>
      </c>
    </row>
    <row r="8869" spans="1:4" hidden="1" x14ac:dyDescent="0.3">
      <c r="A8869" t="s">
        <v>755</v>
      </c>
      <c r="B8869" t="s">
        <v>16</v>
      </c>
      <c r="C8869" s="1">
        <f>HYPERLINK("https://cao.dolgi.msk.ru/account/1011352604/", 1011352604)</f>
        <v>1011352604</v>
      </c>
      <c r="D8869">
        <v>0</v>
      </c>
    </row>
    <row r="8870" spans="1:4" hidden="1" x14ac:dyDescent="0.3">
      <c r="A8870" t="s">
        <v>755</v>
      </c>
      <c r="B8870" t="s">
        <v>17</v>
      </c>
      <c r="C8870" s="1">
        <f>HYPERLINK("https://cao.dolgi.msk.ru/account/1011352487/", 1011352487)</f>
        <v>1011352487</v>
      </c>
      <c r="D8870">
        <v>0</v>
      </c>
    </row>
    <row r="8871" spans="1:4" x14ac:dyDescent="0.3">
      <c r="A8871" t="s">
        <v>755</v>
      </c>
      <c r="B8871" t="s">
        <v>18</v>
      </c>
      <c r="C8871" s="1">
        <f>HYPERLINK("https://cao.dolgi.msk.ru/account/1011352321/", 1011352321)</f>
        <v>1011352321</v>
      </c>
      <c r="D8871">
        <v>21787.48</v>
      </c>
    </row>
    <row r="8872" spans="1:4" hidden="1" x14ac:dyDescent="0.3">
      <c r="A8872" t="s">
        <v>755</v>
      </c>
      <c r="B8872" t="s">
        <v>19</v>
      </c>
      <c r="C8872" s="1">
        <f>HYPERLINK("https://cao.dolgi.msk.ru/account/1011352516/", 1011352516)</f>
        <v>1011352516</v>
      </c>
      <c r="D8872">
        <v>0</v>
      </c>
    </row>
    <row r="8873" spans="1:4" x14ac:dyDescent="0.3">
      <c r="A8873" t="s">
        <v>755</v>
      </c>
      <c r="B8873" t="s">
        <v>20</v>
      </c>
      <c r="C8873" s="1">
        <f>HYPERLINK("https://cao.dolgi.msk.ru/account/1011352559/", 1011352559)</f>
        <v>1011352559</v>
      </c>
      <c r="D8873">
        <v>19465.46</v>
      </c>
    </row>
    <row r="8874" spans="1:4" hidden="1" x14ac:dyDescent="0.3">
      <c r="A8874" t="s">
        <v>755</v>
      </c>
      <c r="B8874" t="s">
        <v>21</v>
      </c>
      <c r="C8874" s="1">
        <f>HYPERLINK("https://cao.dolgi.msk.ru/account/1011352452/", 1011352452)</f>
        <v>1011352452</v>
      </c>
      <c r="D8874">
        <v>-79.67</v>
      </c>
    </row>
    <row r="8875" spans="1:4" hidden="1" x14ac:dyDescent="0.3">
      <c r="A8875" t="s">
        <v>755</v>
      </c>
      <c r="B8875" t="s">
        <v>22</v>
      </c>
      <c r="C8875" s="1">
        <f>HYPERLINK("https://cao.dolgi.msk.ru/account/1011352719/", 1011352719)</f>
        <v>1011352719</v>
      </c>
      <c r="D8875">
        <v>0</v>
      </c>
    </row>
    <row r="8876" spans="1:4" hidden="1" x14ac:dyDescent="0.3">
      <c r="A8876" t="s">
        <v>755</v>
      </c>
      <c r="B8876" t="s">
        <v>24</v>
      </c>
      <c r="C8876" s="1">
        <f>HYPERLINK("https://cao.dolgi.msk.ru/account/1011352401/", 1011352401)</f>
        <v>1011352401</v>
      </c>
      <c r="D8876">
        <v>0</v>
      </c>
    </row>
    <row r="8877" spans="1:4" hidden="1" x14ac:dyDescent="0.3">
      <c r="A8877" t="s">
        <v>755</v>
      </c>
      <c r="B8877" t="s">
        <v>25</v>
      </c>
      <c r="C8877" s="1">
        <f>HYPERLINK("https://cao.dolgi.msk.ru/account/1011352348/", 1011352348)</f>
        <v>1011352348</v>
      </c>
      <c r="D8877">
        <v>-320.86</v>
      </c>
    </row>
    <row r="8878" spans="1:4" x14ac:dyDescent="0.3">
      <c r="A8878" t="s">
        <v>755</v>
      </c>
      <c r="B8878" t="s">
        <v>26</v>
      </c>
      <c r="C8878" s="1">
        <f>HYPERLINK("https://cao.dolgi.msk.ru/account/1011352292/", 1011352292)</f>
        <v>1011352292</v>
      </c>
      <c r="D8878">
        <v>9202.1200000000008</v>
      </c>
    </row>
    <row r="8879" spans="1:4" hidden="1" x14ac:dyDescent="0.3">
      <c r="A8879" t="s">
        <v>755</v>
      </c>
      <c r="B8879" t="s">
        <v>27</v>
      </c>
      <c r="C8879" s="1">
        <f>HYPERLINK("https://cao.dolgi.msk.ru/account/1011352524/", 1011352524)</f>
        <v>1011352524</v>
      </c>
      <c r="D8879">
        <v>-3.22</v>
      </c>
    </row>
    <row r="8880" spans="1:4" x14ac:dyDescent="0.3">
      <c r="A8880" t="s">
        <v>755</v>
      </c>
      <c r="B8880" t="s">
        <v>29</v>
      </c>
      <c r="C8880" s="1">
        <f>HYPERLINK("https://cao.dolgi.msk.ru/account/1011352284/", 1011352284)</f>
        <v>1011352284</v>
      </c>
      <c r="D8880">
        <v>767.17</v>
      </c>
    </row>
    <row r="8881" spans="1:4" hidden="1" x14ac:dyDescent="0.3">
      <c r="A8881" t="s">
        <v>755</v>
      </c>
      <c r="B8881" t="s">
        <v>38</v>
      </c>
      <c r="C8881" s="1">
        <f>HYPERLINK("https://cao.dolgi.msk.ru/account/1011352305/", 1011352305)</f>
        <v>1011352305</v>
      </c>
      <c r="D8881">
        <v>0</v>
      </c>
    </row>
    <row r="8882" spans="1:4" hidden="1" x14ac:dyDescent="0.3">
      <c r="A8882" t="s">
        <v>755</v>
      </c>
      <c r="B8882" t="s">
        <v>39</v>
      </c>
      <c r="C8882" s="1">
        <f>HYPERLINK("https://cao.dolgi.msk.ru/account/1011352671/", 1011352671)</f>
        <v>1011352671</v>
      </c>
      <c r="D8882">
        <v>-1430.82</v>
      </c>
    </row>
    <row r="8883" spans="1:4" hidden="1" x14ac:dyDescent="0.3">
      <c r="A8883" t="s">
        <v>755</v>
      </c>
      <c r="B8883" t="s">
        <v>40</v>
      </c>
      <c r="C8883" s="1">
        <f>HYPERLINK("https://cao.dolgi.msk.ru/account/1011352436/", 1011352436)</f>
        <v>1011352436</v>
      </c>
      <c r="D8883">
        <v>0</v>
      </c>
    </row>
    <row r="8884" spans="1:4" hidden="1" x14ac:dyDescent="0.3">
      <c r="A8884" t="s">
        <v>755</v>
      </c>
      <c r="B8884" t="s">
        <v>41</v>
      </c>
      <c r="C8884" s="1">
        <f>HYPERLINK("https://cao.dolgi.msk.ru/account/1011526133/", 1011526133)</f>
        <v>1011526133</v>
      </c>
      <c r="D8884">
        <v>0</v>
      </c>
    </row>
    <row r="8885" spans="1:4" x14ac:dyDescent="0.3">
      <c r="A8885" t="s">
        <v>755</v>
      </c>
      <c r="B8885" t="s">
        <v>51</v>
      </c>
      <c r="C8885" s="1">
        <f>HYPERLINK("https://cao.dolgi.msk.ru/account/1011352655/", 1011352655)</f>
        <v>1011352655</v>
      </c>
      <c r="D8885">
        <v>18791.2</v>
      </c>
    </row>
    <row r="8886" spans="1:4" hidden="1" x14ac:dyDescent="0.3">
      <c r="A8886" t="s">
        <v>755</v>
      </c>
      <c r="B8886" t="s">
        <v>52</v>
      </c>
      <c r="C8886" s="1">
        <f>HYPERLINK("https://cao.dolgi.msk.ru/account/1011352591/", 1011352591)</f>
        <v>1011352591</v>
      </c>
      <c r="D8886">
        <v>0</v>
      </c>
    </row>
    <row r="8887" spans="1:4" hidden="1" x14ac:dyDescent="0.3">
      <c r="A8887" t="s">
        <v>755</v>
      </c>
      <c r="B8887" t="s">
        <v>53</v>
      </c>
      <c r="C8887" s="1">
        <f>HYPERLINK("https://cao.dolgi.msk.ru/account/1011352495/", 1011352495)</f>
        <v>1011352495</v>
      </c>
      <c r="D8887">
        <v>-741.41</v>
      </c>
    </row>
    <row r="8888" spans="1:4" hidden="1" x14ac:dyDescent="0.3">
      <c r="A8888" t="s">
        <v>755</v>
      </c>
      <c r="B8888" t="s">
        <v>54</v>
      </c>
      <c r="C8888" s="1">
        <f>HYPERLINK("https://cao.dolgi.msk.ru/account/1011352276/", 1011352276)</f>
        <v>1011352276</v>
      </c>
      <c r="D8888">
        <v>0</v>
      </c>
    </row>
    <row r="8889" spans="1:4" hidden="1" x14ac:dyDescent="0.3">
      <c r="A8889" t="s">
        <v>755</v>
      </c>
      <c r="B8889" t="s">
        <v>55</v>
      </c>
      <c r="C8889" s="1">
        <f>HYPERLINK("https://cao.dolgi.msk.ru/account/1011352313/", 1011352313)</f>
        <v>1011352313</v>
      </c>
      <c r="D8889">
        <v>0</v>
      </c>
    </row>
    <row r="8890" spans="1:4" x14ac:dyDescent="0.3">
      <c r="A8890" t="s">
        <v>755</v>
      </c>
      <c r="B8890" t="s">
        <v>56</v>
      </c>
      <c r="C8890" s="1">
        <f>HYPERLINK("https://cao.dolgi.msk.ru/account/1011352241/", 1011352241)</f>
        <v>1011352241</v>
      </c>
      <c r="D8890">
        <v>17082.169999999998</v>
      </c>
    </row>
    <row r="8891" spans="1:4" x14ac:dyDescent="0.3">
      <c r="A8891" t="s">
        <v>755</v>
      </c>
      <c r="B8891" t="s">
        <v>87</v>
      </c>
      <c r="C8891" s="1">
        <f>HYPERLINK("https://cao.dolgi.msk.ru/account/1011352399/", 1011352399)</f>
        <v>1011352399</v>
      </c>
      <c r="D8891">
        <v>2232.77</v>
      </c>
    </row>
    <row r="8892" spans="1:4" hidden="1" x14ac:dyDescent="0.3">
      <c r="A8892" t="s">
        <v>755</v>
      </c>
      <c r="B8892" t="s">
        <v>88</v>
      </c>
      <c r="C8892" s="1">
        <f>HYPERLINK("https://cao.dolgi.msk.ru/account/1011352567/", 1011352567)</f>
        <v>1011352567</v>
      </c>
      <c r="D8892">
        <v>-1.36</v>
      </c>
    </row>
    <row r="8893" spans="1:4" hidden="1" x14ac:dyDescent="0.3">
      <c r="A8893" t="s">
        <v>755</v>
      </c>
      <c r="B8893" t="s">
        <v>89</v>
      </c>
      <c r="C8893" s="1">
        <f>HYPERLINK("https://cao.dolgi.msk.ru/account/1011352479/", 1011352479)</f>
        <v>1011352479</v>
      </c>
      <c r="D8893">
        <v>0</v>
      </c>
    </row>
    <row r="8894" spans="1:4" x14ac:dyDescent="0.3">
      <c r="A8894" t="s">
        <v>755</v>
      </c>
      <c r="B8894" t="s">
        <v>90</v>
      </c>
      <c r="C8894" s="1">
        <f>HYPERLINK("https://cao.dolgi.msk.ru/account/1011352356/", 1011352356)</f>
        <v>1011352356</v>
      </c>
      <c r="D8894">
        <v>15680.7</v>
      </c>
    </row>
    <row r="8895" spans="1:4" hidden="1" x14ac:dyDescent="0.3">
      <c r="A8895" t="s">
        <v>755</v>
      </c>
      <c r="B8895" t="s">
        <v>96</v>
      </c>
      <c r="C8895" s="1">
        <f>HYPERLINK("https://cao.dolgi.msk.ru/account/1011352268/", 1011352268)</f>
        <v>1011352268</v>
      </c>
      <c r="D8895">
        <v>-6345.01</v>
      </c>
    </row>
    <row r="8896" spans="1:4" hidden="1" x14ac:dyDescent="0.3">
      <c r="A8896" t="s">
        <v>755</v>
      </c>
      <c r="B8896" t="s">
        <v>97</v>
      </c>
      <c r="C8896" s="1">
        <f>HYPERLINK("https://cao.dolgi.msk.ru/account/1011352612/", 1011352612)</f>
        <v>1011352612</v>
      </c>
      <c r="D8896">
        <v>-10504.28</v>
      </c>
    </row>
    <row r="8897" spans="1:4" x14ac:dyDescent="0.3">
      <c r="A8897" t="s">
        <v>756</v>
      </c>
      <c r="B8897" t="s">
        <v>28</v>
      </c>
      <c r="C8897" s="1">
        <f>HYPERLINK("https://cao.dolgi.msk.ru/account/1011498101/", 1011498101)</f>
        <v>1011498101</v>
      </c>
      <c r="D8897">
        <v>11462.21</v>
      </c>
    </row>
    <row r="8898" spans="1:4" hidden="1" x14ac:dyDescent="0.3">
      <c r="A8898" t="s">
        <v>756</v>
      </c>
      <c r="B8898" t="s">
        <v>5</v>
      </c>
      <c r="C8898" s="1">
        <f>HYPERLINK("https://cao.dolgi.msk.ru/account/1011498179/", 1011498179)</f>
        <v>1011498179</v>
      </c>
      <c r="D8898">
        <v>-17726.900000000001</v>
      </c>
    </row>
    <row r="8899" spans="1:4" hidden="1" x14ac:dyDescent="0.3">
      <c r="A8899" t="s">
        <v>756</v>
      </c>
      <c r="B8899" t="s">
        <v>7</v>
      </c>
      <c r="C8899" s="1">
        <f>HYPERLINK("https://cao.dolgi.msk.ru/account/1011498187/", 1011498187)</f>
        <v>1011498187</v>
      </c>
      <c r="D8899">
        <v>0</v>
      </c>
    </row>
    <row r="8900" spans="1:4" x14ac:dyDescent="0.3">
      <c r="A8900" t="s">
        <v>756</v>
      </c>
      <c r="B8900" t="s">
        <v>8</v>
      </c>
      <c r="C8900" s="1">
        <f>HYPERLINK("https://cao.dolgi.msk.ru/account/1011498128/", 1011498128)</f>
        <v>1011498128</v>
      </c>
      <c r="D8900">
        <v>8821.7900000000009</v>
      </c>
    </row>
    <row r="8901" spans="1:4" hidden="1" x14ac:dyDescent="0.3">
      <c r="A8901" t="s">
        <v>756</v>
      </c>
      <c r="B8901" t="s">
        <v>31</v>
      </c>
      <c r="C8901" s="1">
        <f>HYPERLINK("https://cao.dolgi.msk.ru/account/1011498099/", 1011498099)</f>
        <v>1011498099</v>
      </c>
      <c r="D8901">
        <v>0</v>
      </c>
    </row>
    <row r="8902" spans="1:4" hidden="1" x14ac:dyDescent="0.3">
      <c r="A8902" t="s">
        <v>756</v>
      </c>
      <c r="B8902" t="s">
        <v>9</v>
      </c>
      <c r="C8902" s="1">
        <f>HYPERLINK("https://cao.dolgi.msk.ru/account/1011498136/", 1011498136)</f>
        <v>1011498136</v>
      </c>
      <c r="D8902">
        <v>0</v>
      </c>
    </row>
    <row r="8903" spans="1:4" hidden="1" x14ac:dyDescent="0.3">
      <c r="A8903" t="s">
        <v>756</v>
      </c>
      <c r="B8903" t="s">
        <v>10</v>
      </c>
      <c r="C8903" s="1">
        <f>HYPERLINK("https://cao.dolgi.msk.ru/account/1011498144/", 1011498144)</f>
        <v>1011498144</v>
      </c>
      <c r="D8903">
        <v>0</v>
      </c>
    </row>
    <row r="8904" spans="1:4" x14ac:dyDescent="0.3">
      <c r="A8904" t="s">
        <v>756</v>
      </c>
      <c r="B8904" t="s">
        <v>11</v>
      </c>
      <c r="C8904" s="1">
        <f>HYPERLINK("https://cao.dolgi.msk.ru/account/1011498072/", 1011498072)</f>
        <v>1011498072</v>
      </c>
      <c r="D8904">
        <v>34855.65</v>
      </c>
    </row>
    <row r="8905" spans="1:4" hidden="1" x14ac:dyDescent="0.3">
      <c r="A8905" t="s">
        <v>756</v>
      </c>
      <c r="B8905" t="s">
        <v>12</v>
      </c>
      <c r="C8905" s="1">
        <f>HYPERLINK("https://cao.dolgi.msk.ru/account/1011498195/", 1011498195)</f>
        <v>1011498195</v>
      </c>
      <c r="D8905">
        <v>0</v>
      </c>
    </row>
    <row r="8906" spans="1:4" hidden="1" x14ac:dyDescent="0.3">
      <c r="A8906" t="s">
        <v>756</v>
      </c>
      <c r="B8906" t="s">
        <v>23</v>
      </c>
      <c r="C8906" s="1">
        <f>HYPERLINK("https://cao.dolgi.msk.ru/account/1011498152/", 1011498152)</f>
        <v>1011498152</v>
      </c>
      <c r="D8906">
        <v>-8473</v>
      </c>
    </row>
    <row r="8907" spans="1:4" hidden="1" x14ac:dyDescent="0.3">
      <c r="A8907" t="s">
        <v>757</v>
      </c>
      <c r="B8907" t="s">
        <v>20</v>
      </c>
      <c r="C8907" s="1">
        <f>HYPERLINK("https://cao.dolgi.msk.ru/account/1011435039/", 1011435039)</f>
        <v>1011435039</v>
      </c>
      <c r="D8907">
        <v>0</v>
      </c>
    </row>
    <row r="8908" spans="1:4" hidden="1" x14ac:dyDescent="0.3">
      <c r="A8908" t="s">
        <v>757</v>
      </c>
      <c r="B8908" t="s">
        <v>21</v>
      </c>
      <c r="C8908" s="1">
        <f>HYPERLINK("https://cao.dolgi.msk.ru/account/1011435207/", 1011435207)</f>
        <v>1011435207</v>
      </c>
      <c r="D8908">
        <v>-10713.9</v>
      </c>
    </row>
    <row r="8909" spans="1:4" x14ac:dyDescent="0.3">
      <c r="A8909" t="s">
        <v>757</v>
      </c>
      <c r="B8909" t="s">
        <v>22</v>
      </c>
      <c r="C8909" s="1">
        <f>HYPERLINK("https://cao.dolgi.msk.ru/account/1011435186/", 1011435186)</f>
        <v>1011435186</v>
      </c>
      <c r="D8909">
        <v>15821.02</v>
      </c>
    </row>
    <row r="8910" spans="1:4" hidden="1" x14ac:dyDescent="0.3">
      <c r="A8910" t="s">
        <v>757</v>
      </c>
      <c r="B8910" t="s">
        <v>24</v>
      </c>
      <c r="C8910" s="1">
        <f>HYPERLINK("https://cao.dolgi.msk.ru/account/1011435098/", 1011435098)</f>
        <v>1011435098</v>
      </c>
      <c r="D8910">
        <v>-100430.88</v>
      </c>
    </row>
    <row r="8911" spans="1:4" hidden="1" x14ac:dyDescent="0.3">
      <c r="A8911" t="s">
        <v>757</v>
      </c>
      <c r="B8911" t="s">
        <v>25</v>
      </c>
      <c r="C8911" s="1">
        <f>HYPERLINK("https://cao.dolgi.msk.ru/account/1011434933/", 1011434933)</f>
        <v>1011434933</v>
      </c>
      <c r="D8911">
        <v>0</v>
      </c>
    </row>
    <row r="8912" spans="1:4" hidden="1" x14ac:dyDescent="0.3">
      <c r="A8912" t="s">
        <v>757</v>
      </c>
      <c r="B8912" t="s">
        <v>26</v>
      </c>
      <c r="C8912" s="1">
        <f>HYPERLINK("https://cao.dolgi.msk.ru/account/1011435119/", 1011435119)</f>
        <v>1011435119</v>
      </c>
      <c r="D8912">
        <v>0</v>
      </c>
    </row>
    <row r="8913" spans="1:4" hidden="1" x14ac:dyDescent="0.3">
      <c r="A8913" t="s">
        <v>757</v>
      </c>
      <c r="B8913" t="s">
        <v>27</v>
      </c>
      <c r="C8913" s="1">
        <f>HYPERLINK("https://cao.dolgi.msk.ru/account/1011435127/", 1011435127)</f>
        <v>1011435127</v>
      </c>
      <c r="D8913">
        <v>0</v>
      </c>
    </row>
    <row r="8914" spans="1:4" x14ac:dyDescent="0.3">
      <c r="A8914" t="s">
        <v>757</v>
      </c>
      <c r="B8914" t="s">
        <v>29</v>
      </c>
      <c r="C8914" s="1">
        <f>HYPERLINK("https://cao.dolgi.msk.ru/account/1011435223/", 1011435223)</f>
        <v>1011435223</v>
      </c>
      <c r="D8914">
        <v>9509</v>
      </c>
    </row>
    <row r="8915" spans="1:4" hidden="1" x14ac:dyDescent="0.3">
      <c r="A8915" t="s">
        <v>757</v>
      </c>
      <c r="B8915" t="s">
        <v>38</v>
      </c>
      <c r="C8915" s="1">
        <f>HYPERLINK("https://cao.dolgi.msk.ru/account/1011434968/", 1011434968)</f>
        <v>1011434968</v>
      </c>
      <c r="D8915">
        <v>0</v>
      </c>
    </row>
    <row r="8916" spans="1:4" hidden="1" x14ac:dyDescent="0.3">
      <c r="A8916" t="s">
        <v>757</v>
      </c>
      <c r="B8916" t="s">
        <v>39</v>
      </c>
      <c r="C8916" s="1">
        <f>HYPERLINK("https://cao.dolgi.msk.ru/account/1011434976/", 1011434976)</f>
        <v>1011434976</v>
      </c>
      <c r="D8916">
        <v>0</v>
      </c>
    </row>
    <row r="8917" spans="1:4" hidden="1" x14ac:dyDescent="0.3">
      <c r="A8917" t="s">
        <v>757</v>
      </c>
      <c r="B8917" t="s">
        <v>40</v>
      </c>
      <c r="C8917" s="1">
        <f>HYPERLINK("https://cao.dolgi.msk.ru/account/1011434984/", 1011434984)</f>
        <v>1011434984</v>
      </c>
      <c r="D8917">
        <v>-7251.58</v>
      </c>
    </row>
    <row r="8918" spans="1:4" hidden="1" x14ac:dyDescent="0.3">
      <c r="A8918" t="s">
        <v>757</v>
      </c>
      <c r="B8918" t="s">
        <v>40</v>
      </c>
      <c r="C8918" s="1">
        <f>HYPERLINK("https://cao.dolgi.msk.ru/account/1011435047/", 1011435047)</f>
        <v>1011435047</v>
      </c>
      <c r="D8918">
        <v>-4345.59</v>
      </c>
    </row>
    <row r="8919" spans="1:4" hidden="1" x14ac:dyDescent="0.3">
      <c r="A8919" t="s">
        <v>757</v>
      </c>
      <c r="B8919" t="s">
        <v>41</v>
      </c>
      <c r="C8919" s="1">
        <f>HYPERLINK("https://cao.dolgi.msk.ru/account/1011435012/", 1011435012)</f>
        <v>1011435012</v>
      </c>
      <c r="D8919">
        <v>0</v>
      </c>
    </row>
    <row r="8920" spans="1:4" hidden="1" x14ac:dyDescent="0.3">
      <c r="A8920" t="s">
        <v>757</v>
      </c>
      <c r="B8920" t="s">
        <v>54</v>
      </c>
      <c r="C8920" s="1">
        <f>HYPERLINK("https://cao.dolgi.msk.ru/account/1011435071/", 1011435071)</f>
        <v>1011435071</v>
      </c>
      <c r="D8920">
        <v>0</v>
      </c>
    </row>
    <row r="8921" spans="1:4" hidden="1" x14ac:dyDescent="0.3">
      <c r="A8921" t="s">
        <v>757</v>
      </c>
      <c r="B8921" t="s">
        <v>55</v>
      </c>
      <c r="C8921" s="1">
        <f>HYPERLINK("https://cao.dolgi.msk.ru/account/1011435004/", 1011435004)</f>
        <v>1011435004</v>
      </c>
      <c r="D8921">
        <v>-3941.89</v>
      </c>
    </row>
    <row r="8922" spans="1:4" hidden="1" x14ac:dyDescent="0.3">
      <c r="A8922" t="s">
        <v>757</v>
      </c>
      <c r="B8922" t="s">
        <v>56</v>
      </c>
      <c r="C8922" s="1">
        <f>HYPERLINK("https://cao.dolgi.msk.ru/account/1011435231/", 1011435231)</f>
        <v>1011435231</v>
      </c>
      <c r="D8922">
        <v>0</v>
      </c>
    </row>
    <row r="8923" spans="1:4" hidden="1" x14ac:dyDescent="0.3">
      <c r="A8923" t="s">
        <v>757</v>
      </c>
      <c r="B8923" t="s">
        <v>87</v>
      </c>
      <c r="C8923" s="1">
        <f>HYPERLINK("https://cao.dolgi.msk.ru/account/1011435143/", 1011435143)</f>
        <v>1011435143</v>
      </c>
      <c r="D8923">
        <v>0</v>
      </c>
    </row>
    <row r="8924" spans="1:4" hidden="1" x14ac:dyDescent="0.3">
      <c r="A8924" t="s">
        <v>757</v>
      </c>
      <c r="B8924" t="s">
        <v>88</v>
      </c>
      <c r="C8924" s="1">
        <f>HYPERLINK("https://cao.dolgi.msk.ru/account/1011434992/", 1011434992)</f>
        <v>1011434992</v>
      </c>
      <c r="D8924">
        <v>0</v>
      </c>
    </row>
    <row r="8925" spans="1:4" hidden="1" x14ac:dyDescent="0.3">
      <c r="A8925" t="s">
        <v>757</v>
      </c>
      <c r="B8925" t="s">
        <v>89</v>
      </c>
      <c r="C8925" s="1">
        <f>HYPERLINK("https://cao.dolgi.msk.ru/account/1011435151/", 1011435151)</f>
        <v>1011435151</v>
      </c>
      <c r="D8925">
        <v>0</v>
      </c>
    </row>
    <row r="8926" spans="1:4" hidden="1" x14ac:dyDescent="0.3">
      <c r="A8926" t="s">
        <v>757</v>
      </c>
      <c r="B8926" t="s">
        <v>90</v>
      </c>
      <c r="C8926" s="1">
        <f>HYPERLINK("https://cao.dolgi.msk.ru/account/1011434925/", 1011434925)</f>
        <v>1011434925</v>
      </c>
      <c r="D8926">
        <v>0</v>
      </c>
    </row>
    <row r="8927" spans="1:4" hidden="1" x14ac:dyDescent="0.3">
      <c r="A8927" t="s">
        <v>757</v>
      </c>
      <c r="B8927" t="s">
        <v>90</v>
      </c>
      <c r="C8927" s="1">
        <f>HYPERLINK("https://cao.dolgi.msk.ru/account/1011435135/", 1011435135)</f>
        <v>1011435135</v>
      </c>
      <c r="D8927">
        <v>0</v>
      </c>
    </row>
    <row r="8928" spans="1:4" hidden="1" x14ac:dyDescent="0.3">
      <c r="A8928" t="s">
        <v>757</v>
      </c>
      <c r="B8928" t="s">
        <v>97</v>
      </c>
      <c r="C8928" s="1">
        <f>HYPERLINK("https://cao.dolgi.msk.ru/account/1011435215/", 1011435215)</f>
        <v>1011435215</v>
      </c>
      <c r="D8928">
        <v>0</v>
      </c>
    </row>
    <row r="8929" spans="1:4" x14ac:dyDescent="0.3">
      <c r="A8929" t="s">
        <v>757</v>
      </c>
      <c r="B8929" t="s">
        <v>98</v>
      </c>
      <c r="C8929" s="1">
        <f>HYPERLINK("https://cao.dolgi.msk.ru/account/1011435055/", 1011435055)</f>
        <v>1011435055</v>
      </c>
      <c r="D8929">
        <v>14014.47</v>
      </c>
    </row>
    <row r="8930" spans="1:4" x14ac:dyDescent="0.3">
      <c r="A8930" t="s">
        <v>757</v>
      </c>
      <c r="B8930" t="s">
        <v>58</v>
      </c>
      <c r="C8930" s="1">
        <f>HYPERLINK("https://cao.dolgi.msk.ru/account/1011435194/", 1011435194)</f>
        <v>1011435194</v>
      </c>
      <c r="D8930">
        <v>9676.77</v>
      </c>
    </row>
    <row r="8931" spans="1:4" x14ac:dyDescent="0.3">
      <c r="A8931" t="s">
        <v>757</v>
      </c>
      <c r="B8931" t="s">
        <v>59</v>
      </c>
      <c r="C8931" s="1">
        <f>HYPERLINK("https://cao.dolgi.msk.ru/account/1011435178/", 1011435178)</f>
        <v>1011435178</v>
      </c>
      <c r="D8931">
        <v>8875</v>
      </c>
    </row>
    <row r="8932" spans="1:4" hidden="1" x14ac:dyDescent="0.3">
      <c r="A8932" t="s">
        <v>758</v>
      </c>
      <c r="B8932" t="s">
        <v>759</v>
      </c>
      <c r="C8932" s="1">
        <f>HYPERLINK("https://cao.dolgi.msk.ru/account/1011435311/", 1011435311)</f>
        <v>1011435311</v>
      </c>
      <c r="D8932">
        <v>0</v>
      </c>
    </row>
    <row r="8933" spans="1:4" hidden="1" x14ac:dyDescent="0.3">
      <c r="A8933" t="s">
        <v>758</v>
      </c>
      <c r="B8933" t="s">
        <v>31</v>
      </c>
      <c r="C8933" s="1">
        <f>HYPERLINK("https://cao.dolgi.msk.ru/account/1011435362/", 1011435362)</f>
        <v>1011435362</v>
      </c>
      <c r="D8933">
        <v>0</v>
      </c>
    </row>
    <row r="8934" spans="1:4" x14ac:dyDescent="0.3">
      <c r="A8934" t="s">
        <v>758</v>
      </c>
      <c r="B8934" t="s">
        <v>9</v>
      </c>
      <c r="C8934" s="1">
        <f>HYPERLINK("https://cao.dolgi.msk.ru/account/1011435493/", 1011435493)</f>
        <v>1011435493</v>
      </c>
      <c r="D8934">
        <v>7953.11</v>
      </c>
    </row>
    <row r="8935" spans="1:4" hidden="1" x14ac:dyDescent="0.3">
      <c r="A8935" t="s">
        <v>758</v>
      </c>
      <c r="B8935" t="s">
        <v>10</v>
      </c>
      <c r="C8935" s="1">
        <f>HYPERLINK("https://cao.dolgi.msk.ru/account/1011531856/", 1011531856)</f>
        <v>1011531856</v>
      </c>
      <c r="D8935">
        <v>0</v>
      </c>
    </row>
    <row r="8936" spans="1:4" hidden="1" x14ac:dyDescent="0.3">
      <c r="A8936" t="s">
        <v>758</v>
      </c>
      <c r="B8936" t="s">
        <v>11</v>
      </c>
      <c r="C8936" s="1">
        <f>HYPERLINK("https://cao.dolgi.msk.ru/account/1011435418/", 1011435418)</f>
        <v>1011435418</v>
      </c>
      <c r="D8936">
        <v>-36473.74</v>
      </c>
    </row>
    <row r="8937" spans="1:4" hidden="1" x14ac:dyDescent="0.3">
      <c r="A8937" t="s">
        <v>758</v>
      </c>
      <c r="B8937" t="s">
        <v>12</v>
      </c>
      <c r="C8937" s="1">
        <f>HYPERLINK("https://cao.dolgi.msk.ru/account/1011435477/", 1011435477)</f>
        <v>1011435477</v>
      </c>
      <c r="D8937">
        <v>0</v>
      </c>
    </row>
    <row r="8938" spans="1:4" hidden="1" x14ac:dyDescent="0.3">
      <c r="A8938" t="s">
        <v>758</v>
      </c>
      <c r="B8938" t="s">
        <v>23</v>
      </c>
      <c r="C8938" s="1">
        <f>HYPERLINK("https://cao.dolgi.msk.ru/account/1011435389/", 1011435389)</f>
        <v>1011435389</v>
      </c>
      <c r="D8938">
        <v>0</v>
      </c>
    </row>
    <row r="8939" spans="1:4" hidden="1" x14ac:dyDescent="0.3">
      <c r="A8939" t="s">
        <v>758</v>
      </c>
      <c r="B8939" t="s">
        <v>13</v>
      </c>
      <c r="C8939" s="1">
        <f>HYPERLINK("https://cao.dolgi.msk.ru/account/1011435426/", 1011435426)</f>
        <v>1011435426</v>
      </c>
      <c r="D8939">
        <v>-5247.03</v>
      </c>
    </row>
    <row r="8940" spans="1:4" x14ac:dyDescent="0.3">
      <c r="A8940" t="s">
        <v>758</v>
      </c>
      <c r="B8940" t="s">
        <v>14</v>
      </c>
      <c r="C8940" s="1">
        <f>HYPERLINK("https://cao.dolgi.msk.ru/account/1011435397/", 1011435397)</f>
        <v>1011435397</v>
      </c>
      <c r="D8940">
        <v>6084.7</v>
      </c>
    </row>
    <row r="8941" spans="1:4" hidden="1" x14ac:dyDescent="0.3">
      <c r="A8941" t="s">
        <v>758</v>
      </c>
      <c r="B8941" t="s">
        <v>16</v>
      </c>
      <c r="C8941" s="1">
        <f>HYPERLINK("https://cao.dolgi.msk.ru/account/1011435282/", 1011435282)</f>
        <v>1011435282</v>
      </c>
      <c r="D8941">
        <v>0</v>
      </c>
    </row>
    <row r="8942" spans="1:4" hidden="1" x14ac:dyDescent="0.3">
      <c r="A8942" t="s">
        <v>758</v>
      </c>
      <c r="B8942" t="s">
        <v>17</v>
      </c>
      <c r="C8942" s="1">
        <f>HYPERLINK("https://cao.dolgi.msk.ru/account/1011435522/", 1011435522)</f>
        <v>1011435522</v>
      </c>
      <c r="D8942">
        <v>0</v>
      </c>
    </row>
    <row r="8943" spans="1:4" hidden="1" x14ac:dyDescent="0.3">
      <c r="A8943" t="s">
        <v>758</v>
      </c>
      <c r="B8943" t="s">
        <v>18</v>
      </c>
      <c r="C8943" s="1">
        <f>HYPERLINK("https://cao.dolgi.msk.ru/account/1011435258/", 1011435258)</f>
        <v>1011435258</v>
      </c>
      <c r="D8943">
        <v>-10825.74</v>
      </c>
    </row>
    <row r="8944" spans="1:4" hidden="1" x14ac:dyDescent="0.3">
      <c r="A8944" t="s">
        <v>758</v>
      </c>
      <c r="B8944" t="s">
        <v>19</v>
      </c>
      <c r="C8944" s="1">
        <f>HYPERLINK("https://cao.dolgi.msk.ru/account/1011435514/", 1011435514)</f>
        <v>1011435514</v>
      </c>
      <c r="D8944">
        <v>0</v>
      </c>
    </row>
    <row r="8945" spans="1:4" x14ac:dyDescent="0.3">
      <c r="A8945" t="s">
        <v>758</v>
      </c>
      <c r="B8945" t="s">
        <v>20</v>
      </c>
      <c r="C8945" s="1">
        <f>HYPERLINK("https://cao.dolgi.msk.ru/account/1011515557/", 1011515557)</f>
        <v>1011515557</v>
      </c>
      <c r="D8945">
        <v>4807.3999999999996</v>
      </c>
    </row>
    <row r="8946" spans="1:4" hidden="1" x14ac:dyDescent="0.3">
      <c r="A8946" t="s">
        <v>758</v>
      </c>
      <c r="B8946" t="s">
        <v>21</v>
      </c>
      <c r="C8946" s="1">
        <f>HYPERLINK("https://cao.dolgi.msk.ru/account/1011435485/", 1011435485)</f>
        <v>1011435485</v>
      </c>
      <c r="D8946">
        <v>0</v>
      </c>
    </row>
    <row r="8947" spans="1:4" hidden="1" x14ac:dyDescent="0.3">
      <c r="A8947" t="s">
        <v>758</v>
      </c>
      <c r="B8947" t="s">
        <v>22</v>
      </c>
      <c r="C8947" s="1">
        <f>HYPERLINK("https://cao.dolgi.msk.ru/account/1011435434/", 1011435434)</f>
        <v>1011435434</v>
      </c>
      <c r="D8947">
        <v>-0.01</v>
      </c>
    </row>
    <row r="8948" spans="1:4" hidden="1" x14ac:dyDescent="0.3">
      <c r="A8948" t="s">
        <v>758</v>
      </c>
      <c r="B8948" t="s">
        <v>24</v>
      </c>
      <c r="C8948" s="1">
        <f>HYPERLINK("https://cao.dolgi.msk.ru/account/1011435266/", 1011435266)</f>
        <v>1011435266</v>
      </c>
      <c r="D8948">
        <v>-3033.87</v>
      </c>
    </row>
    <row r="8949" spans="1:4" hidden="1" x14ac:dyDescent="0.3">
      <c r="A8949" t="s">
        <v>758</v>
      </c>
      <c r="B8949" t="s">
        <v>25</v>
      </c>
      <c r="C8949" s="1">
        <f>HYPERLINK("https://cao.dolgi.msk.ru/account/1011435581/", 1011435581)</f>
        <v>1011435581</v>
      </c>
      <c r="D8949">
        <v>0</v>
      </c>
    </row>
    <row r="8950" spans="1:4" hidden="1" x14ac:dyDescent="0.3">
      <c r="A8950" t="s">
        <v>758</v>
      </c>
      <c r="B8950" t="s">
        <v>26</v>
      </c>
      <c r="C8950" s="1">
        <f>HYPERLINK("https://cao.dolgi.msk.ru/account/1011435573/", 1011435573)</f>
        <v>1011435573</v>
      </c>
      <c r="D8950">
        <v>-6494.05</v>
      </c>
    </row>
    <row r="8951" spans="1:4" x14ac:dyDescent="0.3">
      <c r="A8951" t="s">
        <v>758</v>
      </c>
      <c r="B8951" t="s">
        <v>27</v>
      </c>
      <c r="C8951" s="1">
        <f>HYPERLINK("https://cao.dolgi.msk.ru/account/1011435506/", 1011435506)</f>
        <v>1011435506</v>
      </c>
      <c r="D8951">
        <v>11774.56</v>
      </c>
    </row>
    <row r="8952" spans="1:4" hidden="1" x14ac:dyDescent="0.3">
      <c r="A8952" t="s">
        <v>758</v>
      </c>
      <c r="B8952" t="s">
        <v>29</v>
      </c>
      <c r="C8952" s="1">
        <f>HYPERLINK("https://cao.dolgi.msk.ru/account/1011435303/", 1011435303)</f>
        <v>1011435303</v>
      </c>
      <c r="D8952">
        <v>0</v>
      </c>
    </row>
    <row r="8953" spans="1:4" hidden="1" x14ac:dyDescent="0.3">
      <c r="A8953" t="s">
        <v>758</v>
      </c>
      <c r="B8953" t="s">
        <v>38</v>
      </c>
      <c r="C8953" s="1">
        <f>HYPERLINK("https://cao.dolgi.msk.ru/account/1011435274/", 1011435274)</f>
        <v>1011435274</v>
      </c>
      <c r="D8953">
        <v>-6908.49</v>
      </c>
    </row>
    <row r="8954" spans="1:4" hidden="1" x14ac:dyDescent="0.3">
      <c r="A8954" t="s">
        <v>758</v>
      </c>
      <c r="B8954" t="s">
        <v>39</v>
      </c>
      <c r="C8954" s="1">
        <f>HYPERLINK("https://cao.dolgi.msk.ru/account/1011435557/", 1011435557)</f>
        <v>1011435557</v>
      </c>
      <c r="D8954">
        <v>0</v>
      </c>
    </row>
    <row r="8955" spans="1:4" hidden="1" x14ac:dyDescent="0.3">
      <c r="A8955" t="s">
        <v>758</v>
      </c>
      <c r="B8955" t="s">
        <v>40</v>
      </c>
      <c r="C8955" s="1">
        <f>HYPERLINK("https://cao.dolgi.msk.ru/account/1011435565/", 1011435565)</f>
        <v>1011435565</v>
      </c>
      <c r="D8955">
        <v>0</v>
      </c>
    </row>
    <row r="8956" spans="1:4" hidden="1" x14ac:dyDescent="0.3">
      <c r="A8956" t="s">
        <v>758</v>
      </c>
      <c r="B8956" t="s">
        <v>41</v>
      </c>
      <c r="C8956" s="1">
        <f>HYPERLINK("https://cao.dolgi.msk.ru/account/1011435354/", 1011435354)</f>
        <v>1011435354</v>
      </c>
      <c r="D8956">
        <v>-5295.66</v>
      </c>
    </row>
    <row r="8957" spans="1:4" hidden="1" x14ac:dyDescent="0.3">
      <c r="A8957" t="s">
        <v>758</v>
      </c>
      <c r="B8957" t="s">
        <v>51</v>
      </c>
      <c r="C8957" s="1">
        <f>HYPERLINK("https://cao.dolgi.msk.ru/account/1011435338/", 1011435338)</f>
        <v>1011435338</v>
      </c>
      <c r="D8957">
        <v>-7065.34</v>
      </c>
    </row>
    <row r="8958" spans="1:4" hidden="1" x14ac:dyDescent="0.3">
      <c r="A8958" t="s">
        <v>758</v>
      </c>
      <c r="B8958" t="s">
        <v>52</v>
      </c>
      <c r="C8958" s="1">
        <f>HYPERLINK("https://cao.dolgi.msk.ru/account/1011435469/", 1011435469)</f>
        <v>1011435469</v>
      </c>
      <c r="D8958">
        <v>-7389.6</v>
      </c>
    </row>
    <row r="8959" spans="1:4" hidden="1" x14ac:dyDescent="0.3">
      <c r="A8959" t="s">
        <v>758</v>
      </c>
      <c r="B8959" t="s">
        <v>53</v>
      </c>
      <c r="C8959" s="1">
        <f>HYPERLINK("https://cao.dolgi.msk.ru/account/1011435549/", 1011435549)</f>
        <v>1011435549</v>
      </c>
      <c r="D8959">
        <v>0</v>
      </c>
    </row>
    <row r="8960" spans="1:4" hidden="1" x14ac:dyDescent="0.3">
      <c r="A8960" t="s">
        <v>760</v>
      </c>
      <c r="B8960" t="s">
        <v>54</v>
      </c>
      <c r="C8960" s="1">
        <f>HYPERLINK("https://cao.dolgi.msk.ru/account/1011198723/", 1011198723)</f>
        <v>1011198723</v>
      </c>
      <c r="D8960">
        <v>-3977.58</v>
      </c>
    </row>
    <row r="8961" spans="1:4" hidden="1" x14ac:dyDescent="0.3">
      <c r="A8961" t="s">
        <v>760</v>
      </c>
      <c r="B8961" t="s">
        <v>55</v>
      </c>
      <c r="C8961" s="1">
        <f>HYPERLINK("https://cao.dolgi.msk.ru/account/1011198432/", 1011198432)</f>
        <v>1011198432</v>
      </c>
      <c r="D8961">
        <v>-18050.96</v>
      </c>
    </row>
    <row r="8962" spans="1:4" hidden="1" x14ac:dyDescent="0.3">
      <c r="A8962" t="s">
        <v>760</v>
      </c>
      <c r="B8962" t="s">
        <v>56</v>
      </c>
      <c r="C8962" s="1">
        <f>HYPERLINK("https://cao.dolgi.msk.ru/account/1011198459/", 1011198459)</f>
        <v>1011198459</v>
      </c>
      <c r="D8962">
        <v>0</v>
      </c>
    </row>
    <row r="8963" spans="1:4" x14ac:dyDescent="0.3">
      <c r="A8963" t="s">
        <v>760</v>
      </c>
      <c r="B8963" t="s">
        <v>87</v>
      </c>
      <c r="C8963" s="1">
        <f>HYPERLINK("https://cao.dolgi.msk.ru/account/1011198221/", 1011198221)</f>
        <v>1011198221</v>
      </c>
      <c r="D8963">
        <v>10276.59</v>
      </c>
    </row>
    <row r="8964" spans="1:4" hidden="1" x14ac:dyDescent="0.3">
      <c r="A8964" t="s">
        <v>760</v>
      </c>
      <c r="B8964" t="s">
        <v>88</v>
      </c>
      <c r="C8964" s="1">
        <f>HYPERLINK("https://cao.dolgi.msk.ru/account/1011198846/", 1011198846)</f>
        <v>1011198846</v>
      </c>
      <c r="D8964">
        <v>0</v>
      </c>
    </row>
    <row r="8965" spans="1:4" hidden="1" x14ac:dyDescent="0.3">
      <c r="A8965" t="s">
        <v>760</v>
      </c>
      <c r="B8965" t="s">
        <v>89</v>
      </c>
      <c r="C8965" s="1">
        <f>HYPERLINK("https://cao.dolgi.msk.ru/account/1011198336/", 1011198336)</f>
        <v>1011198336</v>
      </c>
      <c r="D8965">
        <v>0</v>
      </c>
    </row>
    <row r="8966" spans="1:4" hidden="1" x14ac:dyDescent="0.3">
      <c r="A8966" t="s">
        <v>760</v>
      </c>
      <c r="B8966" t="s">
        <v>90</v>
      </c>
      <c r="C8966" s="1">
        <f>HYPERLINK("https://cao.dolgi.msk.ru/account/1011198248/", 1011198248)</f>
        <v>1011198248</v>
      </c>
      <c r="D8966">
        <v>-45668.83</v>
      </c>
    </row>
    <row r="8967" spans="1:4" hidden="1" x14ac:dyDescent="0.3">
      <c r="A8967" t="s">
        <v>760</v>
      </c>
      <c r="B8967" t="s">
        <v>96</v>
      </c>
      <c r="C8967" s="1">
        <f>HYPERLINK("https://cao.dolgi.msk.ru/account/1011198256/", 1011198256)</f>
        <v>1011198256</v>
      </c>
      <c r="D8967">
        <v>0</v>
      </c>
    </row>
    <row r="8968" spans="1:4" hidden="1" x14ac:dyDescent="0.3">
      <c r="A8968" t="s">
        <v>760</v>
      </c>
      <c r="B8968" t="s">
        <v>97</v>
      </c>
      <c r="C8968" s="1">
        <f>HYPERLINK("https://cao.dolgi.msk.ru/account/1011198467/", 1011198467)</f>
        <v>1011198467</v>
      </c>
      <c r="D8968">
        <v>0</v>
      </c>
    </row>
    <row r="8969" spans="1:4" hidden="1" x14ac:dyDescent="0.3">
      <c r="A8969" t="s">
        <v>760</v>
      </c>
      <c r="B8969" t="s">
        <v>98</v>
      </c>
      <c r="C8969" s="1">
        <f>HYPERLINK("https://cao.dolgi.msk.ru/account/1011198512/", 1011198512)</f>
        <v>1011198512</v>
      </c>
      <c r="D8969">
        <v>0</v>
      </c>
    </row>
    <row r="8970" spans="1:4" hidden="1" x14ac:dyDescent="0.3">
      <c r="A8970" t="s">
        <v>760</v>
      </c>
      <c r="B8970" t="s">
        <v>58</v>
      </c>
      <c r="C8970" s="1">
        <f>HYPERLINK("https://cao.dolgi.msk.ru/account/1011198643/", 1011198643)</f>
        <v>1011198643</v>
      </c>
      <c r="D8970">
        <v>-11866.87</v>
      </c>
    </row>
    <row r="8971" spans="1:4" hidden="1" x14ac:dyDescent="0.3">
      <c r="A8971" t="s">
        <v>760</v>
      </c>
      <c r="B8971" t="s">
        <v>59</v>
      </c>
      <c r="C8971" s="1">
        <f>HYPERLINK("https://cao.dolgi.msk.ru/account/1011198344/", 1011198344)</f>
        <v>1011198344</v>
      </c>
      <c r="D8971">
        <v>-245</v>
      </c>
    </row>
    <row r="8972" spans="1:4" hidden="1" x14ac:dyDescent="0.3">
      <c r="A8972" t="s">
        <v>760</v>
      </c>
      <c r="B8972" t="s">
        <v>60</v>
      </c>
      <c r="C8972" s="1">
        <f>HYPERLINK("https://cao.dolgi.msk.ru/account/1011198854/", 1011198854)</f>
        <v>1011198854</v>
      </c>
      <c r="D8972">
        <v>-11658.6</v>
      </c>
    </row>
    <row r="8973" spans="1:4" hidden="1" x14ac:dyDescent="0.3">
      <c r="A8973" t="s">
        <v>760</v>
      </c>
      <c r="B8973" t="s">
        <v>61</v>
      </c>
      <c r="C8973" s="1">
        <f>HYPERLINK("https://cao.dolgi.msk.ru/account/1011198539/", 1011198539)</f>
        <v>1011198539</v>
      </c>
      <c r="D8973">
        <v>0</v>
      </c>
    </row>
    <row r="8974" spans="1:4" hidden="1" x14ac:dyDescent="0.3">
      <c r="A8974" t="s">
        <v>760</v>
      </c>
      <c r="B8974" t="s">
        <v>62</v>
      </c>
      <c r="C8974" s="1">
        <f>HYPERLINK("https://cao.dolgi.msk.ru/account/1011198862/", 1011198862)</f>
        <v>1011198862</v>
      </c>
      <c r="D8974">
        <v>0</v>
      </c>
    </row>
    <row r="8975" spans="1:4" hidden="1" x14ac:dyDescent="0.3">
      <c r="A8975" t="s">
        <v>760</v>
      </c>
      <c r="B8975" t="s">
        <v>63</v>
      </c>
      <c r="C8975" s="1">
        <f>HYPERLINK("https://cao.dolgi.msk.ru/account/1011198731/", 1011198731)</f>
        <v>1011198731</v>
      </c>
      <c r="D8975">
        <v>-4858.45</v>
      </c>
    </row>
    <row r="8976" spans="1:4" hidden="1" x14ac:dyDescent="0.3">
      <c r="A8976" t="s">
        <v>760</v>
      </c>
      <c r="B8976" t="s">
        <v>64</v>
      </c>
      <c r="C8976" s="1">
        <f>HYPERLINK("https://cao.dolgi.msk.ru/account/1011198264/", 1011198264)</f>
        <v>1011198264</v>
      </c>
      <c r="D8976">
        <v>0</v>
      </c>
    </row>
    <row r="8977" spans="1:4" hidden="1" x14ac:dyDescent="0.3">
      <c r="A8977" t="s">
        <v>760</v>
      </c>
      <c r="B8977" t="s">
        <v>65</v>
      </c>
      <c r="C8977" s="1">
        <f>HYPERLINK("https://cao.dolgi.msk.ru/account/1011198272/", 1011198272)</f>
        <v>1011198272</v>
      </c>
      <c r="D8977">
        <v>0</v>
      </c>
    </row>
    <row r="8978" spans="1:4" hidden="1" x14ac:dyDescent="0.3">
      <c r="A8978" t="s">
        <v>760</v>
      </c>
      <c r="B8978" t="s">
        <v>66</v>
      </c>
      <c r="C8978" s="1">
        <f>HYPERLINK("https://cao.dolgi.msk.ru/account/1011198408/", 1011198408)</f>
        <v>1011198408</v>
      </c>
      <c r="D8978">
        <v>0</v>
      </c>
    </row>
    <row r="8979" spans="1:4" hidden="1" x14ac:dyDescent="0.3">
      <c r="A8979" t="s">
        <v>760</v>
      </c>
      <c r="B8979" t="s">
        <v>67</v>
      </c>
      <c r="C8979" s="1">
        <f>HYPERLINK("https://cao.dolgi.msk.ru/account/1011198758/", 1011198758)</f>
        <v>1011198758</v>
      </c>
      <c r="D8979">
        <v>-6677.64</v>
      </c>
    </row>
    <row r="8980" spans="1:4" hidden="1" x14ac:dyDescent="0.3">
      <c r="A8980" t="s">
        <v>760</v>
      </c>
      <c r="B8980" t="s">
        <v>68</v>
      </c>
      <c r="C8980" s="1">
        <f>HYPERLINK("https://cao.dolgi.msk.ru/account/1011198651/", 1011198651)</f>
        <v>1011198651</v>
      </c>
      <c r="D8980">
        <v>0</v>
      </c>
    </row>
    <row r="8981" spans="1:4" hidden="1" x14ac:dyDescent="0.3">
      <c r="A8981" t="s">
        <v>760</v>
      </c>
      <c r="B8981" t="s">
        <v>69</v>
      </c>
      <c r="C8981" s="1">
        <f>HYPERLINK("https://cao.dolgi.msk.ru/account/1011198547/", 1011198547)</f>
        <v>1011198547</v>
      </c>
      <c r="D8981">
        <v>-9704.5400000000009</v>
      </c>
    </row>
    <row r="8982" spans="1:4" x14ac:dyDescent="0.3">
      <c r="A8982" t="s">
        <v>760</v>
      </c>
      <c r="B8982" t="s">
        <v>70</v>
      </c>
      <c r="C8982" s="1">
        <f>HYPERLINK("https://cao.dolgi.msk.ru/account/1011198766/", 1011198766)</f>
        <v>1011198766</v>
      </c>
      <c r="D8982">
        <v>11759.16</v>
      </c>
    </row>
    <row r="8983" spans="1:4" hidden="1" x14ac:dyDescent="0.3">
      <c r="A8983" t="s">
        <v>760</v>
      </c>
      <c r="B8983" t="s">
        <v>100</v>
      </c>
      <c r="C8983" s="1">
        <f>HYPERLINK("https://cao.dolgi.msk.ru/account/1011198889/", 1011198889)</f>
        <v>1011198889</v>
      </c>
      <c r="D8983">
        <v>0</v>
      </c>
    </row>
    <row r="8984" spans="1:4" hidden="1" x14ac:dyDescent="0.3">
      <c r="A8984" t="s">
        <v>760</v>
      </c>
      <c r="B8984" t="s">
        <v>72</v>
      </c>
      <c r="C8984" s="1">
        <f>HYPERLINK("https://cao.dolgi.msk.ru/account/1011198678/", 1011198678)</f>
        <v>1011198678</v>
      </c>
      <c r="D8984">
        <v>-52.92</v>
      </c>
    </row>
    <row r="8985" spans="1:4" hidden="1" x14ac:dyDescent="0.3">
      <c r="A8985" t="s">
        <v>760</v>
      </c>
      <c r="B8985" t="s">
        <v>73</v>
      </c>
      <c r="C8985" s="1">
        <f>HYPERLINK("https://cao.dolgi.msk.ru/account/1011198897/", 1011198897)</f>
        <v>1011198897</v>
      </c>
      <c r="D8985">
        <v>0</v>
      </c>
    </row>
    <row r="8986" spans="1:4" hidden="1" x14ac:dyDescent="0.3">
      <c r="A8986" t="s">
        <v>760</v>
      </c>
      <c r="B8986" t="s">
        <v>74</v>
      </c>
      <c r="C8986" s="1">
        <f>HYPERLINK("https://cao.dolgi.msk.ru/account/1011198686/", 1011198686)</f>
        <v>1011198686</v>
      </c>
      <c r="D8986">
        <v>0</v>
      </c>
    </row>
    <row r="8987" spans="1:4" hidden="1" x14ac:dyDescent="0.3">
      <c r="A8987" t="s">
        <v>760</v>
      </c>
      <c r="B8987" t="s">
        <v>75</v>
      </c>
      <c r="C8987" s="1">
        <f>HYPERLINK("https://cao.dolgi.msk.ru/account/1011198352/", 1011198352)</f>
        <v>1011198352</v>
      </c>
      <c r="D8987">
        <v>-554.27</v>
      </c>
    </row>
    <row r="8988" spans="1:4" x14ac:dyDescent="0.3">
      <c r="A8988" t="s">
        <v>760</v>
      </c>
      <c r="B8988" t="s">
        <v>76</v>
      </c>
      <c r="C8988" s="1">
        <f>HYPERLINK("https://cao.dolgi.msk.ru/account/1011198379/", 1011198379)</f>
        <v>1011198379</v>
      </c>
      <c r="D8988">
        <v>5461.51</v>
      </c>
    </row>
    <row r="8989" spans="1:4" hidden="1" x14ac:dyDescent="0.3">
      <c r="A8989" t="s">
        <v>760</v>
      </c>
      <c r="B8989" t="s">
        <v>77</v>
      </c>
      <c r="C8989" s="1">
        <f>HYPERLINK("https://cao.dolgi.msk.ru/account/1011198416/", 1011198416)</f>
        <v>1011198416</v>
      </c>
      <c r="D8989">
        <v>0</v>
      </c>
    </row>
    <row r="8990" spans="1:4" hidden="1" x14ac:dyDescent="0.3">
      <c r="A8990" t="s">
        <v>760</v>
      </c>
      <c r="B8990" t="s">
        <v>78</v>
      </c>
      <c r="C8990" s="1">
        <f>HYPERLINK("https://cao.dolgi.msk.ru/account/1011198475/", 1011198475)</f>
        <v>1011198475</v>
      </c>
      <c r="D8990">
        <v>-149.41</v>
      </c>
    </row>
    <row r="8991" spans="1:4" x14ac:dyDescent="0.3">
      <c r="A8991" t="s">
        <v>760</v>
      </c>
      <c r="B8991" t="s">
        <v>79</v>
      </c>
      <c r="C8991" s="1">
        <f>HYPERLINK("https://cao.dolgi.msk.ru/account/1011198483/", 1011198483)</f>
        <v>1011198483</v>
      </c>
      <c r="D8991">
        <v>9221.52</v>
      </c>
    </row>
    <row r="8992" spans="1:4" hidden="1" x14ac:dyDescent="0.3">
      <c r="A8992" t="s">
        <v>760</v>
      </c>
      <c r="B8992" t="s">
        <v>80</v>
      </c>
      <c r="C8992" s="1">
        <f>HYPERLINK("https://cao.dolgi.msk.ru/account/1011198774/", 1011198774)</f>
        <v>1011198774</v>
      </c>
      <c r="D8992">
        <v>-5461.34</v>
      </c>
    </row>
    <row r="8993" spans="1:4" hidden="1" x14ac:dyDescent="0.3">
      <c r="A8993" t="s">
        <v>760</v>
      </c>
      <c r="B8993" t="s">
        <v>81</v>
      </c>
      <c r="C8993" s="1">
        <f>HYPERLINK("https://cao.dolgi.msk.ru/account/1011198424/", 1011198424)</f>
        <v>1011198424</v>
      </c>
      <c r="D8993">
        <v>0</v>
      </c>
    </row>
    <row r="8994" spans="1:4" hidden="1" x14ac:dyDescent="0.3">
      <c r="A8994" t="s">
        <v>760</v>
      </c>
      <c r="B8994" t="s">
        <v>101</v>
      </c>
      <c r="C8994" s="1">
        <f>HYPERLINK("https://cao.dolgi.msk.ru/account/1011198387/", 1011198387)</f>
        <v>1011198387</v>
      </c>
      <c r="D8994">
        <v>0</v>
      </c>
    </row>
    <row r="8995" spans="1:4" x14ac:dyDescent="0.3">
      <c r="A8995" t="s">
        <v>760</v>
      </c>
      <c r="B8995" t="s">
        <v>82</v>
      </c>
      <c r="C8995" s="1">
        <f>HYPERLINK("https://cao.dolgi.msk.ru/account/1011198299/", 1011198299)</f>
        <v>1011198299</v>
      </c>
      <c r="D8995">
        <v>6425.74</v>
      </c>
    </row>
    <row r="8996" spans="1:4" hidden="1" x14ac:dyDescent="0.3">
      <c r="A8996" t="s">
        <v>760</v>
      </c>
      <c r="B8996" t="s">
        <v>83</v>
      </c>
      <c r="C8996" s="1">
        <f>HYPERLINK("https://cao.dolgi.msk.ru/account/1011198694/", 1011198694)</f>
        <v>1011198694</v>
      </c>
      <c r="D8996">
        <v>0</v>
      </c>
    </row>
    <row r="8997" spans="1:4" hidden="1" x14ac:dyDescent="0.3">
      <c r="A8997" t="s">
        <v>760</v>
      </c>
      <c r="B8997" t="s">
        <v>84</v>
      </c>
      <c r="C8997" s="1">
        <f>HYPERLINK("https://cao.dolgi.msk.ru/account/1011198811/", 1011198811)</f>
        <v>1011198811</v>
      </c>
      <c r="D8997">
        <v>0</v>
      </c>
    </row>
    <row r="8998" spans="1:4" hidden="1" x14ac:dyDescent="0.3">
      <c r="A8998" t="s">
        <v>760</v>
      </c>
      <c r="B8998" t="s">
        <v>85</v>
      </c>
      <c r="C8998" s="1">
        <f>HYPERLINK("https://cao.dolgi.msk.ru/account/1011198555/", 1011198555)</f>
        <v>1011198555</v>
      </c>
      <c r="D8998">
        <v>-3599.39</v>
      </c>
    </row>
    <row r="8999" spans="1:4" hidden="1" x14ac:dyDescent="0.3">
      <c r="A8999" t="s">
        <v>760</v>
      </c>
      <c r="B8999" t="s">
        <v>102</v>
      </c>
      <c r="C8999" s="1">
        <f>HYPERLINK("https://cao.dolgi.msk.ru/account/1011198918/", 1011198918)</f>
        <v>1011198918</v>
      </c>
      <c r="D8999">
        <v>-3219.95</v>
      </c>
    </row>
    <row r="9000" spans="1:4" hidden="1" x14ac:dyDescent="0.3">
      <c r="A9000" t="s">
        <v>760</v>
      </c>
      <c r="B9000" t="s">
        <v>103</v>
      </c>
      <c r="C9000" s="1">
        <f>HYPERLINK("https://cao.dolgi.msk.ru/account/1011198838/", 1011198838)</f>
        <v>1011198838</v>
      </c>
      <c r="D9000">
        <v>0</v>
      </c>
    </row>
    <row r="9001" spans="1:4" hidden="1" x14ac:dyDescent="0.3">
      <c r="A9001" t="s">
        <v>760</v>
      </c>
      <c r="B9001" t="s">
        <v>104</v>
      </c>
      <c r="C9001" s="1">
        <f>HYPERLINK("https://cao.dolgi.msk.ru/account/1011198328/", 1011198328)</f>
        <v>1011198328</v>
      </c>
      <c r="D9001">
        <v>-819.85</v>
      </c>
    </row>
    <row r="9002" spans="1:4" hidden="1" x14ac:dyDescent="0.3">
      <c r="A9002" t="s">
        <v>760</v>
      </c>
      <c r="B9002" t="s">
        <v>105</v>
      </c>
      <c r="C9002" s="1">
        <f>HYPERLINK("https://cao.dolgi.msk.ru/account/1011198563/", 1011198563)</f>
        <v>1011198563</v>
      </c>
      <c r="D9002">
        <v>0</v>
      </c>
    </row>
    <row r="9003" spans="1:4" x14ac:dyDescent="0.3">
      <c r="A9003" t="s">
        <v>760</v>
      </c>
      <c r="B9003" t="s">
        <v>106</v>
      </c>
      <c r="C9003" s="1">
        <f>HYPERLINK("https://cao.dolgi.msk.ru/account/1011198926/", 1011198926)</f>
        <v>1011198926</v>
      </c>
      <c r="D9003">
        <v>15338.77</v>
      </c>
    </row>
    <row r="9004" spans="1:4" hidden="1" x14ac:dyDescent="0.3">
      <c r="A9004" t="s">
        <v>760</v>
      </c>
      <c r="B9004" t="s">
        <v>107</v>
      </c>
      <c r="C9004" s="1">
        <f>HYPERLINK("https://cao.dolgi.msk.ru/account/1011198707/", 1011198707)</f>
        <v>1011198707</v>
      </c>
      <c r="D9004">
        <v>-5549.11</v>
      </c>
    </row>
    <row r="9005" spans="1:4" hidden="1" x14ac:dyDescent="0.3">
      <c r="A9005" t="s">
        <v>760</v>
      </c>
      <c r="B9005" t="s">
        <v>108</v>
      </c>
      <c r="C9005" s="1">
        <f>HYPERLINK("https://cao.dolgi.msk.ru/account/1011198571/", 1011198571)</f>
        <v>1011198571</v>
      </c>
      <c r="D9005">
        <v>0</v>
      </c>
    </row>
    <row r="9006" spans="1:4" hidden="1" x14ac:dyDescent="0.3">
      <c r="A9006" t="s">
        <v>760</v>
      </c>
      <c r="B9006" t="s">
        <v>109</v>
      </c>
      <c r="C9006" s="1">
        <f>HYPERLINK("https://cao.dolgi.msk.ru/account/1011198395/", 1011198395)</f>
        <v>1011198395</v>
      </c>
      <c r="D9006">
        <v>0</v>
      </c>
    </row>
    <row r="9007" spans="1:4" hidden="1" x14ac:dyDescent="0.3">
      <c r="A9007" t="s">
        <v>760</v>
      </c>
      <c r="B9007" t="s">
        <v>110</v>
      </c>
      <c r="C9007" s="1">
        <f>HYPERLINK("https://cao.dolgi.msk.ru/account/1011198598/", 1011198598)</f>
        <v>1011198598</v>
      </c>
      <c r="D9007">
        <v>-4981.58</v>
      </c>
    </row>
    <row r="9008" spans="1:4" hidden="1" x14ac:dyDescent="0.3">
      <c r="A9008" t="s">
        <v>760</v>
      </c>
      <c r="B9008" t="s">
        <v>111</v>
      </c>
      <c r="C9008" s="1">
        <f>HYPERLINK("https://cao.dolgi.msk.ru/account/1011198715/", 1011198715)</f>
        <v>1011198715</v>
      </c>
      <c r="D9008">
        <v>0</v>
      </c>
    </row>
    <row r="9009" spans="1:4" hidden="1" x14ac:dyDescent="0.3">
      <c r="A9009" t="s">
        <v>760</v>
      </c>
      <c r="B9009" t="s">
        <v>112</v>
      </c>
      <c r="C9009" s="1">
        <f>HYPERLINK("https://cao.dolgi.msk.ru/account/1011198619/", 1011198619)</f>
        <v>1011198619</v>
      </c>
      <c r="D9009">
        <v>0</v>
      </c>
    </row>
    <row r="9010" spans="1:4" hidden="1" x14ac:dyDescent="0.3">
      <c r="A9010" t="s">
        <v>760</v>
      </c>
      <c r="B9010" t="s">
        <v>113</v>
      </c>
      <c r="C9010" s="1">
        <f>HYPERLINK("https://cao.dolgi.msk.ru/account/1011198934/", 1011198934)</f>
        <v>1011198934</v>
      </c>
      <c r="D9010">
        <v>-7115.82</v>
      </c>
    </row>
    <row r="9011" spans="1:4" hidden="1" x14ac:dyDescent="0.3">
      <c r="A9011" t="s">
        <v>760</v>
      </c>
      <c r="B9011" t="s">
        <v>114</v>
      </c>
      <c r="C9011" s="1">
        <f>HYPERLINK("https://cao.dolgi.msk.ru/account/1011198782/", 1011198782)</f>
        <v>1011198782</v>
      </c>
      <c r="D9011">
        <v>0</v>
      </c>
    </row>
    <row r="9012" spans="1:4" hidden="1" x14ac:dyDescent="0.3">
      <c r="A9012" t="s">
        <v>760</v>
      </c>
      <c r="B9012" t="s">
        <v>115</v>
      </c>
      <c r="C9012" s="1">
        <f>HYPERLINK("https://cao.dolgi.msk.ru/account/1011198491/", 1011198491)</f>
        <v>1011198491</v>
      </c>
      <c r="D9012">
        <v>0</v>
      </c>
    </row>
    <row r="9013" spans="1:4" hidden="1" x14ac:dyDescent="0.3">
      <c r="A9013" t="s">
        <v>760</v>
      </c>
      <c r="B9013" t="s">
        <v>116</v>
      </c>
      <c r="C9013" s="1">
        <f>HYPERLINK("https://cao.dolgi.msk.ru/account/1011198504/", 1011198504)</f>
        <v>1011198504</v>
      </c>
      <c r="D9013">
        <v>0</v>
      </c>
    </row>
    <row r="9014" spans="1:4" hidden="1" x14ac:dyDescent="0.3">
      <c r="A9014" t="s">
        <v>760</v>
      </c>
      <c r="B9014" t="s">
        <v>266</v>
      </c>
      <c r="C9014" s="1">
        <f>HYPERLINK("https://cao.dolgi.msk.ru/account/1011198627/", 1011198627)</f>
        <v>1011198627</v>
      </c>
      <c r="D9014">
        <v>0</v>
      </c>
    </row>
    <row r="9015" spans="1:4" hidden="1" x14ac:dyDescent="0.3">
      <c r="A9015" t="s">
        <v>760</v>
      </c>
      <c r="B9015" t="s">
        <v>117</v>
      </c>
      <c r="C9015" s="1">
        <f>HYPERLINK("https://cao.dolgi.msk.ru/account/1011198301/", 1011198301)</f>
        <v>1011198301</v>
      </c>
      <c r="D9015">
        <v>-8325.82</v>
      </c>
    </row>
    <row r="9016" spans="1:4" hidden="1" x14ac:dyDescent="0.3">
      <c r="A9016" t="s">
        <v>760</v>
      </c>
      <c r="B9016" t="s">
        <v>118</v>
      </c>
      <c r="C9016" s="1">
        <f>HYPERLINK("https://cao.dolgi.msk.ru/account/1011198635/", 1011198635)</f>
        <v>1011198635</v>
      </c>
      <c r="D9016">
        <v>0</v>
      </c>
    </row>
    <row r="9017" spans="1:4" hidden="1" x14ac:dyDescent="0.3">
      <c r="A9017" t="s">
        <v>760</v>
      </c>
      <c r="B9017" t="s">
        <v>119</v>
      </c>
      <c r="C9017" s="1">
        <f>HYPERLINK("https://cao.dolgi.msk.ru/account/1011198803/", 1011198803)</f>
        <v>1011198803</v>
      </c>
      <c r="D9017">
        <v>0</v>
      </c>
    </row>
    <row r="9018" spans="1:4" x14ac:dyDescent="0.3">
      <c r="A9018" t="s">
        <v>761</v>
      </c>
      <c r="B9018" t="s">
        <v>6</v>
      </c>
      <c r="C9018" s="1">
        <f>HYPERLINK("https://cao.dolgi.msk.ru/account/1011475268/", 1011475268)</f>
        <v>1011475268</v>
      </c>
      <c r="D9018">
        <v>10123.19</v>
      </c>
    </row>
    <row r="9019" spans="1:4" x14ac:dyDescent="0.3">
      <c r="A9019" t="s">
        <v>761</v>
      </c>
      <c r="B9019" t="s">
        <v>6</v>
      </c>
      <c r="C9019" s="1">
        <f>HYPERLINK("https://cao.dolgi.msk.ru/account/1011475321/", 1011475321)</f>
        <v>1011475321</v>
      </c>
      <c r="D9019">
        <v>835.66</v>
      </c>
    </row>
    <row r="9020" spans="1:4" hidden="1" x14ac:dyDescent="0.3">
      <c r="A9020" t="s">
        <v>761</v>
      </c>
      <c r="B9020" t="s">
        <v>6</v>
      </c>
      <c r="C9020" s="1">
        <f>HYPERLINK("https://cao.dolgi.msk.ru/account/1011475348/", 1011475348)</f>
        <v>1011475348</v>
      </c>
      <c r="D9020">
        <v>-60.78</v>
      </c>
    </row>
    <row r="9021" spans="1:4" x14ac:dyDescent="0.3">
      <c r="A9021" t="s">
        <v>761</v>
      </c>
      <c r="B9021" t="s">
        <v>6</v>
      </c>
      <c r="C9021" s="1">
        <f>HYPERLINK("https://cao.dolgi.msk.ru/account/1011475401/", 1011475401)</f>
        <v>1011475401</v>
      </c>
      <c r="D9021">
        <v>7411.95</v>
      </c>
    </row>
    <row r="9022" spans="1:4" hidden="1" x14ac:dyDescent="0.3">
      <c r="A9022" t="s">
        <v>761</v>
      </c>
      <c r="B9022" t="s">
        <v>28</v>
      </c>
      <c r="C9022" s="1">
        <f>HYPERLINK("https://cao.dolgi.msk.ru/account/1011475364/", 1011475364)</f>
        <v>1011475364</v>
      </c>
      <c r="D9022">
        <v>0</v>
      </c>
    </row>
    <row r="9023" spans="1:4" hidden="1" x14ac:dyDescent="0.3">
      <c r="A9023" t="s">
        <v>761</v>
      </c>
      <c r="B9023" t="s">
        <v>35</v>
      </c>
      <c r="C9023" s="1">
        <f>HYPERLINK("https://cao.dolgi.msk.ru/account/1011475372/", 1011475372)</f>
        <v>1011475372</v>
      </c>
      <c r="D9023">
        <v>0</v>
      </c>
    </row>
    <row r="9024" spans="1:4" hidden="1" x14ac:dyDescent="0.3">
      <c r="A9024" t="s">
        <v>761</v>
      </c>
      <c r="B9024" t="s">
        <v>5</v>
      </c>
      <c r="C9024" s="1">
        <f>HYPERLINK("https://cao.dolgi.msk.ru/account/1011475276/", 1011475276)</f>
        <v>1011475276</v>
      </c>
      <c r="D9024">
        <v>-910.8</v>
      </c>
    </row>
    <row r="9025" spans="1:4" hidden="1" x14ac:dyDescent="0.3">
      <c r="A9025" t="s">
        <v>761</v>
      </c>
      <c r="B9025" t="s">
        <v>7</v>
      </c>
      <c r="C9025" s="1">
        <f>HYPERLINK("https://cao.dolgi.msk.ru/account/1011475356/", 1011475356)</f>
        <v>1011475356</v>
      </c>
      <c r="D9025">
        <v>0</v>
      </c>
    </row>
    <row r="9026" spans="1:4" hidden="1" x14ac:dyDescent="0.3">
      <c r="A9026" t="s">
        <v>761</v>
      </c>
      <c r="B9026" t="s">
        <v>8</v>
      </c>
      <c r="C9026" s="1">
        <f>HYPERLINK("https://cao.dolgi.msk.ru/account/1011475292/", 1011475292)</f>
        <v>1011475292</v>
      </c>
      <c r="D9026">
        <v>-6950.09</v>
      </c>
    </row>
    <row r="9027" spans="1:4" hidden="1" x14ac:dyDescent="0.3">
      <c r="A9027" t="s">
        <v>761</v>
      </c>
      <c r="B9027" t="s">
        <v>31</v>
      </c>
      <c r="C9027" s="1">
        <f>HYPERLINK("https://cao.dolgi.msk.ru/account/1011475399/", 1011475399)</f>
        <v>1011475399</v>
      </c>
      <c r="D9027">
        <v>-47.73</v>
      </c>
    </row>
    <row r="9028" spans="1:4" hidden="1" x14ac:dyDescent="0.3">
      <c r="A9028" t="s">
        <v>761</v>
      </c>
      <c r="B9028" t="s">
        <v>9</v>
      </c>
      <c r="C9028" s="1">
        <f>HYPERLINK("https://cao.dolgi.msk.ru/account/1011475305/", 1011475305)</f>
        <v>1011475305</v>
      </c>
      <c r="D9028">
        <v>0</v>
      </c>
    </row>
    <row r="9029" spans="1:4" hidden="1" x14ac:dyDescent="0.3">
      <c r="A9029" t="s">
        <v>761</v>
      </c>
      <c r="B9029" t="s">
        <v>10</v>
      </c>
      <c r="C9029" s="1">
        <f>HYPERLINK("https://cao.dolgi.msk.ru/account/1011475313/", 1011475313)</f>
        <v>1011475313</v>
      </c>
      <c r="D9029">
        <v>0</v>
      </c>
    </row>
    <row r="9030" spans="1:4" x14ac:dyDescent="0.3">
      <c r="A9030" t="s">
        <v>761</v>
      </c>
      <c r="B9030" t="s">
        <v>11</v>
      </c>
      <c r="C9030" s="1">
        <f>HYPERLINK("https://cao.dolgi.msk.ru/account/1011475284/", 1011475284)</f>
        <v>1011475284</v>
      </c>
      <c r="D9030">
        <v>7037.38</v>
      </c>
    </row>
    <row r="9031" spans="1:4" hidden="1" x14ac:dyDescent="0.3">
      <c r="A9031" t="s">
        <v>762</v>
      </c>
      <c r="B9031" t="s">
        <v>14</v>
      </c>
      <c r="C9031" s="1">
        <f>HYPERLINK("https://cao.dolgi.msk.ru/account/1011435637/", 1011435637)</f>
        <v>1011435637</v>
      </c>
      <c r="D9031">
        <v>0</v>
      </c>
    </row>
    <row r="9032" spans="1:4" hidden="1" x14ac:dyDescent="0.3">
      <c r="A9032" t="s">
        <v>762</v>
      </c>
      <c r="B9032" t="s">
        <v>16</v>
      </c>
      <c r="C9032" s="1">
        <f>HYPERLINK("https://cao.dolgi.msk.ru/account/1011435653/", 1011435653)</f>
        <v>1011435653</v>
      </c>
      <c r="D9032">
        <v>-2743.46</v>
      </c>
    </row>
    <row r="9033" spans="1:4" hidden="1" x14ac:dyDescent="0.3">
      <c r="A9033" t="s">
        <v>762</v>
      </c>
      <c r="B9033" t="s">
        <v>17</v>
      </c>
      <c r="C9033" s="1">
        <f>HYPERLINK("https://cao.dolgi.msk.ru/account/1011435645/", 1011435645)</f>
        <v>1011435645</v>
      </c>
      <c r="D9033">
        <v>-237.22</v>
      </c>
    </row>
    <row r="9034" spans="1:4" hidden="1" x14ac:dyDescent="0.3">
      <c r="A9034" t="s">
        <v>762</v>
      </c>
      <c r="B9034" t="s">
        <v>18</v>
      </c>
      <c r="C9034" s="1">
        <f>HYPERLINK("https://cao.dolgi.msk.ru/account/1011435661/", 1011435661)</f>
        <v>1011435661</v>
      </c>
      <c r="D9034">
        <v>0</v>
      </c>
    </row>
    <row r="9035" spans="1:4" x14ac:dyDescent="0.3">
      <c r="A9035" t="s">
        <v>762</v>
      </c>
      <c r="B9035" t="s">
        <v>19</v>
      </c>
      <c r="C9035" s="1">
        <f>HYPERLINK("https://cao.dolgi.msk.ru/account/1011435602/", 1011435602)</f>
        <v>1011435602</v>
      </c>
      <c r="D9035">
        <v>8294.7800000000007</v>
      </c>
    </row>
    <row r="9036" spans="1:4" hidden="1" x14ac:dyDescent="0.3">
      <c r="A9036" t="s">
        <v>762</v>
      </c>
      <c r="B9036" t="s">
        <v>20</v>
      </c>
      <c r="C9036" s="1">
        <f>HYPERLINK("https://cao.dolgi.msk.ru/account/1011527275/", 1011527275)</f>
        <v>1011527275</v>
      </c>
      <c r="D9036">
        <v>0</v>
      </c>
    </row>
    <row r="9037" spans="1:4" hidden="1" x14ac:dyDescent="0.3">
      <c r="A9037" t="s">
        <v>763</v>
      </c>
      <c r="B9037" t="s">
        <v>6</v>
      </c>
      <c r="C9037" s="1">
        <f>HYPERLINK("https://cao.dolgi.msk.ru/account/1011475671/", 1011475671)</f>
        <v>1011475671</v>
      </c>
      <c r="D9037">
        <v>0</v>
      </c>
    </row>
    <row r="9038" spans="1:4" hidden="1" x14ac:dyDescent="0.3">
      <c r="A9038" t="s">
        <v>763</v>
      </c>
      <c r="B9038" t="s">
        <v>28</v>
      </c>
      <c r="C9038" s="1">
        <f>HYPERLINK("https://cao.dolgi.msk.ru/account/1011475428/", 1011475428)</f>
        <v>1011475428</v>
      </c>
      <c r="D9038">
        <v>0</v>
      </c>
    </row>
    <row r="9039" spans="1:4" hidden="1" x14ac:dyDescent="0.3">
      <c r="A9039" t="s">
        <v>763</v>
      </c>
      <c r="B9039" t="s">
        <v>35</v>
      </c>
      <c r="C9039" s="1">
        <f>HYPERLINK("https://cao.dolgi.msk.ru/account/1011475516/", 1011475516)</f>
        <v>1011475516</v>
      </c>
      <c r="D9039">
        <v>0</v>
      </c>
    </row>
    <row r="9040" spans="1:4" hidden="1" x14ac:dyDescent="0.3">
      <c r="A9040" t="s">
        <v>763</v>
      </c>
      <c r="B9040" t="s">
        <v>5</v>
      </c>
      <c r="C9040" s="1">
        <f>HYPERLINK("https://cao.dolgi.msk.ru/account/1011475436/", 1011475436)</f>
        <v>1011475436</v>
      </c>
      <c r="D9040">
        <v>0</v>
      </c>
    </row>
    <row r="9041" spans="1:4" x14ac:dyDescent="0.3">
      <c r="A9041" t="s">
        <v>763</v>
      </c>
      <c r="B9041" t="s">
        <v>7</v>
      </c>
      <c r="C9041" s="1">
        <f>HYPERLINK("https://cao.dolgi.msk.ru/account/1011475567/", 1011475567)</f>
        <v>1011475567</v>
      </c>
      <c r="D9041">
        <v>16384.169999999998</v>
      </c>
    </row>
    <row r="9042" spans="1:4" hidden="1" x14ac:dyDescent="0.3">
      <c r="A9042" t="s">
        <v>763</v>
      </c>
      <c r="B9042" t="s">
        <v>8</v>
      </c>
      <c r="C9042" s="1">
        <f>HYPERLINK("https://cao.dolgi.msk.ru/account/1011475751/", 1011475751)</f>
        <v>1011475751</v>
      </c>
      <c r="D9042">
        <v>-4109.93</v>
      </c>
    </row>
    <row r="9043" spans="1:4" hidden="1" x14ac:dyDescent="0.3">
      <c r="A9043" t="s">
        <v>763</v>
      </c>
      <c r="B9043" t="s">
        <v>31</v>
      </c>
      <c r="C9043" s="1">
        <f>HYPERLINK("https://cao.dolgi.msk.ru/account/1011475524/", 1011475524)</f>
        <v>1011475524</v>
      </c>
      <c r="D9043">
        <v>-21813.63</v>
      </c>
    </row>
    <row r="9044" spans="1:4" hidden="1" x14ac:dyDescent="0.3">
      <c r="A9044" t="s">
        <v>763</v>
      </c>
      <c r="B9044" t="s">
        <v>9</v>
      </c>
      <c r="C9044" s="1">
        <f>HYPERLINK("https://cao.dolgi.msk.ru/account/1011475778/", 1011475778)</f>
        <v>1011475778</v>
      </c>
      <c r="D9044">
        <v>-16276.41</v>
      </c>
    </row>
    <row r="9045" spans="1:4" hidden="1" x14ac:dyDescent="0.3">
      <c r="A9045" t="s">
        <v>763</v>
      </c>
      <c r="B9045" t="s">
        <v>10</v>
      </c>
      <c r="C9045" s="1">
        <f>HYPERLINK("https://cao.dolgi.msk.ru/account/1011475487/", 1011475487)</f>
        <v>1011475487</v>
      </c>
      <c r="D9045">
        <v>-6766.76</v>
      </c>
    </row>
    <row r="9046" spans="1:4" hidden="1" x14ac:dyDescent="0.3">
      <c r="A9046" t="s">
        <v>763</v>
      </c>
      <c r="B9046" t="s">
        <v>11</v>
      </c>
      <c r="C9046" s="1">
        <f>HYPERLINK("https://cao.dolgi.msk.ru/account/1011475698/", 1011475698)</f>
        <v>1011475698</v>
      </c>
      <c r="D9046">
        <v>0</v>
      </c>
    </row>
    <row r="9047" spans="1:4" hidden="1" x14ac:dyDescent="0.3">
      <c r="A9047" t="s">
        <v>763</v>
      </c>
      <c r="B9047" t="s">
        <v>12</v>
      </c>
      <c r="C9047" s="1">
        <f>HYPERLINK("https://cao.dolgi.msk.ru/account/1011475495/", 1011475495)</f>
        <v>1011475495</v>
      </c>
      <c r="D9047">
        <v>-24110.33</v>
      </c>
    </row>
    <row r="9048" spans="1:4" hidden="1" x14ac:dyDescent="0.3">
      <c r="A9048" t="s">
        <v>763</v>
      </c>
      <c r="B9048" t="s">
        <v>23</v>
      </c>
      <c r="C9048" s="1">
        <f>HYPERLINK("https://cao.dolgi.msk.ru/account/1011475719/", 1011475719)</f>
        <v>1011475719</v>
      </c>
      <c r="D9048">
        <v>-13113.19</v>
      </c>
    </row>
    <row r="9049" spans="1:4" hidden="1" x14ac:dyDescent="0.3">
      <c r="A9049" t="s">
        <v>763</v>
      </c>
      <c r="B9049" t="s">
        <v>13</v>
      </c>
      <c r="C9049" s="1">
        <f>HYPERLINK("https://cao.dolgi.msk.ru/account/1011475786/", 1011475786)</f>
        <v>1011475786</v>
      </c>
      <c r="D9049">
        <v>0</v>
      </c>
    </row>
    <row r="9050" spans="1:4" hidden="1" x14ac:dyDescent="0.3">
      <c r="A9050" t="s">
        <v>763</v>
      </c>
      <c r="B9050" t="s">
        <v>14</v>
      </c>
      <c r="C9050" s="1">
        <f>HYPERLINK("https://cao.dolgi.msk.ru/account/1011475575/", 1011475575)</f>
        <v>1011475575</v>
      </c>
      <c r="D9050">
        <v>-510.69</v>
      </c>
    </row>
    <row r="9051" spans="1:4" hidden="1" x14ac:dyDescent="0.3">
      <c r="A9051" t="s">
        <v>763</v>
      </c>
      <c r="B9051" t="s">
        <v>16</v>
      </c>
      <c r="C9051" s="1">
        <f>HYPERLINK("https://cao.dolgi.msk.ru/account/1011475583/", 1011475583)</f>
        <v>1011475583</v>
      </c>
      <c r="D9051">
        <v>0</v>
      </c>
    </row>
    <row r="9052" spans="1:4" hidden="1" x14ac:dyDescent="0.3">
      <c r="A9052" t="s">
        <v>763</v>
      </c>
      <c r="B9052" t="s">
        <v>17</v>
      </c>
      <c r="C9052" s="1">
        <f>HYPERLINK("https://cao.dolgi.msk.ru/account/1011475647/", 1011475647)</f>
        <v>1011475647</v>
      </c>
      <c r="D9052">
        <v>-167.91</v>
      </c>
    </row>
    <row r="9053" spans="1:4" hidden="1" x14ac:dyDescent="0.3">
      <c r="A9053" t="s">
        <v>763</v>
      </c>
      <c r="B9053" t="s">
        <v>18</v>
      </c>
      <c r="C9053" s="1">
        <f>HYPERLINK("https://cao.dolgi.msk.ru/account/1011475727/", 1011475727)</f>
        <v>1011475727</v>
      </c>
      <c r="D9053">
        <v>-11277.37</v>
      </c>
    </row>
    <row r="9054" spans="1:4" hidden="1" x14ac:dyDescent="0.3">
      <c r="A9054" t="s">
        <v>763</v>
      </c>
      <c r="B9054" t="s">
        <v>19</v>
      </c>
      <c r="C9054" s="1">
        <f>HYPERLINK("https://cao.dolgi.msk.ru/account/1011475444/", 1011475444)</f>
        <v>1011475444</v>
      </c>
      <c r="D9054">
        <v>0</v>
      </c>
    </row>
    <row r="9055" spans="1:4" hidden="1" x14ac:dyDescent="0.3">
      <c r="A9055" t="s">
        <v>763</v>
      </c>
      <c r="B9055" t="s">
        <v>20</v>
      </c>
      <c r="C9055" s="1">
        <f>HYPERLINK("https://cao.dolgi.msk.ru/account/1011475591/", 1011475591)</f>
        <v>1011475591</v>
      </c>
      <c r="D9055">
        <v>0</v>
      </c>
    </row>
    <row r="9056" spans="1:4" x14ac:dyDescent="0.3">
      <c r="A9056" t="s">
        <v>763</v>
      </c>
      <c r="B9056" t="s">
        <v>21</v>
      </c>
      <c r="C9056" s="1">
        <f>HYPERLINK("https://cao.dolgi.msk.ru/account/1011475735/", 1011475735)</f>
        <v>1011475735</v>
      </c>
      <c r="D9056">
        <v>12228.32</v>
      </c>
    </row>
    <row r="9057" spans="1:4" hidden="1" x14ac:dyDescent="0.3">
      <c r="A9057" t="s">
        <v>763</v>
      </c>
      <c r="B9057" t="s">
        <v>22</v>
      </c>
      <c r="C9057" s="1">
        <f>HYPERLINK("https://cao.dolgi.msk.ru/account/1011475743/", 1011475743)</f>
        <v>1011475743</v>
      </c>
      <c r="D9057">
        <v>-1273.5</v>
      </c>
    </row>
    <row r="9058" spans="1:4" hidden="1" x14ac:dyDescent="0.3">
      <c r="A9058" t="s">
        <v>763</v>
      </c>
      <c r="B9058" t="s">
        <v>24</v>
      </c>
      <c r="C9058" s="1">
        <f>HYPERLINK("https://cao.dolgi.msk.ru/account/1011475794/", 1011475794)</f>
        <v>1011475794</v>
      </c>
      <c r="D9058">
        <v>-7116.7</v>
      </c>
    </row>
    <row r="9059" spans="1:4" hidden="1" x14ac:dyDescent="0.3">
      <c r="A9059" t="s">
        <v>763</v>
      </c>
      <c r="B9059" t="s">
        <v>25</v>
      </c>
      <c r="C9059" s="1">
        <f>HYPERLINK("https://cao.dolgi.msk.ru/account/1011475604/", 1011475604)</f>
        <v>1011475604</v>
      </c>
      <c r="D9059">
        <v>0</v>
      </c>
    </row>
    <row r="9060" spans="1:4" hidden="1" x14ac:dyDescent="0.3">
      <c r="A9060" t="s">
        <v>763</v>
      </c>
      <c r="B9060" t="s">
        <v>26</v>
      </c>
      <c r="C9060" s="1">
        <f>HYPERLINK("https://cao.dolgi.msk.ru/account/1011475655/", 1011475655)</f>
        <v>1011475655</v>
      </c>
      <c r="D9060">
        <v>0</v>
      </c>
    </row>
    <row r="9061" spans="1:4" x14ac:dyDescent="0.3">
      <c r="A9061" t="s">
        <v>763</v>
      </c>
      <c r="B9061" t="s">
        <v>27</v>
      </c>
      <c r="C9061" s="1">
        <f>HYPERLINK("https://cao.dolgi.msk.ru/account/1011475452/", 1011475452)</f>
        <v>1011475452</v>
      </c>
      <c r="D9061">
        <v>6880.99</v>
      </c>
    </row>
    <row r="9062" spans="1:4" hidden="1" x14ac:dyDescent="0.3">
      <c r="A9062" t="s">
        <v>763</v>
      </c>
      <c r="B9062" t="s">
        <v>29</v>
      </c>
      <c r="C9062" s="1">
        <f>HYPERLINK("https://cao.dolgi.msk.ru/account/1011475807/", 1011475807)</f>
        <v>1011475807</v>
      </c>
      <c r="D9062">
        <v>0</v>
      </c>
    </row>
    <row r="9063" spans="1:4" hidden="1" x14ac:dyDescent="0.3">
      <c r="A9063" t="s">
        <v>763</v>
      </c>
      <c r="B9063" t="s">
        <v>38</v>
      </c>
      <c r="C9063" s="1">
        <f>HYPERLINK("https://cao.dolgi.msk.ru/account/1011475479/", 1011475479)</f>
        <v>1011475479</v>
      </c>
      <c r="D9063">
        <v>0</v>
      </c>
    </row>
    <row r="9064" spans="1:4" hidden="1" x14ac:dyDescent="0.3">
      <c r="A9064" t="s">
        <v>763</v>
      </c>
      <c r="B9064" t="s">
        <v>39</v>
      </c>
      <c r="C9064" s="1">
        <f>HYPERLINK("https://cao.dolgi.msk.ru/account/1011475663/", 1011475663)</f>
        <v>1011475663</v>
      </c>
      <c r="D9064">
        <v>0</v>
      </c>
    </row>
    <row r="9065" spans="1:4" x14ac:dyDescent="0.3">
      <c r="A9065" t="s">
        <v>763</v>
      </c>
      <c r="B9065" t="s">
        <v>40</v>
      </c>
      <c r="C9065" s="1">
        <f>HYPERLINK("https://cao.dolgi.msk.ru/account/1011475612/", 1011475612)</f>
        <v>1011475612</v>
      </c>
      <c r="D9065">
        <v>15802.13</v>
      </c>
    </row>
    <row r="9066" spans="1:4" hidden="1" x14ac:dyDescent="0.3">
      <c r="A9066" t="s">
        <v>763</v>
      </c>
      <c r="B9066" t="s">
        <v>41</v>
      </c>
      <c r="C9066" s="1">
        <f>HYPERLINK("https://cao.dolgi.msk.ru/account/1011475508/", 1011475508)</f>
        <v>1011475508</v>
      </c>
      <c r="D9066">
        <v>0</v>
      </c>
    </row>
    <row r="9067" spans="1:4" hidden="1" x14ac:dyDescent="0.3">
      <c r="A9067" t="s">
        <v>763</v>
      </c>
      <c r="B9067" t="s">
        <v>51</v>
      </c>
      <c r="C9067" s="1">
        <f>HYPERLINK("https://cao.dolgi.msk.ru/account/1011475532/", 1011475532)</f>
        <v>1011475532</v>
      </c>
      <c r="D9067">
        <v>-15396.38</v>
      </c>
    </row>
    <row r="9068" spans="1:4" hidden="1" x14ac:dyDescent="0.3">
      <c r="A9068" t="s">
        <v>763</v>
      </c>
      <c r="B9068" t="s">
        <v>52</v>
      </c>
      <c r="C9068" s="1">
        <f>HYPERLINK("https://cao.dolgi.msk.ru/account/1011475559/", 1011475559)</f>
        <v>1011475559</v>
      </c>
      <c r="D9068">
        <v>0</v>
      </c>
    </row>
    <row r="9069" spans="1:4" hidden="1" x14ac:dyDescent="0.3">
      <c r="A9069" t="s">
        <v>763</v>
      </c>
      <c r="B9069" t="s">
        <v>53</v>
      </c>
      <c r="C9069" s="1">
        <f>HYPERLINK("https://cao.dolgi.msk.ru/account/1011475639/", 1011475639)</f>
        <v>1011475639</v>
      </c>
      <c r="D9069">
        <v>0</v>
      </c>
    </row>
    <row r="9070" spans="1:4" hidden="1" x14ac:dyDescent="0.3">
      <c r="A9070" t="s">
        <v>764</v>
      </c>
      <c r="B9070" t="s">
        <v>35</v>
      </c>
      <c r="C9070" s="1">
        <f>HYPERLINK("https://cao.dolgi.msk.ru/account/1011476076/", 1011476076)</f>
        <v>1011476076</v>
      </c>
      <c r="D9070">
        <v>-7367.42</v>
      </c>
    </row>
    <row r="9071" spans="1:4" hidden="1" x14ac:dyDescent="0.3">
      <c r="A9071" t="s">
        <v>764</v>
      </c>
      <c r="B9071" t="s">
        <v>5</v>
      </c>
      <c r="C9071" s="1">
        <f>HYPERLINK("https://cao.dolgi.msk.ru/account/1011475815/", 1011475815)</f>
        <v>1011475815</v>
      </c>
      <c r="D9071">
        <v>-7692.18</v>
      </c>
    </row>
    <row r="9072" spans="1:4" hidden="1" x14ac:dyDescent="0.3">
      <c r="A9072" t="s">
        <v>764</v>
      </c>
      <c r="B9072" t="s">
        <v>7</v>
      </c>
      <c r="C9072" s="1">
        <f>HYPERLINK("https://cao.dolgi.msk.ru/account/1011475946/", 1011475946)</f>
        <v>1011475946</v>
      </c>
      <c r="D9072">
        <v>0</v>
      </c>
    </row>
    <row r="9073" spans="1:4" hidden="1" x14ac:dyDescent="0.3">
      <c r="A9073" t="s">
        <v>764</v>
      </c>
      <c r="B9073" t="s">
        <v>8</v>
      </c>
      <c r="C9073" s="1">
        <f>HYPERLINK("https://cao.dolgi.msk.ru/account/1011476084/", 1011476084)</f>
        <v>1011476084</v>
      </c>
      <c r="D9073">
        <v>0</v>
      </c>
    </row>
    <row r="9074" spans="1:4" hidden="1" x14ac:dyDescent="0.3">
      <c r="A9074" t="s">
        <v>764</v>
      </c>
      <c r="B9074" t="s">
        <v>31</v>
      </c>
      <c r="C9074" s="1">
        <f>HYPERLINK("https://cao.dolgi.msk.ru/account/1011475823/", 1011475823)</f>
        <v>1011475823</v>
      </c>
      <c r="D9074">
        <v>0</v>
      </c>
    </row>
    <row r="9075" spans="1:4" hidden="1" x14ac:dyDescent="0.3">
      <c r="A9075" t="s">
        <v>764</v>
      </c>
      <c r="B9075" t="s">
        <v>9</v>
      </c>
      <c r="C9075" s="1">
        <f>HYPERLINK("https://cao.dolgi.msk.ru/account/1011476201/", 1011476201)</f>
        <v>1011476201</v>
      </c>
      <c r="D9075">
        <v>0</v>
      </c>
    </row>
    <row r="9076" spans="1:4" hidden="1" x14ac:dyDescent="0.3">
      <c r="A9076" t="s">
        <v>764</v>
      </c>
      <c r="B9076" t="s">
        <v>10</v>
      </c>
      <c r="C9076" s="1">
        <f>HYPERLINK("https://cao.dolgi.msk.ru/account/1011475954/", 1011475954)</f>
        <v>1011475954</v>
      </c>
      <c r="D9076">
        <v>0</v>
      </c>
    </row>
    <row r="9077" spans="1:4" hidden="1" x14ac:dyDescent="0.3">
      <c r="A9077" t="s">
        <v>764</v>
      </c>
      <c r="B9077" t="s">
        <v>11</v>
      </c>
      <c r="C9077" s="1">
        <f>HYPERLINK("https://cao.dolgi.msk.ru/account/1011475882/", 1011475882)</f>
        <v>1011475882</v>
      </c>
      <c r="D9077">
        <v>0</v>
      </c>
    </row>
    <row r="9078" spans="1:4" hidden="1" x14ac:dyDescent="0.3">
      <c r="A9078" t="s">
        <v>764</v>
      </c>
      <c r="B9078" t="s">
        <v>12</v>
      </c>
      <c r="C9078" s="1">
        <f>HYPERLINK("https://cao.dolgi.msk.ru/account/1011476148/", 1011476148)</f>
        <v>1011476148</v>
      </c>
      <c r="D9078">
        <v>-6659.49</v>
      </c>
    </row>
    <row r="9079" spans="1:4" hidden="1" x14ac:dyDescent="0.3">
      <c r="A9079" t="s">
        <v>764</v>
      </c>
      <c r="B9079" t="s">
        <v>23</v>
      </c>
      <c r="C9079" s="1">
        <f>HYPERLINK("https://cao.dolgi.msk.ru/account/1011476156/", 1011476156)</f>
        <v>1011476156</v>
      </c>
      <c r="D9079">
        <v>-3415.99</v>
      </c>
    </row>
    <row r="9080" spans="1:4" hidden="1" x14ac:dyDescent="0.3">
      <c r="A9080" t="s">
        <v>764</v>
      </c>
      <c r="B9080" t="s">
        <v>13</v>
      </c>
      <c r="C9080" s="1">
        <f>HYPERLINK("https://cao.dolgi.msk.ru/account/1011476252/", 1011476252)</f>
        <v>1011476252</v>
      </c>
      <c r="D9080">
        <v>-24740.69</v>
      </c>
    </row>
    <row r="9081" spans="1:4" hidden="1" x14ac:dyDescent="0.3">
      <c r="A9081" t="s">
        <v>764</v>
      </c>
      <c r="B9081" t="s">
        <v>14</v>
      </c>
      <c r="C9081" s="1">
        <f>HYPERLINK("https://cao.dolgi.msk.ru/account/1011476009/", 1011476009)</f>
        <v>1011476009</v>
      </c>
      <c r="D9081">
        <v>0</v>
      </c>
    </row>
    <row r="9082" spans="1:4" hidden="1" x14ac:dyDescent="0.3">
      <c r="A9082" t="s">
        <v>764</v>
      </c>
      <c r="B9082" t="s">
        <v>16</v>
      </c>
      <c r="C9082" s="1">
        <f>HYPERLINK("https://cao.dolgi.msk.ru/account/1011475903/", 1011475903)</f>
        <v>1011475903</v>
      </c>
      <c r="D9082">
        <v>0</v>
      </c>
    </row>
    <row r="9083" spans="1:4" hidden="1" x14ac:dyDescent="0.3">
      <c r="A9083" t="s">
        <v>764</v>
      </c>
      <c r="B9083" t="s">
        <v>17</v>
      </c>
      <c r="C9083" s="1">
        <f>HYPERLINK("https://cao.dolgi.msk.ru/account/1011476092/", 1011476092)</f>
        <v>1011476092</v>
      </c>
      <c r="D9083">
        <v>0</v>
      </c>
    </row>
    <row r="9084" spans="1:4" hidden="1" x14ac:dyDescent="0.3">
      <c r="A9084" t="s">
        <v>764</v>
      </c>
      <c r="B9084" t="s">
        <v>18</v>
      </c>
      <c r="C9084" s="1">
        <f>HYPERLINK("https://cao.dolgi.msk.ru/account/1011476017/", 1011476017)</f>
        <v>1011476017</v>
      </c>
      <c r="D9084">
        <v>-4159.2</v>
      </c>
    </row>
    <row r="9085" spans="1:4" hidden="1" x14ac:dyDescent="0.3">
      <c r="A9085" t="s">
        <v>764</v>
      </c>
      <c r="B9085" t="s">
        <v>19</v>
      </c>
      <c r="C9085" s="1">
        <f>HYPERLINK("https://cao.dolgi.msk.ru/account/1011475911/", 1011475911)</f>
        <v>1011475911</v>
      </c>
      <c r="D9085">
        <v>0</v>
      </c>
    </row>
    <row r="9086" spans="1:4" hidden="1" x14ac:dyDescent="0.3">
      <c r="A9086" t="s">
        <v>764</v>
      </c>
      <c r="B9086" t="s">
        <v>20</v>
      </c>
      <c r="C9086" s="1">
        <f>HYPERLINK("https://cao.dolgi.msk.ru/account/1011476228/", 1011476228)</f>
        <v>1011476228</v>
      </c>
      <c r="D9086">
        <v>-23045.99</v>
      </c>
    </row>
    <row r="9087" spans="1:4" hidden="1" x14ac:dyDescent="0.3">
      <c r="A9087" t="s">
        <v>764</v>
      </c>
      <c r="B9087" t="s">
        <v>21</v>
      </c>
      <c r="C9087" s="1">
        <f>HYPERLINK("https://cao.dolgi.msk.ru/account/1011476236/", 1011476236)</f>
        <v>1011476236</v>
      </c>
      <c r="D9087">
        <v>-4836.82</v>
      </c>
    </row>
    <row r="9088" spans="1:4" hidden="1" x14ac:dyDescent="0.3">
      <c r="A9088" t="s">
        <v>764</v>
      </c>
      <c r="B9088" t="s">
        <v>22</v>
      </c>
      <c r="C9088" s="1">
        <f>HYPERLINK("https://cao.dolgi.msk.ru/account/1011476279/", 1011476279)</f>
        <v>1011476279</v>
      </c>
      <c r="D9088">
        <v>0</v>
      </c>
    </row>
    <row r="9089" spans="1:4" hidden="1" x14ac:dyDescent="0.3">
      <c r="A9089" t="s">
        <v>764</v>
      </c>
      <c r="B9089" t="s">
        <v>24</v>
      </c>
      <c r="C9089" s="1">
        <f>HYPERLINK("https://cao.dolgi.msk.ru/account/1011475962/", 1011475962)</f>
        <v>1011475962</v>
      </c>
      <c r="D9089">
        <v>0</v>
      </c>
    </row>
    <row r="9090" spans="1:4" hidden="1" x14ac:dyDescent="0.3">
      <c r="A9090" t="s">
        <v>764</v>
      </c>
      <c r="B9090" t="s">
        <v>25</v>
      </c>
      <c r="C9090" s="1">
        <f>HYPERLINK("https://cao.dolgi.msk.ru/account/1011476164/", 1011476164)</f>
        <v>1011476164</v>
      </c>
      <c r="D9090">
        <v>0</v>
      </c>
    </row>
    <row r="9091" spans="1:4" hidden="1" x14ac:dyDescent="0.3">
      <c r="A9091" t="s">
        <v>764</v>
      </c>
      <c r="B9091" t="s">
        <v>26</v>
      </c>
      <c r="C9091" s="1">
        <f>HYPERLINK("https://cao.dolgi.msk.ru/account/1011476105/", 1011476105)</f>
        <v>1011476105</v>
      </c>
      <c r="D9091">
        <v>-5394.98</v>
      </c>
    </row>
    <row r="9092" spans="1:4" hidden="1" x14ac:dyDescent="0.3">
      <c r="A9092" t="s">
        <v>764</v>
      </c>
      <c r="B9092" t="s">
        <v>27</v>
      </c>
      <c r="C9092" s="1">
        <f>HYPERLINK("https://cao.dolgi.msk.ru/account/1011475831/", 1011475831)</f>
        <v>1011475831</v>
      </c>
      <c r="D9092">
        <v>0</v>
      </c>
    </row>
    <row r="9093" spans="1:4" hidden="1" x14ac:dyDescent="0.3">
      <c r="A9093" t="s">
        <v>764</v>
      </c>
      <c r="B9093" t="s">
        <v>29</v>
      </c>
      <c r="C9093" s="1">
        <f>HYPERLINK("https://cao.dolgi.msk.ru/account/1011476113/", 1011476113)</f>
        <v>1011476113</v>
      </c>
      <c r="D9093">
        <v>-7535.87</v>
      </c>
    </row>
    <row r="9094" spans="1:4" x14ac:dyDescent="0.3">
      <c r="A9094" t="s">
        <v>764</v>
      </c>
      <c r="B9094" t="s">
        <v>38</v>
      </c>
      <c r="C9094" s="1">
        <f>HYPERLINK("https://cao.dolgi.msk.ru/account/1011476121/", 1011476121)</f>
        <v>1011476121</v>
      </c>
      <c r="D9094">
        <v>6801.19</v>
      </c>
    </row>
    <row r="9095" spans="1:4" hidden="1" x14ac:dyDescent="0.3">
      <c r="A9095" t="s">
        <v>764</v>
      </c>
      <c r="B9095" t="s">
        <v>39</v>
      </c>
      <c r="C9095" s="1">
        <f>HYPERLINK("https://cao.dolgi.msk.ru/account/1011475989/", 1011475989)</f>
        <v>1011475989</v>
      </c>
      <c r="D9095">
        <v>0</v>
      </c>
    </row>
    <row r="9096" spans="1:4" x14ac:dyDescent="0.3">
      <c r="A9096" t="s">
        <v>764</v>
      </c>
      <c r="B9096" t="s">
        <v>40</v>
      </c>
      <c r="C9096" s="1">
        <f>HYPERLINK("https://cao.dolgi.msk.ru/account/1011476172/", 1011476172)</f>
        <v>1011476172</v>
      </c>
      <c r="D9096">
        <v>63307.88</v>
      </c>
    </row>
    <row r="9097" spans="1:4" hidden="1" x14ac:dyDescent="0.3">
      <c r="A9097" t="s">
        <v>764</v>
      </c>
      <c r="B9097" t="s">
        <v>41</v>
      </c>
      <c r="C9097" s="1">
        <f>HYPERLINK("https://cao.dolgi.msk.ru/account/1011476025/", 1011476025)</f>
        <v>1011476025</v>
      </c>
      <c r="D9097">
        <v>0</v>
      </c>
    </row>
    <row r="9098" spans="1:4" hidden="1" x14ac:dyDescent="0.3">
      <c r="A9098" t="s">
        <v>764</v>
      </c>
      <c r="B9098" t="s">
        <v>51</v>
      </c>
      <c r="C9098" s="1">
        <f>HYPERLINK("https://cao.dolgi.msk.ru/account/1011476287/", 1011476287)</f>
        <v>1011476287</v>
      </c>
      <c r="D9098">
        <v>-0.02</v>
      </c>
    </row>
    <row r="9099" spans="1:4" hidden="1" x14ac:dyDescent="0.3">
      <c r="A9099" t="s">
        <v>764</v>
      </c>
      <c r="B9099" t="s">
        <v>52</v>
      </c>
      <c r="C9099" s="1">
        <f>HYPERLINK("https://cao.dolgi.msk.ru/account/1011475874/", 1011475874)</f>
        <v>1011475874</v>
      </c>
      <c r="D9099">
        <v>-3767.51</v>
      </c>
    </row>
    <row r="9100" spans="1:4" hidden="1" x14ac:dyDescent="0.3">
      <c r="A9100" t="s">
        <v>764</v>
      </c>
      <c r="B9100" t="s">
        <v>52</v>
      </c>
      <c r="C9100" s="1">
        <f>HYPERLINK("https://cao.dolgi.msk.ru/account/1011475938/", 1011475938)</f>
        <v>1011475938</v>
      </c>
      <c r="D9100">
        <v>-5954.16</v>
      </c>
    </row>
    <row r="9101" spans="1:4" hidden="1" x14ac:dyDescent="0.3">
      <c r="A9101" t="s">
        <v>764</v>
      </c>
      <c r="B9101" t="s">
        <v>53</v>
      </c>
      <c r="C9101" s="1">
        <f>HYPERLINK("https://cao.dolgi.msk.ru/account/1011476295/", 1011476295)</f>
        <v>1011476295</v>
      </c>
      <c r="D9101">
        <v>0</v>
      </c>
    </row>
    <row r="9102" spans="1:4" hidden="1" x14ac:dyDescent="0.3">
      <c r="A9102" t="s">
        <v>764</v>
      </c>
      <c r="B9102" t="s">
        <v>54</v>
      </c>
      <c r="C9102" s="1">
        <f>HYPERLINK("https://cao.dolgi.msk.ru/account/1011476199/", 1011476199)</f>
        <v>1011476199</v>
      </c>
      <c r="D9102">
        <v>-6598.35</v>
      </c>
    </row>
    <row r="9103" spans="1:4" hidden="1" x14ac:dyDescent="0.3">
      <c r="A9103" t="s">
        <v>764</v>
      </c>
      <c r="B9103" t="s">
        <v>55</v>
      </c>
      <c r="C9103" s="1">
        <f>HYPERLINK("https://cao.dolgi.msk.ru/account/1011476244/", 1011476244)</f>
        <v>1011476244</v>
      </c>
      <c r="D9103">
        <v>0</v>
      </c>
    </row>
    <row r="9104" spans="1:4" hidden="1" x14ac:dyDescent="0.3">
      <c r="A9104" t="s">
        <v>764</v>
      </c>
      <c r="B9104" t="s">
        <v>56</v>
      </c>
      <c r="C9104" s="1">
        <f>HYPERLINK("https://cao.dolgi.msk.ru/account/1011475858/", 1011475858)</f>
        <v>1011475858</v>
      </c>
      <c r="D9104">
        <v>0</v>
      </c>
    </row>
    <row r="9105" spans="1:4" hidden="1" x14ac:dyDescent="0.3">
      <c r="A9105" t="s">
        <v>764</v>
      </c>
      <c r="B9105" t="s">
        <v>87</v>
      </c>
      <c r="C9105" s="1">
        <f>HYPERLINK("https://cao.dolgi.msk.ru/account/1011476033/", 1011476033)</f>
        <v>1011476033</v>
      </c>
      <c r="D9105">
        <v>0</v>
      </c>
    </row>
    <row r="9106" spans="1:4" x14ac:dyDescent="0.3">
      <c r="A9106" t="s">
        <v>764</v>
      </c>
      <c r="B9106" t="s">
        <v>88</v>
      </c>
      <c r="C9106" s="1">
        <f>HYPERLINK("https://cao.dolgi.msk.ru/account/1011476041/", 1011476041)</f>
        <v>1011476041</v>
      </c>
      <c r="D9106">
        <v>1404.08</v>
      </c>
    </row>
    <row r="9107" spans="1:4" hidden="1" x14ac:dyDescent="0.3">
      <c r="A9107" t="s">
        <v>764</v>
      </c>
      <c r="B9107" t="s">
        <v>89</v>
      </c>
      <c r="C9107" s="1">
        <f>HYPERLINK("https://cao.dolgi.msk.ru/account/1011475866/", 1011475866)</f>
        <v>1011475866</v>
      </c>
      <c r="D9107">
        <v>0</v>
      </c>
    </row>
    <row r="9108" spans="1:4" hidden="1" x14ac:dyDescent="0.3">
      <c r="A9108" t="s">
        <v>764</v>
      </c>
      <c r="B9108" t="s">
        <v>90</v>
      </c>
      <c r="C9108" s="1">
        <f>HYPERLINK("https://cao.dolgi.msk.ru/account/1011475997/", 1011475997)</f>
        <v>1011475997</v>
      </c>
      <c r="D9108">
        <v>-6479.73</v>
      </c>
    </row>
    <row r="9109" spans="1:4" hidden="1" x14ac:dyDescent="0.3">
      <c r="A9109" t="s">
        <v>765</v>
      </c>
      <c r="B9109" t="s">
        <v>28</v>
      </c>
      <c r="C9109" s="1">
        <f>HYPERLINK("https://cao.dolgi.msk.ru/account/1011198942/", 1011198942)</f>
        <v>1011198942</v>
      </c>
      <c r="D9109">
        <v>-0.01</v>
      </c>
    </row>
    <row r="9110" spans="1:4" hidden="1" x14ac:dyDescent="0.3">
      <c r="A9110" t="s">
        <v>765</v>
      </c>
      <c r="B9110" t="s">
        <v>35</v>
      </c>
      <c r="C9110" s="1">
        <f>HYPERLINK("https://cao.dolgi.msk.ru/account/1011198969/", 1011198969)</f>
        <v>1011198969</v>
      </c>
      <c r="D9110">
        <v>-778.21</v>
      </c>
    </row>
    <row r="9111" spans="1:4" hidden="1" x14ac:dyDescent="0.3">
      <c r="A9111" t="s">
        <v>765</v>
      </c>
      <c r="B9111" t="s">
        <v>5</v>
      </c>
      <c r="C9111" s="1">
        <f>HYPERLINK("https://cao.dolgi.msk.ru/account/1011199515/", 1011199515)</f>
        <v>1011199515</v>
      </c>
      <c r="D9111">
        <v>-10969</v>
      </c>
    </row>
    <row r="9112" spans="1:4" hidden="1" x14ac:dyDescent="0.3">
      <c r="A9112" t="s">
        <v>765</v>
      </c>
      <c r="B9112" t="s">
        <v>7</v>
      </c>
      <c r="C9112" s="1">
        <f>HYPERLINK("https://cao.dolgi.msk.ru/account/1011534563/", 1011534563)</f>
        <v>1011534563</v>
      </c>
      <c r="D9112">
        <v>0</v>
      </c>
    </row>
    <row r="9113" spans="1:4" hidden="1" x14ac:dyDescent="0.3">
      <c r="A9113" t="s">
        <v>765</v>
      </c>
      <c r="B9113" t="s">
        <v>8</v>
      </c>
      <c r="C9113" s="1">
        <f>HYPERLINK("https://cao.dolgi.msk.ru/account/1011199419/", 1011199419)</f>
        <v>1011199419</v>
      </c>
      <c r="D9113">
        <v>-8.8699999999999992</v>
      </c>
    </row>
    <row r="9114" spans="1:4" hidden="1" x14ac:dyDescent="0.3">
      <c r="A9114" t="s">
        <v>765</v>
      </c>
      <c r="B9114" t="s">
        <v>8</v>
      </c>
      <c r="C9114" s="1">
        <f>HYPERLINK("https://cao.dolgi.msk.ru/account/1011200133/", 1011200133)</f>
        <v>1011200133</v>
      </c>
      <c r="D9114">
        <v>-35.590000000000003</v>
      </c>
    </row>
    <row r="9115" spans="1:4" hidden="1" x14ac:dyDescent="0.3">
      <c r="A9115" t="s">
        <v>765</v>
      </c>
      <c r="B9115" t="s">
        <v>31</v>
      </c>
      <c r="C9115" s="1">
        <f>HYPERLINK("https://cao.dolgi.msk.ru/account/1011199523/", 1011199523)</f>
        <v>1011199523</v>
      </c>
      <c r="D9115">
        <v>0</v>
      </c>
    </row>
    <row r="9116" spans="1:4" x14ac:dyDescent="0.3">
      <c r="A9116" t="s">
        <v>765</v>
      </c>
      <c r="B9116" t="s">
        <v>9</v>
      </c>
      <c r="C9116" s="1">
        <f>HYPERLINK("https://cao.dolgi.msk.ru/account/1011200029/", 1011200029)</f>
        <v>1011200029</v>
      </c>
      <c r="D9116">
        <v>9245.2800000000007</v>
      </c>
    </row>
    <row r="9117" spans="1:4" x14ac:dyDescent="0.3">
      <c r="A9117" t="s">
        <v>765</v>
      </c>
      <c r="B9117" t="s">
        <v>10</v>
      </c>
      <c r="C9117" s="1">
        <f>HYPERLINK("https://cao.dolgi.msk.ru/account/1011200141/", 1011200141)</f>
        <v>1011200141</v>
      </c>
      <c r="D9117">
        <v>10945.75</v>
      </c>
    </row>
    <row r="9118" spans="1:4" hidden="1" x14ac:dyDescent="0.3">
      <c r="A9118" t="s">
        <v>765</v>
      </c>
      <c r="B9118" t="s">
        <v>11</v>
      </c>
      <c r="C9118" s="1">
        <f>HYPERLINK("https://cao.dolgi.msk.ru/account/1011199531/", 1011199531)</f>
        <v>1011199531</v>
      </c>
      <c r="D9118">
        <v>-7918.94</v>
      </c>
    </row>
    <row r="9119" spans="1:4" hidden="1" x14ac:dyDescent="0.3">
      <c r="A9119" t="s">
        <v>765</v>
      </c>
      <c r="B9119" t="s">
        <v>12</v>
      </c>
      <c r="C9119" s="1">
        <f>HYPERLINK("https://cao.dolgi.msk.ru/account/1011199929/", 1011199929)</f>
        <v>1011199929</v>
      </c>
      <c r="D9119">
        <v>-8233.92</v>
      </c>
    </row>
    <row r="9120" spans="1:4" hidden="1" x14ac:dyDescent="0.3">
      <c r="A9120" t="s">
        <v>765</v>
      </c>
      <c r="B9120" t="s">
        <v>23</v>
      </c>
      <c r="C9120" s="1">
        <f>HYPERLINK("https://cao.dolgi.msk.ru/account/1011199427/", 1011199427)</f>
        <v>1011199427</v>
      </c>
      <c r="D9120">
        <v>-33131.99</v>
      </c>
    </row>
    <row r="9121" spans="1:4" x14ac:dyDescent="0.3">
      <c r="A9121" t="s">
        <v>765</v>
      </c>
      <c r="B9121" t="s">
        <v>13</v>
      </c>
      <c r="C9121" s="1">
        <f>HYPERLINK("https://cao.dolgi.msk.ru/account/1011199718/", 1011199718)</f>
        <v>1011199718</v>
      </c>
      <c r="D9121">
        <v>3382.33</v>
      </c>
    </row>
    <row r="9122" spans="1:4" hidden="1" x14ac:dyDescent="0.3">
      <c r="A9122" t="s">
        <v>765</v>
      </c>
      <c r="B9122" t="s">
        <v>14</v>
      </c>
      <c r="C9122" s="1">
        <f>HYPERLINK("https://cao.dolgi.msk.ru/account/1011199179/", 1011199179)</f>
        <v>1011199179</v>
      </c>
      <c r="D9122">
        <v>0</v>
      </c>
    </row>
    <row r="9123" spans="1:4" hidden="1" x14ac:dyDescent="0.3">
      <c r="A9123" t="s">
        <v>765</v>
      </c>
      <c r="B9123" t="s">
        <v>16</v>
      </c>
      <c r="C9123" s="1">
        <f>HYPERLINK("https://cao.dolgi.msk.ru/account/1011199507/", 1011199507)</f>
        <v>1011199507</v>
      </c>
      <c r="D9123">
        <v>-7497.67</v>
      </c>
    </row>
    <row r="9124" spans="1:4" hidden="1" x14ac:dyDescent="0.3">
      <c r="A9124" t="s">
        <v>765</v>
      </c>
      <c r="B9124" t="s">
        <v>17</v>
      </c>
      <c r="C9124" s="1">
        <f>HYPERLINK("https://cao.dolgi.msk.ru/account/1011199558/", 1011199558)</f>
        <v>1011199558</v>
      </c>
      <c r="D9124">
        <v>0</v>
      </c>
    </row>
    <row r="9125" spans="1:4" hidden="1" x14ac:dyDescent="0.3">
      <c r="A9125" t="s">
        <v>765</v>
      </c>
      <c r="B9125" t="s">
        <v>18</v>
      </c>
      <c r="C9125" s="1">
        <f>HYPERLINK("https://cao.dolgi.msk.ru/account/1011199187/", 1011199187)</f>
        <v>1011199187</v>
      </c>
      <c r="D9125">
        <v>-9289.44</v>
      </c>
    </row>
    <row r="9126" spans="1:4" hidden="1" x14ac:dyDescent="0.3">
      <c r="A9126" t="s">
        <v>765</v>
      </c>
      <c r="B9126" t="s">
        <v>19</v>
      </c>
      <c r="C9126" s="1">
        <f>HYPERLINK("https://cao.dolgi.msk.ru/account/1011199195/", 1011199195)</f>
        <v>1011199195</v>
      </c>
      <c r="D9126">
        <v>0</v>
      </c>
    </row>
    <row r="9127" spans="1:4" hidden="1" x14ac:dyDescent="0.3">
      <c r="A9127" t="s">
        <v>765</v>
      </c>
      <c r="B9127" t="s">
        <v>20</v>
      </c>
      <c r="C9127" s="1">
        <f>HYPERLINK("https://cao.dolgi.msk.ru/account/1011199566/", 1011199566)</f>
        <v>1011199566</v>
      </c>
      <c r="D9127">
        <v>0</v>
      </c>
    </row>
    <row r="9128" spans="1:4" hidden="1" x14ac:dyDescent="0.3">
      <c r="A9128" t="s">
        <v>765</v>
      </c>
      <c r="B9128" t="s">
        <v>21</v>
      </c>
      <c r="C9128" s="1">
        <f>HYPERLINK("https://cao.dolgi.msk.ru/account/1011199726/", 1011199726)</f>
        <v>1011199726</v>
      </c>
      <c r="D9128">
        <v>0</v>
      </c>
    </row>
    <row r="9129" spans="1:4" hidden="1" x14ac:dyDescent="0.3">
      <c r="A9129" t="s">
        <v>765</v>
      </c>
      <c r="B9129" t="s">
        <v>21</v>
      </c>
      <c r="C9129" s="1">
        <f>HYPERLINK("https://cao.dolgi.msk.ru/account/1011199881/", 1011199881)</f>
        <v>1011199881</v>
      </c>
      <c r="D9129">
        <v>0</v>
      </c>
    </row>
    <row r="9130" spans="1:4" hidden="1" x14ac:dyDescent="0.3">
      <c r="A9130" t="s">
        <v>765</v>
      </c>
      <c r="B9130" t="s">
        <v>22</v>
      </c>
      <c r="C9130" s="1">
        <f>HYPERLINK("https://cao.dolgi.msk.ru/account/1011200037/", 1011200037)</f>
        <v>1011200037</v>
      </c>
      <c r="D9130">
        <v>0</v>
      </c>
    </row>
    <row r="9131" spans="1:4" hidden="1" x14ac:dyDescent="0.3">
      <c r="A9131" t="s">
        <v>765</v>
      </c>
      <c r="B9131" t="s">
        <v>24</v>
      </c>
      <c r="C9131" s="1">
        <f>HYPERLINK("https://cao.dolgi.msk.ru/account/1011200168/", 1011200168)</f>
        <v>1011200168</v>
      </c>
      <c r="D9131">
        <v>0</v>
      </c>
    </row>
    <row r="9132" spans="1:4" x14ac:dyDescent="0.3">
      <c r="A9132" t="s">
        <v>765</v>
      </c>
      <c r="B9132" t="s">
        <v>25</v>
      </c>
      <c r="C9132" s="1">
        <f>HYPERLINK("https://cao.dolgi.msk.ru/account/1011199937/", 1011199937)</f>
        <v>1011199937</v>
      </c>
      <c r="D9132">
        <v>7620.75</v>
      </c>
    </row>
    <row r="9133" spans="1:4" hidden="1" x14ac:dyDescent="0.3">
      <c r="A9133" t="s">
        <v>765</v>
      </c>
      <c r="B9133" t="s">
        <v>26</v>
      </c>
      <c r="C9133" s="1">
        <f>HYPERLINK("https://cao.dolgi.msk.ru/account/1011199208/", 1011199208)</f>
        <v>1011199208</v>
      </c>
      <c r="D9133">
        <v>0</v>
      </c>
    </row>
    <row r="9134" spans="1:4" x14ac:dyDescent="0.3">
      <c r="A9134" t="s">
        <v>765</v>
      </c>
      <c r="B9134" t="s">
        <v>27</v>
      </c>
      <c r="C9134" s="1">
        <f>HYPERLINK("https://cao.dolgi.msk.ru/account/1011199945/", 1011199945)</f>
        <v>1011199945</v>
      </c>
      <c r="D9134">
        <v>3949.2</v>
      </c>
    </row>
    <row r="9135" spans="1:4" hidden="1" x14ac:dyDescent="0.3">
      <c r="A9135" t="s">
        <v>765</v>
      </c>
      <c r="B9135" t="s">
        <v>29</v>
      </c>
      <c r="C9135" s="1">
        <f>HYPERLINK("https://cao.dolgi.msk.ru/account/1011199953/", 1011199953)</f>
        <v>1011199953</v>
      </c>
      <c r="D9135">
        <v>-4459.03</v>
      </c>
    </row>
    <row r="9136" spans="1:4" hidden="1" x14ac:dyDescent="0.3">
      <c r="A9136" t="s">
        <v>765</v>
      </c>
      <c r="B9136" t="s">
        <v>38</v>
      </c>
      <c r="C9136" s="1">
        <f>HYPERLINK("https://cao.dolgi.msk.ru/account/1011199216/", 1011199216)</f>
        <v>1011199216</v>
      </c>
      <c r="D9136">
        <v>0</v>
      </c>
    </row>
    <row r="9137" spans="1:4" hidden="1" x14ac:dyDescent="0.3">
      <c r="A9137" t="s">
        <v>765</v>
      </c>
      <c r="B9137" t="s">
        <v>39</v>
      </c>
      <c r="C9137" s="1">
        <f>HYPERLINK("https://cao.dolgi.msk.ru/account/1011200176/", 1011200176)</f>
        <v>1011200176</v>
      </c>
      <c r="D9137">
        <v>0</v>
      </c>
    </row>
    <row r="9138" spans="1:4" hidden="1" x14ac:dyDescent="0.3">
      <c r="A9138" t="s">
        <v>765</v>
      </c>
      <c r="B9138" t="s">
        <v>40</v>
      </c>
      <c r="C9138" s="1">
        <f>HYPERLINK("https://cao.dolgi.msk.ru/account/1011199435/", 1011199435)</f>
        <v>1011199435</v>
      </c>
      <c r="D9138">
        <v>-5304.03</v>
      </c>
    </row>
    <row r="9139" spans="1:4" x14ac:dyDescent="0.3">
      <c r="A9139" t="s">
        <v>765</v>
      </c>
      <c r="B9139" t="s">
        <v>41</v>
      </c>
      <c r="C9139" s="1">
        <f>HYPERLINK("https://cao.dolgi.msk.ru/account/1011198977/", 1011198977)</f>
        <v>1011198977</v>
      </c>
      <c r="D9139">
        <v>13909.75</v>
      </c>
    </row>
    <row r="9140" spans="1:4" hidden="1" x14ac:dyDescent="0.3">
      <c r="A9140" t="s">
        <v>765</v>
      </c>
      <c r="B9140" t="s">
        <v>51</v>
      </c>
      <c r="C9140" s="1">
        <f>HYPERLINK("https://cao.dolgi.msk.ru/account/1011200045/", 1011200045)</f>
        <v>1011200045</v>
      </c>
      <c r="D9140">
        <v>0</v>
      </c>
    </row>
    <row r="9141" spans="1:4" hidden="1" x14ac:dyDescent="0.3">
      <c r="A9141" t="s">
        <v>765</v>
      </c>
      <c r="B9141" t="s">
        <v>52</v>
      </c>
      <c r="C9141" s="1">
        <f>HYPERLINK("https://cao.dolgi.msk.ru/account/1011199574/", 1011199574)</f>
        <v>1011199574</v>
      </c>
      <c r="D9141">
        <v>0</v>
      </c>
    </row>
    <row r="9142" spans="1:4" x14ac:dyDescent="0.3">
      <c r="A9142" t="s">
        <v>765</v>
      </c>
      <c r="B9142" t="s">
        <v>53</v>
      </c>
      <c r="C9142" s="1">
        <f>HYPERLINK("https://cao.dolgi.msk.ru/account/1011198985/", 1011198985)</f>
        <v>1011198985</v>
      </c>
      <c r="D9142">
        <v>89</v>
      </c>
    </row>
    <row r="9143" spans="1:4" hidden="1" x14ac:dyDescent="0.3">
      <c r="A9143" t="s">
        <v>765</v>
      </c>
      <c r="B9143" t="s">
        <v>54</v>
      </c>
      <c r="C9143" s="1">
        <f>HYPERLINK("https://cao.dolgi.msk.ru/account/1011199443/", 1011199443)</f>
        <v>1011199443</v>
      </c>
      <c r="D9143">
        <v>0</v>
      </c>
    </row>
    <row r="9144" spans="1:4" hidden="1" x14ac:dyDescent="0.3">
      <c r="A9144" t="s">
        <v>765</v>
      </c>
      <c r="B9144" t="s">
        <v>55</v>
      </c>
      <c r="C9144" s="1">
        <f>HYPERLINK("https://cao.dolgi.msk.ru/account/1011199742/", 1011199742)</f>
        <v>1011199742</v>
      </c>
      <c r="D9144">
        <v>-8620.2000000000007</v>
      </c>
    </row>
    <row r="9145" spans="1:4" x14ac:dyDescent="0.3">
      <c r="A9145" t="s">
        <v>765</v>
      </c>
      <c r="B9145" t="s">
        <v>56</v>
      </c>
      <c r="C9145" s="1">
        <f>HYPERLINK("https://cao.dolgi.msk.ru/account/1011198993/", 1011198993)</f>
        <v>1011198993</v>
      </c>
      <c r="D9145">
        <v>64</v>
      </c>
    </row>
    <row r="9146" spans="1:4" hidden="1" x14ac:dyDescent="0.3">
      <c r="A9146" t="s">
        <v>765</v>
      </c>
      <c r="B9146" t="s">
        <v>87</v>
      </c>
      <c r="C9146" s="1">
        <f>HYPERLINK("https://cao.dolgi.msk.ru/account/1011199224/", 1011199224)</f>
        <v>1011199224</v>
      </c>
      <c r="D9146">
        <v>0</v>
      </c>
    </row>
    <row r="9147" spans="1:4" hidden="1" x14ac:dyDescent="0.3">
      <c r="A9147" t="s">
        <v>765</v>
      </c>
      <c r="B9147" t="s">
        <v>88</v>
      </c>
      <c r="C9147" s="1">
        <f>HYPERLINK("https://cao.dolgi.msk.ru/account/1011199582/", 1011199582)</f>
        <v>1011199582</v>
      </c>
      <c r="D9147">
        <v>-15895.89</v>
      </c>
    </row>
    <row r="9148" spans="1:4" hidden="1" x14ac:dyDescent="0.3">
      <c r="A9148" t="s">
        <v>765</v>
      </c>
      <c r="B9148" t="s">
        <v>89</v>
      </c>
      <c r="C9148" s="1">
        <f>HYPERLINK("https://cao.dolgi.msk.ru/account/1011199232/", 1011199232)</f>
        <v>1011199232</v>
      </c>
      <c r="D9148">
        <v>-8141.14</v>
      </c>
    </row>
    <row r="9149" spans="1:4" hidden="1" x14ac:dyDescent="0.3">
      <c r="A9149" t="s">
        <v>765</v>
      </c>
      <c r="B9149" t="s">
        <v>90</v>
      </c>
      <c r="C9149" s="1">
        <f>HYPERLINK("https://cao.dolgi.msk.ru/account/1011200192/", 1011200192)</f>
        <v>1011200192</v>
      </c>
      <c r="D9149">
        <v>-5368.31</v>
      </c>
    </row>
    <row r="9150" spans="1:4" hidden="1" x14ac:dyDescent="0.3">
      <c r="A9150" t="s">
        <v>765</v>
      </c>
      <c r="B9150" t="s">
        <v>96</v>
      </c>
      <c r="C9150" s="1">
        <f>HYPERLINK("https://cao.dolgi.msk.ru/account/1011199769/", 1011199769)</f>
        <v>1011199769</v>
      </c>
      <c r="D9150">
        <v>-10878.31</v>
      </c>
    </row>
    <row r="9151" spans="1:4" hidden="1" x14ac:dyDescent="0.3">
      <c r="A9151" t="s">
        <v>765</v>
      </c>
      <c r="B9151" t="s">
        <v>97</v>
      </c>
      <c r="C9151" s="1">
        <f>HYPERLINK("https://cao.dolgi.msk.ru/account/1011199603/", 1011199603)</f>
        <v>1011199603</v>
      </c>
      <c r="D9151">
        <v>-3613.11</v>
      </c>
    </row>
    <row r="9152" spans="1:4" hidden="1" x14ac:dyDescent="0.3">
      <c r="A9152" t="s">
        <v>765</v>
      </c>
      <c r="B9152" t="s">
        <v>98</v>
      </c>
      <c r="C9152" s="1">
        <f>HYPERLINK("https://cao.dolgi.msk.ru/account/1011199961/", 1011199961)</f>
        <v>1011199961</v>
      </c>
      <c r="D9152">
        <v>0</v>
      </c>
    </row>
    <row r="9153" spans="1:4" hidden="1" x14ac:dyDescent="0.3">
      <c r="A9153" t="s">
        <v>765</v>
      </c>
      <c r="B9153" t="s">
        <v>58</v>
      </c>
      <c r="C9153" s="1">
        <f>HYPERLINK("https://cao.dolgi.msk.ru/account/1011200205/", 1011200205)</f>
        <v>1011200205</v>
      </c>
      <c r="D9153">
        <v>-7538.48</v>
      </c>
    </row>
    <row r="9154" spans="1:4" hidden="1" x14ac:dyDescent="0.3">
      <c r="A9154" t="s">
        <v>765</v>
      </c>
      <c r="B9154" t="s">
        <v>59</v>
      </c>
      <c r="C9154" s="1">
        <f>HYPERLINK("https://cao.dolgi.msk.ru/account/1011199005/", 1011199005)</f>
        <v>1011199005</v>
      </c>
      <c r="D9154">
        <v>0</v>
      </c>
    </row>
    <row r="9155" spans="1:4" hidden="1" x14ac:dyDescent="0.3">
      <c r="A9155" t="s">
        <v>765</v>
      </c>
      <c r="B9155" t="s">
        <v>59</v>
      </c>
      <c r="C9155" s="1">
        <f>HYPERLINK("https://cao.dolgi.msk.ru/account/1011199144/", 1011199144)</f>
        <v>1011199144</v>
      </c>
      <c r="D9155">
        <v>0</v>
      </c>
    </row>
    <row r="9156" spans="1:4" hidden="1" x14ac:dyDescent="0.3">
      <c r="A9156" t="s">
        <v>765</v>
      </c>
      <c r="B9156" t="s">
        <v>60</v>
      </c>
      <c r="C9156" s="1">
        <f>HYPERLINK("https://cao.dolgi.msk.ru/account/1011199259/", 1011199259)</f>
        <v>1011199259</v>
      </c>
      <c r="D9156">
        <v>-4629.3100000000004</v>
      </c>
    </row>
    <row r="9157" spans="1:4" hidden="1" x14ac:dyDescent="0.3">
      <c r="A9157" t="s">
        <v>765</v>
      </c>
      <c r="B9157" t="s">
        <v>61</v>
      </c>
      <c r="C9157" s="1">
        <f>HYPERLINK("https://cao.dolgi.msk.ru/account/1011199267/", 1011199267)</f>
        <v>1011199267</v>
      </c>
      <c r="D9157">
        <v>0</v>
      </c>
    </row>
    <row r="9158" spans="1:4" hidden="1" x14ac:dyDescent="0.3">
      <c r="A9158" t="s">
        <v>765</v>
      </c>
      <c r="B9158" t="s">
        <v>61</v>
      </c>
      <c r="C9158" s="1">
        <f>HYPERLINK("https://cao.dolgi.msk.ru/account/1011199275/", 1011199275)</f>
        <v>1011199275</v>
      </c>
      <c r="D9158">
        <v>-4671.75</v>
      </c>
    </row>
    <row r="9159" spans="1:4" hidden="1" x14ac:dyDescent="0.3">
      <c r="A9159" t="s">
        <v>765</v>
      </c>
      <c r="B9159" t="s">
        <v>61</v>
      </c>
      <c r="C9159" s="1">
        <f>HYPERLINK("https://cao.dolgi.msk.ru/account/1011199865/", 1011199865)</f>
        <v>1011199865</v>
      </c>
      <c r="D9159">
        <v>0</v>
      </c>
    </row>
    <row r="9160" spans="1:4" hidden="1" x14ac:dyDescent="0.3">
      <c r="A9160" t="s">
        <v>765</v>
      </c>
      <c r="B9160" t="s">
        <v>62</v>
      </c>
      <c r="C9160" s="1">
        <f>HYPERLINK("https://cao.dolgi.msk.ru/account/1011199611/", 1011199611)</f>
        <v>1011199611</v>
      </c>
      <c r="D9160">
        <v>-6877.53</v>
      </c>
    </row>
    <row r="9161" spans="1:4" hidden="1" x14ac:dyDescent="0.3">
      <c r="A9161" t="s">
        <v>765</v>
      </c>
      <c r="B9161" t="s">
        <v>63</v>
      </c>
      <c r="C9161" s="1">
        <f>HYPERLINK("https://cao.dolgi.msk.ru/account/1011199283/", 1011199283)</f>
        <v>1011199283</v>
      </c>
      <c r="D9161">
        <v>0</v>
      </c>
    </row>
    <row r="9162" spans="1:4" x14ac:dyDescent="0.3">
      <c r="A9162" t="s">
        <v>765</v>
      </c>
      <c r="B9162" t="s">
        <v>64</v>
      </c>
      <c r="C9162" s="1">
        <f>HYPERLINK("https://cao.dolgi.msk.ru/account/1011199777/", 1011199777)</f>
        <v>1011199777</v>
      </c>
      <c r="D9162">
        <v>15192.44</v>
      </c>
    </row>
    <row r="9163" spans="1:4" x14ac:dyDescent="0.3">
      <c r="A9163" t="s">
        <v>765</v>
      </c>
      <c r="B9163" t="s">
        <v>65</v>
      </c>
      <c r="C9163" s="1">
        <f>HYPERLINK("https://cao.dolgi.msk.ru/account/1011200213/", 1011200213)</f>
        <v>1011200213</v>
      </c>
      <c r="D9163">
        <v>19783.310000000001</v>
      </c>
    </row>
    <row r="9164" spans="1:4" hidden="1" x14ac:dyDescent="0.3">
      <c r="A9164" t="s">
        <v>765</v>
      </c>
      <c r="B9164" t="s">
        <v>66</v>
      </c>
      <c r="C9164" s="1">
        <f>HYPERLINK("https://cao.dolgi.msk.ru/account/1011199638/", 1011199638)</f>
        <v>1011199638</v>
      </c>
      <c r="D9164">
        <v>-16771.66</v>
      </c>
    </row>
    <row r="9165" spans="1:4" hidden="1" x14ac:dyDescent="0.3">
      <c r="A9165" t="s">
        <v>765</v>
      </c>
      <c r="B9165" t="s">
        <v>67</v>
      </c>
      <c r="C9165" s="1">
        <f>HYPERLINK("https://cao.dolgi.msk.ru/account/1011199013/", 1011199013)</f>
        <v>1011199013</v>
      </c>
      <c r="D9165">
        <v>0</v>
      </c>
    </row>
    <row r="9166" spans="1:4" x14ac:dyDescent="0.3">
      <c r="A9166" t="s">
        <v>765</v>
      </c>
      <c r="B9166" t="s">
        <v>68</v>
      </c>
      <c r="C9166" s="1">
        <f>HYPERLINK("https://cao.dolgi.msk.ru/account/1011199021/", 1011199021)</f>
        <v>1011199021</v>
      </c>
      <c r="D9166">
        <v>4439.88</v>
      </c>
    </row>
    <row r="9167" spans="1:4" hidden="1" x14ac:dyDescent="0.3">
      <c r="A9167" t="s">
        <v>765</v>
      </c>
      <c r="B9167" t="s">
        <v>69</v>
      </c>
      <c r="C9167" s="1">
        <f>HYPERLINK("https://cao.dolgi.msk.ru/account/1011200221/", 1011200221)</f>
        <v>1011200221</v>
      </c>
      <c r="D9167">
        <v>-5149.9399999999996</v>
      </c>
    </row>
    <row r="9168" spans="1:4" x14ac:dyDescent="0.3">
      <c r="A9168" t="s">
        <v>765</v>
      </c>
      <c r="B9168" t="s">
        <v>69</v>
      </c>
      <c r="C9168" s="1">
        <f>HYPERLINK("https://cao.dolgi.msk.ru/account/1011200248/", 1011200248)</f>
        <v>1011200248</v>
      </c>
      <c r="D9168">
        <v>4666.76</v>
      </c>
    </row>
    <row r="9169" spans="1:4" hidden="1" x14ac:dyDescent="0.3">
      <c r="A9169" t="s">
        <v>765</v>
      </c>
      <c r="B9169" t="s">
        <v>70</v>
      </c>
      <c r="C9169" s="1">
        <f>HYPERLINK("https://cao.dolgi.msk.ru/account/1011199988/", 1011199988)</f>
        <v>1011199988</v>
      </c>
      <c r="D9169">
        <v>-20225.939999999999</v>
      </c>
    </row>
    <row r="9170" spans="1:4" hidden="1" x14ac:dyDescent="0.3">
      <c r="A9170" t="s">
        <v>765</v>
      </c>
      <c r="B9170" t="s">
        <v>259</v>
      </c>
      <c r="C9170" s="1">
        <f>HYPERLINK("https://cao.dolgi.msk.ru/account/1011199291/", 1011199291)</f>
        <v>1011199291</v>
      </c>
      <c r="D9170">
        <v>0</v>
      </c>
    </row>
    <row r="9171" spans="1:4" hidden="1" x14ac:dyDescent="0.3">
      <c r="A9171" t="s">
        <v>765</v>
      </c>
      <c r="B9171" t="s">
        <v>100</v>
      </c>
      <c r="C9171" s="1">
        <f>HYPERLINK("https://cao.dolgi.msk.ru/account/1011199304/", 1011199304)</f>
        <v>1011199304</v>
      </c>
      <c r="D9171">
        <v>0</v>
      </c>
    </row>
    <row r="9172" spans="1:4" hidden="1" x14ac:dyDescent="0.3">
      <c r="A9172" t="s">
        <v>765</v>
      </c>
      <c r="B9172" t="s">
        <v>72</v>
      </c>
      <c r="C9172" s="1">
        <f>HYPERLINK("https://cao.dolgi.msk.ru/account/1011199048/", 1011199048)</f>
        <v>1011199048</v>
      </c>
      <c r="D9172">
        <v>-9633.73</v>
      </c>
    </row>
    <row r="9173" spans="1:4" hidden="1" x14ac:dyDescent="0.3">
      <c r="A9173" t="s">
        <v>765</v>
      </c>
      <c r="B9173" t="s">
        <v>73</v>
      </c>
      <c r="C9173" s="1">
        <f>HYPERLINK("https://cao.dolgi.msk.ru/account/1011199312/", 1011199312)</f>
        <v>1011199312</v>
      </c>
      <c r="D9173">
        <v>0</v>
      </c>
    </row>
    <row r="9174" spans="1:4" x14ac:dyDescent="0.3">
      <c r="A9174" t="s">
        <v>765</v>
      </c>
      <c r="B9174" t="s">
        <v>74</v>
      </c>
      <c r="C9174" s="1">
        <f>HYPERLINK("https://cao.dolgi.msk.ru/account/1011517624/", 1011517624)</f>
        <v>1011517624</v>
      </c>
      <c r="D9174">
        <v>47127.53</v>
      </c>
    </row>
    <row r="9175" spans="1:4" hidden="1" x14ac:dyDescent="0.3">
      <c r="A9175" t="s">
        <v>765</v>
      </c>
      <c r="B9175" t="s">
        <v>75</v>
      </c>
      <c r="C9175" s="1">
        <f>HYPERLINK("https://cao.dolgi.msk.ru/account/1011199785/", 1011199785)</f>
        <v>1011199785</v>
      </c>
      <c r="D9175">
        <v>0</v>
      </c>
    </row>
    <row r="9176" spans="1:4" hidden="1" x14ac:dyDescent="0.3">
      <c r="A9176" t="s">
        <v>765</v>
      </c>
      <c r="B9176" t="s">
        <v>76</v>
      </c>
      <c r="C9176" s="1">
        <f>HYPERLINK("https://cao.dolgi.msk.ru/account/1011199056/", 1011199056)</f>
        <v>1011199056</v>
      </c>
      <c r="D9176">
        <v>0</v>
      </c>
    </row>
    <row r="9177" spans="1:4" hidden="1" x14ac:dyDescent="0.3">
      <c r="A9177" t="s">
        <v>765</v>
      </c>
      <c r="B9177" t="s">
        <v>77</v>
      </c>
      <c r="C9177" s="1">
        <f>HYPERLINK("https://cao.dolgi.msk.ru/account/1011200053/", 1011200053)</f>
        <v>1011200053</v>
      </c>
      <c r="D9177">
        <v>0</v>
      </c>
    </row>
    <row r="9178" spans="1:4" hidden="1" x14ac:dyDescent="0.3">
      <c r="A9178" t="s">
        <v>765</v>
      </c>
      <c r="B9178" t="s">
        <v>78</v>
      </c>
      <c r="C9178" s="1">
        <f>HYPERLINK("https://cao.dolgi.msk.ru/account/1011199654/", 1011199654)</f>
        <v>1011199654</v>
      </c>
      <c r="D9178">
        <v>0</v>
      </c>
    </row>
    <row r="9179" spans="1:4" x14ac:dyDescent="0.3">
      <c r="A9179" t="s">
        <v>765</v>
      </c>
      <c r="B9179" t="s">
        <v>79</v>
      </c>
      <c r="C9179" s="1">
        <f>HYPERLINK("https://cao.dolgi.msk.ru/account/1011199451/", 1011199451)</f>
        <v>1011199451</v>
      </c>
      <c r="D9179">
        <v>6782.53</v>
      </c>
    </row>
    <row r="9180" spans="1:4" x14ac:dyDescent="0.3">
      <c r="A9180" t="s">
        <v>765</v>
      </c>
      <c r="B9180" t="s">
        <v>80</v>
      </c>
      <c r="C9180" s="1">
        <f>HYPERLINK("https://cao.dolgi.msk.ru/account/1011200256/", 1011200256)</f>
        <v>1011200256</v>
      </c>
      <c r="D9180">
        <v>34772.120000000003</v>
      </c>
    </row>
    <row r="9181" spans="1:4" hidden="1" x14ac:dyDescent="0.3">
      <c r="A9181" t="s">
        <v>765</v>
      </c>
      <c r="B9181" t="s">
        <v>81</v>
      </c>
      <c r="C9181" s="1">
        <f>HYPERLINK("https://cao.dolgi.msk.ru/account/1011199064/", 1011199064)</f>
        <v>1011199064</v>
      </c>
      <c r="D9181">
        <v>-471.11</v>
      </c>
    </row>
    <row r="9182" spans="1:4" hidden="1" x14ac:dyDescent="0.3">
      <c r="A9182" t="s">
        <v>765</v>
      </c>
      <c r="B9182" t="s">
        <v>101</v>
      </c>
      <c r="C9182" s="1">
        <f>HYPERLINK("https://cao.dolgi.msk.ru/account/1011200264/", 1011200264)</f>
        <v>1011200264</v>
      </c>
      <c r="D9182">
        <v>0</v>
      </c>
    </row>
    <row r="9183" spans="1:4" hidden="1" x14ac:dyDescent="0.3">
      <c r="A9183" t="s">
        <v>765</v>
      </c>
      <c r="B9183" t="s">
        <v>82</v>
      </c>
      <c r="C9183" s="1">
        <f>HYPERLINK("https://cao.dolgi.msk.ru/account/1011199902/", 1011199902)</f>
        <v>1011199902</v>
      </c>
      <c r="D9183">
        <v>-9530.2000000000007</v>
      </c>
    </row>
    <row r="9184" spans="1:4" hidden="1" x14ac:dyDescent="0.3">
      <c r="A9184" t="s">
        <v>765</v>
      </c>
      <c r="B9184" t="s">
        <v>83</v>
      </c>
      <c r="C9184" s="1">
        <f>HYPERLINK("https://cao.dolgi.msk.ru/account/1011200272/", 1011200272)</f>
        <v>1011200272</v>
      </c>
      <c r="D9184">
        <v>-616.01</v>
      </c>
    </row>
    <row r="9185" spans="1:4" hidden="1" x14ac:dyDescent="0.3">
      <c r="A9185" t="s">
        <v>765</v>
      </c>
      <c r="B9185" t="s">
        <v>84</v>
      </c>
      <c r="C9185" s="1">
        <f>HYPERLINK("https://cao.dolgi.msk.ru/account/1011199793/", 1011199793)</f>
        <v>1011199793</v>
      </c>
      <c r="D9185">
        <v>0</v>
      </c>
    </row>
    <row r="9186" spans="1:4" hidden="1" x14ac:dyDescent="0.3">
      <c r="A9186" t="s">
        <v>765</v>
      </c>
      <c r="B9186" t="s">
        <v>85</v>
      </c>
      <c r="C9186" s="1">
        <f>HYPERLINK("https://cao.dolgi.msk.ru/account/1011200299/", 1011200299)</f>
        <v>1011200299</v>
      </c>
      <c r="D9186">
        <v>-260</v>
      </c>
    </row>
    <row r="9187" spans="1:4" hidden="1" x14ac:dyDescent="0.3">
      <c r="A9187" t="s">
        <v>765</v>
      </c>
      <c r="B9187" t="s">
        <v>102</v>
      </c>
      <c r="C9187" s="1">
        <f>HYPERLINK("https://cao.dolgi.msk.ru/account/1011199339/", 1011199339)</f>
        <v>1011199339</v>
      </c>
      <c r="D9187">
        <v>0</v>
      </c>
    </row>
    <row r="9188" spans="1:4" hidden="1" x14ac:dyDescent="0.3">
      <c r="A9188" t="s">
        <v>765</v>
      </c>
      <c r="B9188" t="s">
        <v>103</v>
      </c>
      <c r="C9188" s="1">
        <f>HYPERLINK("https://cao.dolgi.msk.ru/account/1011199072/", 1011199072)</f>
        <v>1011199072</v>
      </c>
      <c r="D9188">
        <v>-50.12</v>
      </c>
    </row>
    <row r="9189" spans="1:4" hidden="1" x14ac:dyDescent="0.3">
      <c r="A9189" t="s">
        <v>765</v>
      </c>
      <c r="B9189" t="s">
        <v>103</v>
      </c>
      <c r="C9189" s="1">
        <f>HYPERLINK("https://cao.dolgi.msk.ru/account/1011199806/", 1011199806)</f>
        <v>1011199806</v>
      </c>
      <c r="D9189">
        <v>-100.24</v>
      </c>
    </row>
    <row r="9190" spans="1:4" hidden="1" x14ac:dyDescent="0.3">
      <c r="A9190" t="s">
        <v>765</v>
      </c>
      <c r="B9190" t="s">
        <v>104</v>
      </c>
      <c r="C9190" s="1">
        <f>HYPERLINK("https://cao.dolgi.msk.ru/account/1011199478/", 1011199478)</f>
        <v>1011199478</v>
      </c>
      <c r="D9190">
        <v>0</v>
      </c>
    </row>
    <row r="9191" spans="1:4" hidden="1" x14ac:dyDescent="0.3">
      <c r="A9191" t="s">
        <v>765</v>
      </c>
      <c r="B9191" t="s">
        <v>106</v>
      </c>
      <c r="C9191" s="1">
        <f>HYPERLINK("https://cao.dolgi.msk.ru/account/1011199099/", 1011199099)</f>
        <v>1011199099</v>
      </c>
      <c r="D9191">
        <v>-9335.89</v>
      </c>
    </row>
    <row r="9192" spans="1:4" hidden="1" x14ac:dyDescent="0.3">
      <c r="A9192" t="s">
        <v>765</v>
      </c>
      <c r="B9192" t="s">
        <v>107</v>
      </c>
      <c r="C9192" s="1">
        <f>HYPERLINK("https://cao.dolgi.msk.ru/account/1011199814/", 1011199814)</f>
        <v>1011199814</v>
      </c>
      <c r="D9192">
        <v>-9691.56</v>
      </c>
    </row>
    <row r="9193" spans="1:4" hidden="1" x14ac:dyDescent="0.3">
      <c r="A9193" t="s">
        <v>765</v>
      </c>
      <c r="B9193" t="s">
        <v>108</v>
      </c>
      <c r="C9193" s="1">
        <f>HYPERLINK("https://cao.dolgi.msk.ru/account/1011199101/", 1011199101)</f>
        <v>1011199101</v>
      </c>
      <c r="D9193">
        <v>0</v>
      </c>
    </row>
    <row r="9194" spans="1:4" x14ac:dyDescent="0.3">
      <c r="A9194" t="s">
        <v>765</v>
      </c>
      <c r="B9194" t="s">
        <v>109</v>
      </c>
      <c r="C9194" s="1">
        <f>HYPERLINK("https://cao.dolgi.msk.ru/account/1011199996/", 1011199996)</f>
        <v>1011199996</v>
      </c>
      <c r="D9194">
        <v>5028.53</v>
      </c>
    </row>
    <row r="9195" spans="1:4" x14ac:dyDescent="0.3">
      <c r="A9195" t="s">
        <v>765</v>
      </c>
      <c r="B9195" t="s">
        <v>109</v>
      </c>
      <c r="C9195" s="1">
        <f>HYPERLINK("https://cao.dolgi.msk.ru/account/1011200379/", 1011200379)</f>
        <v>1011200379</v>
      </c>
      <c r="D9195">
        <v>8306.41</v>
      </c>
    </row>
    <row r="9196" spans="1:4" hidden="1" x14ac:dyDescent="0.3">
      <c r="A9196" t="s">
        <v>765</v>
      </c>
      <c r="B9196" t="s">
        <v>110</v>
      </c>
      <c r="C9196" s="1">
        <f>HYPERLINK("https://cao.dolgi.msk.ru/account/1011199347/", 1011199347)</f>
        <v>1011199347</v>
      </c>
      <c r="D9196">
        <v>0</v>
      </c>
    </row>
    <row r="9197" spans="1:4" x14ac:dyDescent="0.3">
      <c r="A9197" t="s">
        <v>765</v>
      </c>
      <c r="B9197" t="s">
        <v>111</v>
      </c>
      <c r="C9197" s="1">
        <f>HYPERLINK("https://cao.dolgi.msk.ru/account/1011199822/", 1011199822)</f>
        <v>1011199822</v>
      </c>
      <c r="D9197">
        <v>11260.98</v>
      </c>
    </row>
    <row r="9198" spans="1:4" hidden="1" x14ac:dyDescent="0.3">
      <c r="A9198" t="s">
        <v>765</v>
      </c>
      <c r="B9198" t="s">
        <v>112</v>
      </c>
      <c r="C9198" s="1">
        <f>HYPERLINK("https://cao.dolgi.msk.ru/account/1011200061/", 1011200061)</f>
        <v>1011200061</v>
      </c>
      <c r="D9198">
        <v>0</v>
      </c>
    </row>
    <row r="9199" spans="1:4" hidden="1" x14ac:dyDescent="0.3">
      <c r="A9199" t="s">
        <v>765</v>
      </c>
      <c r="B9199" t="s">
        <v>113</v>
      </c>
      <c r="C9199" s="1">
        <f>HYPERLINK("https://cao.dolgi.msk.ru/account/1011199662/", 1011199662)</f>
        <v>1011199662</v>
      </c>
      <c r="D9199">
        <v>-11.3</v>
      </c>
    </row>
    <row r="9200" spans="1:4" hidden="1" x14ac:dyDescent="0.3">
      <c r="A9200" t="s">
        <v>765</v>
      </c>
      <c r="B9200" t="s">
        <v>114</v>
      </c>
      <c r="C9200" s="1">
        <f>HYPERLINK("https://cao.dolgi.msk.ru/account/1011200301/", 1011200301)</f>
        <v>1011200301</v>
      </c>
      <c r="D9200">
        <v>0</v>
      </c>
    </row>
    <row r="9201" spans="1:4" hidden="1" x14ac:dyDescent="0.3">
      <c r="A9201" t="s">
        <v>765</v>
      </c>
      <c r="B9201" t="s">
        <v>115</v>
      </c>
      <c r="C9201" s="1">
        <f>HYPERLINK("https://cao.dolgi.msk.ru/account/1011200088/", 1011200088)</f>
        <v>1011200088</v>
      </c>
      <c r="D9201">
        <v>0</v>
      </c>
    </row>
    <row r="9202" spans="1:4" hidden="1" x14ac:dyDescent="0.3">
      <c r="A9202" t="s">
        <v>765</v>
      </c>
      <c r="B9202" t="s">
        <v>116</v>
      </c>
      <c r="C9202" s="1">
        <f>HYPERLINK("https://cao.dolgi.msk.ru/account/1011199486/", 1011199486)</f>
        <v>1011199486</v>
      </c>
      <c r="D9202">
        <v>-8686.3799999999992</v>
      </c>
    </row>
    <row r="9203" spans="1:4" hidden="1" x14ac:dyDescent="0.3">
      <c r="A9203" t="s">
        <v>765</v>
      </c>
      <c r="B9203" t="s">
        <v>266</v>
      </c>
      <c r="C9203" s="1">
        <f>HYPERLINK("https://cao.dolgi.msk.ru/account/1011200002/", 1011200002)</f>
        <v>1011200002</v>
      </c>
      <c r="D9203">
        <v>0</v>
      </c>
    </row>
    <row r="9204" spans="1:4" hidden="1" x14ac:dyDescent="0.3">
      <c r="A9204" t="s">
        <v>765</v>
      </c>
      <c r="B9204" t="s">
        <v>117</v>
      </c>
      <c r="C9204" s="1">
        <f>HYPERLINK("https://cao.dolgi.msk.ru/account/1011200096/", 1011200096)</f>
        <v>1011200096</v>
      </c>
      <c r="D9204">
        <v>0</v>
      </c>
    </row>
    <row r="9205" spans="1:4" hidden="1" x14ac:dyDescent="0.3">
      <c r="A9205" t="s">
        <v>765</v>
      </c>
      <c r="B9205" t="s">
        <v>118</v>
      </c>
      <c r="C9205" s="1">
        <f>HYPERLINK("https://cao.dolgi.msk.ru/account/1011200328/", 1011200328)</f>
        <v>1011200328</v>
      </c>
      <c r="D9205">
        <v>0</v>
      </c>
    </row>
    <row r="9206" spans="1:4" hidden="1" x14ac:dyDescent="0.3">
      <c r="A9206" t="s">
        <v>765</v>
      </c>
      <c r="B9206" t="s">
        <v>119</v>
      </c>
      <c r="C9206" s="1">
        <f>HYPERLINK("https://cao.dolgi.msk.ru/account/1011199849/", 1011199849)</f>
        <v>1011199849</v>
      </c>
      <c r="D9206">
        <v>0</v>
      </c>
    </row>
    <row r="9207" spans="1:4" hidden="1" x14ac:dyDescent="0.3">
      <c r="A9207" t="s">
        <v>765</v>
      </c>
      <c r="B9207" t="s">
        <v>120</v>
      </c>
      <c r="C9207" s="1">
        <f>HYPERLINK("https://cao.dolgi.msk.ru/account/1011200109/", 1011200109)</f>
        <v>1011200109</v>
      </c>
      <c r="D9207">
        <v>0</v>
      </c>
    </row>
    <row r="9208" spans="1:4" hidden="1" x14ac:dyDescent="0.3">
      <c r="A9208" t="s">
        <v>765</v>
      </c>
      <c r="B9208" t="s">
        <v>121</v>
      </c>
      <c r="C9208" s="1">
        <f>HYPERLINK("https://cao.dolgi.msk.ru/account/1011199689/", 1011199689)</f>
        <v>1011199689</v>
      </c>
      <c r="D9208">
        <v>0</v>
      </c>
    </row>
    <row r="9209" spans="1:4" hidden="1" x14ac:dyDescent="0.3">
      <c r="A9209" t="s">
        <v>765</v>
      </c>
      <c r="B9209" t="s">
        <v>122</v>
      </c>
      <c r="C9209" s="1">
        <f>HYPERLINK("https://cao.dolgi.msk.ru/account/1011199494/", 1011199494)</f>
        <v>1011199494</v>
      </c>
      <c r="D9209">
        <v>0</v>
      </c>
    </row>
    <row r="9210" spans="1:4" hidden="1" x14ac:dyDescent="0.3">
      <c r="A9210" t="s">
        <v>765</v>
      </c>
      <c r="B9210" t="s">
        <v>123</v>
      </c>
      <c r="C9210" s="1">
        <f>HYPERLINK("https://cao.dolgi.msk.ru/account/1011200117/", 1011200117)</f>
        <v>1011200117</v>
      </c>
      <c r="D9210">
        <v>0</v>
      </c>
    </row>
    <row r="9211" spans="1:4" hidden="1" x14ac:dyDescent="0.3">
      <c r="A9211" t="s">
        <v>765</v>
      </c>
      <c r="B9211" t="s">
        <v>124</v>
      </c>
      <c r="C9211" s="1">
        <f>HYPERLINK("https://cao.dolgi.msk.ru/account/1011199873/", 1011199873)</f>
        <v>1011199873</v>
      </c>
      <c r="D9211">
        <v>-119.98</v>
      </c>
    </row>
    <row r="9212" spans="1:4" hidden="1" x14ac:dyDescent="0.3">
      <c r="A9212" t="s">
        <v>765</v>
      </c>
      <c r="B9212" t="s">
        <v>125</v>
      </c>
      <c r="C9212" s="1">
        <f>HYPERLINK("https://cao.dolgi.msk.ru/account/1011200336/", 1011200336)</f>
        <v>1011200336</v>
      </c>
      <c r="D9212">
        <v>-507.29</v>
      </c>
    </row>
    <row r="9213" spans="1:4" x14ac:dyDescent="0.3">
      <c r="A9213" t="s">
        <v>765</v>
      </c>
      <c r="B9213" t="s">
        <v>126</v>
      </c>
      <c r="C9213" s="1">
        <f>HYPERLINK("https://cao.dolgi.msk.ru/account/1011200125/", 1011200125)</f>
        <v>1011200125</v>
      </c>
      <c r="D9213">
        <v>6600.42</v>
      </c>
    </row>
    <row r="9214" spans="1:4" hidden="1" x14ac:dyDescent="0.3">
      <c r="A9214" t="s">
        <v>765</v>
      </c>
      <c r="B9214" t="s">
        <v>127</v>
      </c>
      <c r="C9214" s="1">
        <f>HYPERLINK("https://cao.dolgi.msk.ru/account/1011199355/", 1011199355)</f>
        <v>1011199355</v>
      </c>
      <c r="D9214">
        <v>0</v>
      </c>
    </row>
    <row r="9215" spans="1:4" hidden="1" x14ac:dyDescent="0.3">
      <c r="A9215" t="s">
        <v>765</v>
      </c>
      <c r="B9215" t="s">
        <v>262</v>
      </c>
      <c r="C9215" s="1">
        <f>HYPERLINK("https://cao.dolgi.msk.ru/account/1011513906/", 1011513906)</f>
        <v>1011513906</v>
      </c>
      <c r="D9215">
        <v>0</v>
      </c>
    </row>
    <row r="9216" spans="1:4" hidden="1" x14ac:dyDescent="0.3">
      <c r="A9216" t="s">
        <v>765</v>
      </c>
      <c r="B9216" t="s">
        <v>128</v>
      </c>
      <c r="C9216" s="1">
        <f>HYPERLINK("https://cao.dolgi.msk.ru/account/1011199697/", 1011199697)</f>
        <v>1011199697</v>
      </c>
      <c r="D9216">
        <v>0</v>
      </c>
    </row>
    <row r="9217" spans="1:4" hidden="1" x14ac:dyDescent="0.3">
      <c r="A9217" t="s">
        <v>765</v>
      </c>
      <c r="B9217" t="s">
        <v>129</v>
      </c>
      <c r="C9217" s="1">
        <f>HYPERLINK("https://cao.dolgi.msk.ru/account/1011200344/", 1011200344)</f>
        <v>1011200344</v>
      </c>
      <c r="D9217">
        <v>0</v>
      </c>
    </row>
    <row r="9218" spans="1:4" x14ac:dyDescent="0.3">
      <c r="A9218" t="s">
        <v>765</v>
      </c>
      <c r="B9218" t="s">
        <v>130</v>
      </c>
      <c r="C9218" s="1">
        <f>HYPERLINK("https://cao.dolgi.msk.ru/account/1011199136/", 1011199136)</f>
        <v>1011199136</v>
      </c>
      <c r="D9218">
        <v>2046.91</v>
      </c>
    </row>
    <row r="9219" spans="1:4" x14ac:dyDescent="0.3">
      <c r="A9219" t="s">
        <v>765</v>
      </c>
      <c r="B9219" t="s">
        <v>130</v>
      </c>
      <c r="C9219" s="1">
        <f>HYPERLINK("https://cao.dolgi.msk.ru/account/1011200352/", 1011200352)</f>
        <v>1011200352</v>
      </c>
      <c r="D9219">
        <v>33104.85</v>
      </c>
    </row>
    <row r="9220" spans="1:4" hidden="1" x14ac:dyDescent="0.3">
      <c r="A9220" t="s">
        <v>765</v>
      </c>
      <c r="B9220" t="s">
        <v>131</v>
      </c>
      <c r="C9220" s="1">
        <f>HYPERLINK("https://cao.dolgi.msk.ru/account/1011199857/", 1011199857)</f>
        <v>1011199857</v>
      </c>
      <c r="D9220">
        <v>0</v>
      </c>
    </row>
    <row r="9221" spans="1:4" hidden="1" x14ac:dyDescent="0.3">
      <c r="A9221" t="s">
        <v>765</v>
      </c>
      <c r="B9221" t="s">
        <v>132</v>
      </c>
      <c r="C9221" s="1">
        <f>HYPERLINK("https://cao.dolgi.msk.ru/account/1011199363/", 1011199363)</f>
        <v>1011199363</v>
      </c>
      <c r="D9221">
        <v>0</v>
      </c>
    </row>
    <row r="9222" spans="1:4" hidden="1" x14ac:dyDescent="0.3">
      <c r="A9222" t="s">
        <v>765</v>
      </c>
      <c r="B9222" t="s">
        <v>133</v>
      </c>
      <c r="C9222" s="1">
        <f>HYPERLINK("https://cao.dolgi.msk.ru/account/1011199371/", 1011199371)</f>
        <v>1011199371</v>
      </c>
      <c r="D9222">
        <v>-10875.85</v>
      </c>
    </row>
    <row r="9223" spans="1:4" hidden="1" x14ac:dyDescent="0.3">
      <c r="A9223" t="s">
        <v>766</v>
      </c>
      <c r="B9223" t="s">
        <v>6</v>
      </c>
      <c r="C9223" s="1">
        <f>HYPERLINK("https://cao.dolgi.msk.ru/account/1011476578/", 1011476578)</f>
        <v>1011476578</v>
      </c>
      <c r="D9223">
        <v>0</v>
      </c>
    </row>
    <row r="9224" spans="1:4" hidden="1" x14ac:dyDescent="0.3">
      <c r="A9224" t="s">
        <v>766</v>
      </c>
      <c r="B9224" t="s">
        <v>6</v>
      </c>
      <c r="C9224" s="1">
        <f>HYPERLINK("https://cao.dolgi.msk.ru/account/1011476842/", 1011476842)</f>
        <v>1011476842</v>
      </c>
      <c r="D9224">
        <v>0</v>
      </c>
    </row>
    <row r="9225" spans="1:4" hidden="1" x14ac:dyDescent="0.3">
      <c r="A9225" t="s">
        <v>766</v>
      </c>
      <c r="B9225" t="s">
        <v>6</v>
      </c>
      <c r="C9225" s="1">
        <f>HYPERLINK("https://cao.dolgi.msk.ru/account/1011504073/", 1011504073)</f>
        <v>1011504073</v>
      </c>
      <c r="D9225">
        <v>0</v>
      </c>
    </row>
    <row r="9226" spans="1:4" hidden="1" x14ac:dyDescent="0.3">
      <c r="A9226" t="s">
        <v>766</v>
      </c>
      <c r="B9226" t="s">
        <v>28</v>
      </c>
      <c r="C9226" s="1">
        <f>HYPERLINK("https://cao.dolgi.msk.ru/account/1011476375/", 1011476375)</f>
        <v>1011476375</v>
      </c>
      <c r="D9226">
        <v>0</v>
      </c>
    </row>
    <row r="9227" spans="1:4" x14ac:dyDescent="0.3">
      <c r="A9227" t="s">
        <v>766</v>
      </c>
      <c r="B9227" t="s">
        <v>35</v>
      </c>
      <c r="C9227" s="1">
        <f>HYPERLINK("https://cao.dolgi.msk.ru/account/1011476869/", 1011476869)</f>
        <v>1011476869</v>
      </c>
      <c r="D9227">
        <v>5987.79</v>
      </c>
    </row>
    <row r="9228" spans="1:4" hidden="1" x14ac:dyDescent="0.3">
      <c r="A9228" t="s">
        <v>766</v>
      </c>
      <c r="B9228" t="s">
        <v>5</v>
      </c>
      <c r="C9228" s="1">
        <f>HYPERLINK("https://cao.dolgi.msk.ru/account/1011476383/", 1011476383)</f>
        <v>1011476383</v>
      </c>
      <c r="D9228">
        <v>-4826.2</v>
      </c>
    </row>
    <row r="9229" spans="1:4" hidden="1" x14ac:dyDescent="0.3">
      <c r="A9229" t="s">
        <v>766</v>
      </c>
      <c r="B9229" t="s">
        <v>5</v>
      </c>
      <c r="C9229" s="1">
        <f>HYPERLINK("https://cao.dolgi.msk.ru/account/1011476877/", 1011476877)</f>
        <v>1011476877</v>
      </c>
      <c r="D9229">
        <v>0</v>
      </c>
    </row>
    <row r="9230" spans="1:4" x14ac:dyDescent="0.3">
      <c r="A9230" t="s">
        <v>766</v>
      </c>
      <c r="B9230" t="s">
        <v>7</v>
      </c>
      <c r="C9230" s="1">
        <f>HYPERLINK("https://cao.dolgi.msk.ru/account/1011476471/", 1011476471)</f>
        <v>1011476471</v>
      </c>
      <c r="D9230">
        <v>67747.03</v>
      </c>
    </row>
    <row r="9231" spans="1:4" hidden="1" x14ac:dyDescent="0.3">
      <c r="A9231" t="s">
        <v>766</v>
      </c>
      <c r="B9231" t="s">
        <v>8</v>
      </c>
      <c r="C9231" s="1">
        <f>HYPERLINK("https://cao.dolgi.msk.ru/account/1011476674/", 1011476674)</f>
        <v>1011476674</v>
      </c>
      <c r="D9231">
        <v>0</v>
      </c>
    </row>
    <row r="9232" spans="1:4" hidden="1" x14ac:dyDescent="0.3">
      <c r="A9232" t="s">
        <v>766</v>
      </c>
      <c r="B9232" t="s">
        <v>31</v>
      </c>
      <c r="C9232" s="1">
        <f>HYPERLINK("https://cao.dolgi.msk.ru/account/1011476682/", 1011476682)</f>
        <v>1011476682</v>
      </c>
      <c r="D9232">
        <v>0</v>
      </c>
    </row>
    <row r="9233" spans="1:4" hidden="1" x14ac:dyDescent="0.3">
      <c r="A9233" t="s">
        <v>766</v>
      </c>
      <c r="B9233" t="s">
        <v>9</v>
      </c>
      <c r="C9233" s="1">
        <f>HYPERLINK("https://cao.dolgi.msk.ru/account/1011476498/", 1011476498)</f>
        <v>1011476498</v>
      </c>
      <c r="D9233">
        <v>0</v>
      </c>
    </row>
    <row r="9234" spans="1:4" hidden="1" x14ac:dyDescent="0.3">
      <c r="A9234" t="s">
        <v>766</v>
      </c>
      <c r="B9234" t="s">
        <v>10</v>
      </c>
      <c r="C9234" s="1">
        <f>HYPERLINK("https://cao.dolgi.msk.ru/account/1011476586/", 1011476586)</f>
        <v>1011476586</v>
      </c>
      <c r="D9234">
        <v>-2647.19</v>
      </c>
    </row>
    <row r="9235" spans="1:4" hidden="1" x14ac:dyDescent="0.3">
      <c r="A9235" t="s">
        <v>766</v>
      </c>
      <c r="B9235" t="s">
        <v>11</v>
      </c>
      <c r="C9235" s="1">
        <f>HYPERLINK("https://cao.dolgi.msk.ru/account/1011476594/", 1011476594)</f>
        <v>1011476594</v>
      </c>
      <c r="D9235">
        <v>0</v>
      </c>
    </row>
    <row r="9236" spans="1:4" hidden="1" x14ac:dyDescent="0.3">
      <c r="A9236" t="s">
        <v>766</v>
      </c>
      <c r="B9236" t="s">
        <v>12</v>
      </c>
      <c r="C9236" s="1">
        <f>HYPERLINK("https://cao.dolgi.msk.ru/account/1011476391/", 1011476391)</f>
        <v>1011476391</v>
      </c>
      <c r="D9236">
        <v>0</v>
      </c>
    </row>
    <row r="9237" spans="1:4" hidden="1" x14ac:dyDescent="0.3">
      <c r="A9237" t="s">
        <v>766</v>
      </c>
      <c r="B9237" t="s">
        <v>23</v>
      </c>
      <c r="C9237" s="1">
        <f>HYPERLINK("https://cao.dolgi.msk.ru/account/1011476607/", 1011476607)</f>
        <v>1011476607</v>
      </c>
      <c r="D9237">
        <v>0</v>
      </c>
    </row>
    <row r="9238" spans="1:4" hidden="1" x14ac:dyDescent="0.3">
      <c r="A9238" t="s">
        <v>766</v>
      </c>
      <c r="B9238" t="s">
        <v>13</v>
      </c>
      <c r="C9238" s="1">
        <f>HYPERLINK("https://cao.dolgi.msk.ru/account/1011476703/", 1011476703)</f>
        <v>1011476703</v>
      </c>
      <c r="D9238">
        <v>-55120.75</v>
      </c>
    </row>
    <row r="9239" spans="1:4" hidden="1" x14ac:dyDescent="0.3">
      <c r="A9239" t="s">
        <v>766</v>
      </c>
      <c r="B9239" t="s">
        <v>14</v>
      </c>
      <c r="C9239" s="1">
        <f>HYPERLINK("https://cao.dolgi.msk.ru/account/1011476615/", 1011476615)</f>
        <v>1011476615</v>
      </c>
      <c r="D9239">
        <v>0</v>
      </c>
    </row>
    <row r="9240" spans="1:4" hidden="1" x14ac:dyDescent="0.3">
      <c r="A9240" t="s">
        <v>766</v>
      </c>
      <c r="B9240" t="s">
        <v>16</v>
      </c>
      <c r="C9240" s="1">
        <f>HYPERLINK("https://cao.dolgi.msk.ru/account/1011476623/", 1011476623)</f>
        <v>1011476623</v>
      </c>
      <c r="D9240">
        <v>0</v>
      </c>
    </row>
    <row r="9241" spans="1:4" hidden="1" x14ac:dyDescent="0.3">
      <c r="A9241" t="s">
        <v>766</v>
      </c>
      <c r="B9241" t="s">
        <v>17</v>
      </c>
      <c r="C9241" s="1">
        <f>HYPERLINK("https://cao.dolgi.msk.ru/account/1011476519/", 1011476519)</f>
        <v>1011476519</v>
      </c>
      <c r="D9241">
        <v>-13237.46</v>
      </c>
    </row>
    <row r="9242" spans="1:4" hidden="1" x14ac:dyDescent="0.3">
      <c r="A9242" t="s">
        <v>766</v>
      </c>
      <c r="B9242" t="s">
        <v>18</v>
      </c>
      <c r="C9242" s="1">
        <f>HYPERLINK("https://cao.dolgi.msk.ru/account/1011476308/", 1011476308)</f>
        <v>1011476308</v>
      </c>
      <c r="D9242">
        <v>0</v>
      </c>
    </row>
    <row r="9243" spans="1:4" hidden="1" x14ac:dyDescent="0.3">
      <c r="A9243" t="s">
        <v>766</v>
      </c>
      <c r="B9243" t="s">
        <v>19</v>
      </c>
      <c r="C9243" s="1">
        <f>HYPERLINK("https://cao.dolgi.msk.ru/account/1011476527/", 1011476527)</f>
        <v>1011476527</v>
      </c>
      <c r="D9243">
        <v>0</v>
      </c>
    </row>
    <row r="9244" spans="1:4" hidden="1" x14ac:dyDescent="0.3">
      <c r="A9244" t="s">
        <v>766</v>
      </c>
      <c r="B9244" t="s">
        <v>20</v>
      </c>
      <c r="C9244" s="1">
        <f>HYPERLINK("https://cao.dolgi.msk.ru/account/1011476404/", 1011476404)</f>
        <v>1011476404</v>
      </c>
      <c r="D9244">
        <v>0</v>
      </c>
    </row>
    <row r="9245" spans="1:4" hidden="1" x14ac:dyDescent="0.3">
      <c r="A9245" t="s">
        <v>766</v>
      </c>
      <c r="B9245" t="s">
        <v>21</v>
      </c>
      <c r="C9245" s="1">
        <f>HYPERLINK("https://cao.dolgi.msk.ru/account/1011476412/", 1011476412)</f>
        <v>1011476412</v>
      </c>
      <c r="D9245">
        <v>-13269.19</v>
      </c>
    </row>
    <row r="9246" spans="1:4" hidden="1" x14ac:dyDescent="0.3">
      <c r="A9246" t="s">
        <v>766</v>
      </c>
      <c r="B9246" t="s">
        <v>22</v>
      </c>
      <c r="C9246" s="1">
        <f>HYPERLINK("https://cao.dolgi.msk.ru/account/1011476631/", 1011476631)</f>
        <v>1011476631</v>
      </c>
      <c r="D9246">
        <v>0</v>
      </c>
    </row>
    <row r="9247" spans="1:4" hidden="1" x14ac:dyDescent="0.3">
      <c r="A9247" t="s">
        <v>766</v>
      </c>
      <c r="B9247" t="s">
        <v>24</v>
      </c>
      <c r="C9247" s="1">
        <f>HYPERLINK("https://cao.dolgi.msk.ru/account/1011476439/", 1011476439)</f>
        <v>1011476439</v>
      </c>
      <c r="D9247">
        <v>-8289.42</v>
      </c>
    </row>
    <row r="9248" spans="1:4" hidden="1" x14ac:dyDescent="0.3">
      <c r="A9248" t="s">
        <v>766</v>
      </c>
      <c r="B9248" t="s">
        <v>25</v>
      </c>
      <c r="C9248" s="1">
        <f>HYPERLINK("https://cao.dolgi.msk.ru/account/1011476762/", 1011476762)</f>
        <v>1011476762</v>
      </c>
      <c r="D9248">
        <v>-6084.83</v>
      </c>
    </row>
    <row r="9249" spans="1:4" hidden="1" x14ac:dyDescent="0.3">
      <c r="A9249" t="s">
        <v>766</v>
      </c>
      <c r="B9249" t="s">
        <v>26</v>
      </c>
      <c r="C9249" s="1">
        <f>HYPERLINK("https://cao.dolgi.msk.ru/account/1011476711/", 1011476711)</f>
        <v>1011476711</v>
      </c>
      <c r="D9249">
        <v>0</v>
      </c>
    </row>
    <row r="9250" spans="1:4" hidden="1" x14ac:dyDescent="0.3">
      <c r="A9250" t="s">
        <v>766</v>
      </c>
      <c r="B9250" t="s">
        <v>27</v>
      </c>
      <c r="C9250" s="1">
        <f>HYPERLINK("https://cao.dolgi.msk.ru/account/1011476316/", 1011476316)</f>
        <v>1011476316</v>
      </c>
      <c r="D9250">
        <v>0</v>
      </c>
    </row>
    <row r="9251" spans="1:4" x14ac:dyDescent="0.3">
      <c r="A9251" t="s">
        <v>766</v>
      </c>
      <c r="B9251" t="s">
        <v>29</v>
      </c>
      <c r="C9251" s="1">
        <f>HYPERLINK("https://cao.dolgi.msk.ru/account/1011476324/", 1011476324)</f>
        <v>1011476324</v>
      </c>
      <c r="D9251">
        <v>2832.86</v>
      </c>
    </row>
    <row r="9252" spans="1:4" hidden="1" x14ac:dyDescent="0.3">
      <c r="A9252" t="s">
        <v>766</v>
      </c>
      <c r="B9252" t="s">
        <v>38</v>
      </c>
      <c r="C9252" s="1">
        <f>HYPERLINK("https://cao.dolgi.msk.ru/account/1011476447/", 1011476447)</f>
        <v>1011476447</v>
      </c>
      <c r="D9252">
        <v>-7544.61</v>
      </c>
    </row>
    <row r="9253" spans="1:4" hidden="1" x14ac:dyDescent="0.3">
      <c r="A9253" t="s">
        <v>766</v>
      </c>
      <c r="B9253" t="s">
        <v>39</v>
      </c>
      <c r="C9253" s="1">
        <f>HYPERLINK("https://cao.dolgi.msk.ru/account/1011476885/", 1011476885)</f>
        <v>1011476885</v>
      </c>
      <c r="D9253">
        <v>-33407.269999999997</v>
      </c>
    </row>
    <row r="9254" spans="1:4" hidden="1" x14ac:dyDescent="0.3">
      <c r="A9254" t="s">
        <v>766</v>
      </c>
      <c r="B9254" t="s">
        <v>40</v>
      </c>
      <c r="C9254" s="1">
        <f>HYPERLINK("https://cao.dolgi.msk.ru/account/1011476738/", 1011476738)</f>
        <v>1011476738</v>
      </c>
      <c r="D9254">
        <v>0</v>
      </c>
    </row>
    <row r="9255" spans="1:4" hidden="1" x14ac:dyDescent="0.3">
      <c r="A9255" t="s">
        <v>766</v>
      </c>
      <c r="B9255" t="s">
        <v>41</v>
      </c>
      <c r="C9255" s="1">
        <f>HYPERLINK("https://cao.dolgi.msk.ru/account/1011476332/", 1011476332)</f>
        <v>1011476332</v>
      </c>
      <c r="D9255">
        <v>0</v>
      </c>
    </row>
    <row r="9256" spans="1:4" hidden="1" x14ac:dyDescent="0.3">
      <c r="A9256" t="s">
        <v>766</v>
      </c>
      <c r="B9256" t="s">
        <v>51</v>
      </c>
      <c r="C9256" s="1">
        <f>HYPERLINK("https://cao.dolgi.msk.ru/account/1011476535/", 1011476535)</f>
        <v>1011476535</v>
      </c>
      <c r="D9256">
        <v>0</v>
      </c>
    </row>
    <row r="9257" spans="1:4" hidden="1" x14ac:dyDescent="0.3">
      <c r="A9257" t="s">
        <v>766</v>
      </c>
      <c r="B9257" t="s">
        <v>52</v>
      </c>
      <c r="C9257" s="1">
        <f>HYPERLINK("https://cao.dolgi.msk.ru/account/1011476658/", 1011476658)</f>
        <v>1011476658</v>
      </c>
      <c r="D9257">
        <v>0</v>
      </c>
    </row>
    <row r="9258" spans="1:4" hidden="1" x14ac:dyDescent="0.3">
      <c r="A9258" t="s">
        <v>766</v>
      </c>
      <c r="B9258" t="s">
        <v>53</v>
      </c>
      <c r="C9258" s="1">
        <f>HYPERLINK("https://cao.dolgi.msk.ru/account/1011476893/", 1011476893)</f>
        <v>1011476893</v>
      </c>
      <c r="D9258">
        <v>0</v>
      </c>
    </row>
    <row r="9259" spans="1:4" x14ac:dyDescent="0.3">
      <c r="A9259" t="s">
        <v>766</v>
      </c>
      <c r="B9259" t="s">
        <v>54</v>
      </c>
      <c r="C9259" s="1">
        <f>HYPERLINK("https://cao.dolgi.msk.ru/account/1011476666/", 1011476666)</f>
        <v>1011476666</v>
      </c>
      <c r="D9259">
        <v>13531.09</v>
      </c>
    </row>
    <row r="9260" spans="1:4" hidden="1" x14ac:dyDescent="0.3">
      <c r="A9260" t="s">
        <v>766</v>
      </c>
      <c r="B9260" t="s">
        <v>55</v>
      </c>
      <c r="C9260" s="1">
        <f>HYPERLINK("https://cao.dolgi.msk.ru/account/1011476359/", 1011476359)</f>
        <v>1011476359</v>
      </c>
      <c r="D9260">
        <v>0</v>
      </c>
    </row>
    <row r="9261" spans="1:4" x14ac:dyDescent="0.3">
      <c r="A9261" t="s">
        <v>766</v>
      </c>
      <c r="B9261" t="s">
        <v>56</v>
      </c>
      <c r="C9261" s="1">
        <f>HYPERLINK("https://cao.dolgi.msk.ru/account/1011476543/", 1011476543)</f>
        <v>1011476543</v>
      </c>
      <c r="D9261">
        <v>7215.99</v>
      </c>
    </row>
    <row r="9262" spans="1:4" hidden="1" x14ac:dyDescent="0.3">
      <c r="A9262" t="s">
        <v>766</v>
      </c>
      <c r="B9262" t="s">
        <v>87</v>
      </c>
      <c r="C9262" s="1">
        <f>HYPERLINK("https://cao.dolgi.msk.ru/account/1011476789/", 1011476789)</f>
        <v>1011476789</v>
      </c>
      <c r="D9262">
        <v>0</v>
      </c>
    </row>
    <row r="9263" spans="1:4" hidden="1" x14ac:dyDescent="0.3">
      <c r="A9263" t="s">
        <v>766</v>
      </c>
      <c r="B9263" t="s">
        <v>88</v>
      </c>
      <c r="C9263" s="1">
        <f>HYPERLINK("https://cao.dolgi.msk.ru/account/1011476797/", 1011476797)</f>
        <v>1011476797</v>
      </c>
      <c r="D9263">
        <v>0</v>
      </c>
    </row>
    <row r="9264" spans="1:4" hidden="1" x14ac:dyDescent="0.3">
      <c r="A9264" t="s">
        <v>766</v>
      </c>
      <c r="B9264" t="s">
        <v>89</v>
      </c>
      <c r="C9264" s="1">
        <f>HYPERLINK("https://cao.dolgi.msk.ru/account/1011476455/", 1011476455)</f>
        <v>1011476455</v>
      </c>
      <c r="D9264">
        <v>-40.31</v>
      </c>
    </row>
    <row r="9265" spans="1:4" hidden="1" x14ac:dyDescent="0.3">
      <c r="A9265" t="s">
        <v>766</v>
      </c>
      <c r="B9265" t="s">
        <v>90</v>
      </c>
      <c r="C9265" s="1">
        <f>HYPERLINK("https://cao.dolgi.msk.ru/account/1011476818/", 1011476818)</f>
        <v>1011476818</v>
      </c>
      <c r="D9265">
        <v>0</v>
      </c>
    </row>
    <row r="9266" spans="1:4" x14ac:dyDescent="0.3">
      <c r="A9266" t="s">
        <v>766</v>
      </c>
      <c r="B9266" t="s">
        <v>96</v>
      </c>
      <c r="C9266" s="1">
        <f>HYPERLINK("https://cao.dolgi.msk.ru/account/1011476367/", 1011476367)</f>
        <v>1011476367</v>
      </c>
      <c r="D9266">
        <v>10301.620000000001</v>
      </c>
    </row>
    <row r="9267" spans="1:4" hidden="1" x14ac:dyDescent="0.3">
      <c r="A9267" t="s">
        <v>766</v>
      </c>
      <c r="B9267" t="s">
        <v>97</v>
      </c>
      <c r="C9267" s="1">
        <f>HYPERLINK("https://cao.dolgi.msk.ru/account/1011476746/", 1011476746)</f>
        <v>1011476746</v>
      </c>
      <c r="D9267">
        <v>0</v>
      </c>
    </row>
    <row r="9268" spans="1:4" x14ac:dyDescent="0.3">
      <c r="A9268" t="s">
        <v>766</v>
      </c>
      <c r="B9268" t="s">
        <v>98</v>
      </c>
      <c r="C9268" s="1">
        <f>HYPERLINK("https://cao.dolgi.msk.ru/account/1011476754/", 1011476754)</f>
        <v>1011476754</v>
      </c>
      <c r="D9268">
        <v>361052.17</v>
      </c>
    </row>
    <row r="9269" spans="1:4" hidden="1" x14ac:dyDescent="0.3">
      <c r="A9269" t="s">
        <v>766</v>
      </c>
      <c r="B9269" t="s">
        <v>58</v>
      </c>
      <c r="C9269" s="1">
        <f>HYPERLINK("https://cao.dolgi.msk.ru/account/1011476463/", 1011476463)</f>
        <v>1011476463</v>
      </c>
      <c r="D9269">
        <v>-280.81</v>
      </c>
    </row>
    <row r="9270" spans="1:4" hidden="1" x14ac:dyDescent="0.3">
      <c r="A9270" t="s">
        <v>766</v>
      </c>
      <c r="B9270" t="s">
        <v>59</v>
      </c>
      <c r="C9270" s="1">
        <f>HYPERLINK("https://cao.dolgi.msk.ru/account/1011476826/", 1011476826)</f>
        <v>1011476826</v>
      </c>
      <c r="D9270">
        <v>-10619.19</v>
      </c>
    </row>
    <row r="9271" spans="1:4" hidden="1" x14ac:dyDescent="0.3">
      <c r="A9271" t="s">
        <v>766</v>
      </c>
      <c r="B9271" t="s">
        <v>60</v>
      </c>
      <c r="C9271" s="1">
        <f>HYPERLINK("https://cao.dolgi.msk.ru/account/1011476834/", 1011476834)</f>
        <v>1011476834</v>
      </c>
      <c r="D9271">
        <v>-7848.89</v>
      </c>
    </row>
    <row r="9272" spans="1:4" hidden="1" x14ac:dyDescent="0.3">
      <c r="A9272" t="s">
        <v>766</v>
      </c>
      <c r="B9272" t="s">
        <v>61</v>
      </c>
      <c r="C9272" s="1">
        <f>HYPERLINK("https://cao.dolgi.msk.ru/account/1011476551/", 1011476551)</f>
        <v>1011476551</v>
      </c>
      <c r="D9272">
        <v>-4455.76</v>
      </c>
    </row>
    <row r="9273" spans="1:4" hidden="1" x14ac:dyDescent="0.3">
      <c r="A9273" t="s">
        <v>766</v>
      </c>
      <c r="B9273" t="s">
        <v>62</v>
      </c>
      <c r="C9273" s="1">
        <f>HYPERLINK("https://cao.dolgi.msk.ru/account/1011476906/", 1011476906)</f>
        <v>1011476906</v>
      </c>
      <c r="D9273">
        <v>0</v>
      </c>
    </row>
    <row r="9274" spans="1:4" hidden="1" x14ac:dyDescent="0.3">
      <c r="A9274" t="s">
        <v>767</v>
      </c>
      <c r="B9274" t="s">
        <v>63</v>
      </c>
      <c r="C9274" s="1">
        <f>HYPERLINK("https://cao.dolgi.msk.ru/account/1011403731/", 1011403731)</f>
        <v>1011403731</v>
      </c>
      <c r="D9274">
        <v>-12329.28</v>
      </c>
    </row>
    <row r="9275" spans="1:4" x14ac:dyDescent="0.3">
      <c r="A9275" t="s">
        <v>767</v>
      </c>
      <c r="B9275" t="s">
        <v>64</v>
      </c>
      <c r="C9275" s="1">
        <f>HYPERLINK("https://cao.dolgi.msk.ru/account/1011403862/", 1011403862)</f>
        <v>1011403862</v>
      </c>
      <c r="D9275">
        <v>5293.2</v>
      </c>
    </row>
    <row r="9276" spans="1:4" hidden="1" x14ac:dyDescent="0.3">
      <c r="A9276" t="s">
        <v>767</v>
      </c>
      <c r="B9276" t="s">
        <v>65</v>
      </c>
      <c r="C9276" s="1">
        <f>HYPERLINK("https://cao.dolgi.msk.ru/account/1011403811/", 1011403811)</f>
        <v>1011403811</v>
      </c>
      <c r="D9276">
        <v>0</v>
      </c>
    </row>
    <row r="9277" spans="1:4" hidden="1" x14ac:dyDescent="0.3">
      <c r="A9277" t="s">
        <v>767</v>
      </c>
      <c r="B9277" t="s">
        <v>66</v>
      </c>
      <c r="C9277" s="1">
        <f>HYPERLINK("https://cao.dolgi.msk.ru/account/1011403352/", 1011403352)</f>
        <v>1011403352</v>
      </c>
      <c r="D9277">
        <v>0</v>
      </c>
    </row>
    <row r="9278" spans="1:4" hidden="1" x14ac:dyDescent="0.3">
      <c r="A9278" t="s">
        <v>767</v>
      </c>
      <c r="B9278" t="s">
        <v>67</v>
      </c>
      <c r="C9278" s="1">
        <f>HYPERLINK("https://cao.dolgi.msk.ru/account/1011403563/", 1011403563)</f>
        <v>1011403563</v>
      </c>
      <c r="D9278">
        <v>0</v>
      </c>
    </row>
    <row r="9279" spans="1:4" hidden="1" x14ac:dyDescent="0.3">
      <c r="A9279" t="s">
        <v>767</v>
      </c>
      <c r="B9279" t="s">
        <v>68</v>
      </c>
      <c r="C9279" s="1">
        <f>HYPERLINK("https://cao.dolgi.msk.ru/account/1011403424/", 1011403424)</f>
        <v>1011403424</v>
      </c>
      <c r="D9279">
        <v>-1082.5</v>
      </c>
    </row>
    <row r="9280" spans="1:4" hidden="1" x14ac:dyDescent="0.3">
      <c r="A9280" t="s">
        <v>767</v>
      </c>
      <c r="B9280" t="s">
        <v>68</v>
      </c>
      <c r="C9280" s="1">
        <f>HYPERLINK("https://cao.dolgi.msk.ru/account/1011403969/", 1011403969)</f>
        <v>1011403969</v>
      </c>
      <c r="D9280">
        <v>-4330.0600000000004</v>
      </c>
    </row>
    <row r="9281" spans="1:4" hidden="1" x14ac:dyDescent="0.3">
      <c r="A9281" t="s">
        <v>767</v>
      </c>
      <c r="B9281" t="s">
        <v>69</v>
      </c>
      <c r="C9281" s="1">
        <f>HYPERLINK("https://cao.dolgi.msk.ru/account/1011403619/", 1011403619)</f>
        <v>1011403619</v>
      </c>
      <c r="D9281">
        <v>0</v>
      </c>
    </row>
    <row r="9282" spans="1:4" hidden="1" x14ac:dyDescent="0.3">
      <c r="A9282" t="s">
        <v>767</v>
      </c>
      <c r="B9282" t="s">
        <v>69</v>
      </c>
      <c r="C9282" s="1">
        <f>HYPERLINK("https://cao.dolgi.msk.ru/account/1011403889/", 1011403889)</f>
        <v>1011403889</v>
      </c>
      <c r="D9282">
        <v>0</v>
      </c>
    </row>
    <row r="9283" spans="1:4" hidden="1" x14ac:dyDescent="0.3">
      <c r="A9283" t="s">
        <v>767</v>
      </c>
      <c r="B9283" t="s">
        <v>70</v>
      </c>
      <c r="C9283" s="1">
        <f>HYPERLINK("https://cao.dolgi.msk.ru/account/1011403782/", 1011403782)</f>
        <v>1011403782</v>
      </c>
      <c r="D9283">
        <v>0</v>
      </c>
    </row>
    <row r="9284" spans="1:4" hidden="1" x14ac:dyDescent="0.3">
      <c r="A9284" t="s">
        <v>767</v>
      </c>
      <c r="B9284" t="s">
        <v>259</v>
      </c>
      <c r="C9284" s="1">
        <f>HYPERLINK("https://cao.dolgi.msk.ru/account/1011403459/", 1011403459)</f>
        <v>1011403459</v>
      </c>
      <c r="D9284">
        <v>-60.18</v>
      </c>
    </row>
    <row r="9285" spans="1:4" hidden="1" x14ac:dyDescent="0.3">
      <c r="A9285" t="s">
        <v>767</v>
      </c>
      <c r="B9285" t="s">
        <v>100</v>
      </c>
      <c r="C9285" s="1">
        <f>HYPERLINK("https://cao.dolgi.msk.ru/account/1011403854/", 1011403854)</f>
        <v>1011403854</v>
      </c>
      <c r="D9285">
        <v>0</v>
      </c>
    </row>
    <row r="9286" spans="1:4" hidden="1" x14ac:dyDescent="0.3">
      <c r="A9286" t="s">
        <v>767</v>
      </c>
      <c r="B9286" t="s">
        <v>72</v>
      </c>
      <c r="C9286" s="1">
        <f>HYPERLINK("https://cao.dolgi.msk.ru/account/1011403651/", 1011403651)</f>
        <v>1011403651</v>
      </c>
      <c r="D9286">
        <v>0</v>
      </c>
    </row>
    <row r="9287" spans="1:4" hidden="1" x14ac:dyDescent="0.3">
      <c r="A9287" t="s">
        <v>767</v>
      </c>
      <c r="B9287" t="s">
        <v>73</v>
      </c>
      <c r="C9287" s="1">
        <f>HYPERLINK("https://cao.dolgi.msk.ru/account/1011403643/", 1011403643)</f>
        <v>1011403643</v>
      </c>
      <c r="D9287">
        <v>0</v>
      </c>
    </row>
    <row r="9288" spans="1:4" hidden="1" x14ac:dyDescent="0.3">
      <c r="A9288" t="s">
        <v>767</v>
      </c>
      <c r="B9288" t="s">
        <v>74</v>
      </c>
      <c r="C9288" s="1">
        <f>HYPERLINK("https://cao.dolgi.msk.ru/account/1011403758/", 1011403758)</f>
        <v>1011403758</v>
      </c>
      <c r="D9288">
        <v>0</v>
      </c>
    </row>
    <row r="9289" spans="1:4" hidden="1" x14ac:dyDescent="0.3">
      <c r="A9289" t="s">
        <v>767</v>
      </c>
      <c r="B9289" t="s">
        <v>75</v>
      </c>
      <c r="C9289" s="1">
        <f>HYPERLINK("https://cao.dolgi.msk.ru/account/1011403934/", 1011403934)</f>
        <v>1011403934</v>
      </c>
      <c r="D9289">
        <v>0</v>
      </c>
    </row>
    <row r="9290" spans="1:4" hidden="1" x14ac:dyDescent="0.3">
      <c r="A9290" t="s">
        <v>767</v>
      </c>
      <c r="B9290" t="s">
        <v>76</v>
      </c>
      <c r="C9290" s="1">
        <f>HYPERLINK("https://cao.dolgi.msk.ru/account/1011403627/", 1011403627)</f>
        <v>1011403627</v>
      </c>
      <c r="D9290">
        <v>0</v>
      </c>
    </row>
    <row r="9291" spans="1:4" x14ac:dyDescent="0.3">
      <c r="A9291" t="s">
        <v>767</v>
      </c>
      <c r="B9291" t="s">
        <v>77</v>
      </c>
      <c r="C9291" s="1">
        <f>HYPERLINK("https://cao.dolgi.msk.ru/account/1011510457/", 1011510457)</f>
        <v>1011510457</v>
      </c>
      <c r="D9291">
        <v>11027.07</v>
      </c>
    </row>
    <row r="9292" spans="1:4" hidden="1" x14ac:dyDescent="0.3">
      <c r="A9292" t="s">
        <v>767</v>
      </c>
      <c r="B9292" t="s">
        <v>78</v>
      </c>
      <c r="C9292" s="1">
        <f>HYPERLINK("https://cao.dolgi.msk.ru/account/1011403539/", 1011403539)</f>
        <v>1011403539</v>
      </c>
      <c r="D9292">
        <v>0</v>
      </c>
    </row>
    <row r="9293" spans="1:4" x14ac:dyDescent="0.3">
      <c r="A9293" t="s">
        <v>767</v>
      </c>
      <c r="B9293" t="s">
        <v>79</v>
      </c>
      <c r="C9293" s="1">
        <f>HYPERLINK("https://cao.dolgi.msk.ru/account/1011403467/", 1011403467)</f>
        <v>1011403467</v>
      </c>
      <c r="D9293">
        <v>36035.26</v>
      </c>
    </row>
    <row r="9294" spans="1:4" hidden="1" x14ac:dyDescent="0.3">
      <c r="A9294" t="s">
        <v>767</v>
      </c>
      <c r="B9294" t="s">
        <v>80</v>
      </c>
      <c r="C9294" s="1">
        <f>HYPERLINK("https://cao.dolgi.msk.ru/account/1011403512/", 1011403512)</f>
        <v>1011403512</v>
      </c>
      <c r="D9294">
        <v>0</v>
      </c>
    </row>
    <row r="9295" spans="1:4" hidden="1" x14ac:dyDescent="0.3">
      <c r="A9295" t="s">
        <v>767</v>
      </c>
      <c r="B9295" t="s">
        <v>81</v>
      </c>
      <c r="C9295" s="1">
        <f>HYPERLINK("https://cao.dolgi.msk.ru/account/1011403432/", 1011403432)</f>
        <v>1011403432</v>
      </c>
      <c r="D9295">
        <v>0</v>
      </c>
    </row>
    <row r="9296" spans="1:4" hidden="1" x14ac:dyDescent="0.3">
      <c r="A9296" t="s">
        <v>767</v>
      </c>
      <c r="B9296" t="s">
        <v>101</v>
      </c>
      <c r="C9296" s="1">
        <f>HYPERLINK("https://cao.dolgi.msk.ru/account/1011403483/", 1011403483)</f>
        <v>1011403483</v>
      </c>
      <c r="D9296">
        <v>0</v>
      </c>
    </row>
    <row r="9297" spans="1:4" hidden="1" x14ac:dyDescent="0.3">
      <c r="A9297" t="s">
        <v>767</v>
      </c>
      <c r="B9297" t="s">
        <v>82</v>
      </c>
      <c r="C9297" s="1">
        <f>HYPERLINK("https://cao.dolgi.msk.ru/account/1011403571/", 1011403571)</f>
        <v>1011403571</v>
      </c>
      <c r="D9297">
        <v>0</v>
      </c>
    </row>
    <row r="9298" spans="1:4" hidden="1" x14ac:dyDescent="0.3">
      <c r="A9298" t="s">
        <v>767</v>
      </c>
      <c r="B9298" t="s">
        <v>83</v>
      </c>
      <c r="C9298" s="1">
        <f>HYPERLINK("https://cao.dolgi.msk.ru/account/1011403838/", 1011403838)</f>
        <v>1011403838</v>
      </c>
      <c r="D9298">
        <v>0</v>
      </c>
    </row>
    <row r="9299" spans="1:4" hidden="1" x14ac:dyDescent="0.3">
      <c r="A9299" t="s">
        <v>767</v>
      </c>
      <c r="B9299" t="s">
        <v>84</v>
      </c>
      <c r="C9299" s="1">
        <f>HYPERLINK("https://cao.dolgi.msk.ru/account/1011403918/", 1011403918)</f>
        <v>1011403918</v>
      </c>
      <c r="D9299">
        <v>0</v>
      </c>
    </row>
    <row r="9300" spans="1:4" x14ac:dyDescent="0.3">
      <c r="A9300" t="s">
        <v>767</v>
      </c>
      <c r="B9300" t="s">
        <v>85</v>
      </c>
      <c r="C9300" s="1">
        <f>HYPERLINK("https://cao.dolgi.msk.ru/account/1011403635/", 1011403635)</f>
        <v>1011403635</v>
      </c>
      <c r="D9300">
        <v>83302.44</v>
      </c>
    </row>
    <row r="9301" spans="1:4" x14ac:dyDescent="0.3">
      <c r="A9301" t="s">
        <v>767</v>
      </c>
      <c r="B9301" t="s">
        <v>85</v>
      </c>
      <c r="C9301" s="1">
        <f>HYPERLINK("https://cao.dolgi.msk.ru/account/1011403694/", 1011403694)</f>
        <v>1011403694</v>
      </c>
      <c r="D9301">
        <v>9807.4599999999991</v>
      </c>
    </row>
    <row r="9302" spans="1:4" x14ac:dyDescent="0.3">
      <c r="A9302" t="s">
        <v>767</v>
      </c>
      <c r="B9302" t="s">
        <v>85</v>
      </c>
      <c r="C9302" s="1">
        <f>HYPERLINK("https://cao.dolgi.msk.ru/account/1011403774/", 1011403774)</f>
        <v>1011403774</v>
      </c>
      <c r="D9302">
        <v>15814.66</v>
      </c>
    </row>
    <row r="9303" spans="1:4" hidden="1" x14ac:dyDescent="0.3">
      <c r="A9303" t="s">
        <v>767</v>
      </c>
      <c r="B9303" t="s">
        <v>102</v>
      </c>
      <c r="C9303" s="1">
        <f>HYPERLINK("https://cao.dolgi.msk.ru/account/1011403387/", 1011403387)</f>
        <v>1011403387</v>
      </c>
      <c r="D9303">
        <v>0</v>
      </c>
    </row>
    <row r="9304" spans="1:4" hidden="1" x14ac:dyDescent="0.3">
      <c r="A9304" t="s">
        <v>767</v>
      </c>
      <c r="B9304" t="s">
        <v>103</v>
      </c>
      <c r="C9304" s="1">
        <f>HYPERLINK("https://cao.dolgi.msk.ru/account/1011403547/", 1011403547)</f>
        <v>1011403547</v>
      </c>
      <c r="D9304">
        <v>0</v>
      </c>
    </row>
    <row r="9305" spans="1:4" hidden="1" x14ac:dyDescent="0.3">
      <c r="A9305" t="s">
        <v>767</v>
      </c>
      <c r="B9305" t="s">
        <v>104</v>
      </c>
      <c r="C9305" s="1">
        <f>HYPERLINK("https://cao.dolgi.msk.ru/account/1011403846/", 1011403846)</f>
        <v>1011403846</v>
      </c>
      <c r="D9305">
        <v>0</v>
      </c>
    </row>
    <row r="9306" spans="1:4" hidden="1" x14ac:dyDescent="0.3">
      <c r="A9306" t="s">
        <v>767</v>
      </c>
      <c r="B9306" t="s">
        <v>105</v>
      </c>
      <c r="C9306" s="1">
        <f>HYPERLINK("https://cao.dolgi.msk.ru/account/1011403598/", 1011403598)</f>
        <v>1011403598</v>
      </c>
      <c r="D9306">
        <v>0</v>
      </c>
    </row>
    <row r="9307" spans="1:4" hidden="1" x14ac:dyDescent="0.3">
      <c r="A9307" t="s">
        <v>767</v>
      </c>
      <c r="B9307" t="s">
        <v>106</v>
      </c>
      <c r="C9307" s="1">
        <f>HYPERLINK("https://cao.dolgi.msk.ru/account/1011403707/", 1011403707)</f>
        <v>1011403707</v>
      </c>
      <c r="D9307">
        <v>-9429.69</v>
      </c>
    </row>
    <row r="9308" spans="1:4" hidden="1" x14ac:dyDescent="0.3">
      <c r="A9308" t="s">
        <v>767</v>
      </c>
      <c r="B9308" t="s">
        <v>107</v>
      </c>
      <c r="C9308" s="1">
        <f>HYPERLINK("https://cao.dolgi.msk.ru/account/1011403395/", 1011403395)</f>
        <v>1011403395</v>
      </c>
      <c r="D9308">
        <v>-3411.4</v>
      </c>
    </row>
    <row r="9309" spans="1:4" hidden="1" x14ac:dyDescent="0.3">
      <c r="A9309" t="s">
        <v>767</v>
      </c>
      <c r="B9309" t="s">
        <v>107</v>
      </c>
      <c r="C9309" s="1">
        <f>HYPERLINK("https://cao.dolgi.msk.ru/account/1011403926/", 1011403926)</f>
        <v>1011403926</v>
      </c>
      <c r="D9309">
        <v>-10241.35</v>
      </c>
    </row>
    <row r="9310" spans="1:4" hidden="1" x14ac:dyDescent="0.3">
      <c r="A9310" t="s">
        <v>767</v>
      </c>
      <c r="B9310" t="s">
        <v>108</v>
      </c>
      <c r="C9310" s="1">
        <f>HYPERLINK("https://cao.dolgi.msk.ru/account/1011403475/", 1011403475)</f>
        <v>1011403475</v>
      </c>
      <c r="D9310">
        <v>-15238.69</v>
      </c>
    </row>
    <row r="9311" spans="1:4" x14ac:dyDescent="0.3">
      <c r="A9311" t="s">
        <v>767</v>
      </c>
      <c r="B9311" t="s">
        <v>109</v>
      </c>
      <c r="C9311" s="1">
        <f>HYPERLINK("https://cao.dolgi.msk.ru/account/1011403715/", 1011403715)</f>
        <v>1011403715</v>
      </c>
      <c r="D9311">
        <v>12234.51</v>
      </c>
    </row>
    <row r="9312" spans="1:4" x14ac:dyDescent="0.3">
      <c r="A9312" t="s">
        <v>767</v>
      </c>
      <c r="B9312" t="s">
        <v>109</v>
      </c>
      <c r="C9312" s="1">
        <f>HYPERLINK("https://cao.dolgi.msk.ru/account/1011403897/", 1011403897)</f>
        <v>1011403897</v>
      </c>
      <c r="D9312">
        <v>12241.92</v>
      </c>
    </row>
    <row r="9313" spans="1:4" hidden="1" x14ac:dyDescent="0.3">
      <c r="A9313" t="s">
        <v>767</v>
      </c>
      <c r="B9313" t="s">
        <v>110</v>
      </c>
      <c r="C9313" s="1">
        <f>HYPERLINK("https://cao.dolgi.msk.ru/account/1011403344/", 1011403344)</f>
        <v>1011403344</v>
      </c>
      <c r="D9313">
        <v>-2517.14</v>
      </c>
    </row>
    <row r="9314" spans="1:4" hidden="1" x14ac:dyDescent="0.3">
      <c r="A9314" t="s">
        <v>767</v>
      </c>
      <c r="B9314" t="s">
        <v>110</v>
      </c>
      <c r="C9314" s="1">
        <f>HYPERLINK("https://cao.dolgi.msk.ru/account/1011403504/", 1011403504)</f>
        <v>1011403504</v>
      </c>
      <c r="D9314">
        <v>0</v>
      </c>
    </row>
    <row r="9315" spans="1:4" hidden="1" x14ac:dyDescent="0.3">
      <c r="A9315" t="s">
        <v>767</v>
      </c>
      <c r="B9315" t="s">
        <v>110</v>
      </c>
      <c r="C9315" s="1">
        <f>HYPERLINK("https://cao.dolgi.msk.ru/account/1011403686/", 1011403686)</f>
        <v>1011403686</v>
      </c>
      <c r="D9315">
        <v>0</v>
      </c>
    </row>
    <row r="9316" spans="1:4" hidden="1" x14ac:dyDescent="0.3">
      <c r="A9316" t="s">
        <v>767</v>
      </c>
      <c r="B9316" t="s">
        <v>111</v>
      </c>
      <c r="C9316" s="1">
        <f>HYPERLINK("https://cao.dolgi.msk.ru/account/1011403416/", 1011403416)</f>
        <v>1011403416</v>
      </c>
      <c r="D9316">
        <v>0</v>
      </c>
    </row>
    <row r="9317" spans="1:4" hidden="1" x14ac:dyDescent="0.3">
      <c r="A9317" t="s">
        <v>767</v>
      </c>
      <c r="B9317" t="s">
        <v>111</v>
      </c>
      <c r="C9317" s="1">
        <f>HYPERLINK("https://cao.dolgi.msk.ru/account/1011403555/", 1011403555)</f>
        <v>1011403555</v>
      </c>
      <c r="D9317">
        <v>0</v>
      </c>
    </row>
    <row r="9318" spans="1:4" hidden="1" x14ac:dyDescent="0.3">
      <c r="A9318" t="s">
        <v>767</v>
      </c>
      <c r="B9318" t="s">
        <v>111</v>
      </c>
      <c r="C9318" s="1">
        <f>HYPERLINK("https://cao.dolgi.msk.ru/account/1011520567/", 1011520567)</f>
        <v>1011520567</v>
      </c>
      <c r="D9318">
        <v>0</v>
      </c>
    </row>
    <row r="9319" spans="1:4" hidden="1" x14ac:dyDescent="0.3">
      <c r="A9319" t="s">
        <v>767</v>
      </c>
      <c r="B9319" t="s">
        <v>112</v>
      </c>
      <c r="C9319" s="1">
        <f>HYPERLINK("https://cao.dolgi.msk.ru/account/1011403723/", 1011403723)</f>
        <v>1011403723</v>
      </c>
      <c r="D9319">
        <v>0</v>
      </c>
    </row>
    <row r="9320" spans="1:4" hidden="1" x14ac:dyDescent="0.3">
      <c r="A9320" t="s">
        <v>767</v>
      </c>
      <c r="B9320" t="s">
        <v>113</v>
      </c>
      <c r="C9320" s="1">
        <f>HYPERLINK("https://cao.dolgi.msk.ru/account/1011403977/", 1011403977)</f>
        <v>1011403977</v>
      </c>
      <c r="D9320">
        <v>0</v>
      </c>
    </row>
    <row r="9321" spans="1:4" hidden="1" x14ac:dyDescent="0.3">
      <c r="A9321" t="s">
        <v>767</v>
      </c>
      <c r="B9321" t="s">
        <v>114</v>
      </c>
      <c r="C9321" s="1">
        <f>HYPERLINK("https://cao.dolgi.msk.ru/account/1011403766/", 1011403766)</f>
        <v>1011403766</v>
      </c>
      <c r="D9321">
        <v>0</v>
      </c>
    </row>
    <row r="9322" spans="1:4" x14ac:dyDescent="0.3">
      <c r="A9322" t="s">
        <v>767</v>
      </c>
      <c r="B9322" t="s">
        <v>115</v>
      </c>
      <c r="C9322" s="1">
        <f>HYPERLINK("https://cao.dolgi.msk.ru/account/1011403408/", 1011403408)</f>
        <v>1011403408</v>
      </c>
      <c r="D9322">
        <v>1350.74</v>
      </c>
    </row>
    <row r="9323" spans="1:4" x14ac:dyDescent="0.3">
      <c r="A9323" t="s">
        <v>767</v>
      </c>
      <c r="B9323" t="s">
        <v>116</v>
      </c>
      <c r="C9323" s="1">
        <f>HYPERLINK("https://cao.dolgi.msk.ru/account/1011403803/", 1011403803)</f>
        <v>1011403803</v>
      </c>
      <c r="D9323">
        <v>3136.43</v>
      </c>
    </row>
    <row r="9324" spans="1:4" hidden="1" x14ac:dyDescent="0.3">
      <c r="A9324" t="s">
        <v>767</v>
      </c>
      <c r="B9324" t="s">
        <v>266</v>
      </c>
      <c r="C9324" s="1">
        <f>HYPERLINK("https://cao.dolgi.msk.ru/account/1011403491/", 1011403491)</f>
        <v>1011403491</v>
      </c>
      <c r="D9324">
        <v>0</v>
      </c>
    </row>
    <row r="9325" spans="1:4" x14ac:dyDescent="0.3">
      <c r="A9325" t="s">
        <v>767</v>
      </c>
      <c r="B9325" t="s">
        <v>117</v>
      </c>
      <c r="C9325" s="1">
        <f>HYPERLINK("https://cao.dolgi.msk.ru/account/1011403942/", 1011403942)</f>
        <v>1011403942</v>
      </c>
      <c r="D9325">
        <v>25150.81</v>
      </c>
    </row>
    <row r="9326" spans="1:4" hidden="1" x14ac:dyDescent="0.3">
      <c r="A9326" t="s">
        <v>767</v>
      </c>
      <c r="B9326" t="s">
        <v>118</v>
      </c>
      <c r="C9326" s="1">
        <f>HYPERLINK("https://cao.dolgi.msk.ru/account/1011403678/", 1011403678)</f>
        <v>1011403678</v>
      </c>
      <c r="D9326">
        <v>0</v>
      </c>
    </row>
    <row r="9327" spans="1:4" hidden="1" x14ac:dyDescent="0.3">
      <c r="A9327" t="s">
        <v>767</v>
      </c>
      <c r="B9327" t="s">
        <v>118</v>
      </c>
      <c r="C9327" s="1">
        <f>HYPERLINK("https://cao.dolgi.msk.ru/account/1011502297/", 1011502297)</f>
        <v>1011502297</v>
      </c>
      <c r="D9327">
        <v>0</v>
      </c>
    </row>
    <row r="9328" spans="1:4" hidden="1" x14ac:dyDescent="0.3">
      <c r="A9328" t="s">
        <v>768</v>
      </c>
      <c r="B9328" t="s">
        <v>5</v>
      </c>
      <c r="C9328" s="1">
        <f>HYPERLINK("https://cao.dolgi.msk.ru/account/1011116716/", 1011116716)</f>
        <v>1011116716</v>
      </c>
      <c r="D9328">
        <v>-9007.4699999999993</v>
      </c>
    </row>
    <row r="9329" spans="1:4" x14ac:dyDescent="0.3">
      <c r="A9329" t="s">
        <v>768</v>
      </c>
      <c r="B9329" t="s">
        <v>7</v>
      </c>
      <c r="C9329" s="1">
        <f>HYPERLINK("https://cao.dolgi.msk.ru/account/1011050067/", 1011050067)</f>
        <v>1011050067</v>
      </c>
      <c r="D9329">
        <v>12335.33</v>
      </c>
    </row>
    <row r="9330" spans="1:4" hidden="1" x14ac:dyDescent="0.3">
      <c r="A9330" t="s">
        <v>768</v>
      </c>
      <c r="B9330" t="s">
        <v>8</v>
      </c>
      <c r="C9330" s="1">
        <f>HYPERLINK("https://cao.dolgi.msk.ru/account/1011050075/", 1011050075)</f>
        <v>1011050075</v>
      </c>
      <c r="D9330">
        <v>0</v>
      </c>
    </row>
    <row r="9331" spans="1:4" hidden="1" x14ac:dyDescent="0.3">
      <c r="A9331" t="s">
        <v>768</v>
      </c>
      <c r="B9331" t="s">
        <v>31</v>
      </c>
      <c r="C9331" s="1">
        <f>HYPERLINK("https://cao.dolgi.msk.ru/account/1011050083/", 1011050083)</f>
        <v>1011050083</v>
      </c>
      <c r="D9331">
        <v>0</v>
      </c>
    </row>
    <row r="9332" spans="1:4" hidden="1" x14ac:dyDescent="0.3">
      <c r="A9332" t="s">
        <v>768</v>
      </c>
      <c r="B9332" t="s">
        <v>9</v>
      </c>
      <c r="C9332" s="1">
        <f>HYPERLINK("https://cao.dolgi.msk.ru/account/1011050016/", 1011050016)</f>
        <v>1011050016</v>
      </c>
      <c r="D9332">
        <v>0</v>
      </c>
    </row>
    <row r="9333" spans="1:4" hidden="1" x14ac:dyDescent="0.3">
      <c r="A9333" t="s">
        <v>768</v>
      </c>
      <c r="B9333" t="s">
        <v>10</v>
      </c>
      <c r="C9333" s="1">
        <f>HYPERLINK("https://cao.dolgi.msk.ru/account/1011050091/", 1011050091)</f>
        <v>1011050091</v>
      </c>
      <c r="D9333">
        <v>-10.63</v>
      </c>
    </row>
    <row r="9334" spans="1:4" hidden="1" x14ac:dyDescent="0.3">
      <c r="A9334" t="s">
        <v>768</v>
      </c>
      <c r="B9334" t="s">
        <v>11</v>
      </c>
      <c r="C9334" s="1">
        <f>HYPERLINK("https://cao.dolgi.msk.ru/account/1011050163/", 1011050163)</f>
        <v>1011050163</v>
      </c>
      <c r="D9334">
        <v>0</v>
      </c>
    </row>
    <row r="9335" spans="1:4" hidden="1" x14ac:dyDescent="0.3">
      <c r="A9335" t="s">
        <v>768</v>
      </c>
      <c r="B9335" t="s">
        <v>12</v>
      </c>
      <c r="C9335" s="1">
        <f>HYPERLINK("https://cao.dolgi.msk.ru/account/1011049672/", 1011049672)</f>
        <v>1011049672</v>
      </c>
      <c r="D9335">
        <v>0</v>
      </c>
    </row>
    <row r="9336" spans="1:4" hidden="1" x14ac:dyDescent="0.3">
      <c r="A9336" t="s">
        <v>768</v>
      </c>
      <c r="B9336" t="s">
        <v>23</v>
      </c>
      <c r="C9336" s="1">
        <f>HYPERLINK("https://cao.dolgi.msk.ru/account/1011049699/", 1011049699)</f>
        <v>1011049699</v>
      </c>
      <c r="D9336">
        <v>0</v>
      </c>
    </row>
    <row r="9337" spans="1:4" x14ac:dyDescent="0.3">
      <c r="A9337" t="s">
        <v>768</v>
      </c>
      <c r="B9337" t="s">
        <v>13</v>
      </c>
      <c r="C9337" s="1">
        <f>HYPERLINK("https://cao.dolgi.msk.ru/account/1011049955/", 1011049955)</f>
        <v>1011049955</v>
      </c>
      <c r="D9337">
        <v>11936.89</v>
      </c>
    </row>
    <row r="9338" spans="1:4" hidden="1" x14ac:dyDescent="0.3">
      <c r="A9338" t="s">
        <v>768</v>
      </c>
      <c r="B9338" t="s">
        <v>14</v>
      </c>
      <c r="C9338" s="1">
        <f>HYPERLINK("https://cao.dolgi.msk.ru/account/1011050171/", 1011050171)</f>
        <v>1011050171</v>
      </c>
      <c r="D9338">
        <v>0</v>
      </c>
    </row>
    <row r="9339" spans="1:4" hidden="1" x14ac:dyDescent="0.3">
      <c r="A9339" t="s">
        <v>768</v>
      </c>
      <c r="B9339" t="s">
        <v>16</v>
      </c>
      <c r="C9339" s="1">
        <f>HYPERLINK("https://cao.dolgi.msk.ru/account/1011049701/", 1011049701)</f>
        <v>1011049701</v>
      </c>
      <c r="D9339">
        <v>-1254.95</v>
      </c>
    </row>
    <row r="9340" spans="1:4" hidden="1" x14ac:dyDescent="0.3">
      <c r="A9340" t="s">
        <v>768</v>
      </c>
      <c r="B9340" t="s">
        <v>16</v>
      </c>
      <c r="C9340" s="1">
        <f>HYPERLINK("https://cao.dolgi.msk.ru/account/1011050104/", 1011050104)</f>
        <v>1011050104</v>
      </c>
      <c r="D9340">
        <v>0</v>
      </c>
    </row>
    <row r="9341" spans="1:4" hidden="1" x14ac:dyDescent="0.3">
      <c r="A9341" t="s">
        <v>768</v>
      </c>
      <c r="B9341" t="s">
        <v>17</v>
      </c>
      <c r="C9341" s="1">
        <f>HYPERLINK("https://cao.dolgi.msk.ru/account/1011049728/", 1011049728)</f>
        <v>1011049728</v>
      </c>
      <c r="D9341">
        <v>-654.02</v>
      </c>
    </row>
    <row r="9342" spans="1:4" hidden="1" x14ac:dyDescent="0.3">
      <c r="A9342" t="s">
        <v>768</v>
      </c>
      <c r="B9342" t="s">
        <v>18</v>
      </c>
      <c r="C9342" s="1">
        <f>HYPERLINK("https://cao.dolgi.msk.ru/account/1011049736/", 1011049736)</f>
        <v>1011049736</v>
      </c>
      <c r="D9342">
        <v>-34824.089999999997</v>
      </c>
    </row>
    <row r="9343" spans="1:4" hidden="1" x14ac:dyDescent="0.3">
      <c r="A9343" t="s">
        <v>768</v>
      </c>
      <c r="B9343" t="s">
        <v>19</v>
      </c>
      <c r="C9343" s="1">
        <f>HYPERLINK("https://cao.dolgi.msk.ru/account/1011050024/", 1011050024)</f>
        <v>1011050024</v>
      </c>
      <c r="D9343">
        <v>0</v>
      </c>
    </row>
    <row r="9344" spans="1:4" hidden="1" x14ac:dyDescent="0.3">
      <c r="A9344" t="s">
        <v>768</v>
      </c>
      <c r="B9344" t="s">
        <v>20</v>
      </c>
      <c r="C9344" s="1">
        <f>HYPERLINK("https://cao.dolgi.msk.ru/account/1011049963/", 1011049963)</f>
        <v>1011049963</v>
      </c>
      <c r="D9344">
        <v>0</v>
      </c>
    </row>
    <row r="9345" spans="1:4" hidden="1" x14ac:dyDescent="0.3">
      <c r="A9345" t="s">
        <v>768</v>
      </c>
      <c r="B9345" t="s">
        <v>21</v>
      </c>
      <c r="C9345" s="1">
        <f>HYPERLINK("https://cao.dolgi.msk.ru/account/1011049875/", 1011049875)</f>
        <v>1011049875</v>
      </c>
      <c r="D9345">
        <v>-8233.36</v>
      </c>
    </row>
    <row r="9346" spans="1:4" x14ac:dyDescent="0.3">
      <c r="A9346" t="s">
        <v>768</v>
      </c>
      <c r="B9346" t="s">
        <v>22</v>
      </c>
      <c r="C9346" s="1">
        <f>HYPERLINK("https://cao.dolgi.msk.ru/account/1011049816/", 1011049816)</f>
        <v>1011049816</v>
      </c>
      <c r="D9346">
        <v>37504.1</v>
      </c>
    </row>
    <row r="9347" spans="1:4" hidden="1" x14ac:dyDescent="0.3">
      <c r="A9347" t="s">
        <v>768</v>
      </c>
      <c r="B9347" t="s">
        <v>24</v>
      </c>
      <c r="C9347" s="1">
        <f>HYPERLINK("https://cao.dolgi.msk.ru/account/1011049824/", 1011049824)</f>
        <v>1011049824</v>
      </c>
      <c r="D9347">
        <v>0</v>
      </c>
    </row>
    <row r="9348" spans="1:4" x14ac:dyDescent="0.3">
      <c r="A9348" t="s">
        <v>768</v>
      </c>
      <c r="B9348" t="s">
        <v>25</v>
      </c>
      <c r="C9348" s="1">
        <f>HYPERLINK("https://cao.dolgi.msk.ru/account/1011050112/", 1011050112)</f>
        <v>1011050112</v>
      </c>
      <c r="D9348">
        <v>14910.91</v>
      </c>
    </row>
    <row r="9349" spans="1:4" hidden="1" x14ac:dyDescent="0.3">
      <c r="A9349" t="s">
        <v>768</v>
      </c>
      <c r="B9349" t="s">
        <v>26</v>
      </c>
      <c r="C9349" s="1">
        <f>HYPERLINK("https://cao.dolgi.msk.ru/account/1011049971/", 1011049971)</f>
        <v>1011049971</v>
      </c>
      <c r="D9349">
        <v>0</v>
      </c>
    </row>
    <row r="9350" spans="1:4" hidden="1" x14ac:dyDescent="0.3">
      <c r="A9350" t="s">
        <v>768</v>
      </c>
      <c r="B9350" t="s">
        <v>27</v>
      </c>
      <c r="C9350" s="1">
        <f>HYPERLINK("https://cao.dolgi.msk.ru/account/1011049998/", 1011049998)</f>
        <v>1011049998</v>
      </c>
      <c r="D9350">
        <v>0</v>
      </c>
    </row>
    <row r="9351" spans="1:4" x14ac:dyDescent="0.3">
      <c r="A9351" t="s">
        <v>768</v>
      </c>
      <c r="B9351" t="s">
        <v>29</v>
      </c>
      <c r="C9351" s="1">
        <f>HYPERLINK("https://cao.dolgi.msk.ru/account/1011050008/", 1011050008)</f>
        <v>1011050008</v>
      </c>
      <c r="D9351">
        <v>6889.64</v>
      </c>
    </row>
    <row r="9352" spans="1:4" hidden="1" x14ac:dyDescent="0.3">
      <c r="A9352" t="s">
        <v>768</v>
      </c>
      <c r="B9352" t="s">
        <v>38</v>
      </c>
      <c r="C9352" s="1">
        <f>HYPERLINK("https://cao.dolgi.msk.ru/account/1011049832/", 1011049832)</f>
        <v>1011049832</v>
      </c>
      <c r="D9352">
        <v>0</v>
      </c>
    </row>
    <row r="9353" spans="1:4" hidden="1" x14ac:dyDescent="0.3">
      <c r="A9353" t="s">
        <v>768</v>
      </c>
      <c r="B9353" t="s">
        <v>39</v>
      </c>
      <c r="C9353" s="1">
        <f>HYPERLINK("https://cao.dolgi.msk.ru/account/1011049883/", 1011049883)</f>
        <v>1011049883</v>
      </c>
      <c r="D9353">
        <v>0</v>
      </c>
    </row>
    <row r="9354" spans="1:4" hidden="1" x14ac:dyDescent="0.3">
      <c r="A9354" t="s">
        <v>768</v>
      </c>
      <c r="B9354" t="s">
        <v>40</v>
      </c>
      <c r="C9354" s="1">
        <f>HYPERLINK("https://cao.dolgi.msk.ru/account/1011050198/", 1011050198)</f>
        <v>1011050198</v>
      </c>
      <c r="D9354">
        <v>0</v>
      </c>
    </row>
    <row r="9355" spans="1:4" hidden="1" x14ac:dyDescent="0.3">
      <c r="A9355" t="s">
        <v>768</v>
      </c>
      <c r="B9355" t="s">
        <v>41</v>
      </c>
      <c r="C9355" s="1">
        <f>HYPERLINK("https://cao.dolgi.msk.ru/account/1011049808/", 1011049808)</f>
        <v>1011049808</v>
      </c>
      <c r="D9355">
        <v>0</v>
      </c>
    </row>
    <row r="9356" spans="1:4" hidden="1" x14ac:dyDescent="0.3">
      <c r="A9356" t="s">
        <v>768</v>
      </c>
      <c r="B9356" t="s">
        <v>51</v>
      </c>
      <c r="C9356" s="1">
        <f>HYPERLINK("https://cao.dolgi.msk.ru/account/1011050139/", 1011050139)</f>
        <v>1011050139</v>
      </c>
      <c r="D9356">
        <v>0</v>
      </c>
    </row>
    <row r="9357" spans="1:4" hidden="1" x14ac:dyDescent="0.3">
      <c r="A9357" t="s">
        <v>768</v>
      </c>
      <c r="B9357" t="s">
        <v>53</v>
      </c>
      <c r="C9357" s="1">
        <f>HYPERLINK("https://cao.dolgi.msk.ru/account/1011049891/", 1011049891)</f>
        <v>1011049891</v>
      </c>
      <c r="D9357">
        <v>-517.15</v>
      </c>
    </row>
    <row r="9358" spans="1:4" hidden="1" x14ac:dyDescent="0.3">
      <c r="A9358" t="s">
        <v>768</v>
      </c>
      <c r="B9358" t="s">
        <v>54</v>
      </c>
      <c r="C9358" s="1">
        <f>HYPERLINK("https://cao.dolgi.msk.ru/account/1011050032/", 1011050032)</f>
        <v>1011050032</v>
      </c>
      <c r="D9358">
        <v>-5347.4</v>
      </c>
    </row>
    <row r="9359" spans="1:4" hidden="1" x14ac:dyDescent="0.3">
      <c r="A9359" t="s">
        <v>768</v>
      </c>
      <c r="B9359" t="s">
        <v>55</v>
      </c>
      <c r="C9359" s="1">
        <f>HYPERLINK("https://cao.dolgi.msk.ru/account/1011049744/", 1011049744)</f>
        <v>1011049744</v>
      </c>
      <c r="D9359">
        <v>-171.02</v>
      </c>
    </row>
    <row r="9360" spans="1:4" hidden="1" x14ac:dyDescent="0.3">
      <c r="A9360" t="s">
        <v>768</v>
      </c>
      <c r="B9360" t="s">
        <v>56</v>
      </c>
      <c r="C9360" s="1">
        <f>HYPERLINK("https://cao.dolgi.msk.ru/account/1011049859/", 1011049859)</f>
        <v>1011049859</v>
      </c>
      <c r="D9360">
        <v>0</v>
      </c>
    </row>
    <row r="9361" spans="1:4" hidden="1" x14ac:dyDescent="0.3">
      <c r="A9361" t="s">
        <v>768</v>
      </c>
      <c r="B9361" t="s">
        <v>87</v>
      </c>
      <c r="C9361" s="1">
        <f>HYPERLINK("https://cao.dolgi.msk.ru/account/1011049904/", 1011049904)</f>
        <v>1011049904</v>
      </c>
      <c r="D9361">
        <v>-211.17</v>
      </c>
    </row>
    <row r="9362" spans="1:4" hidden="1" x14ac:dyDescent="0.3">
      <c r="A9362" t="s">
        <v>768</v>
      </c>
      <c r="B9362" t="s">
        <v>88</v>
      </c>
      <c r="C9362" s="1">
        <f>HYPERLINK("https://cao.dolgi.msk.ru/account/1011530626/", 1011530626)</f>
        <v>1011530626</v>
      </c>
      <c r="D9362">
        <v>-93.5</v>
      </c>
    </row>
    <row r="9363" spans="1:4" hidden="1" x14ac:dyDescent="0.3">
      <c r="A9363" t="s">
        <v>768</v>
      </c>
      <c r="B9363" t="s">
        <v>89</v>
      </c>
      <c r="C9363" s="1">
        <f>HYPERLINK("https://cao.dolgi.msk.ru/account/1011049867/", 1011049867)</f>
        <v>1011049867</v>
      </c>
      <c r="D9363">
        <v>-494.6</v>
      </c>
    </row>
    <row r="9364" spans="1:4" hidden="1" x14ac:dyDescent="0.3">
      <c r="A9364" t="s">
        <v>768</v>
      </c>
      <c r="B9364" t="s">
        <v>90</v>
      </c>
      <c r="C9364" s="1">
        <f>HYPERLINK("https://cao.dolgi.msk.ru/account/1011050147/", 1011050147)</f>
        <v>1011050147</v>
      </c>
      <c r="D9364">
        <v>0</v>
      </c>
    </row>
    <row r="9365" spans="1:4" hidden="1" x14ac:dyDescent="0.3">
      <c r="A9365" t="s">
        <v>768</v>
      </c>
      <c r="B9365" t="s">
        <v>96</v>
      </c>
      <c r="C9365" s="1">
        <f>HYPERLINK("https://cao.dolgi.msk.ru/account/1011049779/", 1011049779)</f>
        <v>1011049779</v>
      </c>
      <c r="D9365">
        <v>-88.3</v>
      </c>
    </row>
    <row r="9366" spans="1:4" hidden="1" x14ac:dyDescent="0.3">
      <c r="A9366" t="s">
        <v>768</v>
      </c>
      <c r="B9366" t="s">
        <v>97</v>
      </c>
      <c r="C9366" s="1">
        <f>HYPERLINK("https://cao.dolgi.msk.ru/account/1011049787/", 1011049787)</f>
        <v>1011049787</v>
      </c>
      <c r="D9366">
        <v>-6784.91</v>
      </c>
    </row>
    <row r="9367" spans="1:4" hidden="1" x14ac:dyDescent="0.3">
      <c r="A9367" t="s">
        <v>768</v>
      </c>
      <c r="B9367" t="s">
        <v>98</v>
      </c>
      <c r="C9367" s="1">
        <f>HYPERLINK("https://cao.dolgi.msk.ru/account/1011050155/", 1011050155)</f>
        <v>1011050155</v>
      </c>
      <c r="D9367">
        <v>-6784.78</v>
      </c>
    </row>
    <row r="9368" spans="1:4" hidden="1" x14ac:dyDescent="0.3">
      <c r="A9368" t="s">
        <v>768</v>
      </c>
      <c r="B9368" t="s">
        <v>58</v>
      </c>
      <c r="C9368" s="1">
        <f>HYPERLINK("https://cao.dolgi.msk.ru/account/1011049795/", 1011049795)</f>
        <v>1011049795</v>
      </c>
      <c r="D9368">
        <v>-3914.88</v>
      </c>
    </row>
    <row r="9369" spans="1:4" hidden="1" x14ac:dyDescent="0.3">
      <c r="A9369" t="s">
        <v>768</v>
      </c>
      <c r="B9369" t="s">
        <v>59</v>
      </c>
      <c r="C9369" s="1">
        <f>HYPERLINK("https://cao.dolgi.msk.ru/account/1011049912/", 1011049912)</f>
        <v>1011049912</v>
      </c>
      <c r="D9369">
        <v>-147.87</v>
      </c>
    </row>
    <row r="9370" spans="1:4" hidden="1" x14ac:dyDescent="0.3">
      <c r="A9370" t="s">
        <v>768</v>
      </c>
      <c r="B9370" t="s">
        <v>60</v>
      </c>
      <c r="C9370" s="1">
        <f>HYPERLINK("https://cao.dolgi.msk.ru/account/1011049939/", 1011049939)</f>
        <v>1011049939</v>
      </c>
      <c r="D9370">
        <v>-13177.16</v>
      </c>
    </row>
    <row r="9371" spans="1:4" hidden="1" x14ac:dyDescent="0.3">
      <c r="A9371" t="s">
        <v>768</v>
      </c>
      <c r="B9371" t="s">
        <v>61</v>
      </c>
      <c r="C9371" s="1">
        <f>HYPERLINK("https://cao.dolgi.msk.ru/account/1011049947/", 1011049947)</f>
        <v>1011049947</v>
      </c>
      <c r="D9371">
        <v>-5694.53</v>
      </c>
    </row>
    <row r="9372" spans="1:4" x14ac:dyDescent="0.3">
      <c r="A9372" t="s">
        <v>769</v>
      </c>
      <c r="B9372" t="s">
        <v>28</v>
      </c>
      <c r="C9372" s="1">
        <f>HYPERLINK("https://cao.dolgi.msk.ru/account/1011477124/", 1011477124)</f>
        <v>1011477124</v>
      </c>
      <c r="D9372">
        <v>39156.449999999997</v>
      </c>
    </row>
    <row r="9373" spans="1:4" hidden="1" x14ac:dyDescent="0.3">
      <c r="A9373" t="s">
        <v>769</v>
      </c>
      <c r="B9373" t="s">
        <v>35</v>
      </c>
      <c r="C9373" s="1">
        <f>HYPERLINK("https://cao.dolgi.msk.ru/account/1011477036/", 1011477036)</f>
        <v>1011477036</v>
      </c>
      <c r="D9373">
        <v>0</v>
      </c>
    </row>
    <row r="9374" spans="1:4" hidden="1" x14ac:dyDescent="0.3">
      <c r="A9374" t="s">
        <v>769</v>
      </c>
      <c r="B9374" t="s">
        <v>35</v>
      </c>
      <c r="C9374" s="1">
        <f>HYPERLINK("https://cao.dolgi.msk.ru/account/1011477116/", 1011477116)</f>
        <v>1011477116</v>
      </c>
      <c r="D9374">
        <v>0</v>
      </c>
    </row>
    <row r="9375" spans="1:4" hidden="1" x14ac:dyDescent="0.3">
      <c r="A9375" t="s">
        <v>769</v>
      </c>
      <c r="B9375" t="s">
        <v>35</v>
      </c>
      <c r="C9375" s="1">
        <f>HYPERLINK("https://cao.dolgi.msk.ru/account/1011477159/", 1011477159)</f>
        <v>1011477159</v>
      </c>
      <c r="D9375">
        <v>0</v>
      </c>
    </row>
    <row r="9376" spans="1:4" hidden="1" x14ac:dyDescent="0.3">
      <c r="A9376" t="s">
        <v>769</v>
      </c>
      <c r="B9376" t="s">
        <v>35</v>
      </c>
      <c r="C9376" s="1">
        <f>HYPERLINK("https://cao.dolgi.msk.ru/account/1011477167/", 1011477167)</f>
        <v>1011477167</v>
      </c>
      <c r="D9376">
        <v>-1292.53</v>
      </c>
    </row>
    <row r="9377" spans="1:4" hidden="1" x14ac:dyDescent="0.3">
      <c r="A9377" t="s">
        <v>769</v>
      </c>
      <c r="B9377" t="s">
        <v>35</v>
      </c>
      <c r="C9377" s="1">
        <f>HYPERLINK("https://cao.dolgi.msk.ru/account/1011477175/", 1011477175)</f>
        <v>1011477175</v>
      </c>
      <c r="D9377">
        <v>0</v>
      </c>
    </row>
    <row r="9378" spans="1:4" hidden="1" x14ac:dyDescent="0.3">
      <c r="A9378" t="s">
        <v>769</v>
      </c>
      <c r="B9378" t="s">
        <v>35</v>
      </c>
      <c r="C9378" s="1">
        <f>HYPERLINK("https://cao.dolgi.msk.ru/account/1011477183/", 1011477183)</f>
        <v>1011477183</v>
      </c>
      <c r="D9378">
        <v>0</v>
      </c>
    </row>
    <row r="9379" spans="1:4" hidden="1" x14ac:dyDescent="0.3">
      <c r="A9379" t="s">
        <v>769</v>
      </c>
      <c r="B9379" t="s">
        <v>35</v>
      </c>
      <c r="C9379" s="1">
        <f>HYPERLINK("https://cao.dolgi.msk.ru/account/1011477263/", 1011477263)</f>
        <v>1011477263</v>
      </c>
      <c r="D9379">
        <v>-645.21</v>
      </c>
    </row>
    <row r="9380" spans="1:4" x14ac:dyDescent="0.3">
      <c r="A9380" t="s">
        <v>769</v>
      </c>
      <c r="B9380" t="s">
        <v>35</v>
      </c>
      <c r="C9380" s="1">
        <f>HYPERLINK("https://cao.dolgi.msk.ru/account/1011510932/", 1011510932)</f>
        <v>1011510932</v>
      </c>
      <c r="D9380">
        <v>58822.98</v>
      </c>
    </row>
    <row r="9381" spans="1:4" hidden="1" x14ac:dyDescent="0.3">
      <c r="A9381" t="s">
        <v>769</v>
      </c>
      <c r="B9381" t="s">
        <v>5</v>
      </c>
      <c r="C9381" s="1">
        <f>HYPERLINK("https://cao.dolgi.msk.ru/account/1011477028/", 1011477028)</f>
        <v>1011477028</v>
      </c>
      <c r="D9381">
        <v>0</v>
      </c>
    </row>
    <row r="9382" spans="1:4" hidden="1" x14ac:dyDescent="0.3">
      <c r="A9382" t="s">
        <v>769</v>
      </c>
      <c r="B9382" t="s">
        <v>7</v>
      </c>
      <c r="C9382" s="1">
        <f>HYPERLINK("https://cao.dolgi.msk.ru/account/1011476949/", 1011476949)</f>
        <v>1011476949</v>
      </c>
      <c r="D9382">
        <v>-60.38</v>
      </c>
    </row>
    <row r="9383" spans="1:4" hidden="1" x14ac:dyDescent="0.3">
      <c r="A9383" t="s">
        <v>769</v>
      </c>
      <c r="B9383" t="s">
        <v>8</v>
      </c>
      <c r="C9383" s="1">
        <f>HYPERLINK("https://cao.dolgi.msk.ru/account/1011476914/", 1011476914)</f>
        <v>1011476914</v>
      </c>
      <c r="D9383">
        <v>0</v>
      </c>
    </row>
    <row r="9384" spans="1:4" hidden="1" x14ac:dyDescent="0.3">
      <c r="A9384" t="s">
        <v>769</v>
      </c>
      <c r="B9384" t="s">
        <v>8</v>
      </c>
      <c r="C9384" s="1">
        <f>HYPERLINK("https://cao.dolgi.msk.ru/account/1011476922/", 1011476922)</f>
        <v>1011476922</v>
      </c>
      <c r="D9384">
        <v>-2809.24</v>
      </c>
    </row>
    <row r="9385" spans="1:4" hidden="1" x14ac:dyDescent="0.3">
      <c r="A9385" t="s">
        <v>769</v>
      </c>
      <c r="B9385" t="s">
        <v>8</v>
      </c>
      <c r="C9385" s="1">
        <f>HYPERLINK("https://cao.dolgi.msk.ru/account/1011476965/", 1011476965)</f>
        <v>1011476965</v>
      </c>
      <c r="D9385">
        <v>0</v>
      </c>
    </row>
    <row r="9386" spans="1:4" hidden="1" x14ac:dyDescent="0.3">
      <c r="A9386" t="s">
        <v>769</v>
      </c>
      <c r="B9386" t="s">
        <v>8</v>
      </c>
      <c r="C9386" s="1">
        <f>HYPERLINK("https://cao.dolgi.msk.ru/account/1011476973/", 1011476973)</f>
        <v>1011476973</v>
      </c>
      <c r="D9386">
        <v>0</v>
      </c>
    </row>
    <row r="9387" spans="1:4" x14ac:dyDescent="0.3">
      <c r="A9387" t="s">
        <v>769</v>
      </c>
      <c r="B9387" t="s">
        <v>8</v>
      </c>
      <c r="C9387" s="1">
        <f>HYPERLINK("https://cao.dolgi.msk.ru/account/1011477044/", 1011477044)</f>
        <v>1011477044</v>
      </c>
      <c r="D9387">
        <v>390.13</v>
      </c>
    </row>
    <row r="9388" spans="1:4" x14ac:dyDescent="0.3">
      <c r="A9388" t="s">
        <v>769</v>
      </c>
      <c r="B9388" t="s">
        <v>8</v>
      </c>
      <c r="C9388" s="1">
        <f>HYPERLINK("https://cao.dolgi.msk.ru/account/1011477271/", 1011477271)</f>
        <v>1011477271</v>
      </c>
      <c r="D9388">
        <v>60.02</v>
      </c>
    </row>
    <row r="9389" spans="1:4" hidden="1" x14ac:dyDescent="0.3">
      <c r="A9389" t="s">
        <v>769</v>
      </c>
      <c r="B9389" t="s">
        <v>8</v>
      </c>
      <c r="C9389" s="1">
        <f>HYPERLINK("https://cao.dolgi.msk.ru/account/1011526301/", 1011526301)</f>
        <v>1011526301</v>
      </c>
      <c r="D9389">
        <v>0</v>
      </c>
    </row>
    <row r="9390" spans="1:4" hidden="1" x14ac:dyDescent="0.3">
      <c r="A9390" t="s">
        <v>769</v>
      </c>
      <c r="B9390" t="s">
        <v>8</v>
      </c>
      <c r="C9390" s="1">
        <f>HYPERLINK("https://cao.dolgi.msk.ru/account/1011526328/", 1011526328)</f>
        <v>1011526328</v>
      </c>
      <c r="D9390">
        <v>-4347.3900000000003</v>
      </c>
    </row>
    <row r="9391" spans="1:4" hidden="1" x14ac:dyDescent="0.3">
      <c r="A9391" t="s">
        <v>769</v>
      </c>
      <c r="B9391" t="s">
        <v>10</v>
      </c>
      <c r="C9391" s="1">
        <f>HYPERLINK("https://cao.dolgi.msk.ru/account/1011477052/", 1011477052)</f>
        <v>1011477052</v>
      </c>
      <c r="D9391">
        <v>-55220.2</v>
      </c>
    </row>
    <row r="9392" spans="1:4" hidden="1" x14ac:dyDescent="0.3">
      <c r="A9392" t="s">
        <v>769</v>
      </c>
      <c r="B9392" t="s">
        <v>12</v>
      </c>
      <c r="C9392" s="1">
        <f>HYPERLINK("https://cao.dolgi.msk.ru/account/1011476981/", 1011476981)</f>
        <v>1011476981</v>
      </c>
      <c r="D9392">
        <v>-21574.83</v>
      </c>
    </row>
    <row r="9393" spans="1:4" hidden="1" x14ac:dyDescent="0.3">
      <c r="A9393" t="s">
        <v>769</v>
      </c>
      <c r="B9393" t="s">
        <v>13</v>
      </c>
      <c r="C9393" s="1">
        <f>HYPERLINK("https://cao.dolgi.msk.ru/account/1011477087/", 1011477087)</f>
        <v>1011477087</v>
      </c>
      <c r="D9393">
        <v>0</v>
      </c>
    </row>
    <row r="9394" spans="1:4" x14ac:dyDescent="0.3">
      <c r="A9394" t="s">
        <v>769</v>
      </c>
      <c r="B9394" t="s">
        <v>16</v>
      </c>
      <c r="C9394" s="1">
        <f>HYPERLINK("https://cao.dolgi.msk.ru/account/1011477095/", 1011477095)</f>
        <v>1011477095</v>
      </c>
      <c r="D9394">
        <v>196268.73</v>
      </c>
    </row>
    <row r="9395" spans="1:4" hidden="1" x14ac:dyDescent="0.3">
      <c r="A9395" t="s">
        <v>769</v>
      </c>
      <c r="B9395" t="s">
        <v>16</v>
      </c>
      <c r="C9395" s="1">
        <f>HYPERLINK("https://cao.dolgi.msk.ru/account/1011477132/", 1011477132)</f>
        <v>1011477132</v>
      </c>
      <c r="D9395">
        <v>-270.33999999999997</v>
      </c>
    </row>
    <row r="9396" spans="1:4" hidden="1" x14ac:dyDescent="0.3">
      <c r="A9396" t="s">
        <v>769</v>
      </c>
      <c r="B9396" t="s">
        <v>16</v>
      </c>
      <c r="C9396" s="1">
        <f>HYPERLINK("https://cao.dolgi.msk.ru/account/1011477327/", 1011477327)</f>
        <v>1011477327</v>
      </c>
      <c r="D9396">
        <v>0</v>
      </c>
    </row>
    <row r="9397" spans="1:4" x14ac:dyDescent="0.3">
      <c r="A9397" t="s">
        <v>769</v>
      </c>
      <c r="B9397" t="s">
        <v>16</v>
      </c>
      <c r="C9397" s="1">
        <f>HYPERLINK("https://cao.dolgi.msk.ru/account/1011477335/", 1011477335)</f>
        <v>1011477335</v>
      </c>
      <c r="D9397">
        <v>57786.9</v>
      </c>
    </row>
    <row r="9398" spans="1:4" hidden="1" x14ac:dyDescent="0.3">
      <c r="A9398" t="s">
        <v>769</v>
      </c>
      <c r="B9398" t="s">
        <v>18</v>
      </c>
      <c r="C9398" s="1">
        <f>HYPERLINK("https://cao.dolgi.msk.ru/account/1011477108/", 1011477108)</f>
        <v>1011477108</v>
      </c>
      <c r="D9398">
        <v>0</v>
      </c>
    </row>
    <row r="9399" spans="1:4" hidden="1" x14ac:dyDescent="0.3">
      <c r="A9399" t="s">
        <v>769</v>
      </c>
      <c r="B9399" t="s">
        <v>19</v>
      </c>
      <c r="C9399" s="1">
        <f>HYPERLINK("https://cao.dolgi.msk.ru/account/1011477247/", 1011477247)</f>
        <v>1011477247</v>
      </c>
      <c r="D9399">
        <v>-9614.2000000000007</v>
      </c>
    </row>
    <row r="9400" spans="1:4" hidden="1" x14ac:dyDescent="0.3">
      <c r="A9400" t="s">
        <v>769</v>
      </c>
      <c r="B9400" t="s">
        <v>20</v>
      </c>
      <c r="C9400" s="1">
        <f>HYPERLINK("https://cao.dolgi.msk.ru/account/1011477191/", 1011477191)</f>
        <v>1011477191</v>
      </c>
      <c r="D9400">
        <v>-1.76</v>
      </c>
    </row>
    <row r="9401" spans="1:4" hidden="1" x14ac:dyDescent="0.3">
      <c r="A9401" t="s">
        <v>769</v>
      </c>
      <c r="B9401" t="s">
        <v>21</v>
      </c>
      <c r="C9401" s="1">
        <f>HYPERLINK("https://cao.dolgi.msk.ru/account/1011477204/", 1011477204)</f>
        <v>1011477204</v>
      </c>
      <c r="D9401">
        <v>0</v>
      </c>
    </row>
    <row r="9402" spans="1:4" hidden="1" x14ac:dyDescent="0.3">
      <c r="A9402" t="s">
        <v>769</v>
      </c>
      <c r="B9402" t="s">
        <v>22</v>
      </c>
      <c r="C9402" s="1">
        <f>HYPERLINK("https://cao.dolgi.msk.ru/account/1011477001/", 1011477001)</f>
        <v>1011477001</v>
      </c>
      <c r="D9402">
        <v>0</v>
      </c>
    </row>
    <row r="9403" spans="1:4" hidden="1" x14ac:dyDescent="0.3">
      <c r="A9403" t="s">
        <v>769</v>
      </c>
      <c r="B9403" t="s">
        <v>25</v>
      </c>
      <c r="C9403" s="1">
        <f>HYPERLINK("https://cao.dolgi.msk.ru/account/1011477079/", 1011477079)</f>
        <v>1011477079</v>
      </c>
      <c r="D9403">
        <v>0</v>
      </c>
    </row>
    <row r="9404" spans="1:4" hidden="1" x14ac:dyDescent="0.3">
      <c r="A9404" t="s">
        <v>769</v>
      </c>
      <c r="B9404" t="s">
        <v>26</v>
      </c>
      <c r="C9404" s="1">
        <f>HYPERLINK("https://cao.dolgi.msk.ru/account/1011477212/", 1011477212)</f>
        <v>1011477212</v>
      </c>
      <c r="D9404">
        <v>0</v>
      </c>
    </row>
    <row r="9405" spans="1:4" hidden="1" x14ac:dyDescent="0.3">
      <c r="A9405" t="s">
        <v>769</v>
      </c>
      <c r="B9405" t="s">
        <v>27</v>
      </c>
      <c r="C9405" s="1">
        <f>HYPERLINK("https://cao.dolgi.msk.ru/account/1011477298/", 1011477298)</f>
        <v>1011477298</v>
      </c>
      <c r="D9405">
        <v>0</v>
      </c>
    </row>
    <row r="9406" spans="1:4" hidden="1" x14ac:dyDescent="0.3">
      <c r="A9406" t="s">
        <v>769</v>
      </c>
      <c r="B9406" t="s">
        <v>29</v>
      </c>
      <c r="C9406" s="1">
        <f>HYPERLINK("https://cao.dolgi.msk.ru/account/1011477255/", 1011477255)</f>
        <v>1011477255</v>
      </c>
      <c r="D9406">
        <v>0</v>
      </c>
    </row>
    <row r="9407" spans="1:4" hidden="1" x14ac:dyDescent="0.3">
      <c r="A9407" t="s">
        <v>769</v>
      </c>
      <c r="B9407" t="s">
        <v>38</v>
      </c>
      <c r="C9407" s="1">
        <f>HYPERLINK("https://cao.dolgi.msk.ru/account/1011477319/", 1011477319)</f>
        <v>1011477319</v>
      </c>
      <c r="D9407">
        <v>-19037.849999999999</v>
      </c>
    </row>
    <row r="9408" spans="1:4" hidden="1" x14ac:dyDescent="0.3">
      <c r="A9408" t="s">
        <v>769</v>
      </c>
      <c r="B9408" t="s">
        <v>39</v>
      </c>
      <c r="C9408" s="1">
        <f>HYPERLINK("https://cao.dolgi.msk.ru/account/1011477239/", 1011477239)</f>
        <v>1011477239</v>
      </c>
      <c r="D9408">
        <v>0</v>
      </c>
    </row>
    <row r="9409" spans="1:4" hidden="1" x14ac:dyDescent="0.3">
      <c r="A9409" t="s">
        <v>770</v>
      </c>
      <c r="B9409" t="s">
        <v>53</v>
      </c>
      <c r="C9409" s="1">
        <f>HYPERLINK("https://cao.dolgi.msk.ru/account/1011077243/", 1011077243)</f>
        <v>1011077243</v>
      </c>
      <c r="D9409">
        <v>-699.36</v>
      </c>
    </row>
    <row r="9410" spans="1:4" hidden="1" x14ac:dyDescent="0.3">
      <c r="A9410" t="s">
        <v>770</v>
      </c>
      <c r="B9410" t="s">
        <v>54</v>
      </c>
      <c r="C9410" s="1">
        <f>HYPERLINK("https://cao.dolgi.msk.ru/account/1011077403/", 1011077403)</f>
        <v>1011077403</v>
      </c>
      <c r="D9410">
        <v>-1184.3399999999999</v>
      </c>
    </row>
    <row r="9411" spans="1:4" hidden="1" x14ac:dyDescent="0.3">
      <c r="A9411" t="s">
        <v>770</v>
      </c>
      <c r="B9411" t="s">
        <v>55</v>
      </c>
      <c r="C9411" s="1">
        <f>HYPERLINK("https://cao.dolgi.msk.ru/account/1011077366/", 1011077366)</f>
        <v>1011077366</v>
      </c>
      <c r="D9411">
        <v>0</v>
      </c>
    </row>
    <row r="9412" spans="1:4" hidden="1" x14ac:dyDescent="0.3">
      <c r="A9412" t="s">
        <v>770</v>
      </c>
      <c r="B9412" t="s">
        <v>56</v>
      </c>
      <c r="C9412" s="1">
        <f>HYPERLINK("https://cao.dolgi.msk.ru/account/1011077438/", 1011077438)</f>
        <v>1011077438</v>
      </c>
      <c r="D9412">
        <v>-753.49</v>
      </c>
    </row>
    <row r="9413" spans="1:4" hidden="1" x14ac:dyDescent="0.3">
      <c r="A9413" t="s">
        <v>770</v>
      </c>
      <c r="B9413" t="s">
        <v>87</v>
      </c>
      <c r="C9413" s="1">
        <f>HYPERLINK("https://cao.dolgi.msk.ru/account/1011077219/", 1011077219)</f>
        <v>1011077219</v>
      </c>
      <c r="D9413">
        <v>-58.43</v>
      </c>
    </row>
    <row r="9414" spans="1:4" hidden="1" x14ac:dyDescent="0.3">
      <c r="A9414" t="s">
        <v>770</v>
      </c>
      <c r="B9414" t="s">
        <v>88</v>
      </c>
      <c r="C9414" s="1">
        <f>HYPERLINK("https://cao.dolgi.msk.ru/account/1011077251/", 1011077251)</f>
        <v>1011077251</v>
      </c>
      <c r="D9414">
        <v>0</v>
      </c>
    </row>
    <row r="9415" spans="1:4" hidden="1" x14ac:dyDescent="0.3">
      <c r="A9415" t="s">
        <v>770</v>
      </c>
      <c r="B9415" t="s">
        <v>89</v>
      </c>
      <c r="C9415" s="1">
        <f>HYPERLINK("https://cao.dolgi.msk.ru/account/1011077446/", 1011077446)</f>
        <v>1011077446</v>
      </c>
      <c r="D9415">
        <v>0</v>
      </c>
    </row>
    <row r="9416" spans="1:4" hidden="1" x14ac:dyDescent="0.3">
      <c r="A9416" t="s">
        <v>770</v>
      </c>
      <c r="B9416" t="s">
        <v>90</v>
      </c>
      <c r="C9416" s="1">
        <f>HYPERLINK("https://cao.dolgi.msk.ru/account/1011077462/", 1011077462)</f>
        <v>1011077462</v>
      </c>
      <c r="D9416">
        <v>0</v>
      </c>
    </row>
    <row r="9417" spans="1:4" hidden="1" x14ac:dyDescent="0.3">
      <c r="A9417" t="s">
        <v>770</v>
      </c>
      <c r="B9417" t="s">
        <v>96</v>
      </c>
      <c r="C9417" s="1">
        <f>HYPERLINK("https://cao.dolgi.msk.ru/account/1011077307/", 1011077307)</f>
        <v>1011077307</v>
      </c>
      <c r="D9417">
        <v>-90.9</v>
      </c>
    </row>
    <row r="9418" spans="1:4" hidden="1" x14ac:dyDescent="0.3">
      <c r="A9418" t="s">
        <v>770</v>
      </c>
      <c r="B9418" t="s">
        <v>771</v>
      </c>
      <c r="C9418" s="1">
        <f>HYPERLINK("https://cao.dolgi.msk.ru/account/1011077315/", 1011077315)</f>
        <v>1011077315</v>
      </c>
      <c r="D9418">
        <v>0</v>
      </c>
    </row>
    <row r="9419" spans="1:4" x14ac:dyDescent="0.3">
      <c r="A9419" t="s">
        <v>770</v>
      </c>
      <c r="B9419" t="s">
        <v>98</v>
      </c>
      <c r="C9419" s="1">
        <f>HYPERLINK("https://cao.dolgi.msk.ru/account/1011534256/", 1011534256)</f>
        <v>1011534256</v>
      </c>
      <c r="D9419">
        <v>18993.32</v>
      </c>
    </row>
    <row r="9420" spans="1:4" hidden="1" x14ac:dyDescent="0.3">
      <c r="A9420" t="s">
        <v>770</v>
      </c>
      <c r="B9420" t="s">
        <v>58</v>
      </c>
      <c r="C9420" s="1">
        <f>HYPERLINK("https://cao.dolgi.msk.ru/account/1011077323/", 1011077323)</f>
        <v>1011077323</v>
      </c>
      <c r="D9420">
        <v>0</v>
      </c>
    </row>
    <row r="9421" spans="1:4" hidden="1" x14ac:dyDescent="0.3">
      <c r="A9421" t="s">
        <v>770</v>
      </c>
      <c r="B9421" t="s">
        <v>59</v>
      </c>
      <c r="C9421" s="1">
        <f>HYPERLINK("https://cao.dolgi.msk.ru/account/1011077454/", 1011077454)</f>
        <v>1011077454</v>
      </c>
      <c r="D9421">
        <v>-8733.2900000000009</v>
      </c>
    </row>
    <row r="9422" spans="1:4" hidden="1" x14ac:dyDescent="0.3">
      <c r="A9422" t="s">
        <v>770</v>
      </c>
      <c r="B9422" t="s">
        <v>60</v>
      </c>
      <c r="C9422" s="1">
        <f>HYPERLINK("https://cao.dolgi.msk.ru/account/1011077489/", 1011077489)</f>
        <v>1011077489</v>
      </c>
      <c r="D9422">
        <v>-20519.580000000002</v>
      </c>
    </row>
    <row r="9423" spans="1:4" hidden="1" x14ac:dyDescent="0.3">
      <c r="A9423" t="s">
        <v>770</v>
      </c>
      <c r="B9423" t="s">
        <v>61</v>
      </c>
      <c r="C9423" s="1">
        <f>HYPERLINK("https://cao.dolgi.msk.ru/account/1011077497/", 1011077497)</f>
        <v>1011077497</v>
      </c>
      <c r="D9423">
        <v>-18090.22</v>
      </c>
    </row>
    <row r="9424" spans="1:4" hidden="1" x14ac:dyDescent="0.3">
      <c r="A9424" t="s">
        <v>770</v>
      </c>
      <c r="B9424" t="s">
        <v>62</v>
      </c>
      <c r="C9424" s="1">
        <f>HYPERLINK("https://cao.dolgi.msk.ru/account/1011077227/", 1011077227)</f>
        <v>1011077227</v>
      </c>
      <c r="D9424">
        <v>0</v>
      </c>
    </row>
    <row r="9425" spans="1:4" x14ac:dyDescent="0.3">
      <c r="A9425" t="s">
        <v>770</v>
      </c>
      <c r="B9425" t="s">
        <v>62</v>
      </c>
      <c r="C9425" s="1">
        <f>HYPERLINK("https://cao.dolgi.msk.ru/account/1011077382/", 1011077382)</f>
        <v>1011077382</v>
      </c>
      <c r="D9425">
        <v>67415.7</v>
      </c>
    </row>
    <row r="9426" spans="1:4" hidden="1" x14ac:dyDescent="0.3">
      <c r="A9426" t="s">
        <v>770</v>
      </c>
      <c r="B9426" t="s">
        <v>62</v>
      </c>
      <c r="C9426" s="1">
        <f>HYPERLINK("https://cao.dolgi.msk.ru/account/1011102162/", 1011102162)</f>
        <v>1011102162</v>
      </c>
      <c r="D9426">
        <v>0</v>
      </c>
    </row>
    <row r="9427" spans="1:4" hidden="1" x14ac:dyDescent="0.3">
      <c r="A9427" t="s">
        <v>770</v>
      </c>
      <c r="B9427" t="s">
        <v>63</v>
      </c>
      <c r="C9427" s="1">
        <f>HYPERLINK("https://cao.dolgi.msk.ru/account/1011077331/", 1011077331)</f>
        <v>1011077331</v>
      </c>
      <c r="D9427">
        <v>-18305.23</v>
      </c>
    </row>
    <row r="9428" spans="1:4" hidden="1" x14ac:dyDescent="0.3">
      <c r="A9428" t="s">
        <v>770</v>
      </c>
      <c r="B9428" t="s">
        <v>64</v>
      </c>
      <c r="C9428" s="1">
        <f>HYPERLINK("https://cao.dolgi.msk.ru/account/1011077235/", 1011077235)</f>
        <v>1011077235</v>
      </c>
      <c r="D9428">
        <v>0</v>
      </c>
    </row>
    <row r="9429" spans="1:4" hidden="1" x14ac:dyDescent="0.3">
      <c r="A9429" t="s">
        <v>772</v>
      </c>
      <c r="B9429" t="s">
        <v>68</v>
      </c>
      <c r="C9429" s="1">
        <f>HYPERLINK("https://cao.dolgi.msk.ru/account/1011486805/", 1011486805)</f>
        <v>1011486805</v>
      </c>
      <c r="D9429">
        <v>-2954.24</v>
      </c>
    </row>
    <row r="9430" spans="1:4" hidden="1" x14ac:dyDescent="0.3">
      <c r="A9430" t="s">
        <v>772</v>
      </c>
      <c r="B9430" t="s">
        <v>69</v>
      </c>
      <c r="C9430" s="1">
        <f>HYPERLINK("https://cao.dolgi.msk.ru/account/1011486792/", 1011486792)</f>
        <v>1011486792</v>
      </c>
      <c r="D9430">
        <v>0</v>
      </c>
    </row>
    <row r="9431" spans="1:4" hidden="1" x14ac:dyDescent="0.3">
      <c r="A9431" t="s">
        <v>772</v>
      </c>
      <c r="B9431" t="s">
        <v>70</v>
      </c>
      <c r="C9431" s="1">
        <f>HYPERLINK("https://cao.dolgi.msk.ru/account/1011486813/", 1011486813)</f>
        <v>1011486813</v>
      </c>
      <c r="D9431">
        <v>-3365.5</v>
      </c>
    </row>
    <row r="9432" spans="1:4" x14ac:dyDescent="0.3">
      <c r="A9432" t="s">
        <v>773</v>
      </c>
      <c r="B9432" t="s">
        <v>6</v>
      </c>
      <c r="C9432" s="1">
        <f>HYPERLINK("https://cao.dolgi.msk.ru/account/1019022984/", 1019022984)</f>
        <v>1019022984</v>
      </c>
      <c r="D9432">
        <v>14253.23</v>
      </c>
    </row>
    <row r="9433" spans="1:4" hidden="1" x14ac:dyDescent="0.3">
      <c r="A9433" t="s">
        <v>773</v>
      </c>
      <c r="B9433" t="s">
        <v>28</v>
      </c>
      <c r="C9433" s="1">
        <f>HYPERLINK("https://cao.dolgi.msk.ru/account/1019023231/", 1019023231)</f>
        <v>1019023231</v>
      </c>
      <c r="D9433">
        <v>0</v>
      </c>
    </row>
    <row r="9434" spans="1:4" hidden="1" x14ac:dyDescent="0.3">
      <c r="A9434" t="s">
        <v>773</v>
      </c>
      <c r="B9434" t="s">
        <v>35</v>
      </c>
      <c r="C9434" s="1">
        <f>HYPERLINK("https://cao.dolgi.msk.ru/account/1019023258/", 1019023258)</f>
        <v>1019023258</v>
      </c>
      <c r="D9434">
        <v>0</v>
      </c>
    </row>
    <row r="9435" spans="1:4" hidden="1" x14ac:dyDescent="0.3">
      <c r="A9435" t="s">
        <v>774</v>
      </c>
      <c r="B9435" t="s">
        <v>25</v>
      </c>
      <c r="C9435" s="1">
        <f>HYPERLINK("https://cao.dolgi.msk.ru/account/1011435696/", 1011435696)</f>
        <v>1011435696</v>
      </c>
      <c r="D9435">
        <v>-2206.9299999999998</v>
      </c>
    </row>
    <row r="9436" spans="1:4" hidden="1" x14ac:dyDescent="0.3">
      <c r="A9436" t="s">
        <v>774</v>
      </c>
      <c r="B9436" t="s">
        <v>26</v>
      </c>
      <c r="C9436" s="1">
        <f>HYPERLINK("https://cao.dolgi.msk.ru/account/1011435725/", 1011435725)</f>
        <v>1011435725</v>
      </c>
      <c r="D9436">
        <v>0</v>
      </c>
    </row>
    <row r="9437" spans="1:4" hidden="1" x14ac:dyDescent="0.3">
      <c r="A9437" t="s">
        <v>774</v>
      </c>
      <c r="B9437" t="s">
        <v>27</v>
      </c>
      <c r="C9437" s="1">
        <f>HYPERLINK("https://cao.dolgi.msk.ru/account/1011435717/", 1011435717)</f>
        <v>1011435717</v>
      </c>
      <c r="D9437">
        <v>-13053.53</v>
      </c>
    </row>
    <row r="9438" spans="1:4" x14ac:dyDescent="0.3">
      <c r="A9438" t="s">
        <v>774</v>
      </c>
      <c r="B9438" t="s">
        <v>29</v>
      </c>
      <c r="C9438" s="1">
        <f>HYPERLINK("https://cao.dolgi.msk.ru/account/1011435733/", 1011435733)</f>
        <v>1011435733</v>
      </c>
      <c r="D9438">
        <v>57537.1</v>
      </c>
    </row>
    <row r="9439" spans="1:4" x14ac:dyDescent="0.3">
      <c r="A9439" t="s">
        <v>774</v>
      </c>
      <c r="B9439" t="s">
        <v>38</v>
      </c>
      <c r="C9439" s="1">
        <f>HYPERLINK("https://cao.dolgi.msk.ru/account/1011435784/", 1011435784)</f>
        <v>1011435784</v>
      </c>
      <c r="D9439">
        <v>21704.92</v>
      </c>
    </row>
    <row r="9440" spans="1:4" x14ac:dyDescent="0.3">
      <c r="A9440" t="s">
        <v>774</v>
      </c>
      <c r="B9440" t="s">
        <v>39</v>
      </c>
      <c r="C9440" s="1">
        <f>HYPERLINK("https://cao.dolgi.msk.ru/account/1011435776/", 1011435776)</f>
        <v>1011435776</v>
      </c>
      <c r="D9440">
        <v>12651.68</v>
      </c>
    </row>
    <row r="9441" spans="1:4" x14ac:dyDescent="0.3">
      <c r="A9441" t="s">
        <v>774</v>
      </c>
      <c r="B9441" t="s">
        <v>40</v>
      </c>
      <c r="C9441" s="1">
        <f>HYPERLINK("https://cao.dolgi.msk.ru/account/1011435768/", 1011435768)</f>
        <v>1011435768</v>
      </c>
      <c r="D9441">
        <v>13751.52</v>
      </c>
    </row>
    <row r="9442" spans="1:4" x14ac:dyDescent="0.3">
      <c r="A9442" t="s">
        <v>774</v>
      </c>
      <c r="B9442" t="s">
        <v>51</v>
      </c>
      <c r="C9442" s="1">
        <f>HYPERLINK("https://cao.dolgi.msk.ru/account/1011435741/", 1011435741)</f>
        <v>1011435741</v>
      </c>
      <c r="D9442">
        <v>22199.360000000001</v>
      </c>
    </row>
    <row r="9443" spans="1:4" x14ac:dyDescent="0.3">
      <c r="A9443" t="s">
        <v>774</v>
      </c>
      <c r="B9443" t="s">
        <v>53</v>
      </c>
      <c r="C9443" s="1">
        <f>HYPERLINK("https://cao.dolgi.msk.ru/account/1011435709/", 1011435709)</f>
        <v>1011435709</v>
      </c>
      <c r="D9443">
        <v>6791.92</v>
      </c>
    </row>
    <row r="9444" spans="1:4" hidden="1" x14ac:dyDescent="0.3">
      <c r="A9444" t="s">
        <v>775</v>
      </c>
      <c r="B9444" t="s">
        <v>8</v>
      </c>
      <c r="C9444" s="1">
        <f>HYPERLINK("https://cao.dolgi.msk.ru/account/1011477511/", 1011477511)</f>
        <v>1011477511</v>
      </c>
      <c r="D9444">
        <v>0</v>
      </c>
    </row>
    <row r="9445" spans="1:4" hidden="1" x14ac:dyDescent="0.3">
      <c r="A9445" t="s">
        <v>775</v>
      </c>
      <c r="B9445" t="s">
        <v>31</v>
      </c>
      <c r="C9445" s="1">
        <f>HYPERLINK("https://cao.dolgi.msk.ru/account/1011477386/", 1011477386)</f>
        <v>1011477386</v>
      </c>
      <c r="D9445">
        <v>0</v>
      </c>
    </row>
    <row r="9446" spans="1:4" hidden="1" x14ac:dyDescent="0.3">
      <c r="A9446" t="s">
        <v>775</v>
      </c>
      <c r="B9446" t="s">
        <v>31</v>
      </c>
      <c r="C9446" s="1">
        <f>HYPERLINK("https://cao.dolgi.msk.ru/account/1011477423/", 1011477423)</f>
        <v>1011477423</v>
      </c>
      <c r="D9446">
        <v>0</v>
      </c>
    </row>
    <row r="9447" spans="1:4" hidden="1" x14ac:dyDescent="0.3">
      <c r="A9447" t="s">
        <v>775</v>
      </c>
      <c r="B9447" t="s">
        <v>9</v>
      </c>
      <c r="C9447" s="1">
        <f>HYPERLINK("https://cao.dolgi.msk.ru/account/1011477589/", 1011477589)</f>
        <v>1011477589</v>
      </c>
      <c r="D9447">
        <v>0</v>
      </c>
    </row>
    <row r="9448" spans="1:4" x14ac:dyDescent="0.3">
      <c r="A9448" t="s">
        <v>775</v>
      </c>
      <c r="B9448" t="s">
        <v>10</v>
      </c>
      <c r="C9448" s="1">
        <f>HYPERLINK("https://cao.dolgi.msk.ru/account/1011477597/", 1011477597)</f>
        <v>1011477597</v>
      </c>
      <c r="D9448">
        <v>62646.54</v>
      </c>
    </row>
    <row r="9449" spans="1:4" hidden="1" x14ac:dyDescent="0.3">
      <c r="A9449" t="s">
        <v>775</v>
      </c>
      <c r="B9449" t="s">
        <v>11</v>
      </c>
      <c r="C9449" s="1">
        <f>HYPERLINK("https://cao.dolgi.msk.ru/account/1011477394/", 1011477394)</f>
        <v>1011477394</v>
      </c>
      <c r="D9449">
        <v>0</v>
      </c>
    </row>
    <row r="9450" spans="1:4" x14ac:dyDescent="0.3">
      <c r="A9450" t="s">
        <v>775</v>
      </c>
      <c r="B9450" t="s">
        <v>11</v>
      </c>
      <c r="C9450" s="1">
        <f>HYPERLINK("https://cao.dolgi.msk.ru/account/1011534387/", 1011534387)</f>
        <v>1011534387</v>
      </c>
      <c r="D9450">
        <v>5021.68</v>
      </c>
    </row>
    <row r="9451" spans="1:4" x14ac:dyDescent="0.3">
      <c r="A9451" t="s">
        <v>775</v>
      </c>
      <c r="B9451" t="s">
        <v>11</v>
      </c>
      <c r="C9451" s="1">
        <f>HYPERLINK("https://cao.dolgi.msk.ru/account/1011534395/", 1011534395)</f>
        <v>1011534395</v>
      </c>
      <c r="D9451">
        <v>5344.32</v>
      </c>
    </row>
    <row r="9452" spans="1:4" hidden="1" x14ac:dyDescent="0.3">
      <c r="A9452" t="s">
        <v>775</v>
      </c>
      <c r="B9452" t="s">
        <v>12</v>
      </c>
      <c r="C9452" s="1">
        <f>HYPERLINK("https://cao.dolgi.msk.ru/account/1011477431/", 1011477431)</f>
        <v>1011477431</v>
      </c>
      <c r="D9452">
        <v>0</v>
      </c>
    </row>
    <row r="9453" spans="1:4" hidden="1" x14ac:dyDescent="0.3">
      <c r="A9453" t="s">
        <v>775</v>
      </c>
      <c r="B9453" t="s">
        <v>23</v>
      </c>
      <c r="C9453" s="1">
        <f>HYPERLINK("https://cao.dolgi.msk.ru/account/1011477407/", 1011477407)</f>
        <v>1011477407</v>
      </c>
      <c r="D9453">
        <v>-1847.77</v>
      </c>
    </row>
    <row r="9454" spans="1:4" hidden="1" x14ac:dyDescent="0.3">
      <c r="A9454" t="s">
        <v>775</v>
      </c>
      <c r="B9454" t="s">
        <v>23</v>
      </c>
      <c r="C9454" s="1">
        <f>HYPERLINK("https://cao.dolgi.msk.ru/account/1011477458/", 1011477458)</f>
        <v>1011477458</v>
      </c>
      <c r="D9454">
        <v>0</v>
      </c>
    </row>
    <row r="9455" spans="1:4" x14ac:dyDescent="0.3">
      <c r="A9455" t="s">
        <v>775</v>
      </c>
      <c r="B9455" t="s">
        <v>23</v>
      </c>
      <c r="C9455" s="1">
        <f>HYPERLINK("https://cao.dolgi.msk.ru/account/1011477474/", 1011477474)</f>
        <v>1011477474</v>
      </c>
      <c r="D9455">
        <v>11509.66</v>
      </c>
    </row>
    <row r="9456" spans="1:4" hidden="1" x14ac:dyDescent="0.3">
      <c r="A9456" t="s">
        <v>775</v>
      </c>
      <c r="B9456" t="s">
        <v>13</v>
      </c>
      <c r="C9456" s="1">
        <f>HYPERLINK("https://cao.dolgi.msk.ru/account/1011477538/", 1011477538)</f>
        <v>1011477538</v>
      </c>
      <c r="D9456">
        <v>0</v>
      </c>
    </row>
    <row r="9457" spans="1:4" hidden="1" x14ac:dyDescent="0.3">
      <c r="A9457" t="s">
        <v>775</v>
      </c>
      <c r="B9457" t="s">
        <v>14</v>
      </c>
      <c r="C9457" s="1">
        <f>HYPERLINK("https://cao.dolgi.msk.ru/account/1011477343/", 1011477343)</f>
        <v>1011477343</v>
      </c>
      <c r="D9457">
        <v>-9611.89</v>
      </c>
    </row>
    <row r="9458" spans="1:4" hidden="1" x14ac:dyDescent="0.3">
      <c r="A9458" t="s">
        <v>775</v>
      </c>
      <c r="B9458" t="s">
        <v>16</v>
      </c>
      <c r="C9458" s="1">
        <f>HYPERLINK("https://cao.dolgi.msk.ru/account/1011477482/", 1011477482)</f>
        <v>1011477482</v>
      </c>
      <c r="D9458">
        <v>0</v>
      </c>
    </row>
    <row r="9459" spans="1:4" x14ac:dyDescent="0.3">
      <c r="A9459" t="s">
        <v>775</v>
      </c>
      <c r="B9459" t="s">
        <v>17</v>
      </c>
      <c r="C9459" s="1">
        <f>HYPERLINK("https://cao.dolgi.msk.ru/account/1011477503/", 1011477503)</f>
        <v>1011477503</v>
      </c>
      <c r="D9459">
        <v>122440.64</v>
      </c>
    </row>
    <row r="9460" spans="1:4" hidden="1" x14ac:dyDescent="0.3">
      <c r="A9460" t="s">
        <v>775</v>
      </c>
      <c r="B9460" t="s">
        <v>18</v>
      </c>
      <c r="C9460" s="1">
        <f>HYPERLINK("https://cao.dolgi.msk.ru/account/1011477415/", 1011477415)</f>
        <v>1011477415</v>
      </c>
      <c r="D9460">
        <v>0</v>
      </c>
    </row>
    <row r="9461" spans="1:4" x14ac:dyDescent="0.3">
      <c r="A9461" t="s">
        <v>775</v>
      </c>
      <c r="B9461" t="s">
        <v>19</v>
      </c>
      <c r="C9461" s="1">
        <f>HYPERLINK("https://cao.dolgi.msk.ru/account/1011477378/", 1011477378)</f>
        <v>1011477378</v>
      </c>
      <c r="D9461">
        <v>5100.13</v>
      </c>
    </row>
    <row r="9462" spans="1:4" hidden="1" x14ac:dyDescent="0.3">
      <c r="A9462" t="s">
        <v>775</v>
      </c>
      <c r="B9462" t="s">
        <v>19</v>
      </c>
      <c r="C9462" s="1">
        <f>HYPERLINK("https://cao.dolgi.msk.ru/account/1011477546/", 1011477546)</f>
        <v>1011477546</v>
      </c>
      <c r="D9462">
        <v>0</v>
      </c>
    </row>
    <row r="9463" spans="1:4" hidden="1" x14ac:dyDescent="0.3">
      <c r="A9463" t="s">
        <v>775</v>
      </c>
      <c r="B9463" t="s">
        <v>19</v>
      </c>
      <c r="C9463" s="1">
        <f>HYPERLINK("https://cao.dolgi.msk.ru/account/1011477562/", 1011477562)</f>
        <v>1011477562</v>
      </c>
      <c r="D9463">
        <v>0</v>
      </c>
    </row>
    <row r="9464" spans="1:4" hidden="1" x14ac:dyDescent="0.3">
      <c r="A9464" t="s">
        <v>775</v>
      </c>
      <c r="B9464" t="s">
        <v>25</v>
      </c>
      <c r="C9464" s="1">
        <f>HYPERLINK("https://cao.dolgi.msk.ru/account/1011477351/", 1011477351)</f>
        <v>1011477351</v>
      </c>
      <c r="D9464">
        <v>0</v>
      </c>
    </row>
    <row r="9465" spans="1:4" x14ac:dyDescent="0.3">
      <c r="A9465" t="s">
        <v>776</v>
      </c>
      <c r="B9465" t="s">
        <v>6</v>
      </c>
      <c r="C9465" s="1">
        <f>HYPERLINK("https://cao.dolgi.msk.ru/account/1011358838/", 1011358838)</f>
        <v>1011358838</v>
      </c>
      <c r="D9465">
        <v>18593.330000000002</v>
      </c>
    </row>
    <row r="9466" spans="1:4" hidden="1" x14ac:dyDescent="0.3">
      <c r="A9466" t="s">
        <v>776</v>
      </c>
      <c r="B9466" t="s">
        <v>28</v>
      </c>
      <c r="C9466" s="1">
        <f>HYPERLINK("https://cao.dolgi.msk.ru/account/1011359056/", 1011359056)</f>
        <v>1011359056</v>
      </c>
      <c r="D9466">
        <v>-6534.69</v>
      </c>
    </row>
    <row r="9467" spans="1:4" x14ac:dyDescent="0.3">
      <c r="A9467" t="s">
        <v>776</v>
      </c>
      <c r="B9467" t="s">
        <v>5</v>
      </c>
      <c r="C9467" s="1">
        <f>HYPERLINK("https://cao.dolgi.msk.ru/account/1011358854/", 1011358854)</f>
        <v>1011358854</v>
      </c>
      <c r="D9467">
        <v>17710.400000000001</v>
      </c>
    </row>
    <row r="9468" spans="1:4" hidden="1" x14ac:dyDescent="0.3">
      <c r="A9468" t="s">
        <v>776</v>
      </c>
      <c r="B9468" t="s">
        <v>7</v>
      </c>
      <c r="C9468" s="1">
        <f>HYPERLINK("https://cao.dolgi.msk.ru/account/1011359013/", 1011359013)</f>
        <v>1011359013</v>
      </c>
      <c r="D9468">
        <v>-663.65</v>
      </c>
    </row>
    <row r="9469" spans="1:4" x14ac:dyDescent="0.3">
      <c r="A9469" t="s">
        <v>776</v>
      </c>
      <c r="B9469" t="s">
        <v>7</v>
      </c>
      <c r="C9469" s="1">
        <f>HYPERLINK("https://cao.dolgi.msk.ru/account/1011359064/", 1011359064)</f>
        <v>1011359064</v>
      </c>
      <c r="D9469">
        <v>2148.23</v>
      </c>
    </row>
    <row r="9470" spans="1:4" hidden="1" x14ac:dyDescent="0.3">
      <c r="A9470" t="s">
        <v>776</v>
      </c>
      <c r="B9470" t="s">
        <v>7</v>
      </c>
      <c r="C9470" s="1">
        <f>HYPERLINK("https://cao.dolgi.msk.ru/account/1011515346/", 1011515346)</f>
        <v>1011515346</v>
      </c>
      <c r="D9470">
        <v>0</v>
      </c>
    </row>
    <row r="9471" spans="1:4" x14ac:dyDescent="0.3">
      <c r="A9471" t="s">
        <v>776</v>
      </c>
      <c r="B9471" t="s">
        <v>8</v>
      </c>
      <c r="C9471" s="1">
        <f>HYPERLINK("https://cao.dolgi.msk.ru/account/1011358977/", 1011358977)</f>
        <v>1011358977</v>
      </c>
      <c r="D9471">
        <v>19513.419999999998</v>
      </c>
    </row>
    <row r="9472" spans="1:4" x14ac:dyDescent="0.3">
      <c r="A9472" t="s">
        <v>776</v>
      </c>
      <c r="B9472" t="s">
        <v>343</v>
      </c>
      <c r="C9472" s="1">
        <f>HYPERLINK("https://cao.dolgi.msk.ru/account/1011358889/", 1011358889)</f>
        <v>1011358889</v>
      </c>
      <c r="D9472">
        <v>7211.29</v>
      </c>
    </row>
    <row r="9473" spans="1:4" x14ac:dyDescent="0.3">
      <c r="A9473" t="s">
        <v>776</v>
      </c>
      <c r="B9473" t="s">
        <v>31</v>
      </c>
      <c r="C9473" s="1">
        <f>HYPERLINK("https://cao.dolgi.msk.ru/account/1011358897/", 1011358897)</f>
        <v>1011358897</v>
      </c>
      <c r="D9473">
        <v>12763.7</v>
      </c>
    </row>
    <row r="9474" spans="1:4" hidden="1" x14ac:dyDescent="0.3">
      <c r="A9474" t="s">
        <v>776</v>
      </c>
      <c r="B9474" t="s">
        <v>9</v>
      </c>
      <c r="C9474" s="1">
        <f>HYPERLINK("https://cao.dolgi.msk.ru/account/1011358846/", 1011358846)</f>
        <v>1011358846</v>
      </c>
      <c r="D9474">
        <v>0</v>
      </c>
    </row>
    <row r="9475" spans="1:4" hidden="1" x14ac:dyDescent="0.3">
      <c r="A9475" t="s">
        <v>776</v>
      </c>
      <c r="B9475" t="s">
        <v>10</v>
      </c>
      <c r="C9475" s="1">
        <f>HYPERLINK("https://cao.dolgi.msk.ru/account/1011358985/", 1011358985)</f>
        <v>1011358985</v>
      </c>
      <c r="D9475">
        <v>0</v>
      </c>
    </row>
    <row r="9476" spans="1:4" hidden="1" x14ac:dyDescent="0.3">
      <c r="A9476" t="s">
        <v>776</v>
      </c>
      <c r="B9476" t="s">
        <v>11</v>
      </c>
      <c r="C9476" s="1">
        <f>HYPERLINK("https://cao.dolgi.msk.ru/account/1011358918/", 1011358918)</f>
        <v>1011358918</v>
      </c>
      <c r="D9476">
        <v>-8585.91</v>
      </c>
    </row>
    <row r="9477" spans="1:4" hidden="1" x14ac:dyDescent="0.3">
      <c r="A9477" t="s">
        <v>776</v>
      </c>
      <c r="B9477" t="s">
        <v>12</v>
      </c>
      <c r="C9477" s="1">
        <f>HYPERLINK("https://cao.dolgi.msk.ru/account/1011358934/", 1011358934)</f>
        <v>1011358934</v>
      </c>
      <c r="D9477">
        <v>0</v>
      </c>
    </row>
    <row r="9478" spans="1:4" hidden="1" x14ac:dyDescent="0.3">
      <c r="A9478" t="s">
        <v>776</v>
      </c>
      <c r="B9478" t="s">
        <v>12</v>
      </c>
      <c r="C9478" s="1">
        <f>HYPERLINK("https://cao.dolgi.msk.ru/account/1011359005/", 1011359005)</f>
        <v>1011359005</v>
      </c>
      <c r="D9478">
        <v>0</v>
      </c>
    </row>
    <row r="9479" spans="1:4" hidden="1" x14ac:dyDescent="0.3">
      <c r="A9479" t="s">
        <v>776</v>
      </c>
      <c r="B9479" t="s">
        <v>12</v>
      </c>
      <c r="C9479" s="1">
        <f>HYPERLINK("https://cao.dolgi.msk.ru/account/1011504591/", 1011504591)</f>
        <v>1011504591</v>
      </c>
      <c r="D9479">
        <v>0</v>
      </c>
    </row>
    <row r="9480" spans="1:4" hidden="1" x14ac:dyDescent="0.3">
      <c r="A9480" t="s">
        <v>776</v>
      </c>
      <c r="B9480" t="s">
        <v>23</v>
      </c>
      <c r="C9480" s="1">
        <f>HYPERLINK("https://cao.dolgi.msk.ru/account/1011358926/", 1011358926)</f>
        <v>1011358926</v>
      </c>
      <c r="D9480">
        <v>-7934.71</v>
      </c>
    </row>
    <row r="9481" spans="1:4" hidden="1" x14ac:dyDescent="0.3">
      <c r="A9481" t="s">
        <v>776</v>
      </c>
      <c r="B9481" t="s">
        <v>777</v>
      </c>
      <c r="C9481" s="1">
        <f>HYPERLINK("https://cao.dolgi.msk.ru/account/1011359021/", 1011359021)</f>
        <v>1011359021</v>
      </c>
      <c r="D9481">
        <v>-9014.31</v>
      </c>
    </row>
    <row r="9482" spans="1:4" hidden="1" x14ac:dyDescent="0.3">
      <c r="A9482" t="s">
        <v>776</v>
      </c>
      <c r="B9482" t="s">
        <v>14</v>
      </c>
      <c r="C9482" s="1">
        <f>HYPERLINK("https://cao.dolgi.msk.ru/account/1011358862/", 1011358862)</f>
        <v>1011358862</v>
      </c>
      <c r="D9482">
        <v>-240.97</v>
      </c>
    </row>
    <row r="9483" spans="1:4" hidden="1" x14ac:dyDescent="0.3">
      <c r="A9483" t="s">
        <v>776</v>
      </c>
      <c r="B9483" t="s">
        <v>14</v>
      </c>
      <c r="C9483" s="1">
        <f>HYPERLINK("https://cao.dolgi.msk.ru/account/1011358942/", 1011358942)</f>
        <v>1011358942</v>
      </c>
      <c r="D9483">
        <v>-1928.08</v>
      </c>
    </row>
    <row r="9484" spans="1:4" hidden="1" x14ac:dyDescent="0.3">
      <c r="A9484" t="s">
        <v>776</v>
      </c>
      <c r="B9484" t="s">
        <v>14</v>
      </c>
      <c r="C9484" s="1">
        <f>HYPERLINK("https://cao.dolgi.msk.ru/account/1011359048/", 1011359048)</f>
        <v>1011359048</v>
      </c>
      <c r="D9484">
        <v>-598.58000000000004</v>
      </c>
    </row>
    <row r="9485" spans="1:4" hidden="1" x14ac:dyDescent="0.3">
      <c r="A9485" t="s">
        <v>776</v>
      </c>
      <c r="B9485" t="s">
        <v>16</v>
      </c>
      <c r="C9485" s="1">
        <f>HYPERLINK("https://cao.dolgi.msk.ru/account/1011358993/", 1011358993)</f>
        <v>1011358993</v>
      </c>
      <c r="D9485">
        <v>-4276.62</v>
      </c>
    </row>
    <row r="9486" spans="1:4" hidden="1" x14ac:dyDescent="0.3">
      <c r="A9486" t="s">
        <v>776</v>
      </c>
      <c r="B9486" t="s">
        <v>17</v>
      </c>
      <c r="C9486" s="1">
        <f>HYPERLINK("https://cao.dolgi.msk.ru/account/1011358969/", 1011358969)</f>
        <v>1011358969</v>
      </c>
      <c r="D9486">
        <v>0</v>
      </c>
    </row>
    <row r="9487" spans="1:4" hidden="1" x14ac:dyDescent="0.3">
      <c r="A9487" t="s">
        <v>778</v>
      </c>
      <c r="B9487" t="s">
        <v>17</v>
      </c>
      <c r="C9487" s="1">
        <f>HYPERLINK("https://cao.dolgi.msk.ru/account/1011383216/", 1011383216)</f>
        <v>1011383216</v>
      </c>
      <c r="D9487">
        <v>0</v>
      </c>
    </row>
    <row r="9488" spans="1:4" hidden="1" x14ac:dyDescent="0.3">
      <c r="A9488" t="s">
        <v>778</v>
      </c>
      <c r="B9488" t="s">
        <v>18</v>
      </c>
      <c r="C9488" s="1">
        <f>HYPERLINK("https://cao.dolgi.msk.ru/account/1011383195/", 1011383195)</f>
        <v>1011383195</v>
      </c>
      <c r="D9488">
        <v>0</v>
      </c>
    </row>
    <row r="9489" spans="1:4" x14ac:dyDescent="0.3">
      <c r="A9489" t="s">
        <v>778</v>
      </c>
      <c r="B9489" t="s">
        <v>19</v>
      </c>
      <c r="C9489" s="1">
        <f>HYPERLINK("https://cao.dolgi.msk.ru/account/1011383259/", 1011383259)</f>
        <v>1011383259</v>
      </c>
      <c r="D9489">
        <v>889.33</v>
      </c>
    </row>
    <row r="9490" spans="1:4" x14ac:dyDescent="0.3">
      <c r="A9490" t="s">
        <v>778</v>
      </c>
      <c r="B9490" t="s">
        <v>20</v>
      </c>
      <c r="C9490" s="1">
        <f>HYPERLINK("https://cao.dolgi.msk.ru/account/1011383208/", 1011383208)</f>
        <v>1011383208</v>
      </c>
      <c r="D9490">
        <v>1118.3599999999999</v>
      </c>
    </row>
    <row r="9491" spans="1:4" hidden="1" x14ac:dyDescent="0.3">
      <c r="A9491" t="s">
        <v>778</v>
      </c>
      <c r="B9491" t="s">
        <v>20</v>
      </c>
      <c r="C9491" s="1">
        <f>HYPERLINK("https://cao.dolgi.msk.ru/account/1011383232/", 1011383232)</f>
        <v>1011383232</v>
      </c>
      <c r="D9491">
        <v>0</v>
      </c>
    </row>
    <row r="9492" spans="1:4" hidden="1" x14ac:dyDescent="0.3">
      <c r="A9492" t="s">
        <v>778</v>
      </c>
      <c r="B9492" t="s">
        <v>21</v>
      </c>
      <c r="C9492" s="1">
        <f>HYPERLINK("https://cao.dolgi.msk.ru/account/1011383224/", 1011383224)</f>
        <v>1011383224</v>
      </c>
      <c r="D9492">
        <v>0</v>
      </c>
    </row>
    <row r="9493" spans="1:4" x14ac:dyDescent="0.3">
      <c r="A9493" t="s">
        <v>779</v>
      </c>
      <c r="B9493" t="s">
        <v>5</v>
      </c>
      <c r="C9493" s="1">
        <f>HYPERLINK("https://cao.dolgi.msk.ru/account/1011200459/", 1011200459)</f>
        <v>1011200459</v>
      </c>
      <c r="D9493">
        <v>15984.64</v>
      </c>
    </row>
    <row r="9494" spans="1:4" hidden="1" x14ac:dyDescent="0.3">
      <c r="A9494" t="s">
        <v>779</v>
      </c>
      <c r="B9494" t="s">
        <v>7</v>
      </c>
      <c r="C9494" s="1">
        <f>HYPERLINK("https://cao.dolgi.msk.ru/account/1011200387/", 1011200387)</f>
        <v>1011200387</v>
      </c>
      <c r="D9494">
        <v>0</v>
      </c>
    </row>
    <row r="9495" spans="1:4" x14ac:dyDescent="0.3">
      <c r="A9495" t="s">
        <v>779</v>
      </c>
      <c r="B9495" t="s">
        <v>8</v>
      </c>
      <c r="C9495" s="1">
        <f>HYPERLINK("https://cao.dolgi.msk.ru/account/1011200408/", 1011200408)</f>
        <v>1011200408</v>
      </c>
      <c r="D9495">
        <v>65675.47</v>
      </c>
    </row>
    <row r="9496" spans="1:4" hidden="1" x14ac:dyDescent="0.3">
      <c r="A9496" t="s">
        <v>779</v>
      </c>
      <c r="B9496" t="s">
        <v>8</v>
      </c>
      <c r="C9496" s="1">
        <f>HYPERLINK("https://cao.dolgi.msk.ru/account/1011200416/", 1011200416)</f>
        <v>1011200416</v>
      </c>
      <c r="D9496">
        <v>0</v>
      </c>
    </row>
    <row r="9497" spans="1:4" hidden="1" x14ac:dyDescent="0.3">
      <c r="A9497" t="s">
        <v>779</v>
      </c>
      <c r="B9497" t="s">
        <v>8</v>
      </c>
      <c r="C9497" s="1">
        <f>HYPERLINK("https://cao.dolgi.msk.ru/account/1011200467/", 1011200467)</f>
        <v>1011200467</v>
      </c>
      <c r="D9497">
        <v>-19.18</v>
      </c>
    </row>
    <row r="9498" spans="1:4" hidden="1" x14ac:dyDescent="0.3">
      <c r="A9498" t="s">
        <v>779</v>
      </c>
      <c r="B9498" t="s">
        <v>31</v>
      </c>
      <c r="C9498" s="1">
        <f>HYPERLINK("https://cao.dolgi.msk.ru/account/1011200483/", 1011200483)</f>
        <v>1011200483</v>
      </c>
      <c r="D9498">
        <v>0</v>
      </c>
    </row>
    <row r="9499" spans="1:4" x14ac:dyDescent="0.3">
      <c r="A9499" t="s">
        <v>779</v>
      </c>
      <c r="B9499" t="s">
        <v>9</v>
      </c>
      <c r="C9499" s="1">
        <f>HYPERLINK("https://cao.dolgi.msk.ru/account/1011200424/", 1011200424)</f>
        <v>1011200424</v>
      </c>
      <c r="D9499">
        <v>59331.97</v>
      </c>
    </row>
    <row r="9500" spans="1:4" hidden="1" x14ac:dyDescent="0.3">
      <c r="A9500" t="s">
        <v>779</v>
      </c>
      <c r="B9500" t="s">
        <v>9</v>
      </c>
      <c r="C9500" s="1">
        <f>HYPERLINK("https://cao.dolgi.msk.ru/account/1011200432/", 1011200432)</f>
        <v>1011200432</v>
      </c>
      <c r="D9500">
        <v>-8783.8700000000008</v>
      </c>
    </row>
    <row r="9501" spans="1:4" hidden="1" x14ac:dyDescent="0.3">
      <c r="A9501" t="s">
        <v>779</v>
      </c>
      <c r="B9501" t="s">
        <v>9</v>
      </c>
      <c r="C9501" s="1">
        <f>HYPERLINK("https://cao.dolgi.msk.ru/account/1011200491/", 1011200491)</f>
        <v>1011200491</v>
      </c>
      <c r="D9501">
        <v>-6676.15</v>
      </c>
    </row>
    <row r="9502" spans="1:4" hidden="1" x14ac:dyDescent="0.3">
      <c r="A9502" t="s">
        <v>779</v>
      </c>
      <c r="B9502" t="s">
        <v>10</v>
      </c>
      <c r="C9502" s="1">
        <f>HYPERLINK("https://cao.dolgi.msk.ru/account/1011200504/", 1011200504)</f>
        <v>1011200504</v>
      </c>
      <c r="D9502">
        <v>0</v>
      </c>
    </row>
    <row r="9503" spans="1:4" hidden="1" x14ac:dyDescent="0.3">
      <c r="A9503" t="s">
        <v>779</v>
      </c>
      <c r="B9503" t="s">
        <v>11</v>
      </c>
      <c r="C9503" s="1">
        <f>HYPERLINK("https://cao.dolgi.msk.ru/account/1011200475/", 1011200475)</f>
        <v>1011200475</v>
      </c>
      <c r="D9503">
        <v>0</v>
      </c>
    </row>
    <row r="9504" spans="1:4" hidden="1" x14ac:dyDescent="0.3">
      <c r="A9504" t="s">
        <v>779</v>
      </c>
      <c r="B9504" t="s">
        <v>12</v>
      </c>
      <c r="C9504" s="1">
        <f>HYPERLINK("https://cao.dolgi.msk.ru/account/1011200395/", 1011200395)</f>
        <v>1011200395</v>
      </c>
      <c r="D9504">
        <v>0</v>
      </c>
    </row>
    <row r="9505" spans="1:4" hidden="1" x14ac:dyDescent="0.3">
      <c r="A9505" t="s">
        <v>779</v>
      </c>
      <c r="B9505" t="s">
        <v>23</v>
      </c>
      <c r="C9505" s="1">
        <f>HYPERLINK("https://cao.dolgi.msk.ru/account/1011200512/", 1011200512)</f>
        <v>1011200512</v>
      </c>
      <c r="D9505">
        <v>-24213.77</v>
      </c>
    </row>
    <row r="9506" spans="1:4" x14ac:dyDescent="0.3">
      <c r="A9506" t="s">
        <v>780</v>
      </c>
      <c r="B9506" t="s">
        <v>35</v>
      </c>
      <c r="C9506" s="1">
        <f>HYPERLINK("https://cao.dolgi.msk.ru/account/1011069681/", 1011069681)</f>
        <v>1011069681</v>
      </c>
      <c r="D9506">
        <v>60162.15</v>
      </c>
    </row>
    <row r="9507" spans="1:4" hidden="1" x14ac:dyDescent="0.3">
      <c r="A9507" t="s">
        <v>780</v>
      </c>
      <c r="B9507" t="s">
        <v>5</v>
      </c>
      <c r="C9507" s="1">
        <f>HYPERLINK("https://cao.dolgi.msk.ru/account/1011515565/", 1011515565)</f>
        <v>1011515565</v>
      </c>
      <c r="D9507">
        <v>0</v>
      </c>
    </row>
    <row r="9508" spans="1:4" hidden="1" x14ac:dyDescent="0.3">
      <c r="A9508" t="s">
        <v>780</v>
      </c>
      <c r="B9508" t="s">
        <v>7</v>
      </c>
      <c r="C9508" s="1">
        <f>HYPERLINK("https://cao.dolgi.msk.ru/account/1011069833/", 1011069833)</f>
        <v>1011069833</v>
      </c>
      <c r="D9508">
        <v>-735.01</v>
      </c>
    </row>
    <row r="9509" spans="1:4" hidden="1" x14ac:dyDescent="0.3">
      <c r="A9509" t="s">
        <v>780</v>
      </c>
      <c r="B9509" t="s">
        <v>8</v>
      </c>
      <c r="C9509" s="1">
        <f>HYPERLINK("https://cao.dolgi.msk.ru/account/1011069753/", 1011069753)</f>
        <v>1011069753</v>
      </c>
      <c r="D9509">
        <v>-11135.73</v>
      </c>
    </row>
    <row r="9510" spans="1:4" x14ac:dyDescent="0.3">
      <c r="A9510" t="s">
        <v>780</v>
      </c>
      <c r="B9510" t="s">
        <v>31</v>
      </c>
      <c r="C9510" s="1">
        <f>HYPERLINK("https://cao.dolgi.msk.ru/account/1011069702/", 1011069702)</f>
        <v>1011069702</v>
      </c>
      <c r="D9510">
        <v>14952.85</v>
      </c>
    </row>
    <row r="9511" spans="1:4" hidden="1" x14ac:dyDescent="0.3">
      <c r="A9511" t="s">
        <v>780</v>
      </c>
      <c r="B9511" t="s">
        <v>9</v>
      </c>
      <c r="C9511" s="1">
        <f>HYPERLINK("https://cao.dolgi.msk.ru/account/1011069817/", 1011069817)</f>
        <v>1011069817</v>
      </c>
      <c r="D9511">
        <v>-5996.8</v>
      </c>
    </row>
    <row r="9512" spans="1:4" hidden="1" x14ac:dyDescent="0.3">
      <c r="A9512" t="s">
        <v>780</v>
      </c>
      <c r="B9512" t="s">
        <v>10</v>
      </c>
      <c r="C9512" s="1">
        <f>HYPERLINK("https://cao.dolgi.msk.ru/account/1011069729/", 1011069729)</f>
        <v>1011069729</v>
      </c>
      <c r="D9512">
        <v>-4598.22</v>
      </c>
    </row>
    <row r="9513" spans="1:4" hidden="1" x14ac:dyDescent="0.3">
      <c r="A9513" t="s">
        <v>780</v>
      </c>
      <c r="B9513" t="s">
        <v>11</v>
      </c>
      <c r="C9513" s="1">
        <f>HYPERLINK("https://cao.dolgi.msk.ru/account/1011069825/", 1011069825)</f>
        <v>1011069825</v>
      </c>
      <c r="D9513">
        <v>-248.74</v>
      </c>
    </row>
    <row r="9514" spans="1:4" x14ac:dyDescent="0.3">
      <c r="A9514" t="s">
        <v>780</v>
      </c>
      <c r="B9514" t="s">
        <v>12</v>
      </c>
      <c r="C9514" s="1">
        <f>HYPERLINK("https://cao.dolgi.msk.ru/account/1011069761/", 1011069761)</f>
        <v>1011069761</v>
      </c>
      <c r="D9514">
        <v>7555.67</v>
      </c>
    </row>
    <row r="9515" spans="1:4" hidden="1" x14ac:dyDescent="0.3">
      <c r="A9515" t="s">
        <v>780</v>
      </c>
      <c r="B9515" t="s">
        <v>23</v>
      </c>
      <c r="C9515" s="1">
        <f>HYPERLINK("https://cao.dolgi.msk.ru/account/1011069737/", 1011069737)</f>
        <v>1011069737</v>
      </c>
      <c r="D9515">
        <v>-243</v>
      </c>
    </row>
    <row r="9516" spans="1:4" x14ac:dyDescent="0.3">
      <c r="A9516" t="s">
        <v>780</v>
      </c>
      <c r="B9516" t="s">
        <v>24</v>
      </c>
      <c r="C9516" s="1">
        <f>HYPERLINK("https://cao.dolgi.msk.ru/account/1011069745/", 1011069745)</f>
        <v>1011069745</v>
      </c>
      <c r="D9516">
        <v>14749.82</v>
      </c>
    </row>
    <row r="9517" spans="1:4" x14ac:dyDescent="0.3">
      <c r="A9517" t="s">
        <v>780</v>
      </c>
      <c r="B9517" t="s">
        <v>29</v>
      </c>
      <c r="C9517" s="1">
        <f>HYPERLINK("https://cao.dolgi.msk.ru/account/1011069809/", 1011069809)</f>
        <v>1011069809</v>
      </c>
      <c r="D9517">
        <v>14312.8</v>
      </c>
    </row>
    <row r="9518" spans="1:4" x14ac:dyDescent="0.3">
      <c r="A9518" t="s">
        <v>780</v>
      </c>
      <c r="B9518" t="s">
        <v>781</v>
      </c>
      <c r="C9518" s="1">
        <f>HYPERLINK("https://cao.dolgi.msk.ru/account/1011069788/", 1011069788)</f>
        <v>1011069788</v>
      </c>
      <c r="D9518">
        <v>10709.37</v>
      </c>
    </row>
    <row r="9519" spans="1:4" x14ac:dyDescent="0.3">
      <c r="A9519" t="s">
        <v>782</v>
      </c>
      <c r="B9519" t="s">
        <v>9</v>
      </c>
      <c r="C9519" s="1">
        <f>HYPERLINK("https://cao.dolgi.msk.ru/account/1011477634/", 1011477634)</f>
        <v>1011477634</v>
      </c>
      <c r="D9519">
        <v>79041.37</v>
      </c>
    </row>
    <row r="9520" spans="1:4" hidden="1" x14ac:dyDescent="0.3">
      <c r="A9520" t="s">
        <v>782</v>
      </c>
      <c r="B9520" t="s">
        <v>32</v>
      </c>
      <c r="C9520" s="1">
        <f>HYPERLINK("https://cao.dolgi.msk.ru/account/1011477685/", 1011477685)</f>
        <v>1011477685</v>
      </c>
      <c r="D9520">
        <v>-15660.31</v>
      </c>
    </row>
    <row r="9521" spans="1:4" hidden="1" x14ac:dyDescent="0.3">
      <c r="A9521" t="s">
        <v>782</v>
      </c>
      <c r="B9521" t="s">
        <v>12</v>
      </c>
      <c r="C9521" s="1">
        <f>HYPERLINK("https://cao.dolgi.msk.ru/account/1011477693/", 1011477693)</f>
        <v>1011477693</v>
      </c>
      <c r="D9521">
        <v>-2352.41</v>
      </c>
    </row>
    <row r="9522" spans="1:4" x14ac:dyDescent="0.3">
      <c r="A9522" t="s">
        <v>782</v>
      </c>
      <c r="B9522" t="s">
        <v>23</v>
      </c>
      <c r="C9522" s="1">
        <f>HYPERLINK("https://cao.dolgi.msk.ru/account/1011477706/", 1011477706)</f>
        <v>1011477706</v>
      </c>
      <c r="D9522">
        <v>20849.13</v>
      </c>
    </row>
    <row r="9523" spans="1:4" x14ac:dyDescent="0.3">
      <c r="A9523" t="s">
        <v>782</v>
      </c>
      <c r="B9523" t="s">
        <v>777</v>
      </c>
      <c r="C9523" s="1">
        <f>HYPERLINK("https://cao.dolgi.msk.ru/account/1011477618/", 1011477618)</f>
        <v>1011477618</v>
      </c>
      <c r="D9523">
        <v>38499.4</v>
      </c>
    </row>
    <row r="9524" spans="1:4" hidden="1" x14ac:dyDescent="0.3">
      <c r="A9524" t="s">
        <v>783</v>
      </c>
      <c r="B9524" t="s">
        <v>40</v>
      </c>
      <c r="C9524" s="1">
        <f>HYPERLINK("https://cao.dolgi.msk.ru/account/1011335273/", 1011335273)</f>
        <v>1011335273</v>
      </c>
      <c r="D9524">
        <v>0</v>
      </c>
    </row>
    <row r="9525" spans="1:4" hidden="1" x14ac:dyDescent="0.3">
      <c r="A9525" t="s">
        <v>783</v>
      </c>
      <c r="B9525" t="s">
        <v>41</v>
      </c>
      <c r="C9525" s="1">
        <f>HYPERLINK("https://cao.dolgi.msk.ru/account/1011335265/", 1011335265)</f>
        <v>1011335265</v>
      </c>
      <c r="D9525">
        <v>0</v>
      </c>
    </row>
    <row r="9526" spans="1:4" hidden="1" x14ac:dyDescent="0.3">
      <c r="A9526" t="s">
        <v>783</v>
      </c>
      <c r="B9526" t="s">
        <v>611</v>
      </c>
      <c r="C9526" s="1">
        <f>HYPERLINK("https://cao.dolgi.msk.ru/account/1011335249/", 1011335249)</f>
        <v>1011335249</v>
      </c>
      <c r="D9526">
        <v>0</v>
      </c>
    </row>
    <row r="9527" spans="1:4" hidden="1" x14ac:dyDescent="0.3">
      <c r="A9527" t="s">
        <v>783</v>
      </c>
      <c r="B9527" t="s">
        <v>51</v>
      </c>
      <c r="C9527" s="1">
        <f>HYPERLINK("https://cao.dolgi.msk.ru/account/1011335281/", 1011335281)</f>
        <v>1011335281</v>
      </c>
      <c r="D9527">
        <v>-30159.08</v>
      </c>
    </row>
    <row r="9528" spans="1:4" x14ac:dyDescent="0.3">
      <c r="A9528" t="s">
        <v>783</v>
      </c>
      <c r="B9528" t="s">
        <v>53</v>
      </c>
      <c r="C9528" s="1">
        <f>HYPERLINK("https://cao.dolgi.msk.ru/account/1011335257/", 1011335257)</f>
        <v>1011335257</v>
      </c>
      <c r="D9528">
        <v>83850.710000000006</v>
      </c>
    </row>
    <row r="9529" spans="1:4" hidden="1" x14ac:dyDescent="0.3">
      <c r="A9529" t="s">
        <v>784</v>
      </c>
      <c r="B9529" t="s">
        <v>24</v>
      </c>
      <c r="C9529" s="1">
        <f>HYPERLINK("https://cao.dolgi.msk.ru/account/1011067897/", 1011067897)</f>
        <v>1011067897</v>
      </c>
      <c r="D9529">
        <v>-15160.11</v>
      </c>
    </row>
    <row r="9530" spans="1:4" hidden="1" x14ac:dyDescent="0.3">
      <c r="A9530" t="s">
        <v>784</v>
      </c>
      <c r="B9530" t="s">
        <v>25</v>
      </c>
      <c r="C9530" s="1">
        <f>HYPERLINK("https://cao.dolgi.msk.ru/account/1011067782/", 1011067782)</f>
        <v>1011067782</v>
      </c>
      <c r="D9530">
        <v>-5963.46</v>
      </c>
    </row>
    <row r="9531" spans="1:4" x14ac:dyDescent="0.3">
      <c r="A9531" t="s">
        <v>784</v>
      </c>
      <c r="B9531" t="s">
        <v>25</v>
      </c>
      <c r="C9531" s="1">
        <f>HYPERLINK("https://cao.dolgi.msk.ru/account/1011067803/", 1011067803)</f>
        <v>1011067803</v>
      </c>
      <c r="D9531">
        <v>13166.78</v>
      </c>
    </row>
    <row r="9532" spans="1:4" x14ac:dyDescent="0.3">
      <c r="A9532" t="s">
        <v>784</v>
      </c>
      <c r="B9532" t="s">
        <v>25</v>
      </c>
      <c r="C9532" s="1">
        <f>HYPERLINK("https://cao.dolgi.msk.ru/account/1011067838/", 1011067838)</f>
        <v>1011067838</v>
      </c>
      <c r="D9532">
        <v>53947.9</v>
      </c>
    </row>
    <row r="9533" spans="1:4" x14ac:dyDescent="0.3">
      <c r="A9533" t="s">
        <v>784</v>
      </c>
      <c r="B9533" t="s">
        <v>25</v>
      </c>
      <c r="C9533" s="1">
        <f>HYPERLINK("https://cao.dolgi.msk.ru/account/1011067854/", 1011067854)</f>
        <v>1011067854</v>
      </c>
      <c r="D9533">
        <v>11474.13</v>
      </c>
    </row>
    <row r="9534" spans="1:4" x14ac:dyDescent="0.3">
      <c r="A9534" t="s">
        <v>784</v>
      </c>
      <c r="B9534" t="s">
        <v>25</v>
      </c>
      <c r="C9534" s="1">
        <f>HYPERLINK("https://cao.dolgi.msk.ru/account/1011067862/", 1011067862)</f>
        <v>1011067862</v>
      </c>
      <c r="D9534">
        <v>47620.72</v>
      </c>
    </row>
    <row r="9535" spans="1:4" hidden="1" x14ac:dyDescent="0.3">
      <c r="A9535" t="s">
        <v>784</v>
      </c>
      <c r="B9535" t="s">
        <v>25</v>
      </c>
      <c r="C9535" s="1">
        <f>HYPERLINK("https://cao.dolgi.msk.ru/account/1011067889/", 1011067889)</f>
        <v>1011067889</v>
      </c>
      <c r="D9535">
        <v>-6741.16</v>
      </c>
    </row>
    <row r="9536" spans="1:4" x14ac:dyDescent="0.3">
      <c r="A9536" t="s">
        <v>784</v>
      </c>
      <c r="B9536" t="s">
        <v>25</v>
      </c>
      <c r="C9536" s="1">
        <f>HYPERLINK("https://cao.dolgi.msk.ru/account/1011067918/", 1011067918)</f>
        <v>1011067918</v>
      </c>
      <c r="D9536">
        <v>62153.99</v>
      </c>
    </row>
    <row r="9537" spans="1:4" x14ac:dyDescent="0.3">
      <c r="A9537" t="s">
        <v>784</v>
      </c>
      <c r="B9537" t="s">
        <v>25</v>
      </c>
      <c r="C9537" s="1">
        <f>HYPERLINK("https://cao.dolgi.msk.ru/account/1011067969/", 1011067969)</f>
        <v>1011067969</v>
      </c>
      <c r="D9537">
        <v>26769.72</v>
      </c>
    </row>
    <row r="9538" spans="1:4" x14ac:dyDescent="0.3">
      <c r="A9538" t="s">
        <v>784</v>
      </c>
      <c r="B9538" t="s">
        <v>26</v>
      </c>
      <c r="C9538" s="1">
        <f>HYPERLINK("https://cao.dolgi.msk.ru/account/1011067926/", 1011067926)</f>
        <v>1011067926</v>
      </c>
      <c r="D9538">
        <v>634</v>
      </c>
    </row>
    <row r="9539" spans="1:4" x14ac:dyDescent="0.3">
      <c r="A9539" t="s">
        <v>784</v>
      </c>
      <c r="B9539" t="s">
        <v>27</v>
      </c>
      <c r="C9539" s="1">
        <f>HYPERLINK("https://cao.dolgi.msk.ru/account/1011067934/", 1011067934)</f>
        <v>1011067934</v>
      </c>
      <c r="D9539">
        <v>15765.99</v>
      </c>
    </row>
    <row r="9540" spans="1:4" hidden="1" x14ac:dyDescent="0.3">
      <c r="A9540" t="s">
        <v>784</v>
      </c>
      <c r="B9540" t="s">
        <v>29</v>
      </c>
      <c r="C9540" s="1">
        <f>HYPERLINK("https://cao.dolgi.msk.ru/account/1011067993/", 1011067993)</f>
        <v>1011067993</v>
      </c>
      <c r="D9540">
        <v>0</v>
      </c>
    </row>
    <row r="9541" spans="1:4" hidden="1" x14ac:dyDescent="0.3">
      <c r="A9541" t="s">
        <v>784</v>
      </c>
      <c r="B9541" t="s">
        <v>38</v>
      </c>
      <c r="C9541" s="1">
        <f>HYPERLINK("https://cao.dolgi.msk.ru/account/1011067811/", 1011067811)</f>
        <v>1011067811</v>
      </c>
      <c r="D9541">
        <v>-2176.86</v>
      </c>
    </row>
    <row r="9542" spans="1:4" hidden="1" x14ac:dyDescent="0.3">
      <c r="A9542" t="s">
        <v>784</v>
      </c>
      <c r="B9542" t="s">
        <v>38</v>
      </c>
      <c r="C9542" s="1">
        <f>HYPERLINK("https://cao.dolgi.msk.ru/account/1011067846/", 1011067846)</f>
        <v>1011067846</v>
      </c>
      <c r="D9542">
        <v>-561</v>
      </c>
    </row>
    <row r="9543" spans="1:4" hidden="1" x14ac:dyDescent="0.3">
      <c r="A9543" t="s">
        <v>784</v>
      </c>
      <c r="B9543" t="s">
        <v>38</v>
      </c>
      <c r="C9543" s="1">
        <f>HYPERLINK("https://cao.dolgi.msk.ru/account/1011067942/", 1011067942)</f>
        <v>1011067942</v>
      </c>
      <c r="D9543">
        <v>0</v>
      </c>
    </row>
    <row r="9544" spans="1:4" hidden="1" x14ac:dyDescent="0.3">
      <c r="A9544" t="s">
        <v>784</v>
      </c>
      <c r="B9544" t="s">
        <v>38</v>
      </c>
      <c r="C9544" s="1">
        <f>HYPERLINK("https://cao.dolgi.msk.ru/account/1011067977/", 1011067977)</f>
        <v>1011067977</v>
      </c>
      <c r="D9544">
        <v>-1586.35</v>
      </c>
    </row>
    <row r="9545" spans="1:4" x14ac:dyDescent="0.3">
      <c r="A9545" t="s">
        <v>784</v>
      </c>
      <c r="B9545" t="s">
        <v>38</v>
      </c>
      <c r="C9545" s="1">
        <f>HYPERLINK("https://cao.dolgi.msk.ru/account/1011067985/", 1011067985)</f>
        <v>1011067985</v>
      </c>
      <c r="D9545">
        <v>59216.59</v>
      </c>
    </row>
    <row r="9546" spans="1:4" hidden="1" x14ac:dyDescent="0.3">
      <c r="A9546" t="s">
        <v>784</v>
      </c>
      <c r="B9546" t="s">
        <v>38</v>
      </c>
      <c r="C9546" s="1">
        <f>HYPERLINK("https://cao.dolgi.msk.ru/account/1011068005/", 1011068005)</f>
        <v>1011068005</v>
      </c>
      <c r="D9546">
        <v>0</v>
      </c>
    </row>
    <row r="9547" spans="1:4" hidden="1" x14ac:dyDescent="0.3">
      <c r="A9547" t="s">
        <v>784</v>
      </c>
      <c r="B9547" t="s">
        <v>38</v>
      </c>
      <c r="C9547" s="1">
        <f>HYPERLINK("https://cao.dolgi.msk.ru/account/1011324646/", 1011324646)</f>
        <v>1011324646</v>
      </c>
      <c r="D9547">
        <v>0</v>
      </c>
    </row>
    <row r="9548" spans="1:4" hidden="1" x14ac:dyDescent="0.3">
      <c r="A9548" t="s">
        <v>785</v>
      </c>
      <c r="B9548" t="s">
        <v>6</v>
      </c>
      <c r="C9548" s="1">
        <f>HYPERLINK("https://cao.dolgi.msk.ru/account/1011380226/", 1011380226)</f>
        <v>1011380226</v>
      </c>
      <c r="D9548">
        <v>-8858.4699999999993</v>
      </c>
    </row>
    <row r="9549" spans="1:4" x14ac:dyDescent="0.3">
      <c r="A9549" t="s">
        <v>785</v>
      </c>
      <c r="B9549" t="s">
        <v>28</v>
      </c>
      <c r="C9549" s="1">
        <f>HYPERLINK("https://cao.dolgi.msk.ru/account/1011380357/", 1011380357)</f>
        <v>1011380357</v>
      </c>
      <c r="D9549">
        <v>10607.21</v>
      </c>
    </row>
    <row r="9550" spans="1:4" hidden="1" x14ac:dyDescent="0.3">
      <c r="A9550" t="s">
        <v>785</v>
      </c>
      <c r="B9550" t="s">
        <v>35</v>
      </c>
      <c r="C9550" s="1">
        <f>HYPERLINK("https://cao.dolgi.msk.ru/account/1011379903/", 1011379903)</f>
        <v>1011379903</v>
      </c>
      <c r="D9550">
        <v>0</v>
      </c>
    </row>
    <row r="9551" spans="1:4" hidden="1" x14ac:dyDescent="0.3">
      <c r="A9551" t="s">
        <v>785</v>
      </c>
      <c r="B9551" t="s">
        <v>5</v>
      </c>
      <c r="C9551" s="1">
        <f>HYPERLINK("https://cao.dolgi.msk.ru/account/1011380314/", 1011380314)</f>
        <v>1011380314</v>
      </c>
      <c r="D9551">
        <v>-7143.22</v>
      </c>
    </row>
    <row r="9552" spans="1:4" hidden="1" x14ac:dyDescent="0.3">
      <c r="A9552" t="s">
        <v>785</v>
      </c>
      <c r="B9552" t="s">
        <v>5</v>
      </c>
      <c r="C9552" s="1">
        <f>HYPERLINK("https://cao.dolgi.msk.ru/account/1011380381/", 1011380381)</f>
        <v>1011380381</v>
      </c>
      <c r="D9552">
        <v>-119.43</v>
      </c>
    </row>
    <row r="9553" spans="1:4" hidden="1" x14ac:dyDescent="0.3">
      <c r="A9553" t="s">
        <v>785</v>
      </c>
      <c r="B9553" t="s">
        <v>5</v>
      </c>
      <c r="C9553" s="1">
        <f>HYPERLINK("https://cao.dolgi.msk.ru/account/1011507573/", 1011507573)</f>
        <v>1011507573</v>
      </c>
      <c r="D9553">
        <v>-3882.14</v>
      </c>
    </row>
    <row r="9554" spans="1:4" hidden="1" x14ac:dyDescent="0.3">
      <c r="A9554" t="s">
        <v>785</v>
      </c>
      <c r="B9554" t="s">
        <v>5</v>
      </c>
      <c r="C9554" s="1">
        <f>HYPERLINK("https://cao.dolgi.msk.ru/account/1011541712/", 1011541712)</f>
        <v>1011541712</v>
      </c>
      <c r="D9554">
        <v>-2060.11</v>
      </c>
    </row>
    <row r="9555" spans="1:4" x14ac:dyDescent="0.3">
      <c r="A9555" t="s">
        <v>785</v>
      </c>
      <c r="B9555" t="s">
        <v>7</v>
      </c>
      <c r="C9555" s="1">
        <f>HYPERLINK("https://cao.dolgi.msk.ru/account/1011379962/", 1011379962)</f>
        <v>1011379962</v>
      </c>
      <c r="D9555">
        <v>179651.92</v>
      </c>
    </row>
    <row r="9556" spans="1:4" hidden="1" x14ac:dyDescent="0.3">
      <c r="A9556" t="s">
        <v>785</v>
      </c>
      <c r="B9556" t="s">
        <v>8</v>
      </c>
      <c r="C9556" s="1">
        <f>HYPERLINK("https://cao.dolgi.msk.ru/account/1011380082/", 1011380082)</f>
        <v>1011380082</v>
      </c>
      <c r="D9556">
        <v>-6776.3</v>
      </c>
    </row>
    <row r="9557" spans="1:4" hidden="1" x14ac:dyDescent="0.3">
      <c r="A9557" t="s">
        <v>785</v>
      </c>
      <c r="B9557" t="s">
        <v>31</v>
      </c>
      <c r="C9557" s="1">
        <f>HYPERLINK("https://cao.dolgi.msk.ru/account/1011379858/", 1011379858)</f>
        <v>1011379858</v>
      </c>
      <c r="D9557">
        <v>-2835.16</v>
      </c>
    </row>
    <row r="9558" spans="1:4" x14ac:dyDescent="0.3">
      <c r="A9558" t="s">
        <v>785</v>
      </c>
      <c r="B9558" t="s">
        <v>9</v>
      </c>
      <c r="C9558" s="1">
        <f>HYPERLINK("https://cao.dolgi.msk.ru/account/1011380031/", 1011380031)</f>
        <v>1011380031</v>
      </c>
      <c r="D9558">
        <v>8429.09</v>
      </c>
    </row>
    <row r="9559" spans="1:4" hidden="1" x14ac:dyDescent="0.3">
      <c r="A9559" t="s">
        <v>785</v>
      </c>
      <c r="B9559" t="s">
        <v>10</v>
      </c>
      <c r="C9559" s="1">
        <f>HYPERLINK("https://cao.dolgi.msk.ru/account/1011380277/", 1011380277)</f>
        <v>1011380277</v>
      </c>
      <c r="D9559">
        <v>0</v>
      </c>
    </row>
    <row r="9560" spans="1:4" hidden="1" x14ac:dyDescent="0.3">
      <c r="A9560" t="s">
        <v>785</v>
      </c>
      <c r="B9560" t="s">
        <v>11</v>
      </c>
      <c r="C9560" s="1">
        <f>HYPERLINK("https://cao.dolgi.msk.ru/account/1011380154/", 1011380154)</f>
        <v>1011380154</v>
      </c>
      <c r="D9560">
        <v>0</v>
      </c>
    </row>
    <row r="9561" spans="1:4" x14ac:dyDescent="0.3">
      <c r="A9561" t="s">
        <v>785</v>
      </c>
      <c r="B9561" t="s">
        <v>12</v>
      </c>
      <c r="C9561" s="1">
        <f>HYPERLINK("https://cao.dolgi.msk.ru/account/1011380007/", 1011380007)</f>
        <v>1011380007</v>
      </c>
      <c r="D9561">
        <v>36017.879999999997</v>
      </c>
    </row>
    <row r="9562" spans="1:4" hidden="1" x14ac:dyDescent="0.3">
      <c r="A9562" t="s">
        <v>785</v>
      </c>
      <c r="B9562" t="s">
        <v>23</v>
      </c>
      <c r="C9562" s="1">
        <f>HYPERLINK("https://cao.dolgi.msk.ru/account/1011380242/", 1011380242)</f>
        <v>1011380242</v>
      </c>
      <c r="D9562">
        <v>0</v>
      </c>
    </row>
    <row r="9563" spans="1:4" x14ac:dyDescent="0.3">
      <c r="A9563" t="s">
        <v>785</v>
      </c>
      <c r="B9563" t="s">
        <v>13</v>
      </c>
      <c r="C9563" s="1">
        <f>HYPERLINK("https://cao.dolgi.msk.ru/account/1011380402/", 1011380402)</f>
        <v>1011380402</v>
      </c>
      <c r="D9563">
        <v>35114.68</v>
      </c>
    </row>
    <row r="9564" spans="1:4" hidden="1" x14ac:dyDescent="0.3">
      <c r="A9564" t="s">
        <v>785</v>
      </c>
      <c r="B9564" t="s">
        <v>14</v>
      </c>
      <c r="C9564" s="1">
        <f>HYPERLINK("https://cao.dolgi.msk.ru/account/1011379866/", 1011379866)</f>
        <v>1011379866</v>
      </c>
      <c r="D9564">
        <v>0</v>
      </c>
    </row>
    <row r="9565" spans="1:4" hidden="1" x14ac:dyDescent="0.3">
      <c r="A9565" t="s">
        <v>785</v>
      </c>
      <c r="B9565" t="s">
        <v>16</v>
      </c>
      <c r="C9565" s="1">
        <f>HYPERLINK("https://cao.dolgi.msk.ru/account/1011380197/", 1011380197)</f>
        <v>1011380197</v>
      </c>
      <c r="D9565">
        <v>-92100.73</v>
      </c>
    </row>
    <row r="9566" spans="1:4" hidden="1" x14ac:dyDescent="0.3">
      <c r="A9566" t="s">
        <v>785</v>
      </c>
      <c r="B9566" t="s">
        <v>17</v>
      </c>
      <c r="C9566" s="1">
        <f>HYPERLINK("https://cao.dolgi.msk.ru/account/1011380285/", 1011380285)</f>
        <v>1011380285</v>
      </c>
      <c r="D9566">
        <v>0</v>
      </c>
    </row>
    <row r="9567" spans="1:4" hidden="1" x14ac:dyDescent="0.3">
      <c r="A9567" t="s">
        <v>785</v>
      </c>
      <c r="B9567" t="s">
        <v>18</v>
      </c>
      <c r="C9567" s="1">
        <f>HYPERLINK("https://cao.dolgi.msk.ru/account/1011380074/", 1011380074)</f>
        <v>1011380074</v>
      </c>
      <c r="D9567">
        <v>-4221.82</v>
      </c>
    </row>
    <row r="9568" spans="1:4" hidden="1" x14ac:dyDescent="0.3">
      <c r="A9568" t="s">
        <v>785</v>
      </c>
      <c r="B9568" t="s">
        <v>18</v>
      </c>
      <c r="C9568" s="1">
        <f>HYPERLINK("https://cao.dolgi.msk.ru/account/1011380111/", 1011380111)</f>
        <v>1011380111</v>
      </c>
      <c r="D9568">
        <v>-2020.5</v>
      </c>
    </row>
    <row r="9569" spans="1:4" hidden="1" x14ac:dyDescent="0.3">
      <c r="A9569" t="s">
        <v>785</v>
      </c>
      <c r="B9569" t="s">
        <v>18</v>
      </c>
      <c r="C9569" s="1">
        <f>HYPERLINK("https://cao.dolgi.msk.ru/account/1011380373/", 1011380373)</f>
        <v>1011380373</v>
      </c>
      <c r="D9569">
        <v>-4221.8100000000004</v>
      </c>
    </row>
    <row r="9570" spans="1:4" hidden="1" x14ac:dyDescent="0.3">
      <c r="A9570" t="s">
        <v>785</v>
      </c>
      <c r="B9570" t="s">
        <v>19</v>
      </c>
      <c r="C9570" s="1">
        <f>HYPERLINK("https://cao.dolgi.msk.ru/account/1011379946/", 1011379946)</f>
        <v>1011379946</v>
      </c>
      <c r="D9570">
        <v>0</v>
      </c>
    </row>
    <row r="9571" spans="1:4" x14ac:dyDescent="0.3">
      <c r="A9571" t="s">
        <v>785</v>
      </c>
      <c r="B9571" t="s">
        <v>786</v>
      </c>
      <c r="C9571" s="1">
        <f>HYPERLINK("https://cao.dolgi.msk.ru/account/1011380437/", 1011380437)</f>
        <v>1011380437</v>
      </c>
      <c r="D9571">
        <v>12386.3</v>
      </c>
    </row>
    <row r="9572" spans="1:4" x14ac:dyDescent="0.3">
      <c r="A9572" t="s">
        <v>785</v>
      </c>
      <c r="B9572" t="s">
        <v>787</v>
      </c>
      <c r="C9572" s="1">
        <f>HYPERLINK("https://cao.dolgi.msk.ru/account/1011380146/", 1011380146)</f>
        <v>1011380146</v>
      </c>
      <c r="D9572">
        <v>18840.27</v>
      </c>
    </row>
    <row r="9573" spans="1:4" hidden="1" x14ac:dyDescent="0.3">
      <c r="A9573" t="s">
        <v>785</v>
      </c>
      <c r="B9573" t="s">
        <v>21</v>
      </c>
      <c r="C9573" s="1">
        <f>HYPERLINK("https://cao.dolgi.msk.ru/account/1011379882/", 1011379882)</f>
        <v>1011379882</v>
      </c>
      <c r="D9573">
        <v>-12592.41</v>
      </c>
    </row>
    <row r="9574" spans="1:4" hidden="1" x14ac:dyDescent="0.3">
      <c r="A9574" t="s">
        <v>785</v>
      </c>
      <c r="B9574" t="s">
        <v>22</v>
      </c>
      <c r="C9574" s="1">
        <f>HYPERLINK("https://cao.dolgi.msk.ru/account/1011380058/", 1011380058)</f>
        <v>1011380058</v>
      </c>
      <c r="D9574">
        <v>-10352.290000000001</v>
      </c>
    </row>
    <row r="9575" spans="1:4" hidden="1" x14ac:dyDescent="0.3">
      <c r="A9575" t="s">
        <v>785</v>
      </c>
      <c r="B9575" t="s">
        <v>583</v>
      </c>
      <c r="C9575" s="1">
        <f>HYPERLINK("https://cao.dolgi.msk.ru/account/1011380365/", 1011380365)</f>
        <v>1011380365</v>
      </c>
      <c r="D9575">
        <v>0</v>
      </c>
    </row>
    <row r="9576" spans="1:4" hidden="1" x14ac:dyDescent="0.3">
      <c r="A9576" t="s">
        <v>785</v>
      </c>
      <c r="B9576" t="s">
        <v>24</v>
      </c>
      <c r="C9576" s="1">
        <f>HYPERLINK("https://cao.dolgi.msk.ru/account/1011379874/", 1011379874)</f>
        <v>1011379874</v>
      </c>
      <c r="D9576">
        <v>-668.46</v>
      </c>
    </row>
    <row r="9577" spans="1:4" hidden="1" x14ac:dyDescent="0.3">
      <c r="A9577" t="s">
        <v>785</v>
      </c>
      <c r="B9577" t="s">
        <v>25</v>
      </c>
      <c r="C9577" s="1">
        <f>HYPERLINK("https://cao.dolgi.msk.ru/account/1011380162/", 1011380162)</f>
        <v>1011380162</v>
      </c>
      <c r="D9577">
        <v>0</v>
      </c>
    </row>
    <row r="9578" spans="1:4" hidden="1" x14ac:dyDescent="0.3">
      <c r="A9578" t="s">
        <v>785</v>
      </c>
      <c r="B9578" t="s">
        <v>26</v>
      </c>
      <c r="C9578" s="1">
        <f>HYPERLINK("https://cao.dolgi.msk.ru/account/1011380234/", 1011380234)</f>
        <v>1011380234</v>
      </c>
      <c r="D9578">
        <v>-9769.09</v>
      </c>
    </row>
    <row r="9579" spans="1:4" hidden="1" x14ac:dyDescent="0.3">
      <c r="A9579" t="s">
        <v>785</v>
      </c>
      <c r="B9579" t="s">
        <v>27</v>
      </c>
      <c r="C9579" s="1">
        <f>HYPERLINK("https://cao.dolgi.msk.ru/account/1011379989/", 1011379989)</f>
        <v>1011379989</v>
      </c>
      <c r="D9579">
        <v>-3255.32</v>
      </c>
    </row>
    <row r="9580" spans="1:4" x14ac:dyDescent="0.3">
      <c r="A9580" t="s">
        <v>785</v>
      </c>
      <c r="B9580" t="s">
        <v>27</v>
      </c>
      <c r="C9580" s="1">
        <f>HYPERLINK("https://cao.dolgi.msk.ru/account/1011380066/", 1011380066)</f>
        <v>1011380066</v>
      </c>
      <c r="D9580">
        <v>16837.11</v>
      </c>
    </row>
    <row r="9581" spans="1:4" x14ac:dyDescent="0.3">
      <c r="A9581" t="s">
        <v>785</v>
      </c>
      <c r="B9581" t="s">
        <v>27</v>
      </c>
      <c r="C9581" s="1">
        <f>HYPERLINK("https://cao.dolgi.msk.ru/account/1011530562/", 1011530562)</f>
        <v>1011530562</v>
      </c>
      <c r="D9581">
        <v>13349.7</v>
      </c>
    </row>
    <row r="9582" spans="1:4" x14ac:dyDescent="0.3">
      <c r="A9582" t="s">
        <v>785</v>
      </c>
      <c r="B9582" t="s">
        <v>29</v>
      </c>
      <c r="C9582" s="1">
        <f>HYPERLINK("https://cao.dolgi.msk.ru/account/1011380293/", 1011380293)</f>
        <v>1011380293</v>
      </c>
      <c r="D9582">
        <v>12088.91</v>
      </c>
    </row>
    <row r="9583" spans="1:4" x14ac:dyDescent="0.3">
      <c r="A9583" t="s">
        <v>785</v>
      </c>
      <c r="B9583" t="s">
        <v>38</v>
      </c>
      <c r="C9583" s="1">
        <f>HYPERLINK("https://cao.dolgi.msk.ru/account/1011380138/", 1011380138)</f>
        <v>1011380138</v>
      </c>
      <c r="D9583">
        <v>13212.58</v>
      </c>
    </row>
    <row r="9584" spans="1:4" x14ac:dyDescent="0.3">
      <c r="A9584" t="s">
        <v>785</v>
      </c>
      <c r="B9584" t="s">
        <v>39</v>
      </c>
      <c r="C9584" s="1">
        <f>HYPERLINK("https://cao.dolgi.msk.ru/account/1011380023/", 1011380023)</f>
        <v>1011380023</v>
      </c>
      <c r="D9584">
        <v>37305.46</v>
      </c>
    </row>
    <row r="9585" spans="1:4" hidden="1" x14ac:dyDescent="0.3">
      <c r="A9585" t="s">
        <v>785</v>
      </c>
      <c r="B9585" t="s">
        <v>40</v>
      </c>
      <c r="C9585" s="1">
        <f>HYPERLINK("https://cao.dolgi.msk.ru/account/1011380306/", 1011380306)</f>
        <v>1011380306</v>
      </c>
      <c r="D9585">
        <v>0</v>
      </c>
    </row>
    <row r="9586" spans="1:4" hidden="1" x14ac:dyDescent="0.3">
      <c r="A9586" t="s">
        <v>785</v>
      </c>
      <c r="B9586" t="s">
        <v>41</v>
      </c>
      <c r="C9586" s="1">
        <f>HYPERLINK("https://cao.dolgi.msk.ru/account/1011379954/", 1011379954)</f>
        <v>1011379954</v>
      </c>
      <c r="D9586">
        <v>0</v>
      </c>
    </row>
    <row r="9587" spans="1:4" hidden="1" x14ac:dyDescent="0.3">
      <c r="A9587" t="s">
        <v>785</v>
      </c>
      <c r="B9587" t="s">
        <v>51</v>
      </c>
      <c r="C9587" s="1">
        <f>HYPERLINK("https://cao.dolgi.msk.ru/account/1011380218/", 1011380218)</f>
        <v>1011380218</v>
      </c>
      <c r="D9587">
        <v>-4290.4399999999996</v>
      </c>
    </row>
    <row r="9588" spans="1:4" x14ac:dyDescent="0.3">
      <c r="A9588" t="s">
        <v>785</v>
      </c>
      <c r="B9588" t="s">
        <v>52</v>
      </c>
      <c r="C9588" s="1">
        <f>HYPERLINK("https://cao.dolgi.msk.ru/account/1011380189/", 1011380189)</f>
        <v>1011380189</v>
      </c>
      <c r="D9588">
        <v>8251.7800000000007</v>
      </c>
    </row>
    <row r="9589" spans="1:4" hidden="1" x14ac:dyDescent="0.3">
      <c r="A9589" t="s">
        <v>785</v>
      </c>
      <c r="B9589" t="s">
        <v>53</v>
      </c>
      <c r="C9589" s="1">
        <f>HYPERLINK("https://cao.dolgi.msk.ru/account/1011380349/", 1011380349)</f>
        <v>1011380349</v>
      </c>
      <c r="D9589">
        <v>-81.06</v>
      </c>
    </row>
    <row r="9590" spans="1:4" hidden="1" x14ac:dyDescent="0.3">
      <c r="A9590" t="s">
        <v>785</v>
      </c>
      <c r="B9590" t="s">
        <v>54</v>
      </c>
      <c r="C9590" s="1">
        <f>HYPERLINK("https://cao.dolgi.msk.ru/account/1011379911/", 1011379911)</f>
        <v>1011379911</v>
      </c>
      <c r="D9590">
        <v>-10183.69</v>
      </c>
    </row>
    <row r="9591" spans="1:4" hidden="1" x14ac:dyDescent="0.3">
      <c r="A9591" t="s">
        <v>785</v>
      </c>
      <c r="B9591" t="s">
        <v>56</v>
      </c>
      <c r="C9591" s="1">
        <f>HYPERLINK("https://cao.dolgi.msk.ru/account/1011380015/", 1011380015)</f>
        <v>1011380015</v>
      </c>
      <c r="D9591">
        <v>0</v>
      </c>
    </row>
    <row r="9592" spans="1:4" hidden="1" x14ac:dyDescent="0.3">
      <c r="A9592" t="s">
        <v>785</v>
      </c>
      <c r="B9592" t="s">
        <v>88</v>
      </c>
      <c r="C9592" s="1">
        <f>HYPERLINK("https://cao.dolgi.msk.ru/account/1011380322/", 1011380322)</f>
        <v>1011380322</v>
      </c>
      <c r="D9592">
        <v>-8006.79</v>
      </c>
    </row>
    <row r="9593" spans="1:4" hidden="1" x14ac:dyDescent="0.3">
      <c r="A9593" t="s">
        <v>785</v>
      </c>
      <c r="B9593" t="s">
        <v>90</v>
      </c>
      <c r="C9593" s="1">
        <f>HYPERLINK("https://cao.dolgi.msk.ru/account/1011380103/", 1011380103)</f>
        <v>1011380103</v>
      </c>
      <c r="D9593">
        <v>-1203.97</v>
      </c>
    </row>
    <row r="9594" spans="1:4" x14ac:dyDescent="0.3">
      <c r="A9594" t="s">
        <v>785</v>
      </c>
      <c r="B9594" t="s">
        <v>97</v>
      </c>
      <c r="C9594" s="1">
        <f>HYPERLINK("https://cao.dolgi.msk.ru/account/1011380269/", 1011380269)</f>
        <v>1011380269</v>
      </c>
      <c r="D9594">
        <v>6367.73</v>
      </c>
    </row>
    <row r="9595" spans="1:4" hidden="1" x14ac:dyDescent="0.3">
      <c r="A9595" t="s">
        <v>788</v>
      </c>
      <c r="B9595" t="s">
        <v>55</v>
      </c>
      <c r="C9595" s="1">
        <f>HYPERLINK("https://cao.dolgi.msk.ru/account/1011436218/", 1011436218)</f>
        <v>1011436218</v>
      </c>
      <c r="D9595">
        <v>0</v>
      </c>
    </row>
    <row r="9596" spans="1:4" x14ac:dyDescent="0.3">
      <c r="A9596" t="s">
        <v>788</v>
      </c>
      <c r="B9596" t="s">
        <v>87</v>
      </c>
      <c r="C9596" s="1">
        <f>HYPERLINK("https://cao.dolgi.msk.ru/account/1011435792/", 1011435792)</f>
        <v>1011435792</v>
      </c>
      <c r="D9596">
        <v>7295.01</v>
      </c>
    </row>
    <row r="9597" spans="1:4" hidden="1" x14ac:dyDescent="0.3">
      <c r="A9597" t="s">
        <v>788</v>
      </c>
      <c r="B9597" t="s">
        <v>89</v>
      </c>
      <c r="C9597" s="1">
        <f>HYPERLINK("https://cao.dolgi.msk.ru/account/1011436007/", 1011436007)</f>
        <v>1011436007</v>
      </c>
      <c r="D9597">
        <v>0</v>
      </c>
    </row>
    <row r="9598" spans="1:4" hidden="1" x14ac:dyDescent="0.3">
      <c r="A9598" t="s">
        <v>788</v>
      </c>
      <c r="B9598" t="s">
        <v>89</v>
      </c>
      <c r="C9598" s="1">
        <f>HYPERLINK("https://cao.dolgi.msk.ru/account/1011436162/", 1011436162)</f>
        <v>1011436162</v>
      </c>
      <c r="D9598">
        <v>-5010.92</v>
      </c>
    </row>
    <row r="9599" spans="1:4" hidden="1" x14ac:dyDescent="0.3">
      <c r="A9599" t="s">
        <v>788</v>
      </c>
      <c r="B9599" t="s">
        <v>96</v>
      </c>
      <c r="C9599" s="1">
        <f>HYPERLINK("https://cao.dolgi.msk.ru/account/1011436189/", 1011436189)</f>
        <v>1011436189</v>
      </c>
      <c r="D9599">
        <v>0</v>
      </c>
    </row>
    <row r="9600" spans="1:4" x14ac:dyDescent="0.3">
      <c r="A9600" t="s">
        <v>788</v>
      </c>
      <c r="B9600" t="s">
        <v>98</v>
      </c>
      <c r="C9600" s="1">
        <f>HYPERLINK("https://cao.dolgi.msk.ru/account/1011436349/", 1011436349)</f>
        <v>1011436349</v>
      </c>
      <c r="D9600">
        <v>80760.72</v>
      </c>
    </row>
    <row r="9601" spans="1:4" x14ac:dyDescent="0.3">
      <c r="A9601" t="s">
        <v>788</v>
      </c>
      <c r="B9601" t="s">
        <v>58</v>
      </c>
      <c r="C9601" s="1">
        <f>HYPERLINK("https://cao.dolgi.msk.ru/account/1011436058/", 1011436058)</f>
        <v>1011436058</v>
      </c>
      <c r="D9601">
        <v>16825.29</v>
      </c>
    </row>
    <row r="9602" spans="1:4" x14ac:dyDescent="0.3">
      <c r="A9602" t="s">
        <v>788</v>
      </c>
      <c r="B9602" t="s">
        <v>59</v>
      </c>
      <c r="C9602" s="1">
        <f>HYPERLINK("https://cao.dolgi.msk.ru/account/1011435805/", 1011435805)</f>
        <v>1011435805</v>
      </c>
      <c r="D9602">
        <v>64405.29</v>
      </c>
    </row>
    <row r="9603" spans="1:4" x14ac:dyDescent="0.3">
      <c r="A9603" t="s">
        <v>788</v>
      </c>
      <c r="B9603" t="s">
        <v>59</v>
      </c>
      <c r="C9603" s="1">
        <f>HYPERLINK("https://cao.dolgi.msk.ru/account/1011436314/", 1011436314)</f>
        <v>1011436314</v>
      </c>
      <c r="D9603">
        <v>3138.99</v>
      </c>
    </row>
    <row r="9604" spans="1:4" x14ac:dyDescent="0.3">
      <c r="A9604" t="s">
        <v>788</v>
      </c>
      <c r="B9604" t="s">
        <v>60</v>
      </c>
      <c r="C9604" s="1">
        <f>HYPERLINK("https://cao.dolgi.msk.ru/account/1011435848/", 1011435848)</f>
        <v>1011435848</v>
      </c>
      <c r="D9604">
        <v>27036.21</v>
      </c>
    </row>
    <row r="9605" spans="1:4" hidden="1" x14ac:dyDescent="0.3">
      <c r="A9605" t="s">
        <v>788</v>
      </c>
      <c r="B9605" t="s">
        <v>61</v>
      </c>
      <c r="C9605" s="1">
        <f>HYPERLINK("https://cao.dolgi.msk.ru/account/1011436066/", 1011436066)</f>
        <v>1011436066</v>
      </c>
      <c r="D9605">
        <v>-1551.2</v>
      </c>
    </row>
    <row r="9606" spans="1:4" hidden="1" x14ac:dyDescent="0.3">
      <c r="A9606" t="s">
        <v>788</v>
      </c>
      <c r="B9606" t="s">
        <v>62</v>
      </c>
      <c r="C9606" s="1">
        <f>HYPERLINK("https://cao.dolgi.msk.ru/account/1011436242/", 1011436242)</f>
        <v>1011436242</v>
      </c>
      <c r="D9606">
        <v>-6332.9</v>
      </c>
    </row>
    <row r="9607" spans="1:4" hidden="1" x14ac:dyDescent="0.3">
      <c r="A9607" t="s">
        <v>788</v>
      </c>
      <c r="B9607" t="s">
        <v>63</v>
      </c>
      <c r="C9607" s="1">
        <f>HYPERLINK("https://cao.dolgi.msk.ru/account/1011436488/", 1011436488)</f>
        <v>1011436488</v>
      </c>
      <c r="D9607">
        <v>0</v>
      </c>
    </row>
    <row r="9608" spans="1:4" hidden="1" x14ac:dyDescent="0.3">
      <c r="A9608" t="s">
        <v>788</v>
      </c>
      <c r="B9608" t="s">
        <v>64</v>
      </c>
      <c r="C9608" s="1">
        <f>HYPERLINK("https://cao.dolgi.msk.ru/account/1011436453/", 1011436453)</f>
        <v>1011436453</v>
      </c>
      <c r="D9608">
        <v>0</v>
      </c>
    </row>
    <row r="9609" spans="1:4" x14ac:dyDescent="0.3">
      <c r="A9609" t="s">
        <v>788</v>
      </c>
      <c r="B9609" t="s">
        <v>65</v>
      </c>
      <c r="C9609" s="1">
        <f>HYPERLINK("https://cao.dolgi.msk.ru/account/1011435899/", 1011435899)</f>
        <v>1011435899</v>
      </c>
      <c r="D9609">
        <v>2666.4</v>
      </c>
    </row>
    <row r="9610" spans="1:4" x14ac:dyDescent="0.3">
      <c r="A9610" t="s">
        <v>788</v>
      </c>
      <c r="B9610" t="s">
        <v>65</v>
      </c>
      <c r="C9610" s="1">
        <f>HYPERLINK("https://cao.dolgi.msk.ru/account/1011435979/", 1011435979)</f>
        <v>1011435979</v>
      </c>
      <c r="D9610">
        <v>185244.13</v>
      </c>
    </row>
    <row r="9611" spans="1:4" hidden="1" x14ac:dyDescent="0.3">
      <c r="A9611" t="s">
        <v>788</v>
      </c>
      <c r="B9611" t="s">
        <v>66</v>
      </c>
      <c r="C9611" s="1">
        <f>HYPERLINK("https://cao.dolgi.msk.ru/account/1011435872/", 1011435872)</f>
        <v>1011435872</v>
      </c>
      <c r="D9611">
        <v>0</v>
      </c>
    </row>
    <row r="9612" spans="1:4" hidden="1" x14ac:dyDescent="0.3">
      <c r="A9612" t="s">
        <v>788</v>
      </c>
      <c r="B9612" t="s">
        <v>67</v>
      </c>
      <c r="C9612" s="1">
        <f>HYPERLINK("https://cao.dolgi.msk.ru/account/1011436306/", 1011436306)</f>
        <v>1011436306</v>
      </c>
      <c r="D9612">
        <v>-4001.29</v>
      </c>
    </row>
    <row r="9613" spans="1:4" x14ac:dyDescent="0.3">
      <c r="A9613" t="s">
        <v>788</v>
      </c>
      <c r="B9613" t="s">
        <v>68</v>
      </c>
      <c r="C9613" s="1">
        <f>HYPERLINK("https://cao.dolgi.msk.ru/account/1011436429/", 1011436429)</f>
        <v>1011436429</v>
      </c>
      <c r="D9613">
        <v>27730.95</v>
      </c>
    </row>
    <row r="9614" spans="1:4" hidden="1" x14ac:dyDescent="0.3">
      <c r="A9614" t="s">
        <v>788</v>
      </c>
      <c r="B9614" t="s">
        <v>69</v>
      </c>
      <c r="C9614" s="1">
        <f>HYPERLINK("https://cao.dolgi.msk.ru/account/1011436197/", 1011436197)</f>
        <v>1011436197</v>
      </c>
      <c r="D9614">
        <v>0</v>
      </c>
    </row>
    <row r="9615" spans="1:4" x14ac:dyDescent="0.3">
      <c r="A9615" t="s">
        <v>788</v>
      </c>
      <c r="B9615" t="s">
        <v>70</v>
      </c>
      <c r="C9615" s="1">
        <f>HYPERLINK("https://cao.dolgi.msk.ru/account/1011436226/", 1011436226)</f>
        <v>1011436226</v>
      </c>
      <c r="D9615">
        <v>10434.959999999999</v>
      </c>
    </row>
    <row r="9616" spans="1:4" x14ac:dyDescent="0.3">
      <c r="A9616" t="s">
        <v>788</v>
      </c>
      <c r="B9616" t="s">
        <v>259</v>
      </c>
      <c r="C9616" s="1">
        <f>HYPERLINK("https://cao.dolgi.msk.ru/account/1011541499/", 1011541499)</f>
        <v>1011541499</v>
      </c>
      <c r="D9616">
        <v>7543.92</v>
      </c>
    </row>
    <row r="9617" spans="1:4" hidden="1" x14ac:dyDescent="0.3">
      <c r="A9617" t="s">
        <v>788</v>
      </c>
      <c r="B9617" t="s">
        <v>100</v>
      </c>
      <c r="C9617" s="1">
        <f>HYPERLINK("https://cao.dolgi.msk.ru/account/1011436461/", 1011436461)</f>
        <v>1011436461</v>
      </c>
      <c r="D9617">
        <v>-18687.189999999999</v>
      </c>
    </row>
    <row r="9618" spans="1:4" hidden="1" x14ac:dyDescent="0.3">
      <c r="A9618" t="s">
        <v>788</v>
      </c>
      <c r="B9618" t="s">
        <v>72</v>
      </c>
      <c r="C9618" s="1">
        <f>HYPERLINK("https://cao.dolgi.msk.ru/account/1011436269/", 1011436269)</f>
        <v>1011436269</v>
      </c>
      <c r="D9618">
        <v>-6142.38</v>
      </c>
    </row>
    <row r="9619" spans="1:4" hidden="1" x14ac:dyDescent="0.3">
      <c r="A9619" t="s">
        <v>788</v>
      </c>
      <c r="B9619" t="s">
        <v>73</v>
      </c>
      <c r="C9619" s="1">
        <f>HYPERLINK("https://cao.dolgi.msk.ru/account/1011436357/", 1011436357)</f>
        <v>1011436357</v>
      </c>
      <c r="D9619">
        <v>0</v>
      </c>
    </row>
    <row r="9620" spans="1:4" hidden="1" x14ac:dyDescent="0.3">
      <c r="A9620" t="s">
        <v>788</v>
      </c>
      <c r="B9620" t="s">
        <v>74</v>
      </c>
      <c r="C9620" s="1">
        <f>HYPERLINK("https://cao.dolgi.msk.ru/account/1011435936/", 1011435936)</f>
        <v>1011435936</v>
      </c>
      <c r="D9620">
        <v>-8944.2099999999991</v>
      </c>
    </row>
    <row r="9621" spans="1:4" x14ac:dyDescent="0.3">
      <c r="A9621" t="s">
        <v>788</v>
      </c>
      <c r="B9621" t="s">
        <v>75</v>
      </c>
      <c r="C9621" s="1">
        <f>HYPERLINK("https://cao.dolgi.msk.ru/account/1011436234/", 1011436234)</f>
        <v>1011436234</v>
      </c>
      <c r="D9621">
        <v>108547.75</v>
      </c>
    </row>
    <row r="9622" spans="1:4" hidden="1" x14ac:dyDescent="0.3">
      <c r="A9622" t="s">
        <v>788</v>
      </c>
      <c r="B9622" t="s">
        <v>75</v>
      </c>
      <c r="C9622" s="1">
        <f>HYPERLINK("https://cao.dolgi.msk.ru/account/1011436285/", 1011436285)</f>
        <v>1011436285</v>
      </c>
      <c r="D9622">
        <v>0</v>
      </c>
    </row>
    <row r="9623" spans="1:4" hidden="1" x14ac:dyDescent="0.3">
      <c r="A9623" t="s">
        <v>788</v>
      </c>
      <c r="B9623" t="s">
        <v>76</v>
      </c>
      <c r="C9623" s="1">
        <f>HYPERLINK("https://cao.dolgi.msk.ru/account/1011436154/", 1011436154)</f>
        <v>1011436154</v>
      </c>
      <c r="D9623">
        <v>0</v>
      </c>
    </row>
    <row r="9624" spans="1:4" hidden="1" x14ac:dyDescent="0.3">
      <c r="A9624" t="s">
        <v>788</v>
      </c>
      <c r="B9624" t="s">
        <v>77</v>
      </c>
      <c r="C9624" s="1">
        <f>HYPERLINK("https://cao.dolgi.msk.ru/account/1011435821/", 1011435821)</f>
        <v>1011435821</v>
      </c>
      <c r="D9624">
        <v>0</v>
      </c>
    </row>
    <row r="9625" spans="1:4" hidden="1" x14ac:dyDescent="0.3">
      <c r="A9625" t="s">
        <v>788</v>
      </c>
      <c r="B9625" t="s">
        <v>78</v>
      </c>
      <c r="C9625" s="1">
        <f>HYPERLINK("https://cao.dolgi.msk.ru/account/1011436293/", 1011436293)</f>
        <v>1011436293</v>
      </c>
      <c r="D9625">
        <v>-5261.01</v>
      </c>
    </row>
    <row r="9626" spans="1:4" hidden="1" x14ac:dyDescent="0.3">
      <c r="A9626" t="s">
        <v>788</v>
      </c>
      <c r="B9626" t="s">
        <v>79</v>
      </c>
      <c r="C9626" s="1">
        <f>HYPERLINK("https://cao.dolgi.msk.ru/account/1011435813/", 1011435813)</f>
        <v>1011435813</v>
      </c>
      <c r="D9626">
        <v>0</v>
      </c>
    </row>
    <row r="9627" spans="1:4" hidden="1" x14ac:dyDescent="0.3">
      <c r="A9627" t="s">
        <v>788</v>
      </c>
      <c r="B9627" t="s">
        <v>80</v>
      </c>
      <c r="C9627" s="1">
        <f>HYPERLINK("https://cao.dolgi.msk.ru/account/1011436322/", 1011436322)</f>
        <v>1011436322</v>
      </c>
      <c r="D9627">
        <v>0</v>
      </c>
    </row>
    <row r="9628" spans="1:4" hidden="1" x14ac:dyDescent="0.3">
      <c r="A9628" t="s">
        <v>788</v>
      </c>
      <c r="B9628" t="s">
        <v>81</v>
      </c>
      <c r="C9628" s="1">
        <f>HYPERLINK("https://cao.dolgi.msk.ru/account/1011436015/", 1011436015)</f>
        <v>1011436015</v>
      </c>
      <c r="D9628">
        <v>0</v>
      </c>
    </row>
    <row r="9629" spans="1:4" hidden="1" x14ac:dyDescent="0.3">
      <c r="A9629" t="s">
        <v>788</v>
      </c>
      <c r="B9629" t="s">
        <v>101</v>
      </c>
      <c r="C9629" s="1">
        <f>HYPERLINK("https://cao.dolgi.msk.ru/account/1011435995/", 1011435995)</f>
        <v>1011435995</v>
      </c>
      <c r="D9629">
        <v>0</v>
      </c>
    </row>
    <row r="9630" spans="1:4" hidden="1" x14ac:dyDescent="0.3">
      <c r="A9630" t="s">
        <v>788</v>
      </c>
      <c r="B9630" t="s">
        <v>82</v>
      </c>
      <c r="C9630" s="1">
        <f>HYPERLINK("https://cao.dolgi.msk.ru/account/1011435864/", 1011435864)</f>
        <v>1011435864</v>
      </c>
      <c r="D9630">
        <v>0</v>
      </c>
    </row>
    <row r="9631" spans="1:4" hidden="1" x14ac:dyDescent="0.3">
      <c r="A9631" t="s">
        <v>788</v>
      </c>
      <c r="B9631" t="s">
        <v>83</v>
      </c>
      <c r="C9631" s="1">
        <f>HYPERLINK("https://cao.dolgi.msk.ru/account/1011436146/", 1011436146)</f>
        <v>1011436146</v>
      </c>
      <c r="D9631">
        <v>0</v>
      </c>
    </row>
    <row r="9632" spans="1:4" hidden="1" x14ac:dyDescent="0.3">
      <c r="A9632" t="s">
        <v>788</v>
      </c>
      <c r="B9632" t="s">
        <v>84</v>
      </c>
      <c r="C9632" s="1">
        <f>HYPERLINK("https://cao.dolgi.msk.ru/account/1011436381/", 1011436381)</f>
        <v>1011436381</v>
      </c>
      <c r="D9632">
        <v>-7049.92</v>
      </c>
    </row>
    <row r="9633" spans="1:4" x14ac:dyDescent="0.3">
      <c r="A9633" t="s">
        <v>788</v>
      </c>
      <c r="B9633" t="s">
        <v>85</v>
      </c>
      <c r="C9633" s="1">
        <f>HYPERLINK("https://cao.dolgi.msk.ru/account/1011436373/", 1011436373)</f>
        <v>1011436373</v>
      </c>
      <c r="D9633">
        <v>6555.26</v>
      </c>
    </row>
    <row r="9634" spans="1:4" hidden="1" x14ac:dyDescent="0.3">
      <c r="A9634" t="s">
        <v>788</v>
      </c>
      <c r="B9634" t="s">
        <v>102</v>
      </c>
      <c r="C9634" s="1">
        <f>HYPERLINK("https://cao.dolgi.msk.ru/account/1011436437/", 1011436437)</f>
        <v>1011436437</v>
      </c>
      <c r="D9634">
        <v>-275.97000000000003</v>
      </c>
    </row>
    <row r="9635" spans="1:4" hidden="1" x14ac:dyDescent="0.3">
      <c r="A9635" t="s">
        <v>788</v>
      </c>
      <c r="B9635" t="s">
        <v>103</v>
      </c>
      <c r="C9635" s="1">
        <f>HYPERLINK("https://cao.dolgi.msk.ru/account/1011435944/", 1011435944)</f>
        <v>1011435944</v>
      </c>
      <c r="D9635">
        <v>-324.02999999999997</v>
      </c>
    </row>
    <row r="9636" spans="1:4" hidden="1" x14ac:dyDescent="0.3">
      <c r="A9636" t="s">
        <v>788</v>
      </c>
      <c r="B9636" t="s">
        <v>104</v>
      </c>
      <c r="C9636" s="1">
        <f>HYPERLINK("https://cao.dolgi.msk.ru/account/1011435952/", 1011435952)</f>
        <v>1011435952</v>
      </c>
      <c r="D9636">
        <v>0</v>
      </c>
    </row>
    <row r="9637" spans="1:4" hidden="1" x14ac:dyDescent="0.3">
      <c r="A9637" t="s">
        <v>788</v>
      </c>
      <c r="B9637" t="s">
        <v>105</v>
      </c>
      <c r="C9637" s="1">
        <f>HYPERLINK("https://cao.dolgi.msk.ru/account/1011436138/", 1011436138)</f>
        <v>1011436138</v>
      </c>
      <c r="D9637">
        <v>0</v>
      </c>
    </row>
    <row r="9638" spans="1:4" hidden="1" x14ac:dyDescent="0.3">
      <c r="A9638" t="s">
        <v>788</v>
      </c>
      <c r="B9638" t="s">
        <v>106</v>
      </c>
      <c r="C9638" s="1">
        <f>HYPERLINK("https://cao.dolgi.msk.ru/account/1011436365/", 1011436365)</f>
        <v>1011436365</v>
      </c>
      <c r="D9638">
        <v>0</v>
      </c>
    </row>
    <row r="9639" spans="1:4" hidden="1" x14ac:dyDescent="0.3">
      <c r="A9639" t="s">
        <v>788</v>
      </c>
      <c r="B9639" t="s">
        <v>107</v>
      </c>
      <c r="C9639" s="1">
        <f>HYPERLINK("https://cao.dolgi.msk.ru/account/1011436103/", 1011436103)</f>
        <v>1011436103</v>
      </c>
      <c r="D9639">
        <v>-6374.91</v>
      </c>
    </row>
    <row r="9640" spans="1:4" hidden="1" x14ac:dyDescent="0.3">
      <c r="A9640" t="s">
        <v>788</v>
      </c>
      <c r="B9640" t="s">
        <v>108</v>
      </c>
      <c r="C9640" s="1">
        <f>HYPERLINK("https://cao.dolgi.msk.ru/account/1011436074/", 1011436074)</f>
        <v>1011436074</v>
      </c>
      <c r="D9640">
        <v>-84097.96</v>
      </c>
    </row>
    <row r="9641" spans="1:4" x14ac:dyDescent="0.3">
      <c r="A9641" t="s">
        <v>788</v>
      </c>
      <c r="B9641" t="s">
        <v>109</v>
      </c>
      <c r="C9641" s="1">
        <f>HYPERLINK("https://cao.dolgi.msk.ru/account/1011436023/", 1011436023)</f>
        <v>1011436023</v>
      </c>
      <c r="D9641">
        <v>14297.04</v>
      </c>
    </row>
    <row r="9642" spans="1:4" hidden="1" x14ac:dyDescent="0.3">
      <c r="A9642" t="s">
        <v>788</v>
      </c>
      <c r="B9642" t="s">
        <v>110</v>
      </c>
      <c r="C9642" s="1">
        <f>HYPERLINK("https://cao.dolgi.msk.ru/account/1011435901/", 1011435901)</f>
        <v>1011435901</v>
      </c>
      <c r="D9642">
        <v>0</v>
      </c>
    </row>
    <row r="9643" spans="1:4" hidden="1" x14ac:dyDescent="0.3">
      <c r="A9643" t="s">
        <v>788</v>
      </c>
      <c r="B9643" t="s">
        <v>111</v>
      </c>
      <c r="C9643" s="1">
        <f>HYPERLINK("https://cao.dolgi.msk.ru/account/1011436402/", 1011436402)</f>
        <v>1011436402</v>
      </c>
      <c r="D9643">
        <v>0</v>
      </c>
    </row>
    <row r="9644" spans="1:4" hidden="1" x14ac:dyDescent="0.3">
      <c r="A9644" t="s">
        <v>788</v>
      </c>
      <c r="B9644" t="s">
        <v>112</v>
      </c>
      <c r="C9644" s="1">
        <f>HYPERLINK("https://cao.dolgi.msk.ru/account/1011435856/", 1011435856)</f>
        <v>1011435856</v>
      </c>
      <c r="D9644">
        <v>0</v>
      </c>
    </row>
    <row r="9645" spans="1:4" hidden="1" x14ac:dyDescent="0.3">
      <c r="A9645" t="s">
        <v>788</v>
      </c>
      <c r="B9645" t="s">
        <v>113</v>
      </c>
      <c r="C9645" s="1">
        <f>HYPERLINK("https://cao.dolgi.msk.ru/account/1011436445/", 1011436445)</f>
        <v>1011436445</v>
      </c>
      <c r="D9645">
        <v>-32208.18</v>
      </c>
    </row>
    <row r="9646" spans="1:4" x14ac:dyDescent="0.3">
      <c r="A9646" t="s">
        <v>788</v>
      </c>
      <c r="B9646" t="s">
        <v>114</v>
      </c>
      <c r="C9646" s="1">
        <f>HYPERLINK("https://cao.dolgi.msk.ru/account/1011436031/", 1011436031)</f>
        <v>1011436031</v>
      </c>
      <c r="D9646">
        <v>7063.7</v>
      </c>
    </row>
    <row r="9647" spans="1:4" hidden="1" x14ac:dyDescent="0.3">
      <c r="A9647" t="s">
        <v>788</v>
      </c>
      <c r="B9647" t="s">
        <v>115</v>
      </c>
      <c r="C9647" s="1">
        <f>HYPERLINK("https://cao.dolgi.msk.ru/account/1011436082/", 1011436082)</f>
        <v>1011436082</v>
      </c>
      <c r="D9647">
        <v>-4654.4799999999996</v>
      </c>
    </row>
    <row r="9648" spans="1:4" hidden="1" x14ac:dyDescent="0.3">
      <c r="A9648" t="s">
        <v>788</v>
      </c>
      <c r="B9648" t="s">
        <v>116</v>
      </c>
      <c r="C9648" s="1">
        <f>HYPERLINK("https://cao.dolgi.msk.ru/account/1011435928/", 1011435928)</f>
        <v>1011435928</v>
      </c>
      <c r="D9648">
        <v>0</v>
      </c>
    </row>
    <row r="9649" spans="1:4" hidden="1" x14ac:dyDescent="0.3">
      <c r="A9649" t="s">
        <v>789</v>
      </c>
      <c r="B9649" t="s">
        <v>55</v>
      </c>
      <c r="C9649" s="1">
        <f>HYPERLINK("https://cao.dolgi.msk.ru/account/1011404021/", 1011404021)</f>
        <v>1011404021</v>
      </c>
      <c r="D9649">
        <v>0</v>
      </c>
    </row>
    <row r="9650" spans="1:4" x14ac:dyDescent="0.3">
      <c r="A9650" t="s">
        <v>789</v>
      </c>
      <c r="B9650" t="s">
        <v>56</v>
      </c>
      <c r="C9650" s="1">
        <f>HYPERLINK("https://cao.dolgi.msk.ru/account/1011403993/", 1011403993)</f>
        <v>1011403993</v>
      </c>
      <c r="D9650">
        <v>10963.99</v>
      </c>
    </row>
    <row r="9651" spans="1:4" x14ac:dyDescent="0.3">
      <c r="A9651" t="s">
        <v>789</v>
      </c>
      <c r="B9651" t="s">
        <v>87</v>
      </c>
      <c r="C9651" s="1">
        <f>HYPERLINK("https://cao.dolgi.msk.ru/account/1011404013/", 1011404013)</f>
        <v>1011404013</v>
      </c>
      <c r="D9651">
        <v>21744.2</v>
      </c>
    </row>
    <row r="9652" spans="1:4" x14ac:dyDescent="0.3">
      <c r="A9652" t="s">
        <v>789</v>
      </c>
      <c r="B9652" t="s">
        <v>88</v>
      </c>
      <c r="C9652" s="1">
        <f>HYPERLINK("https://cao.dolgi.msk.ru/account/1011403985/", 1011403985)</f>
        <v>1011403985</v>
      </c>
      <c r="D9652">
        <v>40247.839999999997</v>
      </c>
    </row>
    <row r="9653" spans="1:4" hidden="1" x14ac:dyDescent="0.3">
      <c r="A9653" t="s">
        <v>789</v>
      </c>
      <c r="B9653" t="s">
        <v>89</v>
      </c>
      <c r="C9653" s="1">
        <f>HYPERLINK("https://cao.dolgi.msk.ru/account/1011404005/", 1011404005)</f>
        <v>1011404005</v>
      </c>
      <c r="D9653">
        <v>0</v>
      </c>
    </row>
    <row r="9654" spans="1:4" hidden="1" x14ac:dyDescent="0.3">
      <c r="A9654" t="s">
        <v>790</v>
      </c>
      <c r="B9654" t="s">
        <v>6</v>
      </c>
      <c r="C9654" s="1">
        <f>HYPERLINK("https://cao.dolgi.msk.ru/account/1011477765/", 1011477765)</f>
        <v>1011477765</v>
      </c>
      <c r="D9654">
        <v>-3981.78</v>
      </c>
    </row>
    <row r="9655" spans="1:4" hidden="1" x14ac:dyDescent="0.3">
      <c r="A9655" t="s">
        <v>790</v>
      </c>
      <c r="B9655" t="s">
        <v>6</v>
      </c>
      <c r="C9655" s="1">
        <f>HYPERLINK("https://cao.dolgi.msk.ru/account/1011477909/", 1011477909)</f>
        <v>1011477909</v>
      </c>
      <c r="D9655">
        <v>-3411.42</v>
      </c>
    </row>
    <row r="9656" spans="1:4" hidden="1" x14ac:dyDescent="0.3">
      <c r="A9656" t="s">
        <v>790</v>
      </c>
      <c r="B9656" t="s">
        <v>6</v>
      </c>
      <c r="C9656" s="1">
        <f>HYPERLINK("https://cao.dolgi.msk.ru/account/1011478055/", 1011478055)</f>
        <v>1011478055</v>
      </c>
      <c r="D9656">
        <v>-4413.28</v>
      </c>
    </row>
    <row r="9657" spans="1:4" hidden="1" x14ac:dyDescent="0.3">
      <c r="A9657" t="s">
        <v>790</v>
      </c>
      <c r="B9657" t="s">
        <v>35</v>
      </c>
      <c r="C9657" s="1">
        <f>HYPERLINK("https://cao.dolgi.msk.ru/account/1011477837/", 1011477837)</f>
        <v>1011477837</v>
      </c>
      <c r="D9657">
        <v>-17599.25</v>
      </c>
    </row>
    <row r="9658" spans="1:4" hidden="1" x14ac:dyDescent="0.3">
      <c r="A9658" t="s">
        <v>790</v>
      </c>
      <c r="B9658" t="s">
        <v>7</v>
      </c>
      <c r="C9658" s="1">
        <f>HYPERLINK("https://cao.dolgi.msk.ru/account/1011477722/", 1011477722)</f>
        <v>1011477722</v>
      </c>
      <c r="D9658">
        <v>-192.63</v>
      </c>
    </row>
    <row r="9659" spans="1:4" hidden="1" x14ac:dyDescent="0.3">
      <c r="A9659" t="s">
        <v>790</v>
      </c>
      <c r="B9659" t="s">
        <v>8</v>
      </c>
      <c r="C9659" s="1">
        <f>HYPERLINK("https://cao.dolgi.msk.ru/account/1011477845/", 1011477845)</f>
        <v>1011477845</v>
      </c>
      <c r="D9659">
        <v>-7.11</v>
      </c>
    </row>
    <row r="9660" spans="1:4" x14ac:dyDescent="0.3">
      <c r="A9660" t="s">
        <v>790</v>
      </c>
      <c r="B9660" t="s">
        <v>8</v>
      </c>
      <c r="C9660" s="1">
        <f>HYPERLINK("https://cao.dolgi.msk.ru/account/1011478004/", 1011478004)</f>
        <v>1011478004</v>
      </c>
      <c r="D9660">
        <v>6970.32</v>
      </c>
    </row>
    <row r="9661" spans="1:4" hidden="1" x14ac:dyDescent="0.3">
      <c r="A9661" t="s">
        <v>790</v>
      </c>
      <c r="B9661" t="s">
        <v>8</v>
      </c>
      <c r="C9661" s="1">
        <f>HYPERLINK("https://cao.dolgi.msk.ru/account/1011478063/", 1011478063)</f>
        <v>1011478063</v>
      </c>
      <c r="D9661">
        <v>-4941.13</v>
      </c>
    </row>
    <row r="9662" spans="1:4" hidden="1" x14ac:dyDescent="0.3">
      <c r="A9662" t="s">
        <v>790</v>
      </c>
      <c r="B9662" t="s">
        <v>31</v>
      </c>
      <c r="C9662" s="1">
        <f>HYPERLINK("https://cao.dolgi.msk.ru/account/1011478012/", 1011478012)</f>
        <v>1011478012</v>
      </c>
      <c r="D9662">
        <v>0</v>
      </c>
    </row>
    <row r="9663" spans="1:4" x14ac:dyDescent="0.3">
      <c r="A9663" t="s">
        <v>790</v>
      </c>
      <c r="B9663" t="s">
        <v>9</v>
      </c>
      <c r="C9663" s="1">
        <f>HYPERLINK("https://cao.dolgi.msk.ru/account/1011478071/", 1011478071)</f>
        <v>1011478071</v>
      </c>
      <c r="D9663">
        <v>9434.68</v>
      </c>
    </row>
    <row r="9664" spans="1:4" hidden="1" x14ac:dyDescent="0.3">
      <c r="A9664" t="s">
        <v>790</v>
      </c>
      <c r="B9664" t="s">
        <v>10</v>
      </c>
      <c r="C9664" s="1">
        <f>HYPERLINK("https://cao.dolgi.msk.ru/account/1011477917/", 1011477917)</f>
        <v>1011477917</v>
      </c>
      <c r="D9664">
        <v>-16296.03</v>
      </c>
    </row>
    <row r="9665" spans="1:4" hidden="1" x14ac:dyDescent="0.3">
      <c r="A9665" t="s">
        <v>790</v>
      </c>
      <c r="B9665" t="s">
        <v>11</v>
      </c>
      <c r="C9665" s="1">
        <f>HYPERLINK("https://cao.dolgi.msk.ru/account/1011478098/", 1011478098)</f>
        <v>1011478098</v>
      </c>
      <c r="D9665">
        <v>-17342.23</v>
      </c>
    </row>
    <row r="9666" spans="1:4" hidden="1" x14ac:dyDescent="0.3">
      <c r="A9666" t="s">
        <v>790</v>
      </c>
      <c r="B9666" t="s">
        <v>12</v>
      </c>
      <c r="C9666" s="1">
        <f>HYPERLINK("https://cao.dolgi.msk.ru/account/1011514773/", 1011514773)</f>
        <v>1011514773</v>
      </c>
      <c r="D9666">
        <v>0</v>
      </c>
    </row>
    <row r="9667" spans="1:4" x14ac:dyDescent="0.3">
      <c r="A9667" t="s">
        <v>790</v>
      </c>
      <c r="B9667" t="s">
        <v>23</v>
      </c>
      <c r="C9667" s="1">
        <f>HYPERLINK("https://cao.dolgi.msk.ru/account/1011477773/", 1011477773)</f>
        <v>1011477773</v>
      </c>
      <c r="D9667">
        <v>70786.240000000005</v>
      </c>
    </row>
    <row r="9668" spans="1:4" hidden="1" x14ac:dyDescent="0.3">
      <c r="A9668" t="s">
        <v>790</v>
      </c>
      <c r="B9668" t="s">
        <v>13</v>
      </c>
      <c r="C9668" s="1">
        <f>HYPERLINK("https://cao.dolgi.msk.ru/account/1011478119/", 1011478119)</f>
        <v>1011478119</v>
      </c>
      <c r="D9668">
        <v>0</v>
      </c>
    </row>
    <row r="9669" spans="1:4" hidden="1" x14ac:dyDescent="0.3">
      <c r="A9669" t="s">
        <v>790</v>
      </c>
      <c r="B9669" t="s">
        <v>14</v>
      </c>
      <c r="C9669" s="1">
        <f>HYPERLINK("https://cao.dolgi.msk.ru/account/1011477749/", 1011477749)</f>
        <v>1011477749</v>
      </c>
      <c r="D9669">
        <v>-11673.28</v>
      </c>
    </row>
    <row r="9670" spans="1:4" hidden="1" x14ac:dyDescent="0.3">
      <c r="A9670" t="s">
        <v>790</v>
      </c>
      <c r="B9670" t="s">
        <v>16</v>
      </c>
      <c r="C9670" s="1">
        <f>HYPERLINK("https://cao.dolgi.msk.ru/account/1011477968/", 1011477968)</f>
        <v>1011477968</v>
      </c>
      <c r="D9670">
        <v>-14839.92</v>
      </c>
    </row>
    <row r="9671" spans="1:4" hidden="1" x14ac:dyDescent="0.3">
      <c r="A9671" t="s">
        <v>790</v>
      </c>
      <c r="B9671" t="s">
        <v>17</v>
      </c>
      <c r="C9671" s="1">
        <f>HYPERLINK("https://cao.dolgi.msk.ru/account/1011477925/", 1011477925)</f>
        <v>1011477925</v>
      </c>
      <c r="D9671">
        <v>-258.99</v>
      </c>
    </row>
    <row r="9672" spans="1:4" hidden="1" x14ac:dyDescent="0.3">
      <c r="A9672" t="s">
        <v>790</v>
      </c>
      <c r="B9672" t="s">
        <v>18</v>
      </c>
      <c r="C9672" s="1">
        <f>HYPERLINK("https://cao.dolgi.msk.ru/account/1011477781/", 1011477781)</f>
        <v>1011477781</v>
      </c>
      <c r="D9672">
        <v>0</v>
      </c>
    </row>
    <row r="9673" spans="1:4" hidden="1" x14ac:dyDescent="0.3">
      <c r="A9673" t="s">
        <v>790</v>
      </c>
      <c r="B9673" t="s">
        <v>18</v>
      </c>
      <c r="C9673" s="1">
        <f>HYPERLINK("https://cao.dolgi.msk.ru/account/1011477802/", 1011477802)</f>
        <v>1011477802</v>
      </c>
      <c r="D9673">
        <v>0</v>
      </c>
    </row>
    <row r="9674" spans="1:4" hidden="1" x14ac:dyDescent="0.3">
      <c r="A9674" t="s">
        <v>790</v>
      </c>
      <c r="B9674" t="s">
        <v>19</v>
      </c>
      <c r="C9674" s="1">
        <f>HYPERLINK("https://cao.dolgi.msk.ru/account/1011477888/", 1011477888)</f>
        <v>1011477888</v>
      </c>
      <c r="D9674">
        <v>-84.79</v>
      </c>
    </row>
    <row r="9675" spans="1:4" hidden="1" x14ac:dyDescent="0.3">
      <c r="A9675" t="s">
        <v>790</v>
      </c>
      <c r="B9675" t="s">
        <v>19</v>
      </c>
      <c r="C9675" s="1">
        <f>HYPERLINK("https://cao.dolgi.msk.ru/account/1011477896/", 1011477896)</f>
        <v>1011477896</v>
      </c>
      <c r="D9675">
        <v>0</v>
      </c>
    </row>
    <row r="9676" spans="1:4" x14ac:dyDescent="0.3">
      <c r="A9676" t="s">
        <v>790</v>
      </c>
      <c r="B9676" t="s">
        <v>19</v>
      </c>
      <c r="C9676" s="1">
        <f>HYPERLINK("https://cao.dolgi.msk.ru/account/1011477992/", 1011477992)</f>
        <v>1011477992</v>
      </c>
      <c r="D9676">
        <v>63714.879999999997</v>
      </c>
    </row>
    <row r="9677" spans="1:4" x14ac:dyDescent="0.3">
      <c r="A9677" t="s">
        <v>790</v>
      </c>
      <c r="B9677" t="s">
        <v>19</v>
      </c>
      <c r="C9677" s="1">
        <f>HYPERLINK("https://cao.dolgi.msk.ru/account/1011478047/", 1011478047)</f>
        <v>1011478047</v>
      </c>
      <c r="D9677">
        <v>1903.97</v>
      </c>
    </row>
    <row r="9678" spans="1:4" hidden="1" x14ac:dyDescent="0.3">
      <c r="A9678" t="s">
        <v>790</v>
      </c>
      <c r="B9678" t="s">
        <v>19</v>
      </c>
      <c r="C9678" s="1">
        <f>HYPERLINK("https://cao.dolgi.msk.ru/account/1011478127/", 1011478127)</f>
        <v>1011478127</v>
      </c>
      <c r="D9678">
        <v>0</v>
      </c>
    </row>
    <row r="9679" spans="1:4" x14ac:dyDescent="0.3">
      <c r="A9679" t="s">
        <v>790</v>
      </c>
      <c r="B9679" t="s">
        <v>20</v>
      </c>
      <c r="C9679" s="1">
        <f>HYPERLINK("https://cao.dolgi.msk.ru/account/1011478151/", 1011478151)</f>
        <v>1011478151</v>
      </c>
      <c r="D9679">
        <v>26916.01</v>
      </c>
    </row>
    <row r="9680" spans="1:4" hidden="1" x14ac:dyDescent="0.3">
      <c r="A9680" t="s">
        <v>790</v>
      </c>
      <c r="B9680" t="s">
        <v>21</v>
      </c>
      <c r="C9680" s="1">
        <f>HYPERLINK("https://cao.dolgi.msk.ru/account/1011478135/", 1011478135)</f>
        <v>1011478135</v>
      </c>
      <c r="D9680">
        <v>0</v>
      </c>
    </row>
    <row r="9681" spans="1:4" hidden="1" x14ac:dyDescent="0.3">
      <c r="A9681" t="s">
        <v>790</v>
      </c>
      <c r="B9681" t="s">
        <v>22</v>
      </c>
      <c r="C9681" s="1">
        <f>HYPERLINK("https://cao.dolgi.msk.ru/account/1011477829/", 1011477829)</f>
        <v>1011477829</v>
      </c>
      <c r="D9681">
        <v>0</v>
      </c>
    </row>
    <row r="9682" spans="1:4" hidden="1" x14ac:dyDescent="0.3">
      <c r="A9682" t="s">
        <v>790</v>
      </c>
      <c r="B9682" t="s">
        <v>24</v>
      </c>
      <c r="C9682" s="1">
        <f>HYPERLINK("https://cao.dolgi.msk.ru/account/1011477976/", 1011477976)</f>
        <v>1011477976</v>
      </c>
      <c r="D9682">
        <v>0</v>
      </c>
    </row>
    <row r="9683" spans="1:4" x14ac:dyDescent="0.3">
      <c r="A9683" t="s">
        <v>790</v>
      </c>
      <c r="B9683" t="s">
        <v>25</v>
      </c>
      <c r="C9683" s="1">
        <f>HYPERLINK("https://cao.dolgi.msk.ru/account/1011477757/", 1011477757)</f>
        <v>1011477757</v>
      </c>
      <c r="D9683">
        <v>17760.53</v>
      </c>
    </row>
    <row r="9684" spans="1:4" hidden="1" x14ac:dyDescent="0.3">
      <c r="A9684" t="s">
        <v>790</v>
      </c>
      <c r="B9684" t="s">
        <v>26</v>
      </c>
      <c r="C9684" s="1">
        <f>HYPERLINK("https://cao.dolgi.msk.ru/account/1011478143/", 1011478143)</f>
        <v>1011478143</v>
      </c>
      <c r="D9684">
        <v>0</v>
      </c>
    </row>
    <row r="9685" spans="1:4" hidden="1" x14ac:dyDescent="0.3">
      <c r="A9685" t="s">
        <v>791</v>
      </c>
      <c r="B9685" t="s">
        <v>63</v>
      </c>
      <c r="C9685" s="1">
        <f>HYPERLINK("https://cao.dolgi.msk.ru/account/1011436816/", 1011436816)</f>
        <v>1011436816</v>
      </c>
      <c r="D9685">
        <v>0</v>
      </c>
    </row>
    <row r="9686" spans="1:4" x14ac:dyDescent="0.3">
      <c r="A9686" t="s">
        <v>791</v>
      </c>
      <c r="B9686" t="s">
        <v>65</v>
      </c>
      <c r="C9686" s="1">
        <f>HYPERLINK("https://cao.dolgi.msk.ru/account/1011436795/", 1011436795)</f>
        <v>1011436795</v>
      </c>
      <c r="D9686">
        <v>12411.87</v>
      </c>
    </row>
    <row r="9687" spans="1:4" hidden="1" x14ac:dyDescent="0.3">
      <c r="A9687" t="s">
        <v>791</v>
      </c>
      <c r="B9687" t="s">
        <v>66</v>
      </c>
      <c r="C9687" s="1">
        <f>HYPERLINK("https://cao.dolgi.msk.ru/account/1011436875/", 1011436875)</f>
        <v>1011436875</v>
      </c>
      <c r="D9687">
        <v>-16681.66</v>
      </c>
    </row>
    <row r="9688" spans="1:4" hidden="1" x14ac:dyDescent="0.3">
      <c r="A9688" t="s">
        <v>791</v>
      </c>
      <c r="B9688" t="s">
        <v>67</v>
      </c>
      <c r="C9688" s="1">
        <f>HYPERLINK("https://cao.dolgi.msk.ru/account/1011436576/", 1011436576)</f>
        <v>1011436576</v>
      </c>
      <c r="D9688">
        <v>0</v>
      </c>
    </row>
    <row r="9689" spans="1:4" hidden="1" x14ac:dyDescent="0.3">
      <c r="A9689" t="s">
        <v>791</v>
      </c>
      <c r="B9689" t="s">
        <v>67</v>
      </c>
      <c r="C9689" s="1">
        <f>HYPERLINK("https://cao.dolgi.msk.ru/account/1011436701/", 1011436701)</f>
        <v>1011436701</v>
      </c>
      <c r="D9689">
        <v>-7074.31</v>
      </c>
    </row>
    <row r="9690" spans="1:4" hidden="1" x14ac:dyDescent="0.3">
      <c r="A9690" t="s">
        <v>791</v>
      </c>
      <c r="B9690" t="s">
        <v>67</v>
      </c>
      <c r="C9690" s="1">
        <f>HYPERLINK("https://cao.dolgi.msk.ru/account/1011436728/", 1011436728)</f>
        <v>1011436728</v>
      </c>
      <c r="D9690">
        <v>-687.16</v>
      </c>
    </row>
    <row r="9691" spans="1:4" x14ac:dyDescent="0.3">
      <c r="A9691" t="s">
        <v>791</v>
      </c>
      <c r="B9691" t="s">
        <v>68</v>
      </c>
      <c r="C9691" s="1">
        <f>HYPERLINK("https://cao.dolgi.msk.ru/account/1011436699/", 1011436699)</f>
        <v>1011436699</v>
      </c>
      <c r="D9691">
        <v>6657.21</v>
      </c>
    </row>
    <row r="9692" spans="1:4" hidden="1" x14ac:dyDescent="0.3">
      <c r="A9692" t="s">
        <v>791</v>
      </c>
      <c r="B9692" t="s">
        <v>68</v>
      </c>
      <c r="C9692" s="1">
        <f>HYPERLINK("https://cao.dolgi.msk.ru/account/1011436736/", 1011436736)</f>
        <v>1011436736</v>
      </c>
      <c r="D9692">
        <v>0</v>
      </c>
    </row>
    <row r="9693" spans="1:4" hidden="1" x14ac:dyDescent="0.3">
      <c r="A9693" t="s">
        <v>791</v>
      </c>
      <c r="B9693" t="s">
        <v>68</v>
      </c>
      <c r="C9693" s="1">
        <f>HYPERLINK("https://cao.dolgi.msk.ru/account/1011436787/", 1011436787)</f>
        <v>1011436787</v>
      </c>
      <c r="D9693">
        <v>-686.24</v>
      </c>
    </row>
    <row r="9694" spans="1:4" x14ac:dyDescent="0.3">
      <c r="A9694" t="s">
        <v>791</v>
      </c>
      <c r="B9694" t="s">
        <v>68</v>
      </c>
      <c r="C9694" s="1">
        <f>HYPERLINK("https://cao.dolgi.msk.ru/account/1011436824/", 1011436824)</f>
        <v>1011436824</v>
      </c>
      <c r="D9694">
        <v>4748.8100000000004</v>
      </c>
    </row>
    <row r="9695" spans="1:4" x14ac:dyDescent="0.3">
      <c r="A9695" t="s">
        <v>791</v>
      </c>
      <c r="B9695" t="s">
        <v>69</v>
      </c>
      <c r="C9695" s="1">
        <f>HYPERLINK("https://cao.dolgi.msk.ru/account/1011436752/", 1011436752)</f>
        <v>1011436752</v>
      </c>
      <c r="D9695">
        <v>101475.48</v>
      </c>
    </row>
    <row r="9696" spans="1:4" hidden="1" x14ac:dyDescent="0.3">
      <c r="A9696" t="s">
        <v>791</v>
      </c>
      <c r="B9696" t="s">
        <v>70</v>
      </c>
      <c r="C9696" s="1">
        <f>HYPERLINK("https://cao.dolgi.msk.ru/account/1011436584/", 1011436584)</f>
        <v>1011436584</v>
      </c>
      <c r="D9696">
        <v>0</v>
      </c>
    </row>
    <row r="9697" spans="1:4" hidden="1" x14ac:dyDescent="0.3">
      <c r="A9697" t="s">
        <v>791</v>
      </c>
      <c r="B9697" t="s">
        <v>259</v>
      </c>
      <c r="C9697" s="1">
        <f>HYPERLINK("https://cao.dolgi.msk.ru/account/1011436808/", 1011436808)</f>
        <v>1011436808</v>
      </c>
      <c r="D9697">
        <v>-45295.03</v>
      </c>
    </row>
    <row r="9698" spans="1:4" hidden="1" x14ac:dyDescent="0.3">
      <c r="A9698" t="s">
        <v>791</v>
      </c>
      <c r="B9698" t="s">
        <v>100</v>
      </c>
      <c r="C9698" s="1">
        <f>HYPERLINK("https://cao.dolgi.msk.ru/account/1011436509/", 1011436509)</f>
        <v>1011436509</v>
      </c>
      <c r="D9698">
        <v>-11715.61</v>
      </c>
    </row>
    <row r="9699" spans="1:4" hidden="1" x14ac:dyDescent="0.3">
      <c r="A9699" t="s">
        <v>791</v>
      </c>
      <c r="B9699" t="s">
        <v>100</v>
      </c>
      <c r="C9699" s="1">
        <f>HYPERLINK("https://cao.dolgi.msk.ru/account/1011436525/", 1011436525)</f>
        <v>1011436525</v>
      </c>
      <c r="D9699">
        <v>-11761.98</v>
      </c>
    </row>
    <row r="9700" spans="1:4" x14ac:dyDescent="0.3">
      <c r="A9700" t="s">
        <v>791</v>
      </c>
      <c r="B9700" t="s">
        <v>100</v>
      </c>
      <c r="C9700" s="1">
        <f>HYPERLINK("https://cao.dolgi.msk.ru/account/1011436656/", 1011436656)</f>
        <v>1011436656</v>
      </c>
      <c r="D9700">
        <v>15947.84</v>
      </c>
    </row>
    <row r="9701" spans="1:4" x14ac:dyDescent="0.3">
      <c r="A9701" t="s">
        <v>791</v>
      </c>
      <c r="B9701" t="s">
        <v>100</v>
      </c>
      <c r="C9701" s="1">
        <f>HYPERLINK("https://cao.dolgi.msk.ru/account/1011436859/", 1011436859)</f>
        <v>1011436859</v>
      </c>
      <c r="D9701">
        <v>1927.03</v>
      </c>
    </row>
    <row r="9702" spans="1:4" hidden="1" x14ac:dyDescent="0.3">
      <c r="A9702" t="s">
        <v>791</v>
      </c>
      <c r="B9702" t="s">
        <v>72</v>
      </c>
      <c r="C9702" s="1">
        <f>HYPERLINK("https://cao.dolgi.msk.ru/account/1011436541/", 1011436541)</f>
        <v>1011436541</v>
      </c>
      <c r="D9702">
        <v>0</v>
      </c>
    </row>
    <row r="9703" spans="1:4" x14ac:dyDescent="0.3">
      <c r="A9703" t="s">
        <v>791</v>
      </c>
      <c r="B9703" t="s">
        <v>73</v>
      </c>
      <c r="C9703" s="1">
        <f>HYPERLINK("https://cao.dolgi.msk.ru/account/1011436832/", 1011436832)</f>
        <v>1011436832</v>
      </c>
      <c r="D9703">
        <v>18216.150000000001</v>
      </c>
    </row>
    <row r="9704" spans="1:4" hidden="1" x14ac:dyDescent="0.3">
      <c r="A9704" t="s">
        <v>791</v>
      </c>
      <c r="B9704" t="s">
        <v>74</v>
      </c>
      <c r="C9704" s="1">
        <f>HYPERLINK("https://cao.dolgi.msk.ru/account/1011436533/", 1011436533)</f>
        <v>1011436533</v>
      </c>
      <c r="D9704">
        <v>0</v>
      </c>
    </row>
    <row r="9705" spans="1:4" hidden="1" x14ac:dyDescent="0.3">
      <c r="A9705" t="s">
        <v>791</v>
      </c>
      <c r="B9705" t="s">
        <v>75</v>
      </c>
      <c r="C9705" s="1">
        <f>HYPERLINK("https://cao.dolgi.msk.ru/account/1011436672/", 1011436672)</f>
        <v>1011436672</v>
      </c>
      <c r="D9705">
        <v>-609.30999999999995</v>
      </c>
    </row>
    <row r="9706" spans="1:4" hidden="1" x14ac:dyDescent="0.3">
      <c r="A9706" t="s">
        <v>791</v>
      </c>
      <c r="B9706" t="s">
        <v>76</v>
      </c>
      <c r="C9706" s="1">
        <f>HYPERLINK("https://cao.dolgi.msk.ru/account/1011436592/", 1011436592)</f>
        <v>1011436592</v>
      </c>
      <c r="D9706">
        <v>-138.96</v>
      </c>
    </row>
    <row r="9707" spans="1:4" hidden="1" x14ac:dyDescent="0.3">
      <c r="A9707" t="s">
        <v>791</v>
      </c>
      <c r="B9707" t="s">
        <v>77</v>
      </c>
      <c r="C9707" s="1">
        <f>HYPERLINK("https://cao.dolgi.msk.ru/account/1011436779/", 1011436779)</f>
        <v>1011436779</v>
      </c>
      <c r="D9707">
        <v>0</v>
      </c>
    </row>
    <row r="9708" spans="1:4" hidden="1" x14ac:dyDescent="0.3">
      <c r="A9708" t="s">
        <v>791</v>
      </c>
      <c r="B9708" t="s">
        <v>78</v>
      </c>
      <c r="C9708" s="1">
        <f>HYPERLINK("https://cao.dolgi.msk.ru/account/1011436664/", 1011436664)</f>
        <v>1011436664</v>
      </c>
      <c r="D9708">
        <v>-598.34</v>
      </c>
    </row>
    <row r="9709" spans="1:4" hidden="1" x14ac:dyDescent="0.3">
      <c r="A9709" t="s">
        <v>791</v>
      </c>
      <c r="B9709" t="s">
        <v>79</v>
      </c>
      <c r="C9709" s="1">
        <f>HYPERLINK("https://cao.dolgi.msk.ru/account/1011436648/", 1011436648)</f>
        <v>1011436648</v>
      </c>
      <c r="D9709">
        <v>-22.67</v>
      </c>
    </row>
    <row r="9710" spans="1:4" hidden="1" x14ac:dyDescent="0.3">
      <c r="A9710" t="s">
        <v>791</v>
      </c>
      <c r="B9710" t="s">
        <v>80</v>
      </c>
      <c r="C9710" s="1">
        <f>HYPERLINK("https://cao.dolgi.msk.ru/account/1011436568/", 1011436568)</f>
        <v>1011436568</v>
      </c>
      <c r="D9710">
        <v>0</v>
      </c>
    </row>
    <row r="9711" spans="1:4" x14ac:dyDescent="0.3">
      <c r="A9711" t="s">
        <v>791</v>
      </c>
      <c r="B9711" t="s">
        <v>80</v>
      </c>
      <c r="C9711" s="1">
        <f>HYPERLINK("https://cao.dolgi.msk.ru/account/1011436605/", 1011436605)</f>
        <v>1011436605</v>
      </c>
      <c r="D9711">
        <v>2205.21</v>
      </c>
    </row>
    <row r="9712" spans="1:4" hidden="1" x14ac:dyDescent="0.3">
      <c r="A9712" t="s">
        <v>791</v>
      </c>
      <c r="B9712" t="s">
        <v>80</v>
      </c>
      <c r="C9712" s="1">
        <f>HYPERLINK("https://cao.dolgi.msk.ru/account/1011436621/", 1011436621)</f>
        <v>1011436621</v>
      </c>
      <c r="D9712">
        <v>-4094.62</v>
      </c>
    </row>
    <row r="9713" spans="1:4" hidden="1" x14ac:dyDescent="0.3">
      <c r="A9713" t="s">
        <v>791</v>
      </c>
      <c r="B9713" t="s">
        <v>80</v>
      </c>
      <c r="C9713" s="1">
        <f>HYPERLINK("https://cao.dolgi.msk.ru/account/1011505375/", 1011505375)</f>
        <v>1011505375</v>
      </c>
      <c r="D9713">
        <v>0</v>
      </c>
    </row>
    <row r="9714" spans="1:4" hidden="1" x14ac:dyDescent="0.3">
      <c r="A9714" t="s">
        <v>791</v>
      </c>
      <c r="B9714" t="s">
        <v>81</v>
      </c>
      <c r="C9714" s="1">
        <f>HYPERLINK("https://cao.dolgi.msk.ru/account/1011436517/", 1011436517)</f>
        <v>1011436517</v>
      </c>
      <c r="D9714">
        <v>0</v>
      </c>
    </row>
    <row r="9715" spans="1:4" hidden="1" x14ac:dyDescent="0.3">
      <c r="A9715" t="s">
        <v>792</v>
      </c>
      <c r="B9715" t="s">
        <v>6</v>
      </c>
      <c r="C9715" s="1">
        <f>HYPERLINK("https://cao.dolgi.msk.ru/account/1011368745/", 1011368745)</f>
        <v>1011368745</v>
      </c>
      <c r="D9715">
        <v>-8723.7900000000009</v>
      </c>
    </row>
    <row r="9716" spans="1:4" hidden="1" x14ac:dyDescent="0.3">
      <c r="A9716" t="s">
        <v>792</v>
      </c>
      <c r="B9716" t="s">
        <v>28</v>
      </c>
      <c r="C9716" s="1">
        <f>HYPERLINK("https://cao.dolgi.msk.ru/account/1011369035/", 1011369035)</f>
        <v>1011369035</v>
      </c>
      <c r="D9716">
        <v>0</v>
      </c>
    </row>
    <row r="9717" spans="1:4" x14ac:dyDescent="0.3">
      <c r="A9717" t="s">
        <v>792</v>
      </c>
      <c r="B9717" t="s">
        <v>35</v>
      </c>
      <c r="C9717" s="1">
        <f>HYPERLINK("https://cao.dolgi.msk.ru/account/1011368964/", 1011368964)</f>
        <v>1011368964</v>
      </c>
      <c r="D9717">
        <v>9097.24</v>
      </c>
    </row>
    <row r="9718" spans="1:4" hidden="1" x14ac:dyDescent="0.3">
      <c r="A9718" t="s">
        <v>792</v>
      </c>
      <c r="B9718" t="s">
        <v>5</v>
      </c>
      <c r="C9718" s="1">
        <f>HYPERLINK("https://cao.dolgi.msk.ru/account/1011368112/", 1011368112)</f>
        <v>1011368112</v>
      </c>
      <c r="D9718">
        <v>-54717.93</v>
      </c>
    </row>
    <row r="9719" spans="1:4" hidden="1" x14ac:dyDescent="0.3">
      <c r="A9719" t="s">
        <v>792</v>
      </c>
      <c r="B9719" t="s">
        <v>7</v>
      </c>
      <c r="C9719" s="1">
        <f>HYPERLINK("https://cao.dolgi.msk.ru/account/1011368139/", 1011368139)</f>
        <v>1011368139</v>
      </c>
      <c r="D9719">
        <v>-24726.9</v>
      </c>
    </row>
    <row r="9720" spans="1:4" x14ac:dyDescent="0.3">
      <c r="A9720" t="s">
        <v>792</v>
      </c>
      <c r="B9720" t="s">
        <v>8</v>
      </c>
      <c r="C9720" s="1">
        <f>HYPERLINK("https://cao.dolgi.msk.ru/account/1011368673/", 1011368673)</f>
        <v>1011368673</v>
      </c>
      <c r="D9720">
        <v>13359.89</v>
      </c>
    </row>
    <row r="9721" spans="1:4" hidden="1" x14ac:dyDescent="0.3">
      <c r="A9721" t="s">
        <v>792</v>
      </c>
      <c r="B9721" t="s">
        <v>31</v>
      </c>
      <c r="C9721" s="1">
        <f>HYPERLINK("https://cao.dolgi.msk.ru/account/1011368788/", 1011368788)</f>
        <v>1011368788</v>
      </c>
      <c r="D9721">
        <v>0</v>
      </c>
    </row>
    <row r="9722" spans="1:4" hidden="1" x14ac:dyDescent="0.3">
      <c r="A9722" t="s">
        <v>792</v>
      </c>
      <c r="B9722" t="s">
        <v>9</v>
      </c>
      <c r="C9722" s="1">
        <f>HYPERLINK("https://cao.dolgi.msk.ru/account/1011368622/", 1011368622)</f>
        <v>1011368622</v>
      </c>
      <c r="D9722">
        <v>0</v>
      </c>
    </row>
    <row r="9723" spans="1:4" hidden="1" x14ac:dyDescent="0.3">
      <c r="A9723" t="s">
        <v>792</v>
      </c>
      <c r="B9723" t="s">
        <v>10</v>
      </c>
      <c r="C9723" s="1">
        <f>HYPERLINK("https://cao.dolgi.msk.ru/account/1011368171/", 1011368171)</f>
        <v>1011368171</v>
      </c>
      <c r="D9723">
        <v>0</v>
      </c>
    </row>
    <row r="9724" spans="1:4" hidden="1" x14ac:dyDescent="0.3">
      <c r="A9724" t="s">
        <v>792</v>
      </c>
      <c r="B9724" t="s">
        <v>12</v>
      </c>
      <c r="C9724" s="1">
        <f>HYPERLINK("https://cao.dolgi.msk.ru/account/1011368067/", 1011368067)</f>
        <v>1011368067</v>
      </c>
      <c r="D9724">
        <v>0</v>
      </c>
    </row>
    <row r="9725" spans="1:4" hidden="1" x14ac:dyDescent="0.3">
      <c r="A9725" t="s">
        <v>792</v>
      </c>
      <c r="B9725" t="s">
        <v>23</v>
      </c>
      <c r="C9725" s="1">
        <f>HYPERLINK("https://cao.dolgi.msk.ru/account/1011369385/", 1011369385)</f>
        <v>1011369385</v>
      </c>
      <c r="D9725">
        <v>0</v>
      </c>
    </row>
    <row r="9726" spans="1:4" hidden="1" x14ac:dyDescent="0.3">
      <c r="A9726" t="s">
        <v>792</v>
      </c>
      <c r="B9726" t="s">
        <v>13</v>
      </c>
      <c r="C9726" s="1">
        <f>HYPERLINK("https://cao.dolgi.msk.ru/account/1011368163/", 1011368163)</f>
        <v>1011368163</v>
      </c>
      <c r="D9726">
        <v>-6665.4</v>
      </c>
    </row>
    <row r="9727" spans="1:4" hidden="1" x14ac:dyDescent="0.3">
      <c r="A9727" t="s">
        <v>792</v>
      </c>
      <c r="B9727" t="s">
        <v>14</v>
      </c>
      <c r="C9727" s="1">
        <f>HYPERLINK("https://cao.dolgi.msk.ru/account/1011369406/", 1011369406)</f>
        <v>1011369406</v>
      </c>
      <c r="D9727">
        <v>0</v>
      </c>
    </row>
    <row r="9728" spans="1:4" hidden="1" x14ac:dyDescent="0.3">
      <c r="A9728" t="s">
        <v>792</v>
      </c>
      <c r="B9728" t="s">
        <v>16</v>
      </c>
      <c r="C9728" s="1">
        <f>HYPERLINK("https://cao.dolgi.msk.ru/account/1011369334/", 1011369334)</f>
        <v>1011369334</v>
      </c>
      <c r="D9728">
        <v>0</v>
      </c>
    </row>
    <row r="9729" spans="1:4" hidden="1" x14ac:dyDescent="0.3">
      <c r="A9729" t="s">
        <v>792</v>
      </c>
      <c r="B9729" t="s">
        <v>18</v>
      </c>
      <c r="C9729" s="1">
        <f>HYPERLINK("https://cao.dolgi.msk.ru/account/1011368147/", 1011368147)</f>
        <v>1011368147</v>
      </c>
      <c r="D9729">
        <v>-85.94</v>
      </c>
    </row>
    <row r="9730" spans="1:4" hidden="1" x14ac:dyDescent="0.3">
      <c r="A9730" t="s">
        <v>792</v>
      </c>
      <c r="B9730" t="s">
        <v>19</v>
      </c>
      <c r="C9730" s="1">
        <f>HYPERLINK("https://cao.dolgi.msk.ru/account/1011368278/", 1011368278)</f>
        <v>1011368278</v>
      </c>
      <c r="D9730">
        <v>0</v>
      </c>
    </row>
    <row r="9731" spans="1:4" hidden="1" x14ac:dyDescent="0.3">
      <c r="A9731" t="s">
        <v>792</v>
      </c>
      <c r="B9731" t="s">
        <v>20</v>
      </c>
      <c r="C9731" s="1">
        <f>HYPERLINK("https://cao.dolgi.msk.ru/account/1011368286/", 1011368286)</f>
        <v>1011368286</v>
      </c>
      <c r="D9731">
        <v>-5063.8900000000003</v>
      </c>
    </row>
    <row r="9732" spans="1:4" x14ac:dyDescent="0.3">
      <c r="A9732" t="s">
        <v>792</v>
      </c>
      <c r="B9732" t="s">
        <v>21</v>
      </c>
      <c r="C9732" s="1">
        <f>HYPERLINK("https://cao.dolgi.msk.ru/account/1011368753/", 1011368753)</f>
        <v>1011368753</v>
      </c>
      <c r="D9732">
        <v>13481.08</v>
      </c>
    </row>
    <row r="9733" spans="1:4" x14ac:dyDescent="0.3">
      <c r="A9733" t="s">
        <v>792</v>
      </c>
      <c r="B9733" t="s">
        <v>22</v>
      </c>
      <c r="C9733" s="1">
        <f>HYPERLINK("https://cao.dolgi.msk.ru/account/1011369246/", 1011369246)</f>
        <v>1011369246</v>
      </c>
      <c r="D9733">
        <v>9540.3700000000008</v>
      </c>
    </row>
    <row r="9734" spans="1:4" x14ac:dyDescent="0.3">
      <c r="A9734" t="s">
        <v>792</v>
      </c>
      <c r="B9734" t="s">
        <v>24</v>
      </c>
      <c r="C9734" s="1">
        <f>HYPERLINK("https://cao.dolgi.msk.ru/account/1011369342/", 1011369342)</f>
        <v>1011369342</v>
      </c>
      <c r="D9734">
        <v>10506.79</v>
      </c>
    </row>
    <row r="9735" spans="1:4" hidden="1" x14ac:dyDescent="0.3">
      <c r="A9735" t="s">
        <v>792</v>
      </c>
      <c r="B9735" t="s">
        <v>25</v>
      </c>
      <c r="C9735" s="1">
        <f>HYPERLINK("https://cao.dolgi.msk.ru/account/1011368681/", 1011368681)</f>
        <v>1011368681</v>
      </c>
      <c r="D9735">
        <v>0</v>
      </c>
    </row>
    <row r="9736" spans="1:4" hidden="1" x14ac:dyDescent="0.3">
      <c r="A9736" t="s">
        <v>792</v>
      </c>
      <c r="B9736" t="s">
        <v>26</v>
      </c>
      <c r="C9736" s="1">
        <f>HYPERLINK("https://cao.dolgi.msk.ru/account/1011368585/", 1011368585)</f>
        <v>1011368585</v>
      </c>
      <c r="D9736">
        <v>-4854</v>
      </c>
    </row>
    <row r="9737" spans="1:4" x14ac:dyDescent="0.3">
      <c r="A9737" t="s">
        <v>792</v>
      </c>
      <c r="B9737" t="s">
        <v>27</v>
      </c>
      <c r="C9737" s="1">
        <f>HYPERLINK("https://cao.dolgi.msk.ru/account/1011369297/", 1011369297)</f>
        <v>1011369297</v>
      </c>
      <c r="D9737">
        <v>6857.24</v>
      </c>
    </row>
    <row r="9738" spans="1:4" hidden="1" x14ac:dyDescent="0.3">
      <c r="A9738" t="s">
        <v>792</v>
      </c>
      <c r="B9738" t="s">
        <v>29</v>
      </c>
      <c r="C9738" s="1">
        <f>HYPERLINK("https://cao.dolgi.msk.ru/account/1011368454/", 1011368454)</f>
        <v>1011368454</v>
      </c>
      <c r="D9738">
        <v>-85.94</v>
      </c>
    </row>
    <row r="9739" spans="1:4" hidden="1" x14ac:dyDescent="0.3">
      <c r="A9739" t="s">
        <v>792</v>
      </c>
      <c r="B9739" t="s">
        <v>39</v>
      </c>
      <c r="C9739" s="1">
        <f>HYPERLINK("https://cao.dolgi.msk.ru/account/1011369094/", 1011369094)</f>
        <v>1011369094</v>
      </c>
      <c r="D9739">
        <v>0</v>
      </c>
    </row>
    <row r="9740" spans="1:4" x14ac:dyDescent="0.3">
      <c r="A9740" t="s">
        <v>792</v>
      </c>
      <c r="B9740" t="s">
        <v>40</v>
      </c>
      <c r="C9740" s="1">
        <f>HYPERLINK("https://cao.dolgi.msk.ru/account/1011368438/", 1011368438)</f>
        <v>1011368438</v>
      </c>
      <c r="D9740">
        <v>3971.51</v>
      </c>
    </row>
    <row r="9741" spans="1:4" hidden="1" x14ac:dyDescent="0.3">
      <c r="A9741" t="s">
        <v>792</v>
      </c>
      <c r="B9741" t="s">
        <v>51</v>
      </c>
      <c r="C9741" s="1">
        <f>HYPERLINK("https://cao.dolgi.msk.ru/account/1011368921/", 1011368921)</f>
        <v>1011368921</v>
      </c>
      <c r="D9741">
        <v>0</v>
      </c>
    </row>
    <row r="9742" spans="1:4" hidden="1" x14ac:dyDescent="0.3">
      <c r="A9742" t="s">
        <v>792</v>
      </c>
      <c r="B9742" t="s">
        <v>51</v>
      </c>
      <c r="C9742" s="1">
        <f>HYPERLINK("https://cao.dolgi.msk.ru/account/1011369174/", 1011369174)</f>
        <v>1011369174</v>
      </c>
      <c r="D9742">
        <v>0</v>
      </c>
    </row>
    <row r="9743" spans="1:4" x14ac:dyDescent="0.3">
      <c r="A9743" t="s">
        <v>792</v>
      </c>
      <c r="B9743" t="s">
        <v>52</v>
      </c>
      <c r="C9743" s="1">
        <f>HYPERLINK("https://cao.dolgi.msk.ru/account/1011369166/", 1011369166)</f>
        <v>1011369166</v>
      </c>
      <c r="D9743">
        <v>2705.17</v>
      </c>
    </row>
    <row r="9744" spans="1:4" x14ac:dyDescent="0.3">
      <c r="A9744" t="s">
        <v>792</v>
      </c>
      <c r="B9744" t="s">
        <v>52</v>
      </c>
      <c r="C9744" s="1">
        <f>HYPERLINK("https://cao.dolgi.msk.ru/account/1011369203/", 1011369203)</f>
        <v>1011369203</v>
      </c>
      <c r="D9744">
        <v>2164.7199999999998</v>
      </c>
    </row>
    <row r="9745" spans="1:4" hidden="1" x14ac:dyDescent="0.3">
      <c r="A9745" t="s">
        <v>792</v>
      </c>
      <c r="B9745" t="s">
        <v>53</v>
      </c>
      <c r="C9745" s="1">
        <f>HYPERLINK("https://cao.dolgi.msk.ru/account/1011368956/", 1011368956)</f>
        <v>1011368956</v>
      </c>
      <c r="D9745">
        <v>0</v>
      </c>
    </row>
    <row r="9746" spans="1:4" hidden="1" x14ac:dyDescent="0.3">
      <c r="A9746" t="s">
        <v>792</v>
      </c>
      <c r="B9746" t="s">
        <v>54</v>
      </c>
      <c r="C9746" s="1">
        <f>HYPERLINK("https://cao.dolgi.msk.ru/account/1011369318/", 1011369318)</f>
        <v>1011369318</v>
      </c>
      <c r="D9746">
        <v>-85.94</v>
      </c>
    </row>
    <row r="9747" spans="1:4" hidden="1" x14ac:dyDescent="0.3">
      <c r="A9747" t="s">
        <v>792</v>
      </c>
      <c r="B9747" t="s">
        <v>55</v>
      </c>
      <c r="C9747" s="1">
        <f>HYPERLINK("https://cao.dolgi.msk.ru/account/1011369254/", 1011369254)</f>
        <v>1011369254</v>
      </c>
      <c r="D9747">
        <v>0</v>
      </c>
    </row>
    <row r="9748" spans="1:4" hidden="1" x14ac:dyDescent="0.3">
      <c r="A9748" t="s">
        <v>792</v>
      </c>
      <c r="B9748" t="s">
        <v>56</v>
      </c>
      <c r="C9748" s="1">
        <f>HYPERLINK("https://cao.dolgi.msk.ru/account/1011369043/", 1011369043)</f>
        <v>1011369043</v>
      </c>
      <c r="D9748">
        <v>-7091.09</v>
      </c>
    </row>
    <row r="9749" spans="1:4" hidden="1" x14ac:dyDescent="0.3">
      <c r="A9749" t="s">
        <v>792</v>
      </c>
      <c r="B9749" t="s">
        <v>87</v>
      </c>
      <c r="C9749" s="1">
        <f>HYPERLINK("https://cao.dolgi.msk.ru/account/1011368569/", 1011368569)</f>
        <v>1011368569</v>
      </c>
      <c r="D9749">
        <v>0</v>
      </c>
    </row>
    <row r="9750" spans="1:4" hidden="1" x14ac:dyDescent="0.3">
      <c r="A9750" t="s">
        <v>792</v>
      </c>
      <c r="B9750" t="s">
        <v>88</v>
      </c>
      <c r="C9750" s="1">
        <f>HYPERLINK("https://cao.dolgi.msk.ru/account/1011368841/", 1011368841)</f>
        <v>1011368841</v>
      </c>
      <c r="D9750">
        <v>0</v>
      </c>
    </row>
    <row r="9751" spans="1:4" hidden="1" x14ac:dyDescent="0.3">
      <c r="A9751" t="s">
        <v>792</v>
      </c>
      <c r="B9751" t="s">
        <v>89</v>
      </c>
      <c r="C9751" s="1">
        <f>HYPERLINK("https://cao.dolgi.msk.ru/account/1011368155/", 1011368155)</f>
        <v>1011368155</v>
      </c>
      <c r="D9751">
        <v>-9132.08</v>
      </c>
    </row>
    <row r="9752" spans="1:4" hidden="1" x14ac:dyDescent="0.3">
      <c r="A9752" t="s">
        <v>792</v>
      </c>
      <c r="B9752" t="s">
        <v>90</v>
      </c>
      <c r="C9752" s="1">
        <f>HYPERLINK("https://cao.dolgi.msk.ru/account/1011368382/", 1011368382)</f>
        <v>1011368382</v>
      </c>
      <c r="D9752">
        <v>0</v>
      </c>
    </row>
    <row r="9753" spans="1:4" hidden="1" x14ac:dyDescent="0.3">
      <c r="A9753" t="s">
        <v>792</v>
      </c>
      <c r="B9753" t="s">
        <v>96</v>
      </c>
      <c r="C9753" s="1">
        <f>HYPERLINK("https://cao.dolgi.msk.ru/account/1011369123/", 1011369123)</f>
        <v>1011369123</v>
      </c>
      <c r="D9753">
        <v>0</v>
      </c>
    </row>
    <row r="9754" spans="1:4" hidden="1" x14ac:dyDescent="0.3">
      <c r="A9754" t="s">
        <v>792</v>
      </c>
      <c r="B9754" t="s">
        <v>97</v>
      </c>
      <c r="C9754" s="1">
        <f>HYPERLINK("https://cao.dolgi.msk.ru/account/1011368972/", 1011368972)</f>
        <v>1011368972</v>
      </c>
      <c r="D9754">
        <v>-11964.86</v>
      </c>
    </row>
    <row r="9755" spans="1:4" hidden="1" x14ac:dyDescent="0.3">
      <c r="A9755" t="s">
        <v>792</v>
      </c>
      <c r="B9755" t="s">
        <v>98</v>
      </c>
      <c r="C9755" s="1">
        <f>HYPERLINK("https://cao.dolgi.msk.ru/account/1011368593/", 1011368593)</f>
        <v>1011368593</v>
      </c>
      <c r="D9755">
        <v>-8124.21</v>
      </c>
    </row>
    <row r="9756" spans="1:4" x14ac:dyDescent="0.3">
      <c r="A9756" t="s">
        <v>792</v>
      </c>
      <c r="B9756" t="s">
        <v>58</v>
      </c>
      <c r="C9756" s="1">
        <f>HYPERLINK("https://cao.dolgi.msk.ru/account/1011369107/", 1011369107)</f>
        <v>1011369107</v>
      </c>
      <c r="D9756">
        <v>29984.35</v>
      </c>
    </row>
    <row r="9757" spans="1:4" x14ac:dyDescent="0.3">
      <c r="A9757" t="s">
        <v>792</v>
      </c>
      <c r="B9757" t="s">
        <v>59</v>
      </c>
      <c r="C9757" s="1">
        <f>HYPERLINK("https://cao.dolgi.msk.ru/account/1011368518/", 1011368518)</f>
        <v>1011368518</v>
      </c>
      <c r="D9757">
        <v>6508.27</v>
      </c>
    </row>
    <row r="9758" spans="1:4" hidden="1" x14ac:dyDescent="0.3">
      <c r="A9758" t="s">
        <v>792</v>
      </c>
      <c r="B9758" t="s">
        <v>60</v>
      </c>
      <c r="C9758" s="1">
        <f>HYPERLINK("https://cao.dolgi.msk.ru/account/1011368104/", 1011368104)</f>
        <v>1011368104</v>
      </c>
      <c r="D9758">
        <v>0</v>
      </c>
    </row>
    <row r="9759" spans="1:4" hidden="1" x14ac:dyDescent="0.3">
      <c r="A9759" t="s">
        <v>792</v>
      </c>
      <c r="B9759" t="s">
        <v>61</v>
      </c>
      <c r="C9759" s="1">
        <f>HYPERLINK("https://cao.dolgi.msk.ru/account/1011369131/", 1011369131)</f>
        <v>1011369131</v>
      </c>
      <c r="D9759">
        <v>0</v>
      </c>
    </row>
    <row r="9760" spans="1:4" x14ac:dyDescent="0.3">
      <c r="A9760" t="s">
        <v>792</v>
      </c>
      <c r="B9760" t="s">
        <v>62</v>
      </c>
      <c r="C9760" s="1">
        <f>HYPERLINK("https://cao.dolgi.msk.ru/account/1011368702/", 1011368702)</f>
        <v>1011368702</v>
      </c>
      <c r="D9760">
        <v>614620.64</v>
      </c>
    </row>
    <row r="9761" spans="1:4" hidden="1" x14ac:dyDescent="0.3">
      <c r="A9761" t="s">
        <v>792</v>
      </c>
      <c r="B9761" t="s">
        <v>63</v>
      </c>
      <c r="C9761" s="1">
        <f>HYPERLINK("https://cao.dolgi.msk.ru/account/1011368913/", 1011368913)</f>
        <v>1011368913</v>
      </c>
      <c r="D9761">
        <v>0</v>
      </c>
    </row>
    <row r="9762" spans="1:4" hidden="1" x14ac:dyDescent="0.3">
      <c r="A9762" t="s">
        <v>792</v>
      </c>
      <c r="B9762" t="s">
        <v>64</v>
      </c>
      <c r="C9762" s="1">
        <f>HYPERLINK("https://cao.dolgi.msk.ru/account/1011368729/", 1011368729)</f>
        <v>1011368729</v>
      </c>
      <c r="D9762">
        <v>0</v>
      </c>
    </row>
    <row r="9763" spans="1:4" hidden="1" x14ac:dyDescent="0.3">
      <c r="A9763" t="s">
        <v>792</v>
      </c>
      <c r="B9763" t="s">
        <v>65</v>
      </c>
      <c r="C9763" s="1">
        <f>HYPERLINK("https://cao.dolgi.msk.ru/account/1011368294/", 1011368294)</f>
        <v>1011368294</v>
      </c>
      <c r="D9763">
        <v>0</v>
      </c>
    </row>
    <row r="9764" spans="1:4" hidden="1" x14ac:dyDescent="0.3">
      <c r="A9764" t="s">
        <v>792</v>
      </c>
      <c r="B9764" t="s">
        <v>66</v>
      </c>
      <c r="C9764" s="1">
        <f>HYPERLINK("https://cao.dolgi.msk.ru/account/1011368366/", 1011368366)</f>
        <v>1011368366</v>
      </c>
      <c r="D9764">
        <v>0</v>
      </c>
    </row>
    <row r="9765" spans="1:4" x14ac:dyDescent="0.3">
      <c r="A9765" t="s">
        <v>792</v>
      </c>
      <c r="B9765" t="s">
        <v>67</v>
      </c>
      <c r="C9765" s="1">
        <f>HYPERLINK("https://cao.dolgi.msk.ru/account/1011369211/", 1011369211)</f>
        <v>1011369211</v>
      </c>
      <c r="D9765">
        <v>84564.77</v>
      </c>
    </row>
    <row r="9766" spans="1:4" x14ac:dyDescent="0.3">
      <c r="A9766" t="s">
        <v>792</v>
      </c>
      <c r="B9766" t="s">
        <v>68</v>
      </c>
      <c r="C9766" s="1">
        <f>HYPERLINK("https://cao.dolgi.msk.ru/account/1011368227/", 1011368227)</f>
        <v>1011368227</v>
      </c>
      <c r="D9766">
        <v>85000.77</v>
      </c>
    </row>
    <row r="9767" spans="1:4" hidden="1" x14ac:dyDescent="0.3">
      <c r="A9767" t="s">
        <v>792</v>
      </c>
      <c r="B9767" t="s">
        <v>69</v>
      </c>
      <c r="C9767" s="1">
        <f>HYPERLINK("https://cao.dolgi.msk.ru/account/1011368403/", 1011368403)</f>
        <v>1011368403</v>
      </c>
      <c r="D9767">
        <v>0</v>
      </c>
    </row>
    <row r="9768" spans="1:4" hidden="1" x14ac:dyDescent="0.3">
      <c r="A9768" t="s">
        <v>792</v>
      </c>
      <c r="B9768" t="s">
        <v>70</v>
      </c>
      <c r="C9768" s="1">
        <f>HYPERLINK("https://cao.dolgi.msk.ru/account/1011369393/", 1011369393)</f>
        <v>1011369393</v>
      </c>
      <c r="D9768">
        <v>0</v>
      </c>
    </row>
    <row r="9769" spans="1:4" hidden="1" x14ac:dyDescent="0.3">
      <c r="A9769" t="s">
        <v>792</v>
      </c>
      <c r="B9769" t="s">
        <v>259</v>
      </c>
      <c r="C9769" s="1">
        <f>HYPERLINK("https://cao.dolgi.msk.ru/account/1011368446/", 1011368446)</f>
        <v>1011368446</v>
      </c>
      <c r="D9769">
        <v>-8670.7900000000009</v>
      </c>
    </row>
    <row r="9770" spans="1:4" hidden="1" x14ac:dyDescent="0.3">
      <c r="A9770" t="s">
        <v>792</v>
      </c>
      <c r="B9770" t="s">
        <v>100</v>
      </c>
      <c r="C9770" s="1">
        <f>HYPERLINK("https://cao.dolgi.msk.ru/account/1011368075/", 1011368075)</f>
        <v>1011368075</v>
      </c>
      <c r="D9770">
        <v>-6249.76</v>
      </c>
    </row>
    <row r="9771" spans="1:4" hidden="1" x14ac:dyDescent="0.3">
      <c r="A9771" t="s">
        <v>792</v>
      </c>
      <c r="B9771" t="s">
        <v>100</v>
      </c>
      <c r="C9771" s="1">
        <f>HYPERLINK("https://cao.dolgi.msk.ru/account/1011369051/", 1011369051)</f>
        <v>1011369051</v>
      </c>
      <c r="D9771">
        <v>-8963.7900000000009</v>
      </c>
    </row>
    <row r="9772" spans="1:4" hidden="1" x14ac:dyDescent="0.3">
      <c r="A9772" t="s">
        <v>792</v>
      </c>
      <c r="B9772" t="s">
        <v>72</v>
      </c>
      <c r="C9772" s="1">
        <f>HYPERLINK("https://cao.dolgi.msk.ru/account/1011368374/", 1011368374)</f>
        <v>1011368374</v>
      </c>
      <c r="D9772">
        <v>0</v>
      </c>
    </row>
    <row r="9773" spans="1:4" hidden="1" x14ac:dyDescent="0.3">
      <c r="A9773" t="s">
        <v>792</v>
      </c>
      <c r="B9773" t="s">
        <v>73</v>
      </c>
      <c r="C9773" s="1">
        <f>HYPERLINK("https://cao.dolgi.msk.ru/account/1011368198/", 1011368198)</f>
        <v>1011368198</v>
      </c>
      <c r="D9773">
        <v>0</v>
      </c>
    </row>
    <row r="9774" spans="1:4" hidden="1" x14ac:dyDescent="0.3">
      <c r="A9774" t="s">
        <v>792</v>
      </c>
      <c r="B9774" t="s">
        <v>74</v>
      </c>
      <c r="C9774" s="1">
        <f>HYPERLINK("https://cao.dolgi.msk.ru/account/1011369078/", 1011369078)</f>
        <v>1011369078</v>
      </c>
      <c r="D9774">
        <v>0</v>
      </c>
    </row>
    <row r="9775" spans="1:4" hidden="1" x14ac:dyDescent="0.3">
      <c r="A9775" t="s">
        <v>792</v>
      </c>
      <c r="B9775" t="s">
        <v>75</v>
      </c>
      <c r="C9775" s="1">
        <f>HYPERLINK("https://cao.dolgi.msk.ru/account/1011368526/", 1011368526)</f>
        <v>1011368526</v>
      </c>
      <c r="D9775">
        <v>-13700.41</v>
      </c>
    </row>
    <row r="9776" spans="1:4" hidden="1" x14ac:dyDescent="0.3">
      <c r="A9776" t="s">
        <v>792</v>
      </c>
      <c r="B9776" t="s">
        <v>76</v>
      </c>
      <c r="C9776" s="1">
        <f>HYPERLINK("https://cao.dolgi.msk.ru/account/1011368761/", 1011368761)</f>
        <v>1011368761</v>
      </c>
      <c r="D9776">
        <v>-7894.87</v>
      </c>
    </row>
    <row r="9777" spans="1:4" hidden="1" x14ac:dyDescent="0.3">
      <c r="A9777" t="s">
        <v>792</v>
      </c>
      <c r="B9777" t="s">
        <v>77</v>
      </c>
      <c r="C9777" s="1">
        <f>HYPERLINK("https://cao.dolgi.msk.ru/account/1011368999/", 1011368999)</f>
        <v>1011368999</v>
      </c>
      <c r="D9777">
        <v>-7040.14</v>
      </c>
    </row>
    <row r="9778" spans="1:4" hidden="1" x14ac:dyDescent="0.3">
      <c r="A9778" t="s">
        <v>792</v>
      </c>
      <c r="B9778" t="s">
        <v>78</v>
      </c>
      <c r="C9778" s="1">
        <f>HYPERLINK("https://cao.dolgi.msk.ru/account/1011368796/", 1011368796)</f>
        <v>1011368796</v>
      </c>
      <c r="D9778">
        <v>0</v>
      </c>
    </row>
    <row r="9779" spans="1:4" hidden="1" x14ac:dyDescent="0.3">
      <c r="A9779" t="s">
        <v>792</v>
      </c>
      <c r="B9779" t="s">
        <v>79</v>
      </c>
      <c r="C9779" s="1">
        <f>HYPERLINK("https://cao.dolgi.msk.ru/account/1011368542/", 1011368542)</f>
        <v>1011368542</v>
      </c>
      <c r="D9779">
        <v>-991.16</v>
      </c>
    </row>
    <row r="9780" spans="1:4" hidden="1" x14ac:dyDescent="0.3">
      <c r="A9780" t="s">
        <v>792</v>
      </c>
      <c r="B9780" t="s">
        <v>80</v>
      </c>
      <c r="C9780" s="1">
        <f>HYPERLINK("https://cao.dolgi.msk.ru/account/1011368251/", 1011368251)</f>
        <v>1011368251</v>
      </c>
      <c r="D9780">
        <v>0</v>
      </c>
    </row>
    <row r="9781" spans="1:4" x14ac:dyDescent="0.3">
      <c r="A9781" t="s">
        <v>792</v>
      </c>
      <c r="B9781" t="s">
        <v>81</v>
      </c>
      <c r="C9781" s="1">
        <f>HYPERLINK("https://cao.dolgi.msk.ru/account/1011368331/", 1011368331)</f>
        <v>1011368331</v>
      </c>
      <c r="D9781">
        <v>13369.12</v>
      </c>
    </row>
    <row r="9782" spans="1:4" hidden="1" x14ac:dyDescent="0.3">
      <c r="A9782" t="s">
        <v>792</v>
      </c>
      <c r="B9782" t="s">
        <v>101</v>
      </c>
      <c r="C9782" s="1">
        <f>HYPERLINK("https://cao.dolgi.msk.ru/account/1011369326/", 1011369326)</f>
        <v>1011369326</v>
      </c>
      <c r="D9782">
        <v>0</v>
      </c>
    </row>
    <row r="9783" spans="1:4" hidden="1" x14ac:dyDescent="0.3">
      <c r="A9783" t="s">
        <v>792</v>
      </c>
      <c r="B9783" t="s">
        <v>82</v>
      </c>
      <c r="C9783" s="1">
        <f>HYPERLINK("https://cao.dolgi.msk.ru/account/1011368809/", 1011368809)</f>
        <v>1011368809</v>
      </c>
      <c r="D9783">
        <v>0</v>
      </c>
    </row>
    <row r="9784" spans="1:4" hidden="1" x14ac:dyDescent="0.3">
      <c r="A9784" t="s">
        <v>792</v>
      </c>
      <c r="B9784" t="s">
        <v>83</v>
      </c>
      <c r="C9784" s="1">
        <f>HYPERLINK("https://cao.dolgi.msk.ru/account/1011368868/", 1011368868)</f>
        <v>1011368868</v>
      </c>
      <c r="D9784">
        <v>0</v>
      </c>
    </row>
    <row r="9785" spans="1:4" hidden="1" x14ac:dyDescent="0.3">
      <c r="A9785" t="s">
        <v>792</v>
      </c>
      <c r="B9785" t="s">
        <v>84</v>
      </c>
      <c r="C9785" s="1">
        <f>HYPERLINK("https://cao.dolgi.msk.ru/account/1011369086/", 1011369086)</f>
        <v>1011369086</v>
      </c>
      <c r="D9785">
        <v>0</v>
      </c>
    </row>
    <row r="9786" spans="1:4" hidden="1" x14ac:dyDescent="0.3">
      <c r="A9786" t="s">
        <v>792</v>
      </c>
      <c r="B9786" t="s">
        <v>85</v>
      </c>
      <c r="C9786" s="1">
        <f>HYPERLINK("https://cao.dolgi.msk.ru/account/1011369369/", 1011369369)</f>
        <v>1011369369</v>
      </c>
      <c r="D9786">
        <v>-6239.42</v>
      </c>
    </row>
    <row r="9787" spans="1:4" hidden="1" x14ac:dyDescent="0.3">
      <c r="A9787" t="s">
        <v>792</v>
      </c>
      <c r="B9787" t="s">
        <v>102</v>
      </c>
      <c r="C9787" s="1">
        <f>HYPERLINK("https://cao.dolgi.msk.ru/account/1011368083/", 1011368083)</f>
        <v>1011368083</v>
      </c>
      <c r="D9787">
        <v>-15205.34</v>
      </c>
    </row>
    <row r="9788" spans="1:4" x14ac:dyDescent="0.3">
      <c r="A9788" t="s">
        <v>792</v>
      </c>
      <c r="B9788" t="s">
        <v>103</v>
      </c>
      <c r="C9788" s="1">
        <f>HYPERLINK("https://cao.dolgi.msk.ru/account/1011369262/", 1011369262)</f>
        <v>1011369262</v>
      </c>
      <c r="D9788">
        <v>20542.16</v>
      </c>
    </row>
    <row r="9789" spans="1:4" hidden="1" x14ac:dyDescent="0.3">
      <c r="A9789" t="s">
        <v>792</v>
      </c>
      <c r="B9789" t="s">
        <v>104</v>
      </c>
      <c r="C9789" s="1">
        <f>HYPERLINK("https://cao.dolgi.msk.ru/account/1011368657/", 1011368657)</f>
        <v>1011368657</v>
      </c>
      <c r="D9789">
        <v>-7429.96</v>
      </c>
    </row>
    <row r="9790" spans="1:4" hidden="1" x14ac:dyDescent="0.3">
      <c r="A9790" t="s">
        <v>792</v>
      </c>
      <c r="B9790" t="s">
        <v>105</v>
      </c>
      <c r="C9790" s="1">
        <f>HYPERLINK("https://cao.dolgi.msk.ru/account/1011368825/", 1011368825)</f>
        <v>1011368825</v>
      </c>
      <c r="D9790">
        <v>-606.51</v>
      </c>
    </row>
    <row r="9791" spans="1:4" hidden="1" x14ac:dyDescent="0.3">
      <c r="A9791" t="s">
        <v>792</v>
      </c>
      <c r="B9791" t="s">
        <v>106</v>
      </c>
      <c r="C9791" s="1">
        <f>HYPERLINK("https://cao.dolgi.msk.ru/account/1011369377/", 1011369377)</f>
        <v>1011369377</v>
      </c>
      <c r="D9791">
        <v>0</v>
      </c>
    </row>
    <row r="9792" spans="1:4" hidden="1" x14ac:dyDescent="0.3">
      <c r="A9792" t="s">
        <v>792</v>
      </c>
      <c r="B9792" t="s">
        <v>107</v>
      </c>
      <c r="C9792" s="1">
        <f>HYPERLINK("https://cao.dolgi.msk.ru/account/1011368948/", 1011368948)</f>
        <v>1011368948</v>
      </c>
      <c r="D9792">
        <v>0</v>
      </c>
    </row>
    <row r="9793" spans="1:4" hidden="1" x14ac:dyDescent="0.3">
      <c r="A9793" t="s">
        <v>792</v>
      </c>
      <c r="B9793" t="s">
        <v>108</v>
      </c>
      <c r="C9793" s="1">
        <f>HYPERLINK("https://cao.dolgi.msk.ru/account/1011368905/", 1011368905)</f>
        <v>1011368905</v>
      </c>
      <c r="D9793">
        <v>-159.34</v>
      </c>
    </row>
    <row r="9794" spans="1:4" hidden="1" x14ac:dyDescent="0.3">
      <c r="A9794" t="s">
        <v>792</v>
      </c>
      <c r="B9794" t="s">
        <v>109</v>
      </c>
      <c r="C9794" s="1">
        <f>HYPERLINK("https://cao.dolgi.msk.ru/account/1011368489/", 1011368489)</f>
        <v>1011368489</v>
      </c>
      <c r="D9794">
        <v>0</v>
      </c>
    </row>
    <row r="9795" spans="1:4" x14ac:dyDescent="0.3">
      <c r="A9795" t="s">
        <v>792</v>
      </c>
      <c r="B9795" t="s">
        <v>110</v>
      </c>
      <c r="C9795" s="1">
        <f>HYPERLINK("https://cao.dolgi.msk.ru/account/1011368411/", 1011368411)</f>
        <v>1011368411</v>
      </c>
      <c r="D9795">
        <v>5287.09</v>
      </c>
    </row>
    <row r="9796" spans="1:4" x14ac:dyDescent="0.3">
      <c r="A9796" t="s">
        <v>792</v>
      </c>
      <c r="B9796" t="s">
        <v>111</v>
      </c>
      <c r="C9796" s="1">
        <f>HYPERLINK("https://cao.dolgi.msk.ru/account/1011368235/", 1011368235)</f>
        <v>1011368235</v>
      </c>
      <c r="D9796">
        <v>8620.81</v>
      </c>
    </row>
    <row r="9797" spans="1:4" hidden="1" x14ac:dyDescent="0.3">
      <c r="A9797" t="s">
        <v>792</v>
      </c>
      <c r="B9797" t="s">
        <v>112</v>
      </c>
      <c r="C9797" s="1">
        <f>HYPERLINK("https://cao.dolgi.msk.ru/account/1011368665/", 1011368665)</f>
        <v>1011368665</v>
      </c>
      <c r="D9797">
        <v>0</v>
      </c>
    </row>
    <row r="9798" spans="1:4" hidden="1" x14ac:dyDescent="0.3">
      <c r="A9798" t="s">
        <v>792</v>
      </c>
      <c r="B9798" t="s">
        <v>113</v>
      </c>
      <c r="C9798" s="1">
        <f>HYPERLINK("https://cao.dolgi.msk.ru/account/1011369238/", 1011369238)</f>
        <v>1011369238</v>
      </c>
      <c r="D9798">
        <v>-4855.4799999999996</v>
      </c>
    </row>
    <row r="9799" spans="1:4" x14ac:dyDescent="0.3">
      <c r="A9799" t="s">
        <v>792</v>
      </c>
      <c r="B9799" t="s">
        <v>114</v>
      </c>
      <c r="C9799" s="1">
        <f>HYPERLINK("https://cao.dolgi.msk.ru/account/1011369019/", 1011369019)</f>
        <v>1011369019</v>
      </c>
      <c r="D9799">
        <v>14957.26</v>
      </c>
    </row>
    <row r="9800" spans="1:4" x14ac:dyDescent="0.3">
      <c r="A9800" t="s">
        <v>792</v>
      </c>
      <c r="B9800" t="s">
        <v>115</v>
      </c>
      <c r="C9800" s="1">
        <f>HYPERLINK("https://cao.dolgi.msk.ru/account/1011369158/", 1011369158)</f>
        <v>1011369158</v>
      </c>
      <c r="D9800">
        <v>6444.99</v>
      </c>
    </row>
    <row r="9801" spans="1:4" hidden="1" x14ac:dyDescent="0.3">
      <c r="A9801" t="s">
        <v>792</v>
      </c>
      <c r="B9801" t="s">
        <v>116</v>
      </c>
      <c r="C9801" s="1">
        <f>HYPERLINK("https://cao.dolgi.msk.ru/account/1011368876/", 1011368876)</f>
        <v>1011368876</v>
      </c>
      <c r="D9801">
        <v>-13286.84</v>
      </c>
    </row>
    <row r="9802" spans="1:4" hidden="1" x14ac:dyDescent="0.3">
      <c r="A9802" t="s">
        <v>792</v>
      </c>
      <c r="B9802" t="s">
        <v>266</v>
      </c>
      <c r="C9802" s="1">
        <f>HYPERLINK("https://cao.dolgi.msk.ru/account/1011369027/", 1011369027)</f>
        <v>1011369027</v>
      </c>
      <c r="D9802">
        <v>-1657.91</v>
      </c>
    </row>
    <row r="9803" spans="1:4" hidden="1" x14ac:dyDescent="0.3">
      <c r="A9803" t="s">
        <v>792</v>
      </c>
      <c r="B9803" t="s">
        <v>117</v>
      </c>
      <c r="C9803" s="1">
        <f>HYPERLINK("https://cao.dolgi.msk.ru/account/1011368892/", 1011368892)</f>
        <v>1011368892</v>
      </c>
      <c r="D9803">
        <v>-14830.77</v>
      </c>
    </row>
    <row r="9804" spans="1:4" hidden="1" x14ac:dyDescent="0.3">
      <c r="A9804" t="s">
        <v>792</v>
      </c>
      <c r="B9804" t="s">
        <v>118</v>
      </c>
      <c r="C9804" s="1">
        <f>HYPERLINK("https://cao.dolgi.msk.ru/account/1011368737/", 1011368737)</f>
        <v>1011368737</v>
      </c>
      <c r="D9804">
        <v>0</v>
      </c>
    </row>
    <row r="9805" spans="1:4" hidden="1" x14ac:dyDescent="0.3">
      <c r="A9805" t="s">
        <v>792</v>
      </c>
      <c r="B9805" t="s">
        <v>119</v>
      </c>
      <c r="C9805" s="1">
        <f>HYPERLINK("https://cao.dolgi.msk.ru/account/1011368606/", 1011368606)</f>
        <v>1011368606</v>
      </c>
      <c r="D9805">
        <v>-5843.96</v>
      </c>
    </row>
    <row r="9806" spans="1:4" hidden="1" x14ac:dyDescent="0.3">
      <c r="A9806" t="s">
        <v>792</v>
      </c>
      <c r="B9806" t="s">
        <v>120</v>
      </c>
      <c r="C9806" s="1">
        <f>HYPERLINK("https://cao.dolgi.msk.ru/account/1011368315/", 1011368315)</f>
        <v>1011368315</v>
      </c>
      <c r="D9806">
        <v>0</v>
      </c>
    </row>
    <row r="9807" spans="1:4" hidden="1" x14ac:dyDescent="0.3">
      <c r="A9807" t="s">
        <v>792</v>
      </c>
      <c r="B9807" t="s">
        <v>121</v>
      </c>
      <c r="C9807" s="1">
        <f>HYPERLINK("https://cao.dolgi.msk.ru/account/1011368323/", 1011368323)</f>
        <v>1011368323</v>
      </c>
      <c r="D9807">
        <v>0</v>
      </c>
    </row>
    <row r="9808" spans="1:4" hidden="1" x14ac:dyDescent="0.3">
      <c r="A9808" t="s">
        <v>792</v>
      </c>
      <c r="B9808" t="s">
        <v>122</v>
      </c>
      <c r="C9808" s="1">
        <f>HYPERLINK("https://cao.dolgi.msk.ru/account/1011368497/", 1011368497)</f>
        <v>1011368497</v>
      </c>
      <c r="D9808">
        <v>0</v>
      </c>
    </row>
    <row r="9809" spans="1:4" hidden="1" x14ac:dyDescent="0.3">
      <c r="A9809" t="s">
        <v>792</v>
      </c>
      <c r="B9809" t="s">
        <v>123</v>
      </c>
      <c r="C9809" s="1">
        <f>HYPERLINK("https://cao.dolgi.msk.ru/account/1011368817/", 1011368817)</f>
        <v>1011368817</v>
      </c>
      <c r="D9809">
        <v>-380.84</v>
      </c>
    </row>
    <row r="9810" spans="1:4" x14ac:dyDescent="0.3">
      <c r="A9810" t="s">
        <v>792</v>
      </c>
      <c r="B9810" t="s">
        <v>124</v>
      </c>
      <c r="C9810" s="1">
        <f>HYPERLINK("https://cao.dolgi.msk.ru/account/1011368091/", 1011368091)</f>
        <v>1011368091</v>
      </c>
      <c r="D9810">
        <v>14464.28</v>
      </c>
    </row>
    <row r="9811" spans="1:4" hidden="1" x14ac:dyDescent="0.3">
      <c r="A9811" t="s">
        <v>792</v>
      </c>
      <c r="B9811" t="s">
        <v>125</v>
      </c>
      <c r="C9811" s="1">
        <f>HYPERLINK("https://cao.dolgi.msk.ru/account/1011369182/", 1011369182)</f>
        <v>1011369182</v>
      </c>
      <c r="D9811">
        <v>-159.1</v>
      </c>
    </row>
    <row r="9812" spans="1:4" x14ac:dyDescent="0.3">
      <c r="A9812" t="s">
        <v>792</v>
      </c>
      <c r="B9812" t="s">
        <v>126</v>
      </c>
      <c r="C9812" s="1">
        <f>HYPERLINK("https://cao.dolgi.msk.ru/account/1011368462/", 1011368462)</f>
        <v>1011368462</v>
      </c>
      <c r="D9812">
        <v>178.71</v>
      </c>
    </row>
    <row r="9813" spans="1:4" x14ac:dyDescent="0.3">
      <c r="A9813" t="s">
        <v>792</v>
      </c>
      <c r="B9813" t="s">
        <v>127</v>
      </c>
      <c r="C9813" s="1">
        <f>HYPERLINK("https://cao.dolgi.msk.ru/account/1011368649/", 1011368649)</f>
        <v>1011368649</v>
      </c>
      <c r="D9813">
        <v>14756.27</v>
      </c>
    </row>
    <row r="9814" spans="1:4" hidden="1" x14ac:dyDescent="0.3">
      <c r="A9814" t="s">
        <v>792</v>
      </c>
      <c r="B9814" t="s">
        <v>262</v>
      </c>
      <c r="C9814" s="1">
        <f>HYPERLINK("https://cao.dolgi.msk.ru/account/1011369115/", 1011369115)</f>
        <v>1011369115</v>
      </c>
      <c r="D9814">
        <v>0</v>
      </c>
    </row>
    <row r="9815" spans="1:4" hidden="1" x14ac:dyDescent="0.3">
      <c r="A9815" t="s">
        <v>792</v>
      </c>
      <c r="B9815" t="s">
        <v>128</v>
      </c>
      <c r="C9815" s="1">
        <f>HYPERLINK("https://cao.dolgi.msk.ru/account/1011369289/", 1011369289)</f>
        <v>1011369289</v>
      </c>
      <c r="D9815">
        <v>-7830.43</v>
      </c>
    </row>
    <row r="9816" spans="1:4" hidden="1" x14ac:dyDescent="0.3">
      <c r="A9816" t="s">
        <v>792</v>
      </c>
      <c r="B9816" t="s">
        <v>129</v>
      </c>
      <c r="C9816" s="1">
        <f>HYPERLINK("https://cao.dolgi.msk.ru/account/1011368534/", 1011368534)</f>
        <v>1011368534</v>
      </c>
      <c r="D9816">
        <v>-6535.84</v>
      </c>
    </row>
    <row r="9817" spans="1:4" hidden="1" x14ac:dyDescent="0.3">
      <c r="A9817" t="s">
        <v>792</v>
      </c>
      <c r="B9817" t="s">
        <v>130</v>
      </c>
      <c r="C9817" s="1">
        <f>HYPERLINK("https://cao.dolgi.msk.ru/account/1011368577/", 1011368577)</f>
        <v>1011368577</v>
      </c>
      <c r="D9817">
        <v>-343.8</v>
      </c>
    </row>
    <row r="9818" spans="1:4" hidden="1" x14ac:dyDescent="0.3">
      <c r="A9818" t="s">
        <v>792</v>
      </c>
      <c r="B9818" t="s">
        <v>131</v>
      </c>
      <c r="C9818" s="1">
        <f>HYPERLINK("https://cao.dolgi.msk.ru/account/1011368884/", 1011368884)</f>
        <v>1011368884</v>
      </c>
      <c r="D9818">
        <v>0</v>
      </c>
    </row>
    <row r="9819" spans="1:4" hidden="1" x14ac:dyDescent="0.3">
      <c r="A9819" t="s">
        <v>792</v>
      </c>
      <c r="B9819" t="s">
        <v>132</v>
      </c>
      <c r="C9819" s="1">
        <f>HYPERLINK("https://cao.dolgi.msk.ru/account/1011368219/", 1011368219)</f>
        <v>1011368219</v>
      </c>
      <c r="D9819">
        <v>0</v>
      </c>
    </row>
    <row r="9820" spans="1:4" hidden="1" x14ac:dyDescent="0.3">
      <c r="A9820" t="s">
        <v>793</v>
      </c>
      <c r="B9820" t="s">
        <v>28</v>
      </c>
      <c r="C9820" s="1">
        <f>HYPERLINK("https://cao.dolgi.msk.ru/account/1011510609/", 1011510609)</f>
        <v>1011510609</v>
      </c>
      <c r="D9820">
        <v>-6362.17</v>
      </c>
    </row>
    <row r="9821" spans="1:4" x14ac:dyDescent="0.3">
      <c r="A9821" t="s">
        <v>793</v>
      </c>
      <c r="B9821" t="s">
        <v>35</v>
      </c>
      <c r="C9821" s="1">
        <f>HYPERLINK("https://cao.dolgi.msk.ru/account/1011510617/", 1011510617)</f>
        <v>1011510617</v>
      </c>
      <c r="D9821">
        <v>176361.14</v>
      </c>
    </row>
    <row r="9822" spans="1:4" hidden="1" x14ac:dyDescent="0.3">
      <c r="A9822" t="s">
        <v>793</v>
      </c>
      <c r="B9822" t="s">
        <v>5</v>
      </c>
      <c r="C9822" s="1">
        <f>HYPERLINK("https://cao.dolgi.msk.ru/account/1011510625/", 1011510625)</f>
        <v>1011510625</v>
      </c>
      <c r="D9822">
        <v>-6501.44</v>
      </c>
    </row>
    <row r="9823" spans="1:4" x14ac:dyDescent="0.3">
      <c r="A9823" t="s">
        <v>794</v>
      </c>
      <c r="B9823" t="s">
        <v>6</v>
      </c>
      <c r="C9823" s="1">
        <f>HYPERLINK("https://cao.dolgi.msk.ru/account/1011201267/", 1011201267)</f>
        <v>1011201267</v>
      </c>
      <c r="D9823">
        <v>15007.08</v>
      </c>
    </row>
    <row r="9824" spans="1:4" hidden="1" x14ac:dyDescent="0.3">
      <c r="A9824" t="s">
        <v>794</v>
      </c>
      <c r="B9824" t="s">
        <v>28</v>
      </c>
      <c r="C9824" s="1">
        <f>HYPERLINK("https://cao.dolgi.msk.ru/account/1011200635/", 1011200635)</f>
        <v>1011200635</v>
      </c>
      <c r="D9824">
        <v>-8595.5</v>
      </c>
    </row>
    <row r="9825" spans="1:4" hidden="1" x14ac:dyDescent="0.3">
      <c r="A9825" t="s">
        <v>794</v>
      </c>
      <c r="B9825" t="s">
        <v>35</v>
      </c>
      <c r="C9825" s="1">
        <f>HYPERLINK("https://cao.dolgi.msk.ru/account/1011201072/", 1011201072)</f>
        <v>1011201072</v>
      </c>
      <c r="D9825">
        <v>-9273.9699999999993</v>
      </c>
    </row>
    <row r="9826" spans="1:4" hidden="1" x14ac:dyDescent="0.3">
      <c r="A9826" t="s">
        <v>794</v>
      </c>
      <c r="B9826" t="s">
        <v>5</v>
      </c>
      <c r="C9826" s="1">
        <f>HYPERLINK("https://cao.dolgi.msk.ru/account/1011201099/", 1011201099)</f>
        <v>1011201099</v>
      </c>
      <c r="D9826">
        <v>0</v>
      </c>
    </row>
    <row r="9827" spans="1:4" hidden="1" x14ac:dyDescent="0.3">
      <c r="A9827" t="s">
        <v>794</v>
      </c>
      <c r="B9827" t="s">
        <v>7</v>
      </c>
      <c r="C9827" s="1">
        <f>HYPERLINK("https://cao.dolgi.msk.ru/account/1011201574/", 1011201574)</f>
        <v>1011201574</v>
      </c>
      <c r="D9827">
        <v>0</v>
      </c>
    </row>
    <row r="9828" spans="1:4" hidden="1" x14ac:dyDescent="0.3">
      <c r="A9828" t="s">
        <v>794</v>
      </c>
      <c r="B9828" t="s">
        <v>8</v>
      </c>
      <c r="C9828" s="1">
        <f>HYPERLINK("https://cao.dolgi.msk.ru/account/1011201371/", 1011201371)</f>
        <v>1011201371</v>
      </c>
      <c r="D9828">
        <v>-1539.45</v>
      </c>
    </row>
    <row r="9829" spans="1:4" hidden="1" x14ac:dyDescent="0.3">
      <c r="A9829" t="s">
        <v>794</v>
      </c>
      <c r="B9829" t="s">
        <v>31</v>
      </c>
      <c r="C9829" s="1">
        <f>HYPERLINK("https://cao.dolgi.msk.ru/account/1011200539/", 1011200539)</f>
        <v>1011200539</v>
      </c>
      <c r="D9829">
        <v>0</v>
      </c>
    </row>
    <row r="9830" spans="1:4" x14ac:dyDescent="0.3">
      <c r="A9830" t="s">
        <v>794</v>
      </c>
      <c r="B9830" t="s">
        <v>9</v>
      </c>
      <c r="C9830" s="1">
        <f>HYPERLINK("https://cao.dolgi.msk.ru/account/1011201101/", 1011201101)</f>
        <v>1011201101</v>
      </c>
      <c r="D9830">
        <v>10572.54</v>
      </c>
    </row>
    <row r="9831" spans="1:4" hidden="1" x14ac:dyDescent="0.3">
      <c r="A9831" t="s">
        <v>794</v>
      </c>
      <c r="B9831" t="s">
        <v>10</v>
      </c>
      <c r="C9831" s="1">
        <f>HYPERLINK("https://cao.dolgi.msk.ru/account/1011201398/", 1011201398)</f>
        <v>1011201398</v>
      </c>
      <c r="D9831">
        <v>-7055.37</v>
      </c>
    </row>
    <row r="9832" spans="1:4" hidden="1" x14ac:dyDescent="0.3">
      <c r="A9832" t="s">
        <v>794</v>
      </c>
      <c r="B9832" t="s">
        <v>11</v>
      </c>
      <c r="C9832" s="1">
        <f>HYPERLINK("https://cao.dolgi.msk.ru/account/1011200643/", 1011200643)</f>
        <v>1011200643</v>
      </c>
      <c r="D9832">
        <v>0</v>
      </c>
    </row>
    <row r="9833" spans="1:4" x14ac:dyDescent="0.3">
      <c r="A9833" t="s">
        <v>794</v>
      </c>
      <c r="B9833" t="s">
        <v>12</v>
      </c>
      <c r="C9833" s="1">
        <f>HYPERLINK("https://cao.dolgi.msk.ru/account/1011201128/", 1011201128)</f>
        <v>1011201128</v>
      </c>
      <c r="D9833">
        <v>1581</v>
      </c>
    </row>
    <row r="9834" spans="1:4" hidden="1" x14ac:dyDescent="0.3">
      <c r="A9834" t="s">
        <v>794</v>
      </c>
      <c r="B9834" t="s">
        <v>23</v>
      </c>
      <c r="C9834" s="1">
        <f>HYPERLINK("https://cao.dolgi.msk.ru/account/1011201275/", 1011201275)</f>
        <v>1011201275</v>
      </c>
      <c r="D9834">
        <v>-21.68</v>
      </c>
    </row>
    <row r="9835" spans="1:4" hidden="1" x14ac:dyDescent="0.3">
      <c r="A9835" t="s">
        <v>794</v>
      </c>
      <c r="B9835" t="s">
        <v>13</v>
      </c>
      <c r="C9835" s="1">
        <f>HYPERLINK("https://cao.dolgi.msk.ru/account/1011201136/", 1011201136)</f>
        <v>1011201136</v>
      </c>
      <c r="D9835">
        <v>0</v>
      </c>
    </row>
    <row r="9836" spans="1:4" hidden="1" x14ac:dyDescent="0.3">
      <c r="A9836" t="s">
        <v>794</v>
      </c>
      <c r="B9836" t="s">
        <v>14</v>
      </c>
      <c r="C9836" s="1">
        <f>HYPERLINK("https://cao.dolgi.msk.ru/account/1011200854/", 1011200854)</f>
        <v>1011200854</v>
      </c>
      <c r="D9836">
        <v>0</v>
      </c>
    </row>
    <row r="9837" spans="1:4" hidden="1" x14ac:dyDescent="0.3">
      <c r="A9837" t="s">
        <v>794</v>
      </c>
      <c r="B9837" t="s">
        <v>16</v>
      </c>
      <c r="C9837" s="1">
        <f>HYPERLINK("https://cao.dolgi.msk.ru/account/1011200942/", 1011200942)</f>
        <v>1011200942</v>
      </c>
      <c r="D9837">
        <v>-10433.27</v>
      </c>
    </row>
    <row r="9838" spans="1:4" x14ac:dyDescent="0.3">
      <c r="A9838" t="s">
        <v>794</v>
      </c>
      <c r="B9838" t="s">
        <v>17</v>
      </c>
      <c r="C9838" s="1">
        <f>HYPERLINK("https://cao.dolgi.msk.ru/account/1011200651/", 1011200651)</f>
        <v>1011200651</v>
      </c>
      <c r="D9838">
        <v>9555.4500000000007</v>
      </c>
    </row>
    <row r="9839" spans="1:4" hidden="1" x14ac:dyDescent="0.3">
      <c r="A9839" t="s">
        <v>794</v>
      </c>
      <c r="B9839" t="s">
        <v>18</v>
      </c>
      <c r="C9839" s="1">
        <f>HYPERLINK("https://cao.dolgi.msk.ru/account/1011201419/", 1011201419)</f>
        <v>1011201419</v>
      </c>
      <c r="D9839">
        <v>-10159.629999999999</v>
      </c>
    </row>
    <row r="9840" spans="1:4" hidden="1" x14ac:dyDescent="0.3">
      <c r="A9840" t="s">
        <v>794</v>
      </c>
      <c r="B9840" t="s">
        <v>19</v>
      </c>
      <c r="C9840" s="1">
        <f>HYPERLINK("https://cao.dolgi.msk.ru/account/1011200862/", 1011200862)</f>
        <v>1011200862</v>
      </c>
      <c r="D9840">
        <v>0</v>
      </c>
    </row>
    <row r="9841" spans="1:4" hidden="1" x14ac:dyDescent="0.3">
      <c r="A9841" t="s">
        <v>794</v>
      </c>
      <c r="B9841" t="s">
        <v>20</v>
      </c>
      <c r="C9841" s="1">
        <f>HYPERLINK("https://cao.dolgi.msk.ru/account/1011201427/", 1011201427)</f>
        <v>1011201427</v>
      </c>
      <c r="D9841">
        <v>-12102.62</v>
      </c>
    </row>
    <row r="9842" spans="1:4" hidden="1" x14ac:dyDescent="0.3">
      <c r="A9842" t="s">
        <v>794</v>
      </c>
      <c r="B9842" t="s">
        <v>21</v>
      </c>
      <c r="C9842" s="1">
        <f>HYPERLINK("https://cao.dolgi.msk.ru/account/1011201435/", 1011201435)</f>
        <v>1011201435</v>
      </c>
      <c r="D9842">
        <v>-10716.18</v>
      </c>
    </row>
    <row r="9843" spans="1:4" hidden="1" x14ac:dyDescent="0.3">
      <c r="A9843" t="s">
        <v>794</v>
      </c>
      <c r="B9843" t="s">
        <v>22</v>
      </c>
      <c r="C9843" s="1">
        <f>HYPERLINK("https://cao.dolgi.msk.ru/account/1011201582/", 1011201582)</f>
        <v>1011201582</v>
      </c>
      <c r="D9843">
        <v>0</v>
      </c>
    </row>
    <row r="9844" spans="1:4" hidden="1" x14ac:dyDescent="0.3">
      <c r="A9844" t="s">
        <v>794</v>
      </c>
      <c r="B9844" t="s">
        <v>24</v>
      </c>
      <c r="C9844" s="1">
        <f>HYPERLINK("https://cao.dolgi.msk.ru/account/1011201443/", 1011201443)</f>
        <v>1011201443</v>
      </c>
      <c r="D9844">
        <v>-398.96</v>
      </c>
    </row>
    <row r="9845" spans="1:4" hidden="1" x14ac:dyDescent="0.3">
      <c r="A9845" t="s">
        <v>794</v>
      </c>
      <c r="B9845" t="s">
        <v>25</v>
      </c>
      <c r="C9845" s="1">
        <f>HYPERLINK("https://cao.dolgi.msk.ru/account/1011200678/", 1011200678)</f>
        <v>1011200678</v>
      </c>
      <c r="D9845">
        <v>0</v>
      </c>
    </row>
    <row r="9846" spans="1:4" x14ac:dyDescent="0.3">
      <c r="A9846" t="s">
        <v>794</v>
      </c>
      <c r="B9846" t="s">
        <v>26</v>
      </c>
      <c r="C9846" s="1">
        <f>HYPERLINK("https://cao.dolgi.msk.ru/account/1011200686/", 1011200686)</f>
        <v>1011200686</v>
      </c>
      <c r="D9846">
        <v>802.32</v>
      </c>
    </row>
    <row r="9847" spans="1:4" hidden="1" x14ac:dyDescent="0.3">
      <c r="A9847" t="s">
        <v>794</v>
      </c>
      <c r="B9847" t="s">
        <v>27</v>
      </c>
      <c r="C9847" s="1">
        <f>HYPERLINK("https://cao.dolgi.msk.ru/account/1011201144/", 1011201144)</f>
        <v>1011201144</v>
      </c>
      <c r="D9847">
        <v>0</v>
      </c>
    </row>
    <row r="9848" spans="1:4" hidden="1" x14ac:dyDescent="0.3">
      <c r="A9848" t="s">
        <v>794</v>
      </c>
      <c r="B9848" t="s">
        <v>29</v>
      </c>
      <c r="C9848" s="1">
        <f>HYPERLINK("https://cao.dolgi.msk.ru/account/1011201451/", 1011201451)</f>
        <v>1011201451</v>
      </c>
      <c r="D9848">
        <v>0</v>
      </c>
    </row>
    <row r="9849" spans="1:4" hidden="1" x14ac:dyDescent="0.3">
      <c r="A9849" t="s">
        <v>794</v>
      </c>
      <c r="B9849" t="s">
        <v>38</v>
      </c>
      <c r="C9849" s="1">
        <f>HYPERLINK("https://cao.dolgi.msk.ru/account/1011200889/", 1011200889)</f>
        <v>1011200889</v>
      </c>
      <c r="D9849">
        <v>0</v>
      </c>
    </row>
    <row r="9850" spans="1:4" hidden="1" x14ac:dyDescent="0.3">
      <c r="A9850" t="s">
        <v>794</v>
      </c>
      <c r="B9850" t="s">
        <v>39</v>
      </c>
      <c r="C9850" s="1">
        <f>HYPERLINK("https://cao.dolgi.msk.ru/account/1011201283/", 1011201283)</f>
        <v>1011201283</v>
      </c>
      <c r="D9850">
        <v>-7162.39</v>
      </c>
    </row>
    <row r="9851" spans="1:4" hidden="1" x14ac:dyDescent="0.3">
      <c r="A9851" t="s">
        <v>794</v>
      </c>
      <c r="B9851" t="s">
        <v>40</v>
      </c>
      <c r="C9851" s="1">
        <f>HYPERLINK("https://cao.dolgi.msk.ru/account/1011201603/", 1011201603)</f>
        <v>1011201603</v>
      </c>
      <c r="D9851">
        <v>0</v>
      </c>
    </row>
    <row r="9852" spans="1:4" hidden="1" x14ac:dyDescent="0.3">
      <c r="A9852" t="s">
        <v>794</v>
      </c>
      <c r="B9852" t="s">
        <v>41</v>
      </c>
      <c r="C9852" s="1">
        <f>HYPERLINK("https://cao.dolgi.msk.ru/account/1011201152/", 1011201152)</f>
        <v>1011201152</v>
      </c>
      <c r="D9852">
        <v>0</v>
      </c>
    </row>
    <row r="9853" spans="1:4" x14ac:dyDescent="0.3">
      <c r="A9853" t="s">
        <v>794</v>
      </c>
      <c r="B9853" t="s">
        <v>51</v>
      </c>
      <c r="C9853" s="1">
        <f>HYPERLINK("https://cao.dolgi.msk.ru/account/1011200547/", 1011200547)</f>
        <v>1011200547</v>
      </c>
      <c r="D9853">
        <v>8840.4699999999993</v>
      </c>
    </row>
    <row r="9854" spans="1:4" hidden="1" x14ac:dyDescent="0.3">
      <c r="A9854" t="s">
        <v>794</v>
      </c>
      <c r="B9854" t="s">
        <v>52</v>
      </c>
      <c r="C9854" s="1">
        <f>HYPERLINK("https://cao.dolgi.msk.ru/account/1011200555/", 1011200555)</f>
        <v>1011200555</v>
      </c>
      <c r="D9854">
        <v>0</v>
      </c>
    </row>
    <row r="9855" spans="1:4" hidden="1" x14ac:dyDescent="0.3">
      <c r="A9855" t="s">
        <v>794</v>
      </c>
      <c r="B9855" t="s">
        <v>53</v>
      </c>
      <c r="C9855" s="1">
        <f>HYPERLINK("https://cao.dolgi.msk.ru/account/1011200694/", 1011200694)</f>
        <v>1011200694</v>
      </c>
      <c r="D9855">
        <v>0</v>
      </c>
    </row>
    <row r="9856" spans="1:4" hidden="1" x14ac:dyDescent="0.3">
      <c r="A9856" t="s">
        <v>794</v>
      </c>
      <c r="B9856" t="s">
        <v>54</v>
      </c>
      <c r="C9856" s="1">
        <f>HYPERLINK("https://cao.dolgi.msk.ru/account/1011201187/", 1011201187)</f>
        <v>1011201187</v>
      </c>
      <c r="D9856">
        <v>0</v>
      </c>
    </row>
    <row r="9857" spans="1:4" hidden="1" x14ac:dyDescent="0.3">
      <c r="A9857" t="s">
        <v>794</v>
      </c>
      <c r="B9857" t="s">
        <v>55</v>
      </c>
      <c r="C9857" s="1">
        <f>HYPERLINK("https://cao.dolgi.msk.ru/account/1011200707/", 1011200707)</f>
        <v>1011200707</v>
      </c>
      <c r="D9857">
        <v>0</v>
      </c>
    </row>
    <row r="9858" spans="1:4" hidden="1" x14ac:dyDescent="0.3">
      <c r="A9858" t="s">
        <v>794</v>
      </c>
      <c r="B9858" t="s">
        <v>56</v>
      </c>
      <c r="C9858" s="1">
        <f>HYPERLINK("https://cao.dolgi.msk.ru/account/1011200715/", 1011200715)</f>
        <v>1011200715</v>
      </c>
      <c r="D9858">
        <v>-61.46</v>
      </c>
    </row>
    <row r="9859" spans="1:4" hidden="1" x14ac:dyDescent="0.3">
      <c r="A9859" t="s">
        <v>794</v>
      </c>
      <c r="B9859" t="s">
        <v>87</v>
      </c>
      <c r="C9859" s="1">
        <f>HYPERLINK("https://cao.dolgi.msk.ru/account/1011201179/", 1011201179)</f>
        <v>1011201179</v>
      </c>
      <c r="D9859">
        <v>0</v>
      </c>
    </row>
    <row r="9860" spans="1:4" x14ac:dyDescent="0.3">
      <c r="A9860" t="s">
        <v>794</v>
      </c>
      <c r="B9860" t="s">
        <v>88</v>
      </c>
      <c r="C9860" s="1">
        <f>HYPERLINK("https://cao.dolgi.msk.ru/account/1011200897/", 1011200897)</f>
        <v>1011200897</v>
      </c>
      <c r="D9860">
        <v>96422.67</v>
      </c>
    </row>
    <row r="9861" spans="1:4" x14ac:dyDescent="0.3">
      <c r="A9861" t="s">
        <v>794</v>
      </c>
      <c r="B9861" t="s">
        <v>89</v>
      </c>
      <c r="C9861" s="1">
        <f>HYPERLINK("https://cao.dolgi.msk.ru/account/1011201478/", 1011201478)</f>
        <v>1011201478</v>
      </c>
      <c r="D9861">
        <v>4352.6000000000004</v>
      </c>
    </row>
    <row r="9862" spans="1:4" hidden="1" x14ac:dyDescent="0.3">
      <c r="A9862" t="s">
        <v>794</v>
      </c>
      <c r="B9862" t="s">
        <v>795</v>
      </c>
      <c r="C9862" s="1">
        <f>HYPERLINK("https://cao.dolgi.msk.ru/account/1011201291/", 1011201291)</f>
        <v>1011201291</v>
      </c>
      <c r="D9862">
        <v>0</v>
      </c>
    </row>
    <row r="9863" spans="1:4" hidden="1" x14ac:dyDescent="0.3">
      <c r="A9863" t="s">
        <v>794</v>
      </c>
      <c r="B9863" t="s">
        <v>97</v>
      </c>
      <c r="C9863" s="1">
        <f>HYPERLINK("https://cao.dolgi.msk.ru/account/1011201304/", 1011201304)</f>
        <v>1011201304</v>
      </c>
      <c r="D9863">
        <v>0</v>
      </c>
    </row>
    <row r="9864" spans="1:4" hidden="1" x14ac:dyDescent="0.3">
      <c r="A9864" t="s">
        <v>794</v>
      </c>
      <c r="B9864" t="s">
        <v>98</v>
      </c>
      <c r="C9864" s="1">
        <f>HYPERLINK("https://cao.dolgi.msk.ru/account/1011200969/", 1011200969)</f>
        <v>1011200969</v>
      </c>
      <c r="D9864">
        <v>-39164.269999999997</v>
      </c>
    </row>
    <row r="9865" spans="1:4" hidden="1" x14ac:dyDescent="0.3">
      <c r="A9865" t="s">
        <v>794</v>
      </c>
      <c r="B9865" t="s">
        <v>58</v>
      </c>
      <c r="C9865" s="1">
        <f>HYPERLINK("https://cao.dolgi.msk.ru/account/1011201611/", 1011201611)</f>
        <v>1011201611</v>
      </c>
      <c r="D9865">
        <v>0</v>
      </c>
    </row>
    <row r="9866" spans="1:4" hidden="1" x14ac:dyDescent="0.3">
      <c r="A9866" t="s">
        <v>794</v>
      </c>
      <c r="B9866" t="s">
        <v>59</v>
      </c>
      <c r="C9866" s="1">
        <f>HYPERLINK("https://cao.dolgi.msk.ru/account/1011200977/", 1011200977)</f>
        <v>1011200977</v>
      </c>
      <c r="D9866">
        <v>0</v>
      </c>
    </row>
    <row r="9867" spans="1:4" hidden="1" x14ac:dyDescent="0.3">
      <c r="A9867" t="s">
        <v>794</v>
      </c>
      <c r="B9867" t="s">
        <v>60</v>
      </c>
      <c r="C9867" s="1">
        <f>HYPERLINK("https://cao.dolgi.msk.ru/account/1011201486/", 1011201486)</f>
        <v>1011201486</v>
      </c>
      <c r="D9867">
        <v>0</v>
      </c>
    </row>
    <row r="9868" spans="1:4" x14ac:dyDescent="0.3">
      <c r="A9868" t="s">
        <v>794</v>
      </c>
      <c r="B9868" t="s">
        <v>61</v>
      </c>
      <c r="C9868" s="1">
        <f>HYPERLINK("https://cao.dolgi.msk.ru/account/1011201638/", 1011201638)</f>
        <v>1011201638</v>
      </c>
      <c r="D9868">
        <v>15573.27</v>
      </c>
    </row>
    <row r="9869" spans="1:4" hidden="1" x14ac:dyDescent="0.3">
      <c r="A9869" t="s">
        <v>794</v>
      </c>
      <c r="B9869" t="s">
        <v>62</v>
      </c>
      <c r="C9869" s="1">
        <f>HYPERLINK("https://cao.dolgi.msk.ru/account/1011200985/", 1011200985)</f>
        <v>1011200985</v>
      </c>
      <c r="D9869">
        <v>-34939.949999999997</v>
      </c>
    </row>
    <row r="9870" spans="1:4" hidden="1" x14ac:dyDescent="0.3">
      <c r="A9870" t="s">
        <v>794</v>
      </c>
      <c r="B9870" t="s">
        <v>63</v>
      </c>
      <c r="C9870" s="1">
        <f>HYPERLINK("https://cao.dolgi.msk.ru/account/1011200627/", 1011200627)</f>
        <v>1011200627</v>
      </c>
      <c r="D9870">
        <v>-2986.86</v>
      </c>
    </row>
    <row r="9871" spans="1:4" hidden="1" x14ac:dyDescent="0.3">
      <c r="A9871" t="s">
        <v>794</v>
      </c>
      <c r="B9871" t="s">
        <v>63</v>
      </c>
      <c r="C9871" s="1">
        <f>HYPERLINK("https://cao.dolgi.msk.ru/account/1011201312/", 1011201312)</f>
        <v>1011201312</v>
      </c>
      <c r="D9871">
        <v>-8985.7099999999991</v>
      </c>
    </row>
    <row r="9872" spans="1:4" hidden="1" x14ac:dyDescent="0.3">
      <c r="A9872" t="s">
        <v>794</v>
      </c>
      <c r="B9872" t="s">
        <v>796</v>
      </c>
      <c r="C9872" s="1">
        <f>HYPERLINK("https://cao.dolgi.msk.ru/account/1011200934/", 1011200934)</f>
        <v>1011200934</v>
      </c>
      <c r="D9872">
        <v>0</v>
      </c>
    </row>
    <row r="9873" spans="1:4" x14ac:dyDescent="0.3">
      <c r="A9873" t="s">
        <v>794</v>
      </c>
      <c r="B9873" t="s">
        <v>797</v>
      </c>
      <c r="C9873" s="1">
        <f>HYPERLINK("https://cao.dolgi.msk.ru/account/1011200846/", 1011200846)</f>
        <v>1011200846</v>
      </c>
      <c r="D9873">
        <v>13501.22</v>
      </c>
    </row>
    <row r="9874" spans="1:4" hidden="1" x14ac:dyDescent="0.3">
      <c r="A9874" t="s">
        <v>794</v>
      </c>
      <c r="B9874" t="s">
        <v>68</v>
      </c>
      <c r="C9874" s="1">
        <f>HYPERLINK("https://cao.dolgi.msk.ru/account/1011200918/", 1011200918)</f>
        <v>1011200918</v>
      </c>
      <c r="D9874">
        <v>0</v>
      </c>
    </row>
    <row r="9875" spans="1:4" hidden="1" x14ac:dyDescent="0.3">
      <c r="A9875" t="s">
        <v>794</v>
      </c>
      <c r="B9875" t="s">
        <v>69</v>
      </c>
      <c r="C9875" s="1">
        <f>HYPERLINK("https://cao.dolgi.msk.ru/account/1011201195/", 1011201195)</f>
        <v>1011201195</v>
      </c>
      <c r="D9875">
        <v>0</v>
      </c>
    </row>
    <row r="9876" spans="1:4" x14ac:dyDescent="0.3">
      <c r="A9876" t="s">
        <v>794</v>
      </c>
      <c r="B9876" t="s">
        <v>70</v>
      </c>
      <c r="C9876" s="1">
        <f>HYPERLINK("https://cao.dolgi.msk.ru/account/1011200723/", 1011200723)</f>
        <v>1011200723</v>
      </c>
      <c r="D9876">
        <v>5599.56</v>
      </c>
    </row>
    <row r="9877" spans="1:4" hidden="1" x14ac:dyDescent="0.3">
      <c r="A9877" t="s">
        <v>794</v>
      </c>
      <c r="B9877" t="s">
        <v>100</v>
      </c>
      <c r="C9877" s="1">
        <f>HYPERLINK("https://cao.dolgi.msk.ru/account/1011201646/", 1011201646)</f>
        <v>1011201646</v>
      </c>
      <c r="D9877">
        <v>0</v>
      </c>
    </row>
    <row r="9878" spans="1:4" hidden="1" x14ac:dyDescent="0.3">
      <c r="A9878" t="s">
        <v>794</v>
      </c>
      <c r="B9878" t="s">
        <v>72</v>
      </c>
      <c r="C9878" s="1">
        <f>HYPERLINK("https://cao.dolgi.msk.ru/account/1011200993/", 1011200993)</f>
        <v>1011200993</v>
      </c>
      <c r="D9878">
        <v>0</v>
      </c>
    </row>
    <row r="9879" spans="1:4" hidden="1" x14ac:dyDescent="0.3">
      <c r="A9879" t="s">
        <v>794</v>
      </c>
      <c r="B9879" t="s">
        <v>73</v>
      </c>
      <c r="C9879" s="1">
        <f>HYPERLINK("https://cao.dolgi.msk.ru/account/1011201654/", 1011201654)</f>
        <v>1011201654</v>
      </c>
      <c r="D9879">
        <v>0</v>
      </c>
    </row>
    <row r="9880" spans="1:4" hidden="1" x14ac:dyDescent="0.3">
      <c r="A9880" t="s">
        <v>794</v>
      </c>
      <c r="B9880" t="s">
        <v>74</v>
      </c>
      <c r="C9880" s="1">
        <f>HYPERLINK("https://cao.dolgi.msk.ru/account/1011200563/", 1011200563)</f>
        <v>1011200563</v>
      </c>
      <c r="D9880">
        <v>0</v>
      </c>
    </row>
    <row r="9881" spans="1:4" x14ac:dyDescent="0.3">
      <c r="A9881" t="s">
        <v>794</v>
      </c>
      <c r="B9881" t="s">
        <v>75</v>
      </c>
      <c r="C9881" s="1">
        <f>HYPERLINK("https://cao.dolgi.msk.ru/account/1011201208/", 1011201208)</f>
        <v>1011201208</v>
      </c>
      <c r="D9881">
        <v>10830.69</v>
      </c>
    </row>
    <row r="9882" spans="1:4" hidden="1" x14ac:dyDescent="0.3">
      <c r="A9882" t="s">
        <v>794</v>
      </c>
      <c r="B9882" t="s">
        <v>77</v>
      </c>
      <c r="C9882" s="1">
        <f>HYPERLINK("https://cao.dolgi.msk.ru/account/1011520807/", 1011520807)</f>
        <v>1011520807</v>
      </c>
      <c r="D9882">
        <v>-6301.62</v>
      </c>
    </row>
    <row r="9883" spans="1:4" hidden="1" x14ac:dyDescent="0.3">
      <c r="A9883" t="s">
        <v>794</v>
      </c>
      <c r="B9883" t="s">
        <v>78</v>
      </c>
      <c r="C9883" s="1">
        <f>HYPERLINK("https://cao.dolgi.msk.ru/account/1011520815/", 1011520815)</f>
        <v>1011520815</v>
      </c>
      <c r="D9883">
        <v>-7344.95</v>
      </c>
    </row>
    <row r="9884" spans="1:4" hidden="1" x14ac:dyDescent="0.3">
      <c r="A9884" t="s">
        <v>794</v>
      </c>
      <c r="B9884" t="s">
        <v>79</v>
      </c>
      <c r="C9884" s="1">
        <f>HYPERLINK("https://cao.dolgi.msk.ru/account/1011200571/", 1011200571)</f>
        <v>1011200571</v>
      </c>
      <c r="D9884">
        <v>0</v>
      </c>
    </row>
    <row r="9885" spans="1:4" hidden="1" x14ac:dyDescent="0.3">
      <c r="A9885" t="s">
        <v>794</v>
      </c>
      <c r="B9885" t="s">
        <v>80</v>
      </c>
      <c r="C9885" s="1">
        <f>HYPERLINK("https://cao.dolgi.msk.ru/account/1011200758/", 1011200758)</f>
        <v>1011200758</v>
      </c>
      <c r="D9885">
        <v>-17440.68</v>
      </c>
    </row>
    <row r="9886" spans="1:4" hidden="1" x14ac:dyDescent="0.3">
      <c r="A9886" t="s">
        <v>794</v>
      </c>
      <c r="B9886" t="s">
        <v>81</v>
      </c>
      <c r="C9886" s="1">
        <f>HYPERLINK("https://cao.dolgi.msk.ru/account/1011200766/", 1011200766)</f>
        <v>1011200766</v>
      </c>
      <c r="D9886">
        <v>-14330.69</v>
      </c>
    </row>
    <row r="9887" spans="1:4" hidden="1" x14ac:dyDescent="0.3">
      <c r="A9887" t="s">
        <v>794</v>
      </c>
      <c r="B9887" t="s">
        <v>101</v>
      </c>
      <c r="C9887" s="1">
        <f>HYPERLINK("https://cao.dolgi.msk.ru/account/1011201662/", 1011201662)</f>
        <v>1011201662</v>
      </c>
      <c r="D9887">
        <v>-5843.87</v>
      </c>
    </row>
    <row r="9888" spans="1:4" hidden="1" x14ac:dyDescent="0.3">
      <c r="A9888" t="s">
        <v>794</v>
      </c>
      <c r="B9888" t="s">
        <v>82</v>
      </c>
      <c r="C9888" s="1">
        <f>HYPERLINK("https://cao.dolgi.msk.ru/account/1011201494/", 1011201494)</f>
        <v>1011201494</v>
      </c>
      <c r="D9888">
        <v>0</v>
      </c>
    </row>
    <row r="9889" spans="1:4" x14ac:dyDescent="0.3">
      <c r="A9889" t="s">
        <v>794</v>
      </c>
      <c r="B9889" t="s">
        <v>84</v>
      </c>
      <c r="C9889" s="1">
        <f>HYPERLINK("https://cao.dolgi.msk.ru/account/1011201689/", 1011201689)</f>
        <v>1011201689</v>
      </c>
      <c r="D9889">
        <v>1958.79</v>
      </c>
    </row>
    <row r="9890" spans="1:4" x14ac:dyDescent="0.3">
      <c r="A9890" t="s">
        <v>794</v>
      </c>
      <c r="B9890" t="s">
        <v>85</v>
      </c>
      <c r="C9890" s="1">
        <f>HYPERLINK("https://cao.dolgi.msk.ru/account/1011201013/", 1011201013)</f>
        <v>1011201013</v>
      </c>
      <c r="D9890">
        <v>331708.49</v>
      </c>
    </row>
    <row r="9891" spans="1:4" hidden="1" x14ac:dyDescent="0.3">
      <c r="A9891" t="s">
        <v>794</v>
      </c>
      <c r="B9891" t="s">
        <v>102</v>
      </c>
      <c r="C9891" s="1">
        <f>HYPERLINK("https://cao.dolgi.msk.ru/account/1011201507/", 1011201507)</f>
        <v>1011201507</v>
      </c>
      <c r="D9891">
        <v>-20.27</v>
      </c>
    </row>
    <row r="9892" spans="1:4" hidden="1" x14ac:dyDescent="0.3">
      <c r="A9892" t="s">
        <v>794</v>
      </c>
      <c r="B9892" t="s">
        <v>103</v>
      </c>
      <c r="C9892" s="1">
        <f>HYPERLINK("https://cao.dolgi.msk.ru/account/1011201216/", 1011201216)</f>
        <v>1011201216</v>
      </c>
      <c r="D9892">
        <v>0</v>
      </c>
    </row>
    <row r="9893" spans="1:4" hidden="1" x14ac:dyDescent="0.3">
      <c r="A9893" t="s">
        <v>794</v>
      </c>
      <c r="B9893" t="s">
        <v>104</v>
      </c>
      <c r="C9893" s="1">
        <f>HYPERLINK("https://cao.dolgi.msk.ru/account/1011200598/", 1011200598)</f>
        <v>1011200598</v>
      </c>
      <c r="D9893">
        <v>0</v>
      </c>
    </row>
    <row r="9894" spans="1:4" hidden="1" x14ac:dyDescent="0.3">
      <c r="A9894" t="s">
        <v>794</v>
      </c>
      <c r="B9894" t="s">
        <v>105</v>
      </c>
      <c r="C9894" s="1">
        <f>HYPERLINK("https://cao.dolgi.msk.ru/account/1011201021/", 1011201021)</f>
        <v>1011201021</v>
      </c>
      <c r="D9894">
        <v>-14764.8</v>
      </c>
    </row>
    <row r="9895" spans="1:4" hidden="1" x14ac:dyDescent="0.3">
      <c r="A9895" t="s">
        <v>794</v>
      </c>
      <c r="B9895" t="s">
        <v>106</v>
      </c>
      <c r="C9895" s="1">
        <f>HYPERLINK("https://cao.dolgi.msk.ru/account/1011201339/", 1011201339)</f>
        <v>1011201339</v>
      </c>
      <c r="D9895">
        <v>-18093.12</v>
      </c>
    </row>
    <row r="9896" spans="1:4" hidden="1" x14ac:dyDescent="0.3">
      <c r="A9896" t="s">
        <v>794</v>
      </c>
      <c r="B9896" t="s">
        <v>107</v>
      </c>
      <c r="C9896" s="1">
        <f>HYPERLINK("https://cao.dolgi.msk.ru/account/1011201347/", 1011201347)</f>
        <v>1011201347</v>
      </c>
      <c r="D9896">
        <v>0</v>
      </c>
    </row>
    <row r="9897" spans="1:4" hidden="1" x14ac:dyDescent="0.3">
      <c r="A9897" t="s">
        <v>794</v>
      </c>
      <c r="B9897" t="s">
        <v>108</v>
      </c>
      <c r="C9897" s="1">
        <f>HYPERLINK("https://cao.dolgi.msk.ru/account/1011201048/", 1011201048)</f>
        <v>1011201048</v>
      </c>
      <c r="D9897">
        <v>-27860.39</v>
      </c>
    </row>
    <row r="9898" spans="1:4" x14ac:dyDescent="0.3">
      <c r="A9898" t="s">
        <v>794</v>
      </c>
      <c r="B9898" t="s">
        <v>109</v>
      </c>
      <c r="C9898" s="1">
        <f>HYPERLINK("https://cao.dolgi.msk.ru/account/1011200774/", 1011200774)</f>
        <v>1011200774</v>
      </c>
      <c r="D9898">
        <v>5989.36</v>
      </c>
    </row>
    <row r="9899" spans="1:4" hidden="1" x14ac:dyDescent="0.3">
      <c r="A9899" t="s">
        <v>794</v>
      </c>
      <c r="B9899" t="s">
        <v>110</v>
      </c>
      <c r="C9899" s="1">
        <f>HYPERLINK("https://cao.dolgi.msk.ru/account/1011200782/", 1011200782)</f>
        <v>1011200782</v>
      </c>
      <c r="D9899">
        <v>0</v>
      </c>
    </row>
    <row r="9900" spans="1:4" x14ac:dyDescent="0.3">
      <c r="A9900" t="s">
        <v>794</v>
      </c>
      <c r="B9900" t="s">
        <v>111</v>
      </c>
      <c r="C9900" s="1">
        <f>HYPERLINK("https://cao.dolgi.msk.ru/account/1011201515/", 1011201515)</f>
        <v>1011201515</v>
      </c>
      <c r="D9900">
        <v>322011.59000000003</v>
      </c>
    </row>
    <row r="9901" spans="1:4" x14ac:dyDescent="0.3">
      <c r="A9901" t="s">
        <v>794</v>
      </c>
      <c r="B9901" t="s">
        <v>112</v>
      </c>
      <c r="C9901" s="1">
        <f>HYPERLINK("https://cao.dolgi.msk.ru/account/1011200803/", 1011200803)</f>
        <v>1011200803</v>
      </c>
      <c r="D9901">
        <v>36970.79</v>
      </c>
    </row>
    <row r="9902" spans="1:4" hidden="1" x14ac:dyDescent="0.3">
      <c r="A9902" t="s">
        <v>794</v>
      </c>
      <c r="B9902" t="s">
        <v>113</v>
      </c>
      <c r="C9902" s="1">
        <f>HYPERLINK("https://cao.dolgi.msk.ru/account/1011200811/", 1011200811)</f>
        <v>1011200811</v>
      </c>
      <c r="D9902">
        <v>-25.59</v>
      </c>
    </row>
    <row r="9903" spans="1:4" x14ac:dyDescent="0.3">
      <c r="A9903" t="s">
        <v>794</v>
      </c>
      <c r="B9903" t="s">
        <v>114</v>
      </c>
      <c r="C9903" s="1">
        <f>HYPERLINK("https://cao.dolgi.msk.ru/account/1011200838/", 1011200838)</f>
        <v>1011200838</v>
      </c>
      <c r="D9903">
        <v>16028.24</v>
      </c>
    </row>
    <row r="9904" spans="1:4" x14ac:dyDescent="0.3">
      <c r="A9904" t="s">
        <v>794</v>
      </c>
      <c r="B9904" t="s">
        <v>115</v>
      </c>
      <c r="C9904" s="1">
        <f>HYPERLINK("https://cao.dolgi.msk.ru/account/1011201355/", 1011201355)</f>
        <v>1011201355</v>
      </c>
      <c r="D9904">
        <v>4659.22</v>
      </c>
    </row>
    <row r="9905" spans="1:4" hidden="1" x14ac:dyDescent="0.3">
      <c r="A9905" t="s">
        <v>794</v>
      </c>
      <c r="B9905" t="s">
        <v>116</v>
      </c>
      <c r="C9905" s="1">
        <f>HYPERLINK("https://cao.dolgi.msk.ru/account/1011201697/", 1011201697)</f>
        <v>1011201697</v>
      </c>
      <c r="D9905">
        <v>-5528.07</v>
      </c>
    </row>
    <row r="9906" spans="1:4" hidden="1" x14ac:dyDescent="0.3">
      <c r="A9906" t="s">
        <v>794</v>
      </c>
      <c r="B9906" t="s">
        <v>266</v>
      </c>
      <c r="C9906" s="1">
        <f>HYPERLINK("https://cao.dolgi.msk.ru/account/1011201224/", 1011201224)</f>
        <v>1011201224</v>
      </c>
      <c r="D9906">
        <v>0</v>
      </c>
    </row>
    <row r="9907" spans="1:4" hidden="1" x14ac:dyDescent="0.3">
      <c r="A9907" t="s">
        <v>794</v>
      </c>
      <c r="B9907" t="s">
        <v>117</v>
      </c>
      <c r="C9907" s="1">
        <f>HYPERLINK("https://cao.dolgi.msk.ru/account/1011201363/", 1011201363)</f>
        <v>1011201363</v>
      </c>
      <c r="D9907">
        <v>0</v>
      </c>
    </row>
    <row r="9908" spans="1:4" hidden="1" x14ac:dyDescent="0.3">
      <c r="A9908" t="s">
        <v>794</v>
      </c>
      <c r="B9908" t="s">
        <v>118</v>
      </c>
      <c r="C9908" s="1">
        <f>HYPERLINK("https://cao.dolgi.msk.ru/account/1011200619/", 1011200619)</f>
        <v>1011200619</v>
      </c>
      <c r="D9908">
        <v>0</v>
      </c>
    </row>
    <row r="9909" spans="1:4" hidden="1" x14ac:dyDescent="0.3">
      <c r="A9909" t="s">
        <v>794</v>
      </c>
      <c r="B9909" t="s">
        <v>119</v>
      </c>
      <c r="C9909" s="1">
        <f>HYPERLINK("https://cao.dolgi.msk.ru/account/1011201523/", 1011201523)</f>
        <v>1011201523</v>
      </c>
      <c r="D9909">
        <v>-12641.95</v>
      </c>
    </row>
    <row r="9910" spans="1:4" hidden="1" x14ac:dyDescent="0.3">
      <c r="A9910" t="s">
        <v>794</v>
      </c>
      <c r="B9910" t="s">
        <v>120</v>
      </c>
      <c r="C9910" s="1">
        <f>HYPERLINK("https://cao.dolgi.msk.ru/account/1011201232/", 1011201232)</f>
        <v>1011201232</v>
      </c>
      <c r="D9910">
        <v>0</v>
      </c>
    </row>
    <row r="9911" spans="1:4" hidden="1" x14ac:dyDescent="0.3">
      <c r="A9911" t="s">
        <v>794</v>
      </c>
      <c r="B9911" t="s">
        <v>121</v>
      </c>
      <c r="C9911" s="1">
        <f>HYPERLINK("https://cao.dolgi.msk.ru/account/1011201531/", 1011201531)</f>
        <v>1011201531</v>
      </c>
      <c r="D9911">
        <v>-11721.24</v>
      </c>
    </row>
    <row r="9912" spans="1:4" x14ac:dyDescent="0.3">
      <c r="A9912" t="s">
        <v>794</v>
      </c>
      <c r="B9912" t="s">
        <v>122</v>
      </c>
      <c r="C9912" s="1">
        <f>HYPERLINK("https://cao.dolgi.msk.ru/account/1011201718/", 1011201718)</f>
        <v>1011201718</v>
      </c>
      <c r="D9912">
        <v>36294.559999999998</v>
      </c>
    </row>
    <row r="9913" spans="1:4" hidden="1" x14ac:dyDescent="0.3">
      <c r="A9913" t="s">
        <v>794</v>
      </c>
      <c r="B9913" t="s">
        <v>123</v>
      </c>
      <c r="C9913" s="1">
        <f>HYPERLINK("https://cao.dolgi.msk.ru/account/1011201056/", 1011201056)</f>
        <v>1011201056</v>
      </c>
      <c r="D9913">
        <v>0</v>
      </c>
    </row>
    <row r="9914" spans="1:4" hidden="1" x14ac:dyDescent="0.3">
      <c r="A9914" t="s">
        <v>794</v>
      </c>
      <c r="B9914" t="s">
        <v>124</v>
      </c>
      <c r="C9914" s="1">
        <f>HYPERLINK("https://cao.dolgi.msk.ru/account/1011201558/", 1011201558)</f>
        <v>1011201558</v>
      </c>
      <c r="D9914">
        <v>0</v>
      </c>
    </row>
    <row r="9915" spans="1:4" hidden="1" x14ac:dyDescent="0.3">
      <c r="A9915" t="s">
        <v>794</v>
      </c>
      <c r="B9915" t="s">
        <v>125</v>
      </c>
      <c r="C9915" s="1">
        <f>HYPERLINK("https://cao.dolgi.msk.ru/account/1011201259/", 1011201259)</f>
        <v>1011201259</v>
      </c>
      <c r="D9915">
        <v>0</v>
      </c>
    </row>
    <row r="9916" spans="1:4" hidden="1" x14ac:dyDescent="0.3">
      <c r="A9916" t="s">
        <v>794</v>
      </c>
      <c r="B9916" t="s">
        <v>126</v>
      </c>
      <c r="C9916" s="1">
        <f>HYPERLINK("https://cao.dolgi.msk.ru/account/1011201566/", 1011201566)</f>
        <v>1011201566</v>
      </c>
      <c r="D9916">
        <v>-5188.18</v>
      </c>
    </row>
    <row r="9917" spans="1:4" hidden="1" x14ac:dyDescent="0.3">
      <c r="A9917" t="s">
        <v>794</v>
      </c>
      <c r="B9917" t="s">
        <v>127</v>
      </c>
      <c r="C9917" s="1">
        <f>HYPERLINK("https://cao.dolgi.msk.ru/account/1011200926/", 1011200926)</f>
        <v>1011200926</v>
      </c>
      <c r="D9917">
        <v>0</v>
      </c>
    </row>
    <row r="9918" spans="1:4" hidden="1" x14ac:dyDescent="0.3">
      <c r="A9918" t="s">
        <v>794</v>
      </c>
      <c r="B9918" t="s">
        <v>262</v>
      </c>
      <c r="C9918" s="1">
        <f>HYPERLINK("https://cao.dolgi.msk.ru/account/1011201064/", 1011201064)</f>
        <v>1011201064</v>
      </c>
      <c r="D9918">
        <v>-15230.94</v>
      </c>
    </row>
    <row r="9919" spans="1:4" hidden="1" x14ac:dyDescent="0.3">
      <c r="A9919" t="s">
        <v>798</v>
      </c>
      <c r="B9919" t="s">
        <v>6</v>
      </c>
      <c r="C9919" s="1">
        <f>HYPERLINK("https://cao.dolgi.msk.ru/account/1011201769/", 1011201769)</f>
        <v>1011201769</v>
      </c>
      <c r="D9919">
        <v>-4286.3500000000004</v>
      </c>
    </row>
    <row r="9920" spans="1:4" hidden="1" x14ac:dyDescent="0.3">
      <c r="A9920" t="s">
        <v>798</v>
      </c>
      <c r="B9920" t="s">
        <v>799</v>
      </c>
      <c r="C9920" s="1">
        <f>HYPERLINK("https://cao.dolgi.msk.ru/account/1011201726/", 1011201726)</f>
        <v>1011201726</v>
      </c>
      <c r="D9920">
        <v>-8983.84</v>
      </c>
    </row>
    <row r="9921" spans="1:4" hidden="1" x14ac:dyDescent="0.3">
      <c r="A9921" t="s">
        <v>798</v>
      </c>
      <c r="B9921" t="s">
        <v>799</v>
      </c>
      <c r="C9921" s="1">
        <f>HYPERLINK("https://cao.dolgi.msk.ru/account/1011201734/", 1011201734)</f>
        <v>1011201734</v>
      </c>
      <c r="D9921">
        <v>-11361.33</v>
      </c>
    </row>
    <row r="9922" spans="1:4" hidden="1" x14ac:dyDescent="0.3">
      <c r="A9922" t="s">
        <v>798</v>
      </c>
      <c r="B9922" t="s">
        <v>35</v>
      </c>
      <c r="C9922" s="1">
        <f>HYPERLINK("https://cao.dolgi.msk.ru/account/1011201777/", 1011201777)</f>
        <v>1011201777</v>
      </c>
      <c r="D9922">
        <v>-16601.91</v>
      </c>
    </row>
    <row r="9923" spans="1:4" hidden="1" x14ac:dyDescent="0.3">
      <c r="A9923" t="s">
        <v>798</v>
      </c>
      <c r="B9923" t="s">
        <v>5</v>
      </c>
      <c r="C9923" s="1">
        <f>HYPERLINK("https://cao.dolgi.msk.ru/account/1011201793/", 1011201793)</f>
        <v>1011201793</v>
      </c>
      <c r="D9923">
        <v>-5433.21</v>
      </c>
    </row>
    <row r="9924" spans="1:4" hidden="1" x14ac:dyDescent="0.3">
      <c r="A9924" t="s">
        <v>798</v>
      </c>
      <c r="B9924" t="s">
        <v>7</v>
      </c>
      <c r="C9924" s="1">
        <f>HYPERLINK("https://cao.dolgi.msk.ru/account/1011201742/", 1011201742)</f>
        <v>1011201742</v>
      </c>
      <c r="D9924">
        <v>-2848.49</v>
      </c>
    </row>
    <row r="9925" spans="1:4" x14ac:dyDescent="0.3">
      <c r="A9925" t="s">
        <v>798</v>
      </c>
      <c r="B9925" t="s">
        <v>8</v>
      </c>
      <c r="C9925" s="1">
        <f>HYPERLINK("https://cao.dolgi.msk.ru/account/1011201785/", 1011201785)</f>
        <v>1011201785</v>
      </c>
      <c r="D9925">
        <v>58073.36</v>
      </c>
    </row>
    <row r="9926" spans="1:4" hidden="1" x14ac:dyDescent="0.3">
      <c r="A9926" t="s">
        <v>800</v>
      </c>
      <c r="B9926" t="s">
        <v>23</v>
      </c>
      <c r="C9926" s="1">
        <f>HYPERLINK("https://cao.dolgi.msk.ru/account/1011201806/", 1011201806)</f>
        <v>1011201806</v>
      </c>
      <c r="D9926">
        <v>0</v>
      </c>
    </row>
    <row r="9927" spans="1:4" hidden="1" x14ac:dyDescent="0.3">
      <c r="A9927" t="s">
        <v>800</v>
      </c>
      <c r="B9927" t="s">
        <v>23</v>
      </c>
      <c r="C9927" s="1">
        <f>HYPERLINK("https://cao.dolgi.msk.ru/account/1011201945/", 1011201945)</f>
        <v>1011201945</v>
      </c>
      <c r="D9927">
        <v>-6602.32</v>
      </c>
    </row>
    <row r="9928" spans="1:4" hidden="1" x14ac:dyDescent="0.3">
      <c r="A9928" t="s">
        <v>800</v>
      </c>
      <c r="B9928" t="s">
        <v>23</v>
      </c>
      <c r="C9928" s="1">
        <f>HYPERLINK("https://cao.dolgi.msk.ru/account/1011201953/", 1011201953)</f>
        <v>1011201953</v>
      </c>
      <c r="D9928">
        <v>0</v>
      </c>
    </row>
    <row r="9929" spans="1:4" hidden="1" x14ac:dyDescent="0.3">
      <c r="A9929" t="s">
        <v>800</v>
      </c>
      <c r="B9929" t="s">
        <v>23</v>
      </c>
      <c r="C9929" s="1">
        <f>HYPERLINK("https://cao.dolgi.msk.ru/account/1011201988/", 1011201988)</f>
        <v>1011201988</v>
      </c>
      <c r="D9929">
        <v>-6365.21</v>
      </c>
    </row>
    <row r="9930" spans="1:4" hidden="1" x14ac:dyDescent="0.3">
      <c r="A9930" t="s">
        <v>800</v>
      </c>
      <c r="B9930" t="s">
        <v>13</v>
      </c>
      <c r="C9930" s="1">
        <f>HYPERLINK("https://cao.dolgi.msk.ru/account/1011201849/", 1011201849)</f>
        <v>1011201849</v>
      </c>
      <c r="D9930">
        <v>-2659.81</v>
      </c>
    </row>
    <row r="9931" spans="1:4" hidden="1" x14ac:dyDescent="0.3">
      <c r="A9931" t="s">
        <v>800</v>
      </c>
      <c r="B9931" t="s">
        <v>13</v>
      </c>
      <c r="C9931" s="1">
        <f>HYPERLINK("https://cao.dolgi.msk.ru/account/1011201857/", 1011201857)</f>
        <v>1011201857</v>
      </c>
      <c r="D9931">
        <v>-1989.07</v>
      </c>
    </row>
    <row r="9932" spans="1:4" x14ac:dyDescent="0.3">
      <c r="A9932" t="s">
        <v>800</v>
      </c>
      <c r="B9932" t="s">
        <v>13</v>
      </c>
      <c r="C9932" s="1">
        <f>HYPERLINK("https://cao.dolgi.msk.ru/account/1011201996/", 1011201996)</f>
        <v>1011201996</v>
      </c>
      <c r="D9932">
        <v>4242.12</v>
      </c>
    </row>
    <row r="9933" spans="1:4" hidden="1" x14ac:dyDescent="0.3">
      <c r="A9933" t="s">
        <v>800</v>
      </c>
      <c r="B9933" t="s">
        <v>13</v>
      </c>
      <c r="C9933" s="1">
        <f>HYPERLINK("https://cao.dolgi.msk.ru/account/1011504225/", 1011504225)</f>
        <v>1011504225</v>
      </c>
      <c r="D9933">
        <v>-7314.13</v>
      </c>
    </row>
    <row r="9934" spans="1:4" hidden="1" x14ac:dyDescent="0.3">
      <c r="A9934" t="s">
        <v>800</v>
      </c>
      <c r="B9934" t="s">
        <v>13</v>
      </c>
      <c r="C9934" s="1">
        <f>HYPERLINK("https://cao.dolgi.msk.ru/account/1011504233/", 1011504233)</f>
        <v>1011504233</v>
      </c>
      <c r="D9934">
        <v>-6192.25</v>
      </c>
    </row>
    <row r="9935" spans="1:4" hidden="1" x14ac:dyDescent="0.3">
      <c r="A9935" t="s">
        <v>800</v>
      </c>
      <c r="B9935" t="s">
        <v>13</v>
      </c>
      <c r="C9935" s="1">
        <f>HYPERLINK("https://cao.dolgi.msk.ru/account/1011504241/", 1011504241)</f>
        <v>1011504241</v>
      </c>
      <c r="D9935">
        <v>-6192.25</v>
      </c>
    </row>
    <row r="9936" spans="1:4" x14ac:dyDescent="0.3">
      <c r="A9936" t="s">
        <v>800</v>
      </c>
      <c r="B9936" t="s">
        <v>14</v>
      </c>
      <c r="C9936" s="1">
        <f>HYPERLINK("https://cao.dolgi.msk.ru/account/1011201814/", 1011201814)</f>
        <v>1011201814</v>
      </c>
      <c r="D9936">
        <v>13542.8</v>
      </c>
    </row>
    <row r="9937" spans="1:4" x14ac:dyDescent="0.3">
      <c r="A9937" t="s">
        <v>800</v>
      </c>
      <c r="B9937" t="s">
        <v>14</v>
      </c>
      <c r="C9937" s="1">
        <f>HYPERLINK("https://cao.dolgi.msk.ru/account/1011201961/", 1011201961)</f>
        <v>1011201961</v>
      </c>
      <c r="D9937">
        <v>55334.58</v>
      </c>
    </row>
    <row r="9938" spans="1:4" hidden="1" x14ac:dyDescent="0.3">
      <c r="A9938" t="s">
        <v>800</v>
      </c>
      <c r="B9938" t="s">
        <v>16</v>
      </c>
      <c r="C9938" s="1">
        <f>HYPERLINK("https://cao.dolgi.msk.ru/account/1011201881/", 1011201881)</f>
        <v>1011201881</v>
      </c>
      <c r="D9938">
        <v>0</v>
      </c>
    </row>
    <row r="9939" spans="1:4" hidden="1" x14ac:dyDescent="0.3">
      <c r="A9939" t="s">
        <v>800</v>
      </c>
      <c r="B9939" t="s">
        <v>17</v>
      </c>
      <c r="C9939" s="1">
        <f>HYPERLINK("https://cao.dolgi.msk.ru/account/1011201865/", 1011201865)</f>
        <v>1011201865</v>
      </c>
      <c r="D9939">
        <v>-16055.35</v>
      </c>
    </row>
    <row r="9940" spans="1:4" x14ac:dyDescent="0.3">
      <c r="A9940" t="s">
        <v>800</v>
      </c>
      <c r="B9940" t="s">
        <v>18</v>
      </c>
      <c r="C9940" s="1">
        <f>HYPERLINK("https://cao.dolgi.msk.ru/account/1011201873/", 1011201873)</f>
        <v>1011201873</v>
      </c>
      <c r="D9940">
        <v>46379.97</v>
      </c>
    </row>
    <row r="9941" spans="1:4" x14ac:dyDescent="0.3">
      <c r="A9941" t="s">
        <v>800</v>
      </c>
      <c r="B9941" t="s">
        <v>18</v>
      </c>
      <c r="C9941" s="1">
        <f>HYPERLINK("https://cao.dolgi.msk.ru/account/1011201929/", 1011201929)</f>
        <v>1011201929</v>
      </c>
      <c r="D9941">
        <v>21249.55</v>
      </c>
    </row>
    <row r="9942" spans="1:4" x14ac:dyDescent="0.3">
      <c r="A9942" t="s">
        <v>800</v>
      </c>
      <c r="B9942" t="s">
        <v>19</v>
      </c>
      <c r="C9942" s="1">
        <f>HYPERLINK("https://cao.dolgi.msk.ru/account/1011201937/", 1011201937)</f>
        <v>1011201937</v>
      </c>
      <c r="D9942">
        <v>236101.47</v>
      </c>
    </row>
    <row r="9943" spans="1:4" hidden="1" x14ac:dyDescent="0.3">
      <c r="A9943" t="s">
        <v>800</v>
      </c>
      <c r="B9943" t="s">
        <v>20</v>
      </c>
      <c r="C9943" s="1">
        <f>HYPERLINK("https://cao.dolgi.msk.ru/account/1011201822/", 1011201822)</f>
        <v>1011201822</v>
      </c>
      <c r="D9943">
        <v>-26461.23</v>
      </c>
    </row>
    <row r="9944" spans="1:4" hidden="1" x14ac:dyDescent="0.3">
      <c r="A9944" t="s">
        <v>801</v>
      </c>
      <c r="B9944" t="s">
        <v>31</v>
      </c>
      <c r="C9944" s="1">
        <f>HYPERLINK("https://cao.dolgi.msk.ru/account/1011331264/", 1011331264)</f>
        <v>1011331264</v>
      </c>
      <c r="D9944">
        <v>-125040.15</v>
      </c>
    </row>
    <row r="9945" spans="1:4" x14ac:dyDescent="0.3">
      <c r="A9945" t="s">
        <v>801</v>
      </c>
      <c r="B9945" t="s">
        <v>9</v>
      </c>
      <c r="C9945" s="1">
        <f>HYPERLINK("https://cao.dolgi.msk.ru/account/1011331272/", 1011331272)</f>
        <v>1011331272</v>
      </c>
      <c r="D9945">
        <v>86053.8</v>
      </c>
    </row>
    <row r="9946" spans="1:4" x14ac:dyDescent="0.3">
      <c r="A9946" t="s">
        <v>801</v>
      </c>
      <c r="B9946" t="s">
        <v>10</v>
      </c>
      <c r="C9946" s="1">
        <f>HYPERLINK("https://cao.dolgi.msk.ru/account/1011331213/", 1011331213)</f>
        <v>1011331213</v>
      </c>
      <c r="D9946">
        <v>26016.66</v>
      </c>
    </row>
    <row r="9947" spans="1:4" x14ac:dyDescent="0.3">
      <c r="A9947" t="s">
        <v>801</v>
      </c>
      <c r="B9947" t="s">
        <v>11</v>
      </c>
      <c r="C9947" s="1">
        <f>HYPERLINK("https://cao.dolgi.msk.ru/account/1011331205/", 1011331205)</f>
        <v>1011331205</v>
      </c>
      <c r="D9947">
        <v>173517.38</v>
      </c>
    </row>
    <row r="9948" spans="1:4" x14ac:dyDescent="0.3">
      <c r="A9948" t="s">
        <v>801</v>
      </c>
      <c r="B9948" t="s">
        <v>12</v>
      </c>
      <c r="C9948" s="1">
        <f>HYPERLINK("https://cao.dolgi.msk.ru/account/1011331248/", 1011331248)</f>
        <v>1011331248</v>
      </c>
      <c r="D9948">
        <v>215.97</v>
      </c>
    </row>
    <row r="9949" spans="1:4" hidden="1" x14ac:dyDescent="0.3">
      <c r="A9949" t="s">
        <v>801</v>
      </c>
      <c r="B9949" t="s">
        <v>23</v>
      </c>
      <c r="C9949" s="1">
        <f>HYPERLINK("https://cao.dolgi.msk.ru/account/1011331221/", 1011331221)</f>
        <v>1011331221</v>
      </c>
      <c r="D9949">
        <v>-5301.17</v>
      </c>
    </row>
    <row r="9950" spans="1:4" hidden="1" x14ac:dyDescent="0.3">
      <c r="A9950" t="s">
        <v>801</v>
      </c>
      <c r="B9950" t="s">
        <v>23</v>
      </c>
      <c r="C9950" s="1">
        <f>HYPERLINK("https://cao.dolgi.msk.ru/account/1011331256/", 1011331256)</f>
        <v>1011331256</v>
      </c>
      <c r="D9950">
        <v>-21270.57</v>
      </c>
    </row>
    <row r="9951" spans="1:4" x14ac:dyDescent="0.3">
      <c r="A9951" t="s">
        <v>802</v>
      </c>
      <c r="B9951" t="s">
        <v>28</v>
      </c>
      <c r="C9951" s="1">
        <f>HYPERLINK("https://cao.dolgi.msk.ru/account/1011503564/", 1011503564)</f>
        <v>1011503564</v>
      </c>
      <c r="D9951">
        <v>1335.15</v>
      </c>
    </row>
    <row r="9952" spans="1:4" hidden="1" x14ac:dyDescent="0.3">
      <c r="A9952" t="s">
        <v>802</v>
      </c>
      <c r="B9952" t="s">
        <v>28</v>
      </c>
      <c r="C9952" s="1">
        <f>HYPERLINK("https://cao.dolgi.msk.ru/account/1011503679/", 1011503679)</f>
        <v>1011503679</v>
      </c>
      <c r="D9952">
        <v>-876.31</v>
      </c>
    </row>
    <row r="9953" spans="1:4" x14ac:dyDescent="0.3">
      <c r="A9953" t="s">
        <v>802</v>
      </c>
      <c r="B9953" t="s">
        <v>35</v>
      </c>
      <c r="C9953" s="1">
        <f>HYPERLINK("https://cao.dolgi.msk.ru/account/1011503548/", 1011503548)</f>
        <v>1011503548</v>
      </c>
      <c r="D9953">
        <v>3319.6</v>
      </c>
    </row>
    <row r="9954" spans="1:4" x14ac:dyDescent="0.3">
      <c r="A9954" t="s">
        <v>802</v>
      </c>
      <c r="B9954" t="s">
        <v>5</v>
      </c>
      <c r="C9954" s="1">
        <f>HYPERLINK("https://cao.dolgi.msk.ru/account/1011503513/", 1011503513)</f>
        <v>1011503513</v>
      </c>
      <c r="D9954">
        <v>184773.76000000001</v>
      </c>
    </row>
    <row r="9955" spans="1:4" x14ac:dyDescent="0.3">
      <c r="A9955" t="s">
        <v>802</v>
      </c>
      <c r="B9955" t="s">
        <v>7</v>
      </c>
      <c r="C9955" s="1">
        <f>HYPERLINK("https://cao.dolgi.msk.ru/account/1011503353/", 1011503353)</f>
        <v>1011503353</v>
      </c>
      <c r="D9955">
        <v>59271.81</v>
      </c>
    </row>
    <row r="9956" spans="1:4" hidden="1" x14ac:dyDescent="0.3">
      <c r="A9956" t="s">
        <v>802</v>
      </c>
      <c r="B9956" t="s">
        <v>8</v>
      </c>
      <c r="C9956" s="1">
        <f>HYPERLINK("https://cao.dolgi.msk.ru/account/1011503361/", 1011503361)</f>
        <v>1011503361</v>
      </c>
      <c r="D9956">
        <v>0</v>
      </c>
    </row>
    <row r="9957" spans="1:4" hidden="1" x14ac:dyDescent="0.3">
      <c r="A9957" t="s">
        <v>802</v>
      </c>
      <c r="B9957" t="s">
        <v>8</v>
      </c>
      <c r="C9957" s="1">
        <f>HYPERLINK("https://cao.dolgi.msk.ru/account/1011503572/", 1011503572)</f>
        <v>1011503572</v>
      </c>
      <c r="D9957">
        <v>-1278.6300000000001</v>
      </c>
    </row>
    <row r="9958" spans="1:4" x14ac:dyDescent="0.3">
      <c r="A9958" t="s">
        <v>802</v>
      </c>
      <c r="B9958" t="s">
        <v>8</v>
      </c>
      <c r="C9958" s="1">
        <f>HYPERLINK("https://cao.dolgi.msk.ru/account/1011503687/", 1011503687)</f>
        <v>1011503687</v>
      </c>
      <c r="D9958">
        <v>2025.89</v>
      </c>
    </row>
    <row r="9959" spans="1:4" hidden="1" x14ac:dyDescent="0.3">
      <c r="A9959" t="s">
        <v>802</v>
      </c>
      <c r="B9959" t="s">
        <v>8</v>
      </c>
      <c r="C9959" s="1">
        <f>HYPERLINK("https://cao.dolgi.msk.ru/account/1011503708/", 1011503708)</f>
        <v>1011503708</v>
      </c>
      <c r="D9959">
        <v>-961.66</v>
      </c>
    </row>
    <row r="9960" spans="1:4" x14ac:dyDescent="0.3">
      <c r="A9960" t="s">
        <v>802</v>
      </c>
      <c r="B9960" t="s">
        <v>8</v>
      </c>
      <c r="C9960" s="1">
        <f>HYPERLINK("https://cao.dolgi.msk.ru/account/1011530239/", 1011530239)</f>
        <v>1011530239</v>
      </c>
      <c r="D9960">
        <v>37511.67</v>
      </c>
    </row>
    <row r="9961" spans="1:4" hidden="1" x14ac:dyDescent="0.3">
      <c r="A9961" t="s">
        <v>802</v>
      </c>
      <c r="B9961" t="s">
        <v>31</v>
      </c>
      <c r="C9961" s="1">
        <f>HYPERLINK("https://cao.dolgi.msk.ru/account/1011503468/", 1011503468)</f>
        <v>1011503468</v>
      </c>
      <c r="D9961">
        <v>0</v>
      </c>
    </row>
    <row r="9962" spans="1:4" hidden="1" x14ac:dyDescent="0.3">
      <c r="A9962" t="s">
        <v>802</v>
      </c>
      <c r="B9962" t="s">
        <v>9</v>
      </c>
      <c r="C9962" s="1">
        <f>HYPERLINK("https://cao.dolgi.msk.ru/account/1011503417/", 1011503417)</f>
        <v>1011503417</v>
      </c>
      <c r="D9962">
        <v>-2198.7600000000002</v>
      </c>
    </row>
    <row r="9963" spans="1:4" hidden="1" x14ac:dyDescent="0.3">
      <c r="A9963" t="s">
        <v>802</v>
      </c>
      <c r="B9963" t="s">
        <v>9</v>
      </c>
      <c r="C9963" s="1">
        <f>HYPERLINK("https://cao.dolgi.msk.ru/account/1011503556/", 1011503556)</f>
        <v>1011503556</v>
      </c>
      <c r="D9963">
        <v>0</v>
      </c>
    </row>
    <row r="9964" spans="1:4" hidden="1" x14ac:dyDescent="0.3">
      <c r="A9964" t="s">
        <v>802</v>
      </c>
      <c r="B9964" t="s">
        <v>9</v>
      </c>
      <c r="C9964" s="1">
        <f>HYPERLINK("https://cao.dolgi.msk.ru/account/1011503636/", 1011503636)</f>
        <v>1011503636</v>
      </c>
      <c r="D9964">
        <v>-381.81</v>
      </c>
    </row>
    <row r="9965" spans="1:4" hidden="1" x14ac:dyDescent="0.3">
      <c r="A9965" t="s">
        <v>802</v>
      </c>
      <c r="B9965" t="s">
        <v>9</v>
      </c>
      <c r="C9965" s="1">
        <f>HYPERLINK("https://cao.dolgi.msk.ru/account/1011503695/", 1011503695)</f>
        <v>1011503695</v>
      </c>
      <c r="D9965">
        <v>-763.38</v>
      </c>
    </row>
    <row r="9966" spans="1:4" x14ac:dyDescent="0.3">
      <c r="A9966" t="s">
        <v>802</v>
      </c>
      <c r="B9966" t="s">
        <v>10</v>
      </c>
      <c r="C9966" s="1">
        <f>HYPERLINK("https://cao.dolgi.msk.ru/account/1011503425/", 1011503425)</f>
        <v>1011503425</v>
      </c>
      <c r="D9966">
        <v>4624.95</v>
      </c>
    </row>
    <row r="9967" spans="1:4" hidden="1" x14ac:dyDescent="0.3">
      <c r="A9967" t="s">
        <v>802</v>
      </c>
      <c r="B9967" t="s">
        <v>10</v>
      </c>
      <c r="C9967" s="1">
        <f>HYPERLINK("https://cao.dolgi.msk.ru/account/1011503433/", 1011503433)</f>
        <v>1011503433</v>
      </c>
      <c r="D9967">
        <v>0</v>
      </c>
    </row>
    <row r="9968" spans="1:4" hidden="1" x14ac:dyDescent="0.3">
      <c r="A9968" t="s">
        <v>802</v>
      </c>
      <c r="B9968" t="s">
        <v>10</v>
      </c>
      <c r="C9968" s="1">
        <f>HYPERLINK("https://cao.dolgi.msk.ru/account/1011503505/", 1011503505)</f>
        <v>1011503505</v>
      </c>
      <c r="D9968">
        <v>0</v>
      </c>
    </row>
    <row r="9969" spans="1:4" x14ac:dyDescent="0.3">
      <c r="A9969" t="s">
        <v>802</v>
      </c>
      <c r="B9969" t="s">
        <v>11</v>
      </c>
      <c r="C9969" s="1">
        <f>HYPERLINK("https://cao.dolgi.msk.ru/account/1011503476/", 1011503476)</f>
        <v>1011503476</v>
      </c>
      <c r="D9969">
        <v>46082.32</v>
      </c>
    </row>
    <row r="9970" spans="1:4" x14ac:dyDescent="0.3">
      <c r="A9970" t="s">
        <v>802</v>
      </c>
      <c r="B9970" t="s">
        <v>12</v>
      </c>
      <c r="C9970" s="1">
        <f>HYPERLINK("https://cao.dolgi.msk.ru/account/1011503484/", 1011503484)</f>
        <v>1011503484</v>
      </c>
      <c r="D9970">
        <v>74742.67</v>
      </c>
    </row>
    <row r="9971" spans="1:4" x14ac:dyDescent="0.3">
      <c r="A9971" t="s">
        <v>802</v>
      </c>
      <c r="B9971" t="s">
        <v>23</v>
      </c>
      <c r="C9971" s="1">
        <f>HYPERLINK("https://cao.dolgi.msk.ru/account/1011503644/", 1011503644)</f>
        <v>1011503644</v>
      </c>
      <c r="D9971">
        <v>23326.04</v>
      </c>
    </row>
    <row r="9972" spans="1:4" x14ac:dyDescent="0.3">
      <c r="A9972" t="s">
        <v>802</v>
      </c>
      <c r="B9972" t="s">
        <v>13</v>
      </c>
      <c r="C9972" s="1">
        <f>HYPERLINK("https://cao.dolgi.msk.ru/account/1011503599/", 1011503599)</f>
        <v>1011503599</v>
      </c>
      <c r="D9972">
        <v>111312.42</v>
      </c>
    </row>
    <row r="9973" spans="1:4" x14ac:dyDescent="0.3">
      <c r="A9973" t="s">
        <v>802</v>
      </c>
      <c r="B9973" t="s">
        <v>14</v>
      </c>
      <c r="C9973" s="1">
        <f>HYPERLINK("https://cao.dolgi.msk.ru/account/1011503601/", 1011503601)</f>
        <v>1011503601</v>
      </c>
      <c r="D9973">
        <v>30596.22</v>
      </c>
    </row>
    <row r="9974" spans="1:4" x14ac:dyDescent="0.3">
      <c r="A9974" t="s">
        <v>802</v>
      </c>
      <c r="B9974" t="s">
        <v>16</v>
      </c>
      <c r="C9974" s="1">
        <f>HYPERLINK("https://cao.dolgi.msk.ru/account/1011503388/", 1011503388)</f>
        <v>1011503388</v>
      </c>
      <c r="D9974">
        <v>21715.05</v>
      </c>
    </row>
    <row r="9975" spans="1:4" x14ac:dyDescent="0.3">
      <c r="A9975" t="s">
        <v>802</v>
      </c>
      <c r="B9975" t="s">
        <v>17</v>
      </c>
      <c r="C9975" s="1">
        <f>HYPERLINK("https://cao.dolgi.msk.ru/account/1011503628/", 1011503628)</f>
        <v>1011503628</v>
      </c>
      <c r="D9975">
        <v>6224.15</v>
      </c>
    </row>
    <row r="9976" spans="1:4" x14ac:dyDescent="0.3">
      <c r="A9976" t="s">
        <v>802</v>
      </c>
      <c r="B9976" t="s">
        <v>18</v>
      </c>
      <c r="C9976" s="1">
        <f>HYPERLINK("https://cao.dolgi.msk.ru/account/1011503396/", 1011503396)</f>
        <v>1011503396</v>
      </c>
      <c r="D9976">
        <v>1679.07</v>
      </c>
    </row>
    <row r="9977" spans="1:4" x14ac:dyDescent="0.3">
      <c r="A9977" t="s">
        <v>802</v>
      </c>
      <c r="B9977" t="s">
        <v>19</v>
      </c>
      <c r="C9977" s="1">
        <f>HYPERLINK("https://cao.dolgi.msk.ru/account/1011503441/", 1011503441)</f>
        <v>1011503441</v>
      </c>
      <c r="D9977">
        <v>25049.46</v>
      </c>
    </row>
    <row r="9978" spans="1:4" x14ac:dyDescent="0.3">
      <c r="A9978" t="s">
        <v>802</v>
      </c>
      <c r="B9978" t="s">
        <v>20</v>
      </c>
      <c r="C9978" s="1">
        <f>HYPERLINK("https://cao.dolgi.msk.ru/account/1011503521/", 1011503521)</f>
        <v>1011503521</v>
      </c>
      <c r="D9978">
        <v>21304.98</v>
      </c>
    </row>
    <row r="9979" spans="1:4" x14ac:dyDescent="0.3">
      <c r="A9979" t="s">
        <v>802</v>
      </c>
      <c r="B9979" t="s">
        <v>21</v>
      </c>
      <c r="C9979" s="1">
        <f>HYPERLINK("https://cao.dolgi.msk.ru/account/1011503492/", 1011503492)</f>
        <v>1011503492</v>
      </c>
      <c r="D9979">
        <v>7631.69</v>
      </c>
    </row>
    <row r="9980" spans="1:4" hidden="1" x14ac:dyDescent="0.3">
      <c r="A9980" t="s">
        <v>802</v>
      </c>
      <c r="B9980" t="s">
        <v>26</v>
      </c>
      <c r="C9980" s="1">
        <f>HYPERLINK("https://cao.dolgi.msk.ru/account/1011503652/", 1011503652)</f>
        <v>1011503652</v>
      </c>
      <c r="D9980">
        <v>0</v>
      </c>
    </row>
    <row r="9981" spans="1:4" hidden="1" x14ac:dyDescent="0.3">
      <c r="A9981" t="s">
        <v>803</v>
      </c>
      <c r="B9981" t="s">
        <v>28</v>
      </c>
      <c r="C9981" s="1">
        <f>HYPERLINK("https://cao.dolgi.msk.ru/account/1011494207/", 1011494207)</f>
        <v>1011494207</v>
      </c>
      <c r="D9981">
        <v>0</v>
      </c>
    </row>
    <row r="9982" spans="1:4" hidden="1" x14ac:dyDescent="0.3">
      <c r="A9982" t="s">
        <v>803</v>
      </c>
      <c r="B9982" t="s">
        <v>28</v>
      </c>
      <c r="C9982" s="1">
        <f>HYPERLINK("https://cao.dolgi.msk.ru/account/1011494354/", 1011494354)</f>
        <v>1011494354</v>
      </c>
      <c r="D9982">
        <v>0</v>
      </c>
    </row>
    <row r="9983" spans="1:4" hidden="1" x14ac:dyDescent="0.3">
      <c r="A9983" t="s">
        <v>803</v>
      </c>
      <c r="B9983" t="s">
        <v>7</v>
      </c>
      <c r="C9983" s="1">
        <f>HYPERLINK("https://cao.dolgi.msk.ru/account/1011494215/", 1011494215)</f>
        <v>1011494215</v>
      </c>
      <c r="D9983">
        <v>-58.15</v>
      </c>
    </row>
    <row r="9984" spans="1:4" hidden="1" x14ac:dyDescent="0.3">
      <c r="A9984" t="s">
        <v>803</v>
      </c>
      <c r="B9984" t="s">
        <v>7</v>
      </c>
      <c r="C9984" s="1">
        <f>HYPERLINK("https://cao.dolgi.msk.ru/account/1011494418/", 1011494418)</f>
        <v>1011494418</v>
      </c>
      <c r="D9984">
        <v>-19.39</v>
      </c>
    </row>
    <row r="9985" spans="1:4" x14ac:dyDescent="0.3">
      <c r="A9985" t="s">
        <v>803</v>
      </c>
      <c r="B9985" t="s">
        <v>8</v>
      </c>
      <c r="C9985" s="1">
        <f>HYPERLINK("https://cao.dolgi.msk.ru/account/1011494434/", 1011494434)</f>
        <v>1011494434</v>
      </c>
      <c r="D9985">
        <v>14338.34</v>
      </c>
    </row>
    <row r="9986" spans="1:4" hidden="1" x14ac:dyDescent="0.3">
      <c r="A9986" t="s">
        <v>803</v>
      </c>
      <c r="B9986" t="s">
        <v>31</v>
      </c>
      <c r="C9986" s="1">
        <f>HYPERLINK("https://cao.dolgi.msk.ru/account/1011494426/", 1011494426)</f>
        <v>1011494426</v>
      </c>
      <c r="D9986">
        <v>0</v>
      </c>
    </row>
    <row r="9987" spans="1:4" hidden="1" x14ac:dyDescent="0.3">
      <c r="A9987" t="s">
        <v>803</v>
      </c>
      <c r="B9987" t="s">
        <v>9</v>
      </c>
      <c r="C9987" s="1">
        <f>HYPERLINK("https://cao.dolgi.msk.ru/account/1011494338/", 1011494338)</f>
        <v>1011494338</v>
      </c>
      <c r="D9987">
        <v>0</v>
      </c>
    </row>
    <row r="9988" spans="1:4" hidden="1" x14ac:dyDescent="0.3">
      <c r="A9988" t="s">
        <v>803</v>
      </c>
      <c r="B9988" t="s">
        <v>10</v>
      </c>
      <c r="C9988" s="1">
        <f>HYPERLINK("https://cao.dolgi.msk.ru/account/1011494303/", 1011494303)</f>
        <v>1011494303</v>
      </c>
      <c r="D9988">
        <v>-21088.84</v>
      </c>
    </row>
    <row r="9989" spans="1:4" hidden="1" x14ac:dyDescent="0.3">
      <c r="A9989" t="s">
        <v>803</v>
      </c>
      <c r="B9989" t="s">
        <v>11</v>
      </c>
      <c r="C9989" s="1">
        <f>HYPERLINK("https://cao.dolgi.msk.ru/account/1011494362/", 1011494362)</f>
        <v>1011494362</v>
      </c>
      <c r="D9989">
        <v>0</v>
      </c>
    </row>
    <row r="9990" spans="1:4" hidden="1" x14ac:dyDescent="0.3">
      <c r="A9990" t="s">
        <v>803</v>
      </c>
      <c r="B9990" t="s">
        <v>12</v>
      </c>
      <c r="C9990" s="1">
        <f>HYPERLINK("https://cao.dolgi.msk.ru/account/1011494311/", 1011494311)</f>
        <v>1011494311</v>
      </c>
      <c r="D9990">
        <v>-10120.56</v>
      </c>
    </row>
    <row r="9991" spans="1:4" hidden="1" x14ac:dyDescent="0.3">
      <c r="A9991" t="s">
        <v>803</v>
      </c>
      <c r="B9991" t="s">
        <v>23</v>
      </c>
      <c r="C9991" s="1">
        <f>HYPERLINK("https://cao.dolgi.msk.ru/account/1011494231/", 1011494231)</f>
        <v>1011494231</v>
      </c>
      <c r="D9991">
        <v>-12052.94</v>
      </c>
    </row>
    <row r="9992" spans="1:4" hidden="1" x14ac:dyDescent="0.3">
      <c r="A9992" t="s">
        <v>803</v>
      </c>
      <c r="B9992" t="s">
        <v>13</v>
      </c>
      <c r="C9992" s="1">
        <f>HYPERLINK("https://cao.dolgi.msk.ru/account/1011494282/", 1011494282)</f>
        <v>1011494282</v>
      </c>
      <c r="D9992">
        <v>0</v>
      </c>
    </row>
    <row r="9993" spans="1:4" hidden="1" x14ac:dyDescent="0.3">
      <c r="A9993" t="s">
        <v>803</v>
      </c>
      <c r="B9993" t="s">
        <v>14</v>
      </c>
      <c r="C9993" s="1">
        <f>HYPERLINK("https://cao.dolgi.msk.ru/account/1011494397/", 1011494397)</f>
        <v>1011494397</v>
      </c>
      <c r="D9993">
        <v>-780.34</v>
      </c>
    </row>
    <row r="9994" spans="1:4" x14ac:dyDescent="0.3">
      <c r="A9994" t="s">
        <v>803</v>
      </c>
      <c r="B9994" t="s">
        <v>16</v>
      </c>
      <c r="C9994" s="1">
        <f>HYPERLINK("https://cao.dolgi.msk.ru/account/1011494442/", 1011494442)</f>
        <v>1011494442</v>
      </c>
      <c r="D9994">
        <v>32549.54</v>
      </c>
    </row>
    <row r="9995" spans="1:4" x14ac:dyDescent="0.3">
      <c r="A9995" t="s">
        <v>803</v>
      </c>
      <c r="B9995" t="s">
        <v>17</v>
      </c>
      <c r="C9995" s="1">
        <f>HYPERLINK("https://cao.dolgi.msk.ru/account/1011494223/", 1011494223)</f>
        <v>1011494223</v>
      </c>
      <c r="D9995">
        <v>12588.05</v>
      </c>
    </row>
    <row r="9996" spans="1:4" x14ac:dyDescent="0.3">
      <c r="A9996" t="s">
        <v>803</v>
      </c>
      <c r="B9996" t="s">
        <v>18</v>
      </c>
      <c r="C9996" s="1">
        <f>HYPERLINK("https://cao.dolgi.msk.ru/account/1011494469/", 1011494469)</f>
        <v>1011494469</v>
      </c>
      <c r="D9996">
        <v>19242.78</v>
      </c>
    </row>
    <row r="9997" spans="1:4" hidden="1" x14ac:dyDescent="0.3">
      <c r="A9997" t="s">
        <v>803</v>
      </c>
      <c r="B9997" t="s">
        <v>19</v>
      </c>
      <c r="C9997" s="1">
        <f>HYPERLINK("https://cao.dolgi.msk.ru/account/1011494477/", 1011494477)</f>
        <v>1011494477</v>
      </c>
      <c r="D9997">
        <v>-14711.68</v>
      </c>
    </row>
    <row r="9998" spans="1:4" x14ac:dyDescent="0.3">
      <c r="A9998" t="s">
        <v>803</v>
      </c>
      <c r="B9998" t="s">
        <v>20</v>
      </c>
      <c r="C9998" s="1">
        <f>HYPERLINK("https://cao.dolgi.msk.ru/account/1011494258/", 1011494258)</f>
        <v>1011494258</v>
      </c>
      <c r="D9998">
        <v>15403</v>
      </c>
    </row>
    <row r="9999" spans="1:4" hidden="1" x14ac:dyDescent="0.3">
      <c r="A9999" t="s">
        <v>803</v>
      </c>
      <c r="B9999" t="s">
        <v>21</v>
      </c>
      <c r="C9999" s="1">
        <f>HYPERLINK("https://cao.dolgi.msk.ru/account/1011494266/", 1011494266)</f>
        <v>1011494266</v>
      </c>
      <c r="D9999">
        <v>0</v>
      </c>
    </row>
    <row r="10000" spans="1:4" hidden="1" x14ac:dyDescent="0.3">
      <c r="A10000" t="s">
        <v>803</v>
      </c>
      <c r="B10000" t="s">
        <v>22</v>
      </c>
      <c r="C10000" s="1">
        <f>HYPERLINK("https://cao.dolgi.msk.ru/account/1011494485/", 1011494485)</f>
        <v>1011494485</v>
      </c>
      <c r="D10000">
        <v>0</v>
      </c>
    </row>
    <row r="10001" spans="1:4" hidden="1" x14ac:dyDescent="0.3">
      <c r="A10001" t="s">
        <v>803</v>
      </c>
      <c r="B10001" t="s">
        <v>24</v>
      </c>
      <c r="C10001" s="1">
        <f>HYPERLINK("https://cao.dolgi.msk.ru/account/1011494274/", 1011494274)</f>
        <v>1011494274</v>
      </c>
      <c r="D10001">
        <v>0</v>
      </c>
    </row>
    <row r="10002" spans="1:4" hidden="1" x14ac:dyDescent="0.3">
      <c r="A10002" t="s">
        <v>803</v>
      </c>
      <c r="B10002" t="s">
        <v>25</v>
      </c>
      <c r="C10002" s="1">
        <f>HYPERLINK("https://cao.dolgi.msk.ru/account/1011494493/", 1011494493)</f>
        <v>1011494493</v>
      </c>
      <c r="D10002">
        <v>0</v>
      </c>
    </row>
    <row r="10003" spans="1:4" hidden="1" x14ac:dyDescent="0.3">
      <c r="A10003" t="s">
        <v>803</v>
      </c>
      <c r="B10003" t="s">
        <v>26</v>
      </c>
      <c r="C10003" s="1">
        <f>HYPERLINK("https://cao.dolgi.msk.ru/account/1011494389/", 1011494389)</f>
        <v>1011494389</v>
      </c>
      <c r="D10003">
        <v>0</v>
      </c>
    </row>
    <row r="10004" spans="1:4" hidden="1" x14ac:dyDescent="0.3">
      <c r="A10004" t="s">
        <v>804</v>
      </c>
      <c r="B10004" t="s">
        <v>5</v>
      </c>
      <c r="C10004" s="1">
        <f>HYPERLINK("https://cao.dolgi.msk.ru/account/1011478223/", 1011478223)</f>
        <v>1011478223</v>
      </c>
      <c r="D10004">
        <v>0</v>
      </c>
    </row>
    <row r="10005" spans="1:4" hidden="1" x14ac:dyDescent="0.3">
      <c r="A10005" t="s">
        <v>804</v>
      </c>
      <c r="B10005" t="s">
        <v>5</v>
      </c>
      <c r="C10005" s="1">
        <f>HYPERLINK("https://cao.dolgi.msk.ru/account/1011478303/", 1011478303)</f>
        <v>1011478303</v>
      </c>
      <c r="D10005">
        <v>0</v>
      </c>
    </row>
    <row r="10006" spans="1:4" hidden="1" x14ac:dyDescent="0.3">
      <c r="A10006" t="s">
        <v>804</v>
      </c>
      <c r="B10006" t="s">
        <v>5</v>
      </c>
      <c r="C10006" s="1">
        <f>HYPERLINK("https://cao.dolgi.msk.ru/account/1011478426/", 1011478426)</f>
        <v>1011478426</v>
      </c>
      <c r="D10006">
        <v>0</v>
      </c>
    </row>
    <row r="10007" spans="1:4" x14ac:dyDescent="0.3">
      <c r="A10007" t="s">
        <v>804</v>
      </c>
      <c r="B10007" t="s">
        <v>8</v>
      </c>
      <c r="C10007" s="1">
        <f>HYPERLINK("https://cao.dolgi.msk.ru/account/1011478311/", 1011478311)</f>
        <v>1011478311</v>
      </c>
      <c r="D10007">
        <v>18341.349999999999</v>
      </c>
    </row>
    <row r="10008" spans="1:4" hidden="1" x14ac:dyDescent="0.3">
      <c r="A10008" t="s">
        <v>804</v>
      </c>
      <c r="B10008" t="s">
        <v>31</v>
      </c>
      <c r="C10008" s="1">
        <f>HYPERLINK("https://cao.dolgi.msk.ru/account/1011478215/", 1011478215)</f>
        <v>1011478215</v>
      </c>
      <c r="D10008">
        <v>-3674.59</v>
      </c>
    </row>
    <row r="10009" spans="1:4" hidden="1" x14ac:dyDescent="0.3">
      <c r="A10009" t="s">
        <v>804</v>
      </c>
      <c r="B10009" t="s">
        <v>31</v>
      </c>
      <c r="C10009" s="1">
        <f>HYPERLINK("https://cao.dolgi.msk.ru/account/1011478282/", 1011478282)</f>
        <v>1011478282</v>
      </c>
      <c r="D10009">
        <v>0</v>
      </c>
    </row>
    <row r="10010" spans="1:4" hidden="1" x14ac:dyDescent="0.3">
      <c r="A10010" t="s">
        <v>804</v>
      </c>
      <c r="B10010" t="s">
        <v>31</v>
      </c>
      <c r="C10010" s="1">
        <f>HYPERLINK("https://cao.dolgi.msk.ru/account/1011478338/", 1011478338)</f>
        <v>1011478338</v>
      </c>
      <c r="D10010">
        <v>0</v>
      </c>
    </row>
    <row r="10011" spans="1:4" hidden="1" x14ac:dyDescent="0.3">
      <c r="A10011" t="s">
        <v>804</v>
      </c>
      <c r="B10011" t="s">
        <v>9</v>
      </c>
      <c r="C10011" s="1">
        <f>HYPERLINK("https://cao.dolgi.msk.ru/account/1011478178/", 1011478178)</f>
        <v>1011478178</v>
      </c>
      <c r="D10011">
        <v>0</v>
      </c>
    </row>
    <row r="10012" spans="1:4" hidden="1" x14ac:dyDescent="0.3">
      <c r="A10012" t="s">
        <v>804</v>
      </c>
      <c r="B10012" t="s">
        <v>10</v>
      </c>
      <c r="C10012" s="1">
        <f>HYPERLINK("https://cao.dolgi.msk.ru/account/1011478362/", 1011478362)</f>
        <v>1011478362</v>
      </c>
      <c r="D10012">
        <v>0</v>
      </c>
    </row>
    <row r="10013" spans="1:4" x14ac:dyDescent="0.3">
      <c r="A10013" t="s">
        <v>804</v>
      </c>
      <c r="B10013" t="s">
        <v>11</v>
      </c>
      <c r="C10013" s="1">
        <f>HYPERLINK("https://cao.dolgi.msk.ru/account/1011478346/", 1011478346)</f>
        <v>1011478346</v>
      </c>
      <c r="D10013">
        <v>23580.7</v>
      </c>
    </row>
    <row r="10014" spans="1:4" hidden="1" x14ac:dyDescent="0.3">
      <c r="A10014" t="s">
        <v>804</v>
      </c>
      <c r="B10014" t="s">
        <v>12</v>
      </c>
      <c r="C10014" s="1">
        <f>HYPERLINK("https://cao.dolgi.msk.ru/account/1011478258/", 1011478258)</f>
        <v>1011478258</v>
      </c>
      <c r="D10014">
        <v>0</v>
      </c>
    </row>
    <row r="10015" spans="1:4" hidden="1" x14ac:dyDescent="0.3">
      <c r="A10015" t="s">
        <v>804</v>
      </c>
      <c r="B10015" t="s">
        <v>23</v>
      </c>
      <c r="C10015" s="1">
        <f>HYPERLINK("https://cao.dolgi.msk.ru/account/1011478186/", 1011478186)</f>
        <v>1011478186</v>
      </c>
      <c r="D10015">
        <v>0</v>
      </c>
    </row>
    <row r="10016" spans="1:4" hidden="1" x14ac:dyDescent="0.3">
      <c r="A10016" t="s">
        <v>804</v>
      </c>
      <c r="B10016" t="s">
        <v>13</v>
      </c>
      <c r="C10016" s="1">
        <f>HYPERLINK("https://cao.dolgi.msk.ru/account/1011478231/", 1011478231)</f>
        <v>1011478231</v>
      </c>
      <c r="D10016">
        <v>-852.38</v>
      </c>
    </row>
    <row r="10017" spans="1:4" hidden="1" x14ac:dyDescent="0.3">
      <c r="A10017" t="s">
        <v>804</v>
      </c>
      <c r="B10017" t="s">
        <v>14</v>
      </c>
      <c r="C10017" s="1">
        <f>HYPERLINK("https://cao.dolgi.msk.ru/account/1011478194/", 1011478194)</f>
        <v>1011478194</v>
      </c>
      <c r="D10017">
        <v>-885.55</v>
      </c>
    </row>
    <row r="10018" spans="1:4" hidden="1" x14ac:dyDescent="0.3">
      <c r="A10018" t="s">
        <v>804</v>
      </c>
      <c r="B10018" t="s">
        <v>16</v>
      </c>
      <c r="C10018" s="1">
        <f>HYPERLINK("https://cao.dolgi.msk.ru/account/1011478389/", 1011478389)</f>
        <v>1011478389</v>
      </c>
      <c r="D10018">
        <v>0</v>
      </c>
    </row>
    <row r="10019" spans="1:4" hidden="1" x14ac:dyDescent="0.3">
      <c r="A10019" t="s">
        <v>804</v>
      </c>
      <c r="B10019" t="s">
        <v>17</v>
      </c>
      <c r="C10019" s="1">
        <f>HYPERLINK("https://cao.dolgi.msk.ru/account/1011478397/", 1011478397)</f>
        <v>1011478397</v>
      </c>
      <c r="D10019">
        <v>0</v>
      </c>
    </row>
    <row r="10020" spans="1:4" hidden="1" x14ac:dyDescent="0.3">
      <c r="A10020" t="s">
        <v>804</v>
      </c>
      <c r="B10020" t="s">
        <v>18</v>
      </c>
      <c r="C10020" s="1">
        <f>HYPERLINK("https://cao.dolgi.msk.ru/account/1011478266/", 1011478266)</f>
        <v>1011478266</v>
      </c>
      <c r="D10020">
        <v>0</v>
      </c>
    </row>
    <row r="10021" spans="1:4" hidden="1" x14ac:dyDescent="0.3">
      <c r="A10021" t="s">
        <v>804</v>
      </c>
      <c r="B10021" t="s">
        <v>19</v>
      </c>
      <c r="C10021" s="1">
        <f>HYPERLINK("https://cao.dolgi.msk.ru/account/1011478207/", 1011478207)</f>
        <v>1011478207</v>
      </c>
      <c r="D10021">
        <v>-8244.1299999999992</v>
      </c>
    </row>
    <row r="10022" spans="1:4" hidden="1" x14ac:dyDescent="0.3">
      <c r="A10022" t="s">
        <v>804</v>
      </c>
      <c r="B10022" t="s">
        <v>20</v>
      </c>
      <c r="C10022" s="1">
        <f>HYPERLINK("https://cao.dolgi.msk.ru/account/1011478354/", 1011478354)</f>
        <v>1011478354</v>
      </c>
      <c r="D10022">
        <v>0</v>
      </c>
    </row>
    <row r="10023" spans="1:4" x14ac:dyDescent="0.3">
      <c r="A10023" t="s">
        <v>804</v>
      </c>
      <c r="B10023" t="s">
        <v>21</v>
      </c>
      <c r="C10023" s="1">
        <f>HYPERLINK("https://cao.dolgi.msk.ru/account/1011478274/", 1011478274)</f>
        <v>1011478274</v>
      </c>
      <c r="D10023">
        <v>360317.37</v>
      </c>
    </row>
    <row r="10024" spans="1:4" x14ac:dyDescent="0.3">
      <c r="A10024" t="s">
        <v>805</v>
      </c>
      <c r="B10024" t="s">
        <v>6</v>
      </c>
      <c r="C10024" s="1">
        <f>HYPERLINK("https://cao.dolgi.msk.ru/account/1011124273/", 1011124273)</f>
        <v>1011124273</v>
      </c>
      <c r="D10024">
        <v>66181.67</v>
      </c>
    </row>
    <row r="10025" spans="1:4" x14ac:dyDescent="0.3">
      <c r="A10025" t="s">
        <v>805</v>
      </c>
      <c r="B10025" t="s">
        <v>28</v>
      </c>
      <c r="C10025" s="1">
        <f>HYPERLINK("https://cao.dolgi.msk.ru/account/1011124302/", 1011124302)</f>
        <v>1011124302</v>
      </c>
      <c r="D10025">
        <v>73303.22</v>
      </c>
    </row>
    <row r="10026" spans="1:4" x14ac:dyDescent="0.3">
      <c r="A10026" t="s">
        <v>805</v>
      </c>
      <c r="B10026" t="s">
        <v>35</v>
      </c>
      <c r="C10026" s="1">
        <f>HYPERLINK("https://cao.dolgi.msk.ru/account/1011124361/", 1011124361)</f>
        <v>1011124361</v>
      </c>
      <c r="D10026">
        <v>59643.62</v>
      </c>
    </row>
    <row r="10027" spans="1:4" x14ac:dyDescent="0.3">
      <c r="A10027" t="s">
        <v>805</v>
      </c>
      <c r="B10027" t="s">
        <v>5</v>
      </c>
      <c r="C10027" s="1">
        <f>HYPERLINK("https://cao.dolgi.msk.ru/account/1011124265/", 1011124265)</f>
        <v>1011124265</v>
      </c>
      <c r="D10027">
        <v>71430.92</v>
      </c>
    </row>
    <row r="10028" spans="1:4" x14ac:dyDescent="0.3">
      <c r="A10028" t="s">
        <v>805</v>
      </c>
      <c r="B10028" t="s">
        <v>7</v>
      </c>
      <c r="C10028" s="1">
        <f>HYPERLINK("https://cao.dolgi.msk.ru/account/1011124281/", 1011124281)</f>
        <v>1011124281</v>
      </c>
      <c r="D10028">
        <v>100082.99</v>
      </c>
    </row>
    <row r="10029" spans="1:4" x14ac:dyDescent="0.3">
      <c r="A10029" t="s">
        <v>805</v>
      </c>
      <c r="B10029" t="s">
        <v>8</v>
      </c>
      <c r="C10029" s="1">
        <f>HYPERLINK("https://cao.dolgi.msk.ru/account/1011124353/", 1011124353)</f>
        <v>1011124353</v>
      </c>
      <c r="D10029">
        <v>102661.74</v>
      </c>
    </row>
    <row r="10030" spans="1:4" x14ac:dyDescent="0.3">
      <c r="A10030" t="s">
        <v>805</v>
      </c>
      <c r="B10030" t="s">
        <v>9</v>
      </c>
      <c r="C10030" s="1">
        <f>HYPERLINK("https://cao.dolgi.msk.ru/account/1011124329/", 1011124329)</f>
        <v>1011124329</v>
      </c>
      <c r="D10030">
        <v>42556.160000000003</v>
      </c>
    </row>
    <row r="10031" spans="1:4" hidden="1" x14ac:dyDescent="0.3">
      <c r="A10031" t="s">
        <v>806</v>
      </c>
      <c r="B10031" t="s">
        <v>35</v>
      </c>
      <c r="C10031" s="1">
        <f>HYPERLINK("https://cao.dolgi.msk.ru/account/1011202067/", 1011202067)</f>
        <v>1011202067</v>
      </c>
      <c r="D10031">
        <v>-5091.45</v>
      </c>
    </row>
    <row r="10032" spans="1:4" hidden="1" x14ac:dyDescent="0.3">
      <c r="A10032" t="s">
        <v>806</v>
      </c>
      <c r="B10032" t="s">
        <v>5</v>
      </c>
      <c r="C10032" s="1">
        <f>HYPERLINK("https://cao.dolgi.msk.ru/account/1011202083/", 1011202083)</f>
        <v>1011202083</v>
      </c>
      <c r="D10032">
        <v>0</v>
      </c>
    </row>
    <row r="10033" spans="1:4" hidden="1" x14ac:dyDescent="0.3">
      <c r="A10033" t="s">
        <v>806</v>
      </c>
      <c r="B10033" t="s">
        <v>7</v>
      </c>
      <c r="C10033" s="1">
        <f>HYPERLINK("https://cao.dolgi.msk.ru/account/1011202075/", 1011202075)</f>
        <v>1011202075</v>
      </c>
      <c r="D10033">
        <v>-37248.1</v>
      </c>
    </row>
    <row r="10034" spans="1:4" hidden="1" x14ac:dyDescent="0.3">
      <c r="A10034" t="s">
        <v>806</v>
      </c>
      <c r="B10034" t="s">
        <v>8</v>
      </c>
      <c r="C10034" s="1">
        <f>HYPERLINK("https://cao.dolgi.msk.ru/account/1011202008/", 1011202008)</f>
        <v>1011202008</v>
      </c>
      <c r="D10034">
        <v>-2748.87</v>
      </c>
    </row>
    <row r="10035" spans="1:4" hidden="1" x14ac:dyDescent="0.3">
      <c r="A10035" t="s">
        <v>806</v>
      </c>
      <c r="B10035" t="s">
        <v>8</v>
      </c>
      <c r="C10035" s="1">
        <f>HYPERLINK("https://cao.dolgi.msk.ru/account/1011202024/", 1011202024)</f>
        <v>1011202024</v>
      </c>
      <c r="D10035">
        <v>0</v>
      </c>
    </row>
    <row r="10036" spans="1:4" hidden="1" x14ac:dyDescent="0.3">
      <c r="A10036" t="s">
        <v>806</v>
      </c>
      <c r="B10036" t="s">
        <v>8</v>
      </c>
      <c r="C10036" s="1">
        <f>HYPERLINK("https://cao.dolgi.msk.ru/account/1011202032/", 1011202032)</f>
        <v>1011202032</v>
      </c>
      <c r="D10036">
        <v>0</v>
      </c>
    </row>
    <row r="10037" spans="1:4" hidden="1" x14ac:dyDescent="0.3">
      <c r="A10037" t="s">
        <v>806</v>
      </c>
      <c r="B10037" t="s">
        <v>8</v>
      </c>
      <c r="C10037" s="1">
        <f>HYPERLINK("https://cao.dolgi.msk.ru/account/1011202091/", 1011202091)</f>
        <v>1011202091</v>
      </c>
      <c r="D10037">
        <v>-2211.75</v>
      </c>
    </row>
    <row r="10038" spans="1:4" hidden="1" x14ac:dyDescent="0.3">
      <c r="A10038" t="s">
        <v>806</v>
      </c>
      <c r="B10038" t="s">
        <v>31</v>
      </c>
      <c r="C10038" s="1">
        <f>HYPERLINK("https://cao.dolgi.msk.ru/account/1011202059/", 1011202059)</f>
        <v>1011202059</v>
      </c>
      <c r="D10038">
        <v>-10235.879999999999</v>
      </c>
    </row>
    <row r="10039" spans="1:4" x14ac:dyDescent="0.3">
      <c r="A10039" t="s">
        <v>806</v>
      </c>
      <c r="B10039" t="s">
        <v>9</v>
      </c>
      <c r="C10039" s="1">
        <f>HYPERLINK("https://cao.dolgi.msk.ru/account/1011202104/", 1011202104)</f>
        <v>1011202104</v>
      </c>
      <c r="D10039">
        <v>12358.82</v>
      </c>
    </row>
    <row r="10040" spans="1:4" hidden="1" x14ac:dyDescent="0.3">
      <c r="A10040" t="s">
        <v>806</v>
      </c>
      <c r="B10040" t="s">
        <v>10</v>
      </c>
      <c r="C10040" s="1">
        <f>HYPERLINK("https://cao.dolgi.msk.ru/account/1011202016/", 1011202016)</f>
        <v>1011202016</v>
      </c>
      <c r="D10040">
        <v>0</v>
      </c>
    </row>
    <row r="10041" spans="1:4" hidden="1" x14ac:dyDescent="0.3">
      <c r="A10041" t="s">
        <v>807</v>
      </c>
      <c r="B10041" t="s">
        <v>6</v>
      </c>
      <c r="C10041" s="1">
        <f>HYPERLINK("https://cao.dolgi.msk.ru/account/1011383347/", 1011383347)</f>
        <v>1011383347</v>
      </c>
      <c r="D10041">
        <v>-364.73</v>
      </c>
    </row>
    <row r="10042" spans="1:4" hidden="1" x14ac:dyDescent="0.3">
      <c r="A10042" t="s">
        <v>807</v>
      </c>
      <c r="B10042" t="s">
        <v>35</v>
      </c>
      <c r="C10042" s="1">
        <f>HYPERLINK("https://cao.dolgi.msk.ru/account/1011383267/", 1011383267)</f>
        <v>1011383267</v>
      </c>
      <c r="D10042">
        <v>0</v>
      </c>
    </row>
    <row r="10043" spans="1:4" hidden="1" x14ac:dyDescent="0.3">
      <c r="A10043" t="s">
        <v>807</v>
      </c>
      <c r="B10043" t="s">
        <v>5</v>
      </c>
      <c r="C10043" s="1">
        <f>HYPERLINK("https://cao.dolgi.msk.ru/account/1011383283/", 1011383283)</f>
        <v>1011383283</v>
      </c>
      <c r="D10043">
        <v>-6637.45</v>
      </c>
    </row>
    <row r="10044" spans="1:4" hidden="1" x14ac:dyDescent="0.3">
      <c r="A10044" t="s">
        <v>807</v>
      </c>
      <c r="B10044" t="s">
        <v>5</v>
      </c>
      <c r="C10044" s="1">
        <f>HYPERLINK("https://cao.dolgi.msk.ru/account/1011383291/", 1011383291)</f>
        <v>1011383291</v>
      </c>
      <c r="D10044">
        <v>-7603.42</v>
      </c>
    </row>
    <row r="10045" spans="1:4" hidden="1" x14ac:dyDescent="0.3">
      <c r="A10045" t="s">
        <v>807</v>
      </c>
      <c r="B10045" t="s">
        <v>5</v>
      </c>
      <c r="C10045" s="1">
        <f>HYPERLINK("https://cao.dolgi.msk.ru/account/1011383304/", 1011383304)</f>
        <v>1011383304</v>
      </c>
      <c r="D10045">
        <v>-67.150000000000006</v>
      </c>
    </row>
    <row r="10046" spans="1:4" hidden="1" x14ac:dyDescent="0.3">
      <c r="A10046" t="s">
        <v>807</v>
      </c>
      <c r="B10046" t="s">
        <v>7</v>
      </c>
      <c r="C10046" s="1">
        <f>HYPERLINK("https://cao.dolgi.msk.ru/account/1011383275/", 1011383275)</f>
        <v>1011383275</v>
      </c>
      <c r="D10046">
        <v>-68.459999999999994</v>
      </c>
    </row>
    <row r="10047" spans="1:4" hidden="1" x14ac:dyDescent="0.3">
      <c r="A10047" t="s">
        <v>807</v>
      </c>
      <c r="B10047" t="s">
        <v>8</v>
      </c>
      <c r="C10047" s="1">
        <f>HYPERLINK("https://cao.dolgi.msk.ru/account/1011383312/", 1011383312)</f>
        <v>1011383312</v>
      </c>
      <c r="D10047">
        <v>-68.06</v>
      </c>
    </row>
    <row r="10048" spans="1:4" hidden="1" x14ac:dyDescent="0.3">
      <c r="A10048" t="s">
        <v>807</v>
      </c>
      <c r="B10048" t="s">
        <v>31</v>
      </c>
      <c r="C10048" s="1">
        <f>HYPERLINK("https://cao.dolgi.msk.ru/account/1011383339/", 1011383339)</f>
        <v>1011383339</v>
      </c>
      <c r="D10048">
        <v>0</v>
      </c>
    </row>
    <row r="10049" spans="1:4" hidden="1" x14ac:dyDescent="0.3">
      <c r="A10049" t="s">
        <v>808</v>
      </c>
      <c r="B10049" t="s">
        <v>6</v>
      </c>
      <c r="C10049" s="1">
        <f>HYPERLINK("https://cao.dolgi.msk.ru/account/1011478602/", 1011478602)</f>
        <v>1011478602</v>
      </c>
      <c r="D10049">
        <v>-4828.79</v>
      </c>
    </row>
    <row r="10050" spans="1:4" hidden="1" x14ac:dyDescent="0.3">
      <c r="A10050" t="s">
        <v>808</v>
      </c>
      <c r="B10050" t="s">
        <v>35</v>
      </c>
      <c r="C10050" s="1">
        <f>HYPERLINK("https://cao.dolgi.msk.ru/account/1011478514/", 1011478514)</f>
        <v>1011478514</v>
      </c>
      <c r="D10050">
        <v>0</v>
      </c>
    </row>
    <row r="10051" spans="1:4" hidden="1" x14ac:dyDescent="0.3">
      <c r="A10051" t="s">
        <v>808</v>
      </c>
      <c r="B10051" t="s">
        <v>5</v>
      </c>
      <c r="C10051" s="1">
        <f>HYPERLINK("https://cao.dolgi.msk.ru/account/1011478522/", 1011478522)</f>
        <v>1011478522</v>
      </c>
      <c r="D10051">
        <v>0</v>
      </c>
    </row>
    <row r="10052" spans="1:4" hidden="1" x14ac:dyDescent="0.3">
      <c r="A10052" t="s">
        <v>808</v>
      </c>
      <c r="B10052" t="s">
        <v>7</v>
      </c>
      <c r="C10052" s="1">
        <f>HYPERLINK("https://cao.dolgi.msk.ru/account/1011478565/", 1011478565)</f>
        <v>1011478565</v>
      </c>
      <c r="D10052">
        <v>-10660.18</v>
      </c>
    </row>
    <row r="10053" spans="1:4" hidden="1" x14ac:dyDescent="0.3">
      <c r="A10053" t="s">
        <v>808</v>
      </c>
      <c r="B10053" t="s">
        <v>8</v>
      </c>
      <c r="C10053" s="1">
        <f>HYPERLINK("https://cao.dolgi.msk.ru/account/1011478469/", 1011478469)</f>
        <v>1011478469</v>
      </c>
      <c r="D10053">
        <v>-4200.29</v>
      </c>
    </row>
    <row r="10054" spans="1:4" hidden="1" x14ac:dyDescent="0.3">
      <c r="A10054" t="s">
        <v>808</v>
      </c>
      <c r="B10054" t="s">
        <v>31</v>
      </c>
      <c r="C10054" s="1">
        <f>HYPERLINK("https://cao.dolgi.msk.ru/account/1011478493/", 1011478493)</f>
        <v>1011478493</v>
      </c>
      <c r="D10054">
        <v>-6016.33</v>
      </c>
    </row>
    <row r="10055" spans="1:4" hidden="1" x14ac:dyDescent="0.3">
      <c r="A10055" t="s">
        <v>808</v>
      </c>
      <c r="B10055" t="s">
        <v>9</v>
      </c>
      <c r="C10055" s="1">
        <f>HYPERLINK("https://cao.dolgi.msk.ru/account/1011478549/", 1011478549)</f>
        <v>1011478549</v>
      </c>
      <c r="D10055">
        <v>0</v>
      </c>
    </row>
    <row r="10056" spans="1:4" x14ac:dyDescent="0.3">
      <c r="A10056" t="s">
        <v>808</v>
      </c>
      <c r="B10056" t="s">
        <v>10</v>
      </c>
      <c r="C10056" s="1">
        <f>HYPERLINK("https://cao.dolgi.msk.ru/account/1011478629/", 1011478629)</f>
        <v>1011478629</v>
      </c>
      <c r="D10056">
        <v>8716.09</v>
      </c>
    </row>
    <row r="10057" spans="1:4" hidden="1" x14ac:dyDescent="0.3">
      <c r="A10057" t="s">
        <v>808</v>
      </c>
      <c r="B10057" t="s">
        <v>11</v>
      </c>
      <c r="C10057" s="1">
        <f>HYPERLINK("https://cao.dolgi.msk.ru/account/1011478557/", 1011478557)</f>
        <v>1011478557</v>
      </c>
      <c r="D10057">
        <v>0</v>
      </c>
    </row>
    <row r="10058" spans="1:4" hidden="1" x14ac:dyDescent="0.3">
      <c r="A10058" t="s">
        <v>808</v>
      </c>
      <c r="B10058" t="s">
        <v>23</v>
      </c>
      <c r="C10058" s="1">
        <f>HYPERLINK("https://cao.dolgi.msk.ru/account/1011478581/", 1011478581)</f>
        <v>1011478581</v>
      </c>
      <c r="D10058">
        <v>0</v>
      </c>
    </row>
    <row r="10059" spans="1:4" hidden="1" x14ac:dyDescent="0.3">
      <c r="A10059" t="s">
        <v>808</v>
      </c>
      <c r="B10059" t="s">
        <v>13</v>
      </c>
      <c r="C10059" s="1">
        <f>HYPERLINK("https://cao.dolgi.msk.ru/account/1011478434/", 1011478434)</f>
        <v>1011478434</v>
      </c>
      <c r="D10059">
        <v>-10932.83</v>
      </c>
    </row>
    <row r="10060" spans="1:4" hidden="1" x14ac:dyDescent="0.3">
      <c r="A10060" t="s">
        <v>808</v>
      </c>
      <c r="B10060" t="s">
        <v>14</v>
      </c>
      <c r="C10060" s="1">
        <f>HYPERLINK("https://cao.dolgi.msk.ru/account/1011478637/", 1011478637)</f>
        <v>1011478637</v>
      </c>
      <c r="D10060">
        <v>-7875.43</v>
      </c>
    </row>
    <row r="10061" spans="1:4" x14ac:dyDescent="0.3">
      <c r="A10061" t="s">
        <v>808</v>
      </c>
      <c r="B10061" t="s">
        <v>16</v>
      </c>
      <c r="C10061" s="1">
        <f>HYPERLINK("https://cao.dolgi.msk.ru/account/1011478506/", 1011478506)</f>
        <v>1011478506</v>
      </c>
      <c r="D10061">
        <v>56804.07</v>
      </c>
    </row>
    <row r="10062" spans="1:4" hidden="1" x14ac:dyDescent="0.3">
      <c r="A10062" t="s">
        <v>808</v>
      </c>
      <c r="B10062" t="s">
        <v>17</v>
      </c>
      <c r="C10062" s="1">
        <f>HYPERLINK("https://cao.dolgi.msk.ru/account/1011478573/", 1011478573)</f>
        <v>1011478573</v>
      </c>
      <c r="D10062">
        <v>-266.36</v>
      </c>
    </row>
    <row r="10063" spans="1:4" hidden="1" x14ac:dyDescent="0.3">
      <c r="A10063" t="s">
        <v>808</v>
      </c>
      <c r="B10063" t="s">
        <v>18</v>
      </c>
      <c r="C10063" s="1">
        <f>HYPERLINK("https://cao.dolgi.msk.ru/account/1011478645/", 1011478645)</f>
        <v>1011478645</v>
      </c>
      <c r="D10063">
        <v>0</v>
      </c>
    </row>
    <row r="10064" spans="1:4" hidden="1" x14ac:dyDescent="0.3">
      <c r="A10064" t="s">
        <v>808</v>
      </c>
      <c r="B10064" t="s">
        <v>19</v>
      </c>
      <c r="C10064" s="1">
        <f>HYPERLINK("https://cao.dolgi.msk.ru/account/1011478442/", 1011478442)</f>
        <v>1011478442</v>
      </c>
      <c r="D10064">
        <v>-12906.44</v>
      </c>
    </row>
    <row r="10065" spans="1:4" hidden="1" x14ac:dyDescent="0.3">
      <c r="A10065" t="s">
        <v>808</v>
      </c>
      <c r="B10065" t="s">
        <v>20</v>
      </c>
      <c r="C10065" s="1">
        <f>HYPERLINK("https://cao.dolgi.msk.ru/account/1011530458/", 1011530458)</f>
        <v>1011530458</v>
      </c>
      <c r="D10065">
        <v>0</v>
      </c>
    </row>
    <row r="10066" spans="1:4" x14ac:dyDescent="0.3">
      <c r="A10066" t="s">
        <v>808</v>
      </c>
      <c r="B10066" t="s">
        <v>21</v>
      </c>
      <c r="C10066" s="1">
        <f>HYPERLINK("https://cao.dolgi.msk.ru/account/1011505367/", 1011505367)</f>
        <v>1011505367</v>
      </c>
      <c r="D10066">
        <v>8981.27</v>
      </c>
    </row>
    <row r="10067" spans="1:4" hidden="1" x14ac:dyDescent="0.3">
      <c r="A10067" t="s">
        <v>809</v>
      </c>
      <c r="B10067" t="s">
        <v>35</v>
      </c>
      <c r="C10067" s="1">
        <f>HYPERLINK("https://cao.dolgi.msk.ru/account/1010136918/", 1010136918)</f>
        <v>1010136918</v>
      </c>
      <c r="D10067">
        <v>-64</v>
      </c>
    </row>
    <row r="10068" spans="1:4" x14ac:dyDescent="0.3">
      <c r="A10068" t="s">
        <v>809</v>
      </c>
      <c r="B10068" t="s">
        <v>35</v>
      </c>
      <c r="C10068" s="1">
        <f>HYPERLINK("https://cao.dolgi.msk.ru/account/1011130075/", 1011130075)</f>
        <v>1011130075</v>
      </c>
      <c r="D10068">
        <v>0.57999999999999996</v>
      </c>
    </row>
    <row r="10069" spans="1:4" hidden="1" x14ac:dyDescent="0.3">
      <c r="A10069" t="s">
        <v>809</v>
      </c>
      <c r="B10069" t="s">
        <v>5</v>
      </c>
      <c r="C10069" s="1">
        <f>HYPERLINK("https://cao.dolgi.msk.ru/account/1010136926/", 1010136926)</f>
        <v>1010136926</v>
      </c>
      <c r="D10069">
        <v>-5523.28</v>
      </c>
    </row>
    <row r="10070" spans="1:4" hidden="1" x14ac:dyDescent="0.3">
      <c r="A10070" t="s">
        <v>809</v>
      </c>
      <c r="B10070" t="s">
        <v>7</v>
      </c>
      <c r="C10070" s="1">
        <f>HYPERLINK("https://cao.dolgi.msk.ru/account/1010136934/", 1010136934)</f>
        <v>1010136934</v>
      </c>
      <c r="D10070">
        <v>-5472.06</v>
      </c>
    </row>
    <row r="10071" spans="1:4" hidden="1" x14ac:dyDescent="0.3">
      <c r="A10071" t="s">
        <v>809</v>
      </c>
      <c r="B10071" t="s">
        <v>8</v>
      </c>
      <c r="C10071" s="1">
        <f>HYPERLINK("https://cao.dolgi.msk.ru/account/1010136942/", 1010136942)</f>
        <v>1010136942</v>
      </c>
      <c r="D10071">
        <v>-64</v>
      </c>
    </row>
    <row r="10072" spans="1:4" x14ac:dyDescent="0.3">
      <c r="A10072" t="s">
        <v>809</v>
      </c>
      <c r="B10072" t="s">
        <v>31</v>
      </c>
      <c r="C10072" s="1">
        <f>HYPERLINK("https://cao.dolgi.msk.ru/account/1010136969/", 1010136969)</f>
        <v>1010136969</v>
      </c>
      <c r="D10072">
        <v>57651.92</v>
      </c>
    </row>
    <row r="10073" spans="1:4" hidden="1" x14ac:dyDescent="0.3">
      <c r="A10073" t="s">
        <v>809</v>
      </c>
      <c r="B10073" t="s">
        <v>9</v>
      </c>
      <c r="C10073" s="1">
        <f>HYPERLINK("https://cao.dolgi.msk.ru/account/1010152643/", 1010152643)</f>
        <v>1010152643</v>
      </c>
      <c r="D10073">
        <v>-49.48</v>
      </c>
    </row>
    <row r="10074" spans="1:4" hidden="1" x14ac:dyDescent="0.3">
      <c r="A10074" t="s">
        <v>810</v>
      </c>
      <c r="B10074" t="s">
        <v>12</v>
      </c>
      <c r="C10074" s="1">
        <f>HYPERLINK("https://cao.dolgi.msk.ru/account/1011202112/", 1011202112)</f>
        <v>1011202112</v>
      </c>
      <c r="D10074">
        <v>0</v>
      </c>
    </row>
    <row r="10075" spans="1:4" x14ac:dyDescent="0.3">
      <c r="A10075" t="s">
        <v>810</v>
      </c>
      <c r="B10075" t="s">
        <v>12</v>
      </c>
      <c r="C10075" s="1">
        <f>HYPERLINK("https://cao.dolgi.msk.ru/account/1011202171/", 1011202171)</f>
        <v>1011202171</v>
      </c>
      <c r="D10075">
        <v>9038.25</v>
      </c>
    </row>
    <row r="10076" spans="1:4" hidden="1" x14ac:dyDescent="0.3">
      <c r="A10076" t="s">
        <v>810</v>
      </c>
      <c r="B10076" t="s">
        <v>23</v>
      </c>
      <c r="C10076" s="1">
        <f>HYPERLINK("https://cao.dolgi.msk.ru/account/1011202251/", 1011202251)</f>
        <v>1011202251</v>
      </c>
      <c r="D10076">
        <v>0</v>
      </c>
    </row>
    <row r="10077" spans="1:4" hidden="1" x14ac:dyDescent="0.3">
      <c r="A10077" t="s">
        <v>810</v>
      </c>
      <c r="B10077" t="s">
        <v>13</v>
      </c>
      <c r="C10077" s="1">
        <f>HYPERLINK("https://cao.dolgi.msk.ru/account/1011202227/", 1011202227)</f>
        <v>1011202227</v>
      </c>
      <c r="D10077">
        <v>0</v>
      </c>
    </row>
    <row r="10078" spans="1:4" hidden="1" x14ac:dyDescent="0.3">
      <c r="A10078" t="s">
        <v>810</v>
      </c>
      <c r="B10078" t="s">
        <v>13</v>
      </c>
      <c r="C10078" s="1">
        <f>HYPERLINK("https://cao.dolgi.msk.ru/account/1011202235/", 1011202235)</f>
        <v>1011202235</v>
      </c>
      <c r="D10078">
        <v>0</v>
      </c>
    </row>
    <row r="10079" spans="1:4" hidden="1" x14ac:dyDescent="0.3">
      <c r="A10079" t="s">
        <v>810</v>
      </c>
      <c r="B10079" t="s">
        <v>14</v>
      </c>
      <c r="C10079" s="1">
        <f>HYPERLINK("https://cao.dolgi.msk.ru/account/1011202139/", 1011202139)</f>
        <v>1011202139</v>
      </c>
      <c r="D10079">
        <v>-84.13</v>
      </c>
    </row>
    <row r="10080" spans="1:4" hidden="1" x14ac:dyDescent="0.3">
      <c r="A10080" t="s">
        <v>810</v>
      </c>
      <c r="B10080" t="s">
        <v>14</v>
      </c>
      <c r="C10080" s="1">
        <f>HYPERLINK("https://cao.dolgi.msk.ru/account/1011202155/", 1011202155)</f>
        <v>1011202155</v>
      </c>
      <c r="D10080">
        <v>0</v>
      </c>
    </row>
    <row r="10081" spans="1:4" hidden="1" x14ac:dyDescent="0.3">
      <c r="A10081" t="s">
        <v>810</v>
      </c>
      <c r="B10081" t="s">
        <v>16</v>
      </c>
      <c r="C10081" s="1">
        <f>HYPERLINK("https://cao.dolgi.msk.ru/account/1011202147/", 1011202147)</f>
        <v>1011202147</v>
      </c>
      <c r="D10081">
        <v>0</v>
      </c>
    </row>
    <row r="10082" spans="1:4" hidden="1" x14ac:dyDescent="0.3">
      <c r="A10082" t="s">
        <v>810</v>
      </c>
      <c r="B10082" t="s">
        <v>17</v>
      </c>
      <c r="C10082" s="1">
        <f>HYPERLINK("https://cao.dolgi.msk.ru/account/1011202163/", 1011202163)</f>
        <v>1011202163</v>
      </c>
      <c r="D10082">
        <v>0</v>
      </c>
    </row>
    <row r="10083" spans="1:4" hidden="1" x14ac:dyDescent="0.3">
      <c r="A10083" t="s">
        <v>810</v>
      </c>
      <c r="B10083" t="s">
        <v>18</v>
      </c>
      <c r="C10083" s="1">
        <f>HYPERLINK("https://cao.dolgi.msk.ru/account/1011202198/", 1011202198)</f>
        <v>1011202198</v>
      </c>
      <c r="D10083">
        <v>-2980.71</v>
      </c>
    </row>
    <row r="10084" spans="1:4" hidden="1" x14ac:dyDescent="0.3">
      <c r="A10084" t="s">
        <v>810</v>
      </c>
      <c r="B10084" t="s">
        <v>18</v>
      </c>
      <c r="C10084" s="1">
        <f>HYPERLINK("https://cao.dolgi.msk.ru/account/1011202219/", 1011202219)</f>
        <v>1011202219</v>
      </c>
      <c r="D10084">
        <v>-745.2</v>
      </c>
    </row>
    <row r="10085" spans="1:4" hidden="1" x14ac:dyDescent="0.3">
      <c r="A10085" t="s">
        <v>810</v>
      </c>
      <c r="B10085" t="s">
        <v>19</v>
      </c>
      <c r="C10085" s="1">
        <f>HYPERLINK("https://cao.dolgi.msk.ru/account/1011202243/", 1011202243)</f>
        <v>1011202243</v>
      </c>
      <c r="D10085">
        <v>-1549.96</v>
      </c>
    </row>
    <row r="10086" spans="1:4" hidden="1" x14ac:dyDescent="0.3">
      <c r="A10086" t="s">
        <v>811</v>
      </c>
      <c r="B10086" t="s">
        <v>19</v>
      </c>
      <c r="C10086" s="1">
        <f>HYPERLINK("https://cao.dolgi.msk.ru/account/1011495787/", 1011495787)</f>
        <v>1011495787</v>
      </c>
      <c r="D10086">
        <v>-62.43</v>
      </c>
    </row>
    <row r="10087" spans="1:4" hidden="1" x14ac:dyDescent="0.3">
      <c r="A10087" t="s">
        <v>811</v>
      </c>
      <c r="B10087" t="s">
        <v>20</v>
      </c>
      <c r="C10087" s="1">
        <f>HYPERLINK("https://cao.dolgi.msk.ru/account/1011495752/", 1011495752)</f>
        <v>1011495752</v>
      </c>
      <c r="D10087">
        <v>-10139.52</v>
      </c>
    </row>
    <row r="10088" spans="1:4" hidden="1" x14ac:dyDescent="0.3">
      <c r="A10088" t="s">
        <v>811</v>
      </c>
      <c r="B10088" t="s">
        <v>21</v>
      </c>
      <c r="C10088" s="1">
        <f>HYPERLINK("https://cao.dolgi.msk.ru/account/1011495816/", 1011495816)</f>
        <v>1011495816</v>
      </c>
      <c r="D10088">
        <v>0</v>
      </c>
    </row>
    <row r="10089" spans="1:4" x14ac:dyDescent="0.3">
      <c r="A10089" t="s">
        <v>811</v>
      </c>
      <c r="B10089" t="s">
        <v>22</v>
      </c>
      <c r="C10089" s="1">
        <f>HYPERLINK("https://cao.dolgi.msk.ru/account/1011495744/", 1011495744)</f>
        <v>1011495744</v>
      </c>
      <c r="D10089">
        <v>43423.25</v>
      </c>
    </row>
    <row r="10090" spans="1:4" hidden="1" x14ac:dyDescent="0.3">
      <c r="A10090" t="s">
        <v>811</v>
      </c>
      <c r="B10090" t="s">
        <v>24</v>
      </c>
      <c r="C10090" s="1">
        <f>HYPERLINK("https://cao.dolgi.msk.ru/account/1011495795/", 1011495795)</f>
        <v>1011495795</v>
      </c>
      <c r="D10090">
        <v>0</v>
      </c>
    </row>
    <row r="10091" spans="1:4" x14ac:dyDescent="0.3">
      <c r="A10091" t="s">
        <v>811</v>
      </c>
      <c r="B10091" t="s">
        <v>25</v>
      </c>
      <c r="C10091" s="1">
        <f>HYPERLINK("https://cao.dolgi.msk.ru/account/1011495779/", 1011495779)</f>
        <v>1011495779</v>
      </c>
      <c r="D10091">
        <v>119.43</v>
      </c>
    </row>
    <row r="10092" spans="1:4" x14ac:dyDescent="0.3">
      <c r="A10092" t="s">
        <v>811</v>
      </c>
      <c r="B10092" t="s">
        <v>26</v>
      </c>
      <c r="C10092" s="1">
        <f>HYPERLINK("https://cao.dolgi.msk.ru/account/1011495808/", 1011495808)</f>
        <v>1011495808</v>
      </c>
      <c r="D10092">
        <v>12798.05</v>
      </c>
    </row>
    <row r="10093" spans="1:4" x14ac:dyDescent="0.3">
      <c r="A10093" t="s">
        <v>812</v>
      </c>
      <c r="B10093" t="s">
        <v>11</v>
      </c>
      <c r="C10093" s="1">
        <f>HYPERLINK("https://cao.dolgi.msk.ru/account/1011502326/", 1011502326)</f>
        <v>1011502326</v>
      </c>
      <c r="D10093">
        <v>31273.52</v>
      </c>
    </row>
    <row r="10094" spans="1:4" x14ac:dyDescent="0.3">
      <c r="A10094" t="s">
        <v>812</v>
      </c>
      <c r="B10094" t="s">
        <v>12</v>
      </c>
      <c r="C10094" s="1">
        <f>HYPERLINK("https://cao.dolgi.msk.ru/account/1011202542/", 1011202542)</f>
        <v>1011202542</v>
      </c>
      <c r="D10094">
        <v>53223.4</v>
      </c>
    </row>
    <row r="10095" spans="1:4" hidden="1" x14ac:dyDescent="0.3">
      <c r="A10095" t="s">
        <v>812</v>
      </c>
      <c r="B10095" t="s">
        <v>23</v>
      </c>
      <c r="C10095" s="1">
        <f>HYPERLINK("https://cao.dolgi.msk.ru/account/1011202462/", 1011202462)</f>
        <v>1011202462</v>
      </c>
      <c r="D10095">
        <v>0</v>
      </c>
    </row>
    <row r="10096" spans="1:4" x14ac:dyDescent="0.3">
      <c r="A10096" t="s">
        <v>812</v>
      </c>
      <c r="B10096" t="s">
        <v>13</v>
      </c>
      <c r="C10096" s="1">
        <f>HYPERLINK("https://cao.dolgi.msk.ru/account/1011202323/", 1011202323)</f>
        <v>1011202323</v>
      </c>
      <c r="D10096">
        <v>39947.519999999997</v>
      </c>
    </row>
    <row r="10097" spans="1:4" hidden="1" x14ac:dyDescent="0.3">
      <c r="A10097" t="s">
        <v>812</v>
      </c>
      <c r="B10097" t="s">
        <v>14</v>
      </c>
      <c r="C10097" s="1">
        <f>HYPERLINK("https://cao.dolgi.msk.ru/account/1011202438/", 1011202438)</f>
        <v>1011202438</v>
      </c>
      <c r="D10097">
        <v>-37250.58</v>
      </c>
    </row>
    <row r="10098" spans="1:4" hidden="1" x14ac:dyDescent="0.3">
      <c r="A10098" t="s">
        <v>812</v>
      </c>
      <c r="B10098" t="s">
        <v>17</v>
      </c>
      <c r="C10098" s="1">
        <f>HYPERLINK("https://cao.dolgi.msk.ru/account/1011202294/", 1011202294)</f>
        <v>1011202294</v>
      </c>
      <c r="D10098">
        <v>0</v>
      </c>
    </row>
    <row r="10099" spans="1:4" hidden="1" x14ac:dyDescent="0.3">
      <c r="A10099" t="s">
        <v>812</v>
      </c>
      <c r="B10099" t="s">
        <v>18</v>
      </c>
      <c r="C10099" s="1">
        <f>HYPERLINK("https://cao.dolgi.msk.ru/account/1011202278/", 1011202278)</f>
        <v>1011202278</v>
      </c>
      <c r="D10099">
        <v>-1192.23</v>
      </c>
    </row>
    <row r="10100" spans="1:4" hidden="1" x14ac:dyDescent="0.3">
      <c r="A10100" t="s">
        <v>812</v>
      </c>
      <c r="B10100" t="s">
        <v>18</v>
      </c>
      <c r="C10100" s="1">
        <f>HYPERLINK("https://cao.dolgi.msk.ru/account/1011202446/", 1011202446)</f>
        <v>1011202446</v>
      </c>
      <c r="D10100">
        <v>0</v>
      </c>
    </row>
    <row r="10101" spans="1:4" hidden="1" x14ac:dyDescent="0.3">
      <c r="A10101" t="s">
        <v>812</v>
      </c>
      <c r="B10101" t="s">
        <v>18</v>
      </c>
      <c r="C10101" s="1">
        <f>HYPERLINK("https://cao.dolgi.msk.ru/account/1011202454/", 1011202454)</f>
        <v>1011202454</v>
      </c>
      <c r="D10101">
        <v>-18.190000000000001</v>
      </c>
    </row>
    <row r="10102" spans="1:4" hidden="1" x14ac:dyDescent="0.3">
      <c r="A10102" t="s">
        <v>812</v>
      </c>
      <c r="B10102" t="s">
        <v>18</v>
      </c>
      <c r="C10102" s="1">
        <f>HYPERLINK("https://cao.dolgi.msk.ru/account/1011202518/", 1011202518)</f>
        <v>1011202518</v>
      </c>
      <c r="D10102">
        <v>-16.62</v>
      </c>
    </row>
    <row r="10103" spans="1:4" hidden="1" x14ac:dyDescent="0.3">
      <c r="A10103" t="s">
        <v>812</v>
      </c>
      <c r="B10103" t="s">
        <v>18</v>
      </c>
      <c r="C10103" s="1">
        <f>HYPERLINK("https://cao.dolgi.msk.ru/account/1011202526/", 1011202526)</f>
        <v>1011202526</v>
      </c>
      <c r="D10103">
        <v>-7.37</v>
      </c>
    </row>
    <row r="10104" spans="1:4" hidden="1" x14ac:dyDescent="0.3">
      <c r="A10104" t="s">
        <v>812</v>
      </c>
      <c r="B10104" t="s">
        <v>18</v>
      </c>
      <c r="C10104" s="1">
        <f>HYPERLINK("https://cao.dolgi.msk.ru/account/1011202569/", 1011202569)</f>
        <v>1011202569</v>
      </c>
      <c r="D10104">
        <v>0</v>
      </c>
    </row>
    <row r="10105" spans="1:4" hidden="1" x14ac:dyDescent="0.3">
      <c r="A10105" t="s">
        <v>812</v>
      </c>
      <c r="B10105" t="s">
        <v>18</v>
      </c>
      <c r="C10105" s="1">
        <f>HYPERLINK("https://cao.dolgi.msk.ru/account/1011359734/", 1011359734)</f>
        <v>1011359734</v>
      </c>
      <c r="D10105">
        <v>0</v>
      </c>
    </row>
    <row r="10106" spans="1:4" hidden="1" x14ac:dyDescent="0.3">
      <c r="A10106" t="s">
        <v>812</v>
      </c>
      <c r="B10106" t="s">
        <v>19</v>
      </c>
      <c r="C10106" s="1">
        <f>HYPERLINK("https://cao.dolgi.msk.ru/account/1011202307/", 1011202307)</f>
        <v>1011202307</v>
      </c>
      <c r="D10106">
        <v>-3767.2</v>
      </c>
    </row>
    <row r="10107" spans="1:4" hidden="1" x14ac:dyDescent="0.3">
      <c r="A10107" t="s">
        <v>812</v>
      </c>
      <c r="B10107" t="s">
        <v>19</v>
      </c>
      <c r="C10107" s="1">
        <f>HYPERLINK("https://cao.dolgi.msk.ru/account/1011202534/", 1011202534)</f>
        <v>1011202534</v>
      </c>
      <c r="D10107">
        <v>-7231.98</v>
      </c>
    </row>
    <row r="10108" spans="1:4" hidden="1" x14ac:dyDescent="0.3">
      <c r="A10108" t="s">
        <v>812</v>
      </c>
      <c r="B10108" t="s">
        <v>20</v>
      </c>
      <c r="C10108" s="1">
        <f>HYPERLINK("https://cao.dolgi.msk.ru/account/1011202358/", 1011202358)</f>
        <v>1011202358</v>
      </c>
      <c r="D10108">
        <v>-25161.78</v>
      </c>
    </row>
    <row r="10109" spans="1:4" hidden="1" x14ac:dyDescent="0.3">
      <c r="A10109" t="s">
        <v>812</v>
      </c>
      <c r="B10109" t="s">
        <v>21</v>
      </c>
      <c r="C10109" s="1">
        <f>HYPERLINK("https://cao.dolgi.msk.ru/account/1011202331/", 1011202331)</f>
        <v>1011202331</v>
      </c>
      <c r="D10109">
        <v>0</v>
      </c>
    </row>
    <row r="10110" spans="1:4" hidden="1" x14ac:dyDescent="0.3">
      <c r="A10110" t="s">
        <v>812</v>
      </c>
      <c r="B10110" t="s">
        <v>22</v>
      </c>
      <c r="C10110" s="1">
        <f>HYPERLINK("https://cao.dolgi.msk.ru/account/1011202577/", 1011202577)</f>
        <v>1011202577</v>
      </c>
      <c r="D10110">
        <v>-39221.629999999997</v>
      </c>
    </row>
    <row r="10111" spans="1:4" x14ac:dyDescent="0.3">
      <c r="A10111" t="s">
        <v>812</v>
      </c>
      <c r="B10111" t="s">
        <v>59</v>
      </c>
      <c r="C10111" s="1">
        <f>HYPERLINK("https://cao.dolgi.msk.ru/account/1011202497/", 1011202497)</f>
        <v>1011202497</v>
      </c>
      <c r="D10111">
        <v>12659.99</v>
      </c>
    </row>
    <row r="10112" spans="1:4" hidden="1" x14ac:dyDescent="0.3">
      <c r="A10112" t="s">
        <v>812</v>
      </c>
      <c r="B10112" t="s">
        <v>60</v>
      </c>
      <c r="C10112" s="1">
        <f>HYPERLINK("https://cao.dolgi.msk.ru/account/1011202286/", 1011202286)</f>
        <v>1011202286</v>
      </c>
      <c r="D10112">
        <v>-15.67</v>
      </c>
    </row>
    <row r="10113" spans="1:4" hidden="1" x14ac:dyDescent="0.3">
      <c r="A10113" t="s">
        <v>812</v>
      </c>
      <c r="B10113" t="s">
        <v>62</v>
      </c>
      <c r="C10113" s="1">
        <f>HYPERLINK("https://cao.dolgi.msk.ru/account/1011202366/", 1011202366)</f>
        <v>1011202366</v>
      </c>
      <c r="D10113">
        <v>0</v>
      </c>
    </row>
    <row r="10114" spans="1:4" x14ac:dyDescent="0.3">
      <c r="A10114" t="s">
        <v>812</v>
      </c>
      <c r="B10114" t="s">
        <v>63</v>
      </c>
      <c r="C10114" s="1">
        <f>HYPERLINK("https://cao.dolgi.msk.ru/account/1011202585/", 1011202585)</f>
        <v>1011202585</v>
      </c>
      <c r="D10114">
        <v>21279.68</v>
      </c>
    </row>
    <row r="10115" spans="1:4" hidden="1" x14ac:dyDescent="0.3">
      <c r="A10115" t="s">
        <v>812</v>
      </c>
      <c r="B10115" t="s">
        <v>65</v>
      </c>
      <c r="C10115" s="1">
        <f>HYPERLINK("https://cao.dolgi.msk.ru/account/1011202374/", 1011202374)</f>
        <v>1011202374</v>
      </c>
      <c r="D10115">
        <v>0</v>
      </c>
    </row>
    <row r="10116" spans="1:4" hidden="1" x14ac:dyDescent="0.3">
      <c r="A10116" t="s">
        <v>812</v>
      </c>
      <c r="B10116" t="s">
        <v>67</v>
      </c>
      <c r="C10116" s="1">
        <f>HYPERLINK("https://cao.dolgi.msk.ru/account/1011202382/", 1011202382)</f>
        <v>1011202382</v>
      </c>
      <c r="D10116">
        <v>0</v>
      </c>
    </row>
    <row r="10117" spans="1:4" hidden="1" x14ac:dyDescent="0.3">
      <c r="A10117" t="s">
        <v>812</v>
      </c>
      <c r="B10117" t="s">
        <v>68</v>
      </c>
      <c r="C10117" s="1">
        <f>HYPERLINK("https://cao.dolgi.msk.ru/account/1011202403/", 1011202403)</f>
        <v>1011202403</v>
      </c>
      <c r="D10117">
        <v>0</v>
      </c>
    </row>
    <row r="10118" spans="1:4" hidden="1" x14ac:dyDescent="0.3">
      <c r="A10118" t="s">
        <v>812</v>
      </c>
      <c r="B10118" t="s">
        <v>69</v>
      </c>
      <c r="C10118" s="1">
        <f>HYPERLINK("https://cao.dolgi.msk.ru/account/1011202411/", 1011202411)</f>
        <v>1011202411</v>
      </c>
      <c r="D10118">
        <v>-85.3</v>
      </c>
    </row>
    <row r="10119" spans="1:4" hidden="1" x14ac:dyDescent="0.3">
      <c r="A10119" t="s">
        <v>812</v>
      </c>
      <c r="B10119" t="s">
        <v>70</v>
      </c>
      <c r="C10119" s="1">
        <f>HYPERLINK("https://cao.dolgi.msk.ru/account/1011202315/", 1011202315)</f>
        <v>1011202315</v>
      </c>
      <c r="D10119">
        <v>0</v>
      </c>
    </row>
    <row r="10120" spans="1:4" x14ac:dyDescent="0.3">
      <c r="A10120" t="s">
        <v>813</v>
      </c>
      <c r="B10120" t="s">
        <v>11</v>
      </c>
      <c r="C10120" s="1">
        <f>HYPERLINK("https://cao.dolgi.msk.ru/account/1011505738/", 1011505738)</f>
        <v>1011505738</v>
      </c>
      <c r="D10120">
        <v>19706.71</v>
      </c>
    </row>
    <row r="10121" spans="1:4" hidden="1" x14ac:dyDescent="0.3">
      <c r="A10121" t="s">
        <v>813</v>
      </c>
      <c r="B10121" t="s">
        <v>11</v>
      </c>
      <c r="C10121" s="1">
        <f>HYPERLINK("https://cao.dolgi.msk.ru/account/1011507995/", 1011507995)</f>
        <v>1011507995</v>
      </c>
      <c r="D10121">
        <v>0</v>
      </c>
    </row>
    <row r="10122" spans="1:4" hidden="1" x14ac:dyDescent="0.3">
      <c r="A10122" t="s">
        <v>813</v>
      </c>
      <c r="B10122" t="s">
        <v>11</v>
      </c>
      <c r="C10122" s="1">
        <f>HYPERLINK("https://cao.dolgi.msk.ru/account/1011508007/", 1011508007)</f>
        <v>1011508007</v>
      </c>
      <c r="D10122">
        <v>0</v>
      </c>
    </row>
    <row r="10123" spans="1:4" hidden="1" x14ac:dyDescent="0.3">
      <c r="A10123" t="s">
        <v>813</v>
      </c>
      <c r="B10123" t="s">
        <v>12</v>
      </c>
      <c r="C10123" s="1">
        <f>HYPERLINK("https://cao.dolgi.msk.ru/account/1011505746/", 1011505746)</f>
        <v>1011505746</v>
      </c>
      <c r="D10123">
        <v>-1464.05</v>
      </c>
    </row>
    <row r="10124" spans="1:4" hidden="1" x14ac:dyDescent="0.3">
      <c r="A10124" t="s">
        <v>813</v>
      </c>
      <c r="B10124" t="s">
        <v>12</v>
      </c>
      <c r="C10124" s="1">
        <f>HYPERLINK("https://cao.dolgi.msk.ru/account/1011505762/", 1011505762)</f>
        <v>1011505762</v>
      </c>
      <c r="D10124">
        <v>-3639.66</v>
      </c>
    </row>
    <row r="10125" spans="1:4" hidden="1" x14ac:dyDescent="0.3">
      <c r="A10125" t="s">
        <v>813</v>
      </c>
      <c r="B10125" t="s">
        <v>23</v>
      </c>
      <c r="C10125" s="1">
        <f>HYPERLINK("https://cao.dolgi.msk.ru/account/1011505789/", 1011505789)</f>
        <v>1011505789</v>
      </c>
      <c r="D10125">
        <v>0</v>
      </c>
    </row>
    <row r="10126" spans="1:4" hidden="1" x14ac:dyDescent="0.3">
      <c r="A10126" t="s">
        <v>813</v>
      </c>
      <c r="B10126" t="s">
        <v>23</v>
      </c>
      <c r="C10126" s="1">
        <f>HYPERLINK("https://cao.dolgi.msk.ru/account/1011505797/", 1011505797)</f>
        <v>1011505797</v>
      </c>
      <c r="D10126">
        <v>0</v>
      </c>
    </row>
    <row r="10127" spans="1:4" x14ac:dyDescent="0.3">
      <c r="A10127" t="s">
        <v>813</v>
      </c>
      <c r="B10127" t="s">
        <v>23</v>
      </c>
      <c r="C10127" s="1">
        <f>HYPERLINK("https://cao.dolgi.msk.ru/account/1011514562/", 1011514562)</f>
        <v>1011514562</v>
      </c>
      <c r="D10127">
        <v>5110.26</v>
      </c>
    </row>
    <row r="10128" spans="1:4" hidden="1" x14ac:dyDescent="0.3">
      <c r="A10128" t="s">
        <v>813</v>
      </c>
      <c r="B10128" t="s">
        <v>13</v>
      </c>
      <c r="C10128" s="1">
        <f>HYPERLINK("https://cao.dolgi.msk.ru/account/1011505818/", 1011505818)</f>
        <v>1011505818</v>
      </c>
      <c r="D10128">
        <v>-3172.3</v>
      </c>
    </row>
    <row r="10129" spans="1:4" hidden="1" x14ac:dyDescent="0.3">
      <c r="A10129" t="s">
        <v>813</v>
      </c>
      <c r="B10129" t="s">
        <v>13</v>
      </c>
      <c r="C10129" s="1">
        <f>HYPERLINK("https://cao.dolgi.msk.ru/account/1011505826/", 1011505826)</f>
        <v>1011505826</v>
      </c>
      <c r="D10129">
        <v>-1690.22</v>
      </c>
    </row>
    <row r="10130" spans="1:4" hidden="1" x14ac:dyDescent="0.3">
      <c r="A10130" t="s">
        <v>813</v>
      </c>
      <c r="B10130" t="s">
        <v>13</v>
      </c>
      <c r="C10130" s="1">
        <f>HYPERLINK("https://cao.dolgi.msk.ru/account/1011514618/", 1011514618)</f>
        <v>1011514618</v>
      </c>
      <c r="D10130">
        <v>0</v>
      </c>
    </row>
    <row r="10131" spans="1:4" hidden="1" x14ac:dyDescent="0.3">
      <c r="A10131" t="s">
        <v>813</v>
      </c>
      <c r="B10131" t="s">
        <v>13</v>
      </c>
      <c r="C10131" s="1">
        <f>HYPERLINK("https://cao.dolgi.msk.ru/account/1011514626/", 1011514626)</f>
        <v>1011514626</v>
      </c>
      <c r="D10131">
        <v>0</v>
      </c>
    </row>
    <row r="10132" spans="1:4" hidden="1" x14ac:dyDescent="0.3">
      <c r="A10132" t="s">
        <v>813</v>
      </c>
      <c r="B10132" t="s">
        <v>16</v>
      </c>
      <c r="C10132" s="1">
        <f>HYPERLINK("https://cao.dolgi.msk.ru/account/1011505834/", 1011505834)</f>
        <v>1011505834</v>
      </c>
      <c r="D10132">
        <v>-8293.34</v>
      </c>
    </row>
    <row r="10133" spans="1:4" x14ac:dyDescent="0.3">
      <c r="A10133" t="s">
        <v>814</v>
      </c>
      <c r="B10133" t="s">
        <v>11</v>
      </c>
      <c r="C10133" s="1">
        <f>HYPERLINK("https://cao.dolgi.msk.ru/account/1011436963/", 1011436963)</f>
        <v>1011436963</v>
      </c>
      <c r="D10133">
        <v>118668.32</v>
      </c>
    </row>
    <row r="10134" spans="1:4" hidden="1" x14ac:dyDescent="0.3">
      <c r="A10134" t="s">
        <v>814</v>
      </c>
      <c r="B10134" t="s">
        <v>11</v>
      </c>
      <c r="C10134" s="1">
        <f>HYPERLINK("https://cao.dolgi.msk.ru/account/1011437018/", 1011437018)</f>
        <v>1011437018</v>
      </c>
      <c r="D10134">
        <v>0</v>
      </c>
    </row>
    <row r="10135" spans="1:4" hidden="1" x14ac:dyDescent="0.3">
      <c r="A10135" t="s">
        <v>814</v>
      </c>
      <c r="B10135" t="s">
        <v>12</v>
      </c>
      <c r="C10135" s="1">
        <f>HYPERLINK("https://cao.dolgi.msk.ru/account/1011437026/", 1011437026)</f>
        <v>1011437026</v>
      </c>
      <c r="D10135">
        <v>0</v>
      </c>
    </row>
    <row r="10136" spans="1:4" hidden="1" x14ac:dyDescent="0.3">
      <c r="A10136" t="s">
        <v>814</v>
      </c>
      <c r="B10136" t="s">
        <v>23</v>
      </c>
      <c r="C10136" s="1">
        <f>HYPERLINK("https://cao.dolgi.msk.ru/account/1011507872/", 1011507872)</f>
        <v>1011507872</v>
      </c>
      <c r="D10136">
        <v>0</v>
      </c>
    </row>
    <row r="10137" spans="1:4" hidden="1" x14ac:dyDescent="0.3">
      <c r="A10137" t="s">
        <v>814</v>
      </c>
      <c r="B10137" t="s">
        <v>13</v>
      </c>
      <c r="C10137" s="1">
        <f>HYPERLINK("https://cao.dolgi.msk.ru/account/1011437106/", 1011437106)</f>
        <v>1011437106</v>
      </c>
      <c r="D10137">
        <v>0</v>
      </c>
    </row>
    <row r="10138" spans="1:4" hidden="1" x14ac:dyDescent="0.3">
      <c r="A10138" t="s">
        <v>814</v>
      </c>
      <c r="B10138" t="s">
        <v>14</v>
      </c>
      <c r="C10138" s="1">
        <f>HYPERLINK("https://cao.dolgi.msk.ru/account/1011437034/", 1011437034)</f>
        <v>1011437034</v>
      </c>
      <c r="D10138">
        <v>0</v>
      </c>
    </row>
    <row r="10139" spans="1:4" hidden="1" x14ac:dyDescent="0.3">
      <c r="A10139" t="s">
        <v>814</v>
      </c>
      <c r="B10139" t="s">
        <v>19</v>
      </c>
      <c r="C10139" s="1">
        <f>HYPERLINK("https://cao.dolgi.msk.ru/account/1011436904/", 1011436904)</f>
        <v>1011436904</v>
      </c>
      <c r="D10139">
        <v>-10642.3</v>
      </c>
    </row>
    <row r="10140" spans="1:4" x14ac:dyDescent="0.3">
      <c r="A10140" t="s">
        <v>814</v>
      </c>
      <c r="B10140" t="s">
        <v>20</v>
      </c>
      <c r="C10140" s="1">
        <f>HYPERLINK("https://cao.dolgi.msk.ru/account/1011436939/", 1011436939)</f>
        <v>1011436939</v>
      </c>
      <c r="D10140">
        <v>7165.52</v>
      </c>
    </row>
    <row r="10141" spans="1:4" hidden="1" x14ac:dyDescent="0.3">
      <c r="A10141" t="s">
        <v>814</v>
      </c>
      <c r="B10141" t="s">
        <v>20</v>
      </c>
      <c r="C10141" s="1">
        <f>HYPERLINK("https://cao.dolgi.msk.ru/account/1011436955/", 1011436955)</f>
        <v>1011436955</v>
      </c>
      <c r="D10141">
        <v>-3644.6</v>
      </c>
    </row>
    <row r="10142" spans="1:4" hidden="1" x14ac:dyDescent="0.3">
      <c r="A10142" t="s">
        <v>814</v>
      </c>
      <c r="B10142" t="s">
        <v>20</v>
      </c>
      <c r="C10142" s="1">
        <f>HYPERLINK("https://cao.dolgi.msk.ru/account/1011436998/", 1011436998)</f>
        <v>1011436998</v>
      </c>
      <c r="D10142">
        <v>-2411.87</v>
      </c>
    </row>
    <row r="10143" spans="1:4" hidden="1" x14ac:dyDescent="0.3">
      <c r="A10143" t="s">
        <v>814</v>
      </c>
      <c r="B10143" t="s">
        <v>20</v>
      </c>
      <c r="C10143" s="1">
        <f>HYPERLINK("https://cao.dolgi.msk.ru/account/1011437085/", 1011437085)</f>
        <v>1011437085</v>
      </c>
      <c r="D10143">
        <v>0</v>
      </c>
    </row>
    <row r="10144" spans="1:4" hidden="1" x14ac:dyDescent="0.3">
      <c r="A10144" t="s">
        <v>814</v>
      </c>
      <c r="B10144" t="s">
        <v>20</v>
      </c>
      <c r="C10144" s="1">
        <f>HYPERLINK("https://cao.dolgi.msk.ru/account/1011437122/", 1011437122)</f>
        <v>1011437122</v>
      </c>
      <c r="D10144">
        <v>0</v>
      </c>
    </row>
    <row r="10145" spans="1:4" hidden="1" x14ac:dyDescent="0.3">
      <c r="A10145" t="s">
        <v>814</v>
      </c>
      <c r="B10145" t="s">
        <v>20</v>
      </c>
      <c r="C10145" s="1">
        <f>HYPERLINK("https://cao.dolgi.msk.ru/account/1011493968/", 1011493968)</f>
        <v>1011493968</v>
      </c>
      <c r="D10145">
        <v>-694.28</v>
      </c>
    </row>
    <row r="10146" spans="1:4" hidden="1" x14ac:dyDescent="0.3">
      <c r="A10146" t="s">
        <v>814</v>
      </c>
      <c r="B10146" t="s">
        <v>20</v>
      </c>
      <c r="C10146" s="1">
        <f>HYPERLINK("https://cao.dolgi.msk.ru/account/1011493976/", 1011493976)</f>
        <v>1011493976</v>
      </c>
      <c r="D10146">
        <v>-8</v>
      </c>
    </row>
    <row r="10147" spans="1:4" hidden="1" x14ac:dyDescent="0.3">
      <c r="A10147" t="s">
        <v>814</v>
      </c>
      <c r="B10147" t="s">
        <v>20</v>
      </c>
      <c r="C10147" s="1">
        <f>HYPERLINK("https://cao.dolgi.msk.ru/account/1011493984/", 1011493984)</f>
        <v>1011493984</v>
      </c>
      <c r="D10147">
        <v>-8</v>
      </c>
    </row>
    <row r="10148" spans="1:4" x14ac:dyDescent="0.3">
      <c r="A10148" t="s">
        <v>814</v>
      </c>
      <c r="B10148" t="s">
        <v>21</v>
      </c>
      <c r="C10148" s="1">
        <f>HYPERLINK("https://cao.dolgi.msk.ru/account/1011436883/", 1011436883)</f>
        <v>1011436883</v>
      </c>
      <c r="D10148">
        <v>11292.95</v>
      </c>
    </row>
    <row r="10149" spans="1:4" hidden="1" x14ac:dyDescent="0.3">
      <c r="A10149" t="s">
        <v>814</v>
      </c>
      <c r="B10149" t="s">
        <v>21</v>
      </c>
      <c r="C10149" s="1">
        <f>HYPERLINK("https://cao.dolgi.msk.ru/account/1011436912/", 1011436912)</f>
        <v>1011436912</v>
      </c>
      <c r="D10149">
        <v>-11937.19</v>
      </c>
    </row>
    <row r="10150" spans="1:4" hidden="1" x14ac:dyDescent="0.3">
      <c r="A10150" t="s">
        <v>814</v>
      </c>
      <c r="B10150" t="s">
        <v>21</v>
      </c>
      <c r="C10150" s="1">
        <f>HYPERLINK("https://cao.dolgi.msk.ru/account/1011436947/", 1011436947)</f>
        <v>1011436947</v>
      </c>
      <c r="D10150">
        <v>0</v>
      </c>
    </row>
    <row r="10151" spans="1:4" x14ac:dyDescent="0.3">
      <c r="A10151" t="s">
        <v>814</v>
      </c>
      <c r="B10151" t="s">
        <v>21</v>
      </c>
      <c r="C10151" s="1">
        <f>HYPERLINK("https://cao.dolgi.msk.ru/account/1011436971/", 1011436971)</f>
        <v>1011436971</v>
      </c>
      <c r="D10151">
        <v>3022.7</v>
      </c>
    </row>
    <row r="10152" spans="1:4" hidden="1" x14ac:dyDescent="0.3">
      <c r="A10152" t="s">
        <v>814</v>
      </c>
      <c r="B10152" t="s">
        <v>21</v>
      </c>
      <c r="C10152" s="1">
        <f>HYPERLINK("https://cao.dolgi.msk.ru/account/1011437042/", 1011437042)</f>
        <v>1011437042</v>
      </c>
      <c r="D10152">
        <v>-21785.59</v>
      </c>
    </row>
    <row r="10153" spans="1:4" hidden="1" x14ac:dyDescent="0.3">
      <c r="A10153" t="s">
        <v>814</v>
      </c>
      <c r="B10153" t="s">
        <v>21</v>
      </c>
      <c r="C10153" s="1">
        <f>HYPERLINK("https://cao.dolgi.msk.ru/account/1011437077/", 1011437077)</f>
        <v>1011437077</v>
      </c>
      <c r="D10153">
        <v>0</v>
      </c>
    </row>
    <row r="10154" spans="1:4" hidden="1" x14ac:dyDescent="0.3">
      <c r="A10154" t="s">
        <v>814</v>
      </c>
      <c r="B10154" t="s">
        <v>21</v>
      </c>
      <c r="C10154" s="1">
        <f>HYPERLINK("https://cao.dolgi.msk.ru/account/1011437114/", 1011437114)</f>
        <v>1011437114</v>
      </c>
      <c r="D10154">
        <v>0</v>
      </c>
    </row>
    <row r="10155" spans="1:4" x14ac:dyDescent="0.3">
      <c r="A10155" t="s">
        <v>814</v>
      </c>
      <c r="B10155" t="s">
        <v>21</v>
      </c>
      <c r="C10155" s="1">
        <f>HYPERLINK("https://cao.dolgi.msk.ru/account/1011541544/", 1011541544)</f>
        <v>1011541544</v>
      </c>
      <c r="D10155">
        <v>24680.31</v>
      </c>
    </row>
    <row r="10156" spans="1:4" hidden="1" x14ac:dyDescent="0.3">
      <c r="A10156" t="s">
        <v>815</v>
      </c>
      <c r="B10156" t="s">
        <v>6</v>
      </c>
      <c r="C10156" s="1">
        <f>HYPERLINK("https://cao.dolgi.msk.ru/account/1011486848/", 1011486848)</f>
        <v>1011486848</v>
      </c>
      <c r="D10156">
        <v>0</v>
      </c>
    </row>
    <row r="10157" spans="1:4" x14ac:dyDescent="0.3">
      <c r="A10157" t="s">
        <v>815</v>
      </c>
      <c r="B10157" t="s">
        <v>28</v>
      </c>
      <c r="C10157" s="1">
        <f>HYPERLINK("https://cao.dolgi.msk.ru/account/1011486821/", 1011486821)</f>
        <v>1011486821</v>
      </c>
      <c r="D10157">
        <v>11221.32</v>
      </c>
    </row>
    <row r="10158" spans="1:4" hidden="1" x14ac:dyDescent="0.3">
      <c r="A10158" t="s">
        <v>816</v>
      </c>
      <c r="B10158" t="s">
        <v>8</v>
      </c>
      <c r="C10158" s="1">
        <f>HYPERLINK("https://cao.dolgi.msk.ru/account/1010116714/", 1010116714)</f>
        <v>1010116714</v>
      </c>
      <c r="D10158">
        <v>-11511.09</v>
      </c>
    </row>
    <row r="10159" spans="1:4" hidden="1" x14ac:dyDescent="0.3">
      <c r="A10159" t="s">
        <v>817</v>
      </c>
      <c r="B10159" t="s">
        <v>6</v>
      </c>
      <c r="C10159" s="1">
        <f>HYPERLINK("https://cao.dolgi.msk.ru/account/1011383654/", 1011383654)</f>
        <v>1011383654</v>
      </c>
      <c r="D10159">
        <v>-7312.81</v>
      </c>
    </row>
    <row r="10160" spans="1:4" hidden="1" x14ac:dyDescent="0.3">
      <c r="A10160" t="s">
        <v>817</v>
      </c>
      <c r="B10160" t="s">
        <v>28</v>
      </c>
      <c r="C10160" s="1">
        <f>HYPERLINK("https://cao.dolgi.msk.ru/account/1011538978/", 1011538978)</f>
        <v>1011538978</v>
      </c>
      <c r="D10160">
        <v>0</v>
      </c>
    </row>
    <row r="10161" spans="1:4" hidden="1" x14ac:dyDescent="0.3">
      <c r="A10161" t="s">
        <v>817</v>
      </c>
      <c r="B10161" t="s">
        <v>35</v>
      </c>
      <c r="C10161" s="1">
        <f>HYPERLINK("https://cao.dolgi.msk.ru/account/1011383451/", 1011383451)</f>
        <v>1011383451</v>
      </c>
      <c r="D10161">
        <v>0</v>
      </c>
    </row>
    <row r="10162" spans="1:4" x14ac:dyDescent="0.3">
      <c r="A10162" t="s">
        <v>817</v>
      </c>
      <c r="B10162" t="s">
        <v>5</v>
      </c>
      <c r="C10162" s="1">
        <f>HYPERLINK("https://cao.dolgi.msk.ru/account/1011383662/", 1011383662)</f>
        <v>1011383662</v>
      </c>
      <c r="D10162">
        <v>6555.16</v>
      </c>
    </row>
    <row r="10163" spans="1:4" x14ac:dyDescent="0.3">
      <c r="A10163" t="s">
        <v>817</v>
      </c>
      <c r="B10163" t="s">
        <v>7</v>
      </c>
      <c r="C10163" s="1">
        <f>HYPERLINK("https://cao.dolgi.msk.ru/account/1011383726/", 1011383726)</f>
        <v>1011383726</v>
      </c>
      <c r="D10163">
        <v>5999.26</v>
      </c>
    </row>
    <row r="10164" spans="1:4" hidden="1" x14ac:dyDescent="0.3">
      <c r="A10164" t="s">
        <v>817</v>
      </c>
      <c r="B10164" t="s">
        <v>8</v>
      </c>
      <c r="C10164" s="1">
        <f>HYPERLINK("https://cao.dolgi.msk.ru/account/1011383355/", 1011383355)</f>
        <v>1011383355</v>
      </c>
      <c r="D10164">
        <v>-10034.57</v>
      </c>
    </row>
    <row r="10165" spans="1:4" hidden="1" x14ac:dyDescent="0.3">
      <c r="A10165" t="s">
        <v>817</v>
      </c>
      <c r="B10165" t="s">
        <v>31</v>
      </c>
      <c r="C10165" s="1">
        <f>HYPERLINK("https://cao.dolgi.msk.ru/account/1011383363/", 1011383363)</f>
        <v>1011383363</v>
      </c>
      <c r="D10165">
        <v>0</v>
      </c>
    </row>
    <row r="10166" spans="1:4" x14ac:dyDescent="0.3">
      <c r="A10166" t="s">
        <v>817</v>
      </c>
      <c r="B10166" t="s">
        <v>9</v>
      </c>
      <c r="C10166" s="1">
        <f>HYPERLINK("https://cao.dolgi.msk.ru/account/1011383929/", 1011383929)</f>
        <v>1011383929</v>
      </c>
      <c r="D10166">
        <v>5747.57</v>
      </c>
    </row>
    <row r="10167" spans="1:4" hidden="1" x14ac:dyDescent="0.3">
      <c r="A10167" t="s">
        <v>817</v>
      </c>
      <c r="B10167" t="s">
        <v>10</v>
      </c>
      <c r="C10167" s="1">
        <f>HYPERLINK("https://cao.dolgi.msk.ru/account/1011383558/", 1011383558)</f>
        <v>1011383558</v>
      </c>
      <c r="D10167">
        <v>-10453.44</v>
      </c>
    </row>
    <row r="10168" spans="1:4" hidden="1" x14ac:dyDescent="0.3">
      <c r="A10168" t="s">
        <v>817</v>
      </c>
      <c r="B10168" t="s">
        <v>11</v>
      </c>
      <c r="C10168" s="1">
        <f>HYPERLINK("https://cao.dolgi.msk.ru/account/1011383443/", 1011383443)</f>
        <v>1011383443</v>
      </c>
      <c r="D10168">
        <v>-18227.939999999999</v>
      </c>
    </row>
    <row r="10169" spans="1:4" hidden="1" x14ac:dyDescent="0.3">
      <c r="A10169" t="s">
        <v>817</v>
      </c>
      <c r="B10169" t="s">
        <v>12</v>
      </c>
      <c r="C10169" s="1">
        <f>HYPERLINK("https://cao.dolgi.msk.ru/account/1011383937/", 1011383937)</f>
        <v>1011383937</v>
      </c>
      <c r="D10169">
        <v>-20829.060000000001</v>
      </c>
    </row>
    <row r="10170" spans="1:4" hidden="1" x14ac:dyDescent="0.3">
      <c r="A10170" t="s">
        <v>817</v>
      </c>
      <c r="B10170" t="s">
        <v>23</v>
      </c>
      <c r="C10170" s="1">
        <f>HYPERLINK("https://cao.dolgi.msk.ru/account/1011383478/", 1011383478)</f>
        <v>1011383478</v>
      </c>
      <c r="D10170">
        <v>0</v>
      </c>
    </row>
    <row r="10171" spans="1:4" hidden="1" x14ac:dyDescent="0.3">
      <c r="A10171" t="s">
        <v>817</v>
      </c>
      <c r="B10171" t="s">
        <v>13</v>
      </c>
      <c r="C10171" s="1">
        <f>HYPERLINK("https://cao.dolgi.msk.ru/account/1011383822/", 1011383822)</f>
        <v>1011383822</v>
      </c>
      <c r="D10171">
        <v>-15885.43</v>
      </c>
    </row>
    <row r="10172" spans="1:4" x14ac:dyDescent="0.3">
      <c r="A10172" t="s">
        <v>817</v>
      </c>
      <c r="B10172" t="s">
        <v>14</v>
      </c>
      <c r="C10172" s="1">
        <f>HYPERLINK("https://cao.dolgi.msk.ru/account/1011383566/", 1011383566)</f>
        <v>1011383566</v>
      </c>
      <c r="D10172">
        <v>4535.8500000000004</v>
      </c>
    </row>
    <row r="10173" spans="1:4" hidden="1" x14ac:dyDescent="0.3">
      <c r="A10173" t="s">
        <v>817</v>
      </c>
      <c r="B10173" t="s">
        <v>16</v>
      </c>
      <c r="C10173" s="1">
        <f>HYPERLINK("https://cao.dolgi.msk.ru/account/1011383849/", 1011383849)</f>
        <v>1011383849</v>
      </c>
      <c r="D10173">
        <v>-129.9</v>
      </c>
    </row>
    <row r="10174" spans="1:4" x14ac:dyDescent="0.3">
      <c r="A10174" t="s">
        <v>817</v>
      </c>
      <c r="B10174" t="s">
        <v>17</v>
      </c>
      <c r="C10174" s="1">
        <f>HYPERLINK("https://cao.dolgi.msk.ru/account/1011383371/", 1011383371)</f>
        <v>1011383371</v>
      </c>
      <c r="D10174">
        <v>12265.78</v>
      </c>
    </row>
    <row r="10175" spans="1:4" x14ac:dyDescent="0.3">
      <c r="A10175" t="s">
        <v>817</v>
      </c>
      <c r="B10175" t="s">
        <v>17</v>
      </c>
      <c r="C10175" s="1">
        <f>HYPERLINK("https://cao.dolgi.msk.ru/account/1011383531/", 1011383531)</f>
        <v>1011383531</v>
      </c>
      <c r="D10175">
        <v>16114.75</v>
      </c>
    </row>
    <row r="10176" spans="1:4" hidden="1" x14ac:dyDescent="0.3">
      <c r="A10176" t="s">
        <v>817</v>
      </c>
      <c r="B10176" t="s">
        <v>18</v>
      </c>
      <c r="C10176" s="1">
        <f>HYPERLINK("https://cao.dolgi.msk.ru/account/1011383734/", 1011383734)</f>
        <v>1011383734</v>
      </c>
      <c r="D10176">
        <v>0</v>
      </c>
    </row>
    <row r="10177" spans="1:4" hidden="1" x14ac:dyDescent="0.3">
      <c r="A10177" t="s">
        <v>817</v>
      </c>
      <c r="B10177" t="s">
        <v>19</v>
      </c>
      <c r="C10177" s="1">
        <f>HYPERLINK("https://cao.dolgi.msk.ru/account/1011383742/", 1011383742)</f>
        <v>1011383742</v>
      </c>
      <c r="D10177">
        <v>0</v>
      </c>
    </row>
    <row r="10178" spans="1:4" hidden="1" x14ac:dyDescent="0.3">
      <c r="A10178" t="s">
        <v>817</v>
      </c>
      <c r="B10178" t="s">
        <v>20</v>
      </c>
      <c r="C10178" s="1">
        <f>HYPERLINK("https://cao.dolgi.msk.ru/account/1011383769/", 1011383769)</f>
        <v>1011383769</v>
      </c>
      <c r="D10178">
        <v>0</v>
      </c>
    </row>
    <row r="10179" spans="1:4" hidden="1" x14ac:dyDescent="0.3">
      <c r="A10179" t="s">
        <v>817</v>
      </c>
      <c r="B10179" t="s">
        <v>21</v>
      </c>
      <c r="C10179" s="1">
        <f>HYPERLINK("https://cao.dolgi.msk.ru/account/1011383945/", 1011383945)</f>
        <v>1011383945</v>
      </c>
      <c r="D10179">
        <v>0</v>
      </c>
    </row>
    <row r="10180" spans="1:4" hidden="1" x14ac:dyDescent="0.3">
      <c r="A10180" t="s">
        <v>817</v>
      </c>
      <c r="B10180" t="s">
        <v>22</v>
      </c>
      <c r="C10180" s="1">
        <f>HYPERLINK("https://cao.dolgi.msk.ru/account/1011383574/", 1011383574)</f>
        <v>1011383574</v>
      </c>
      <c r="D10180">
        <v>0</v>
      </c>
    </row>
    <row r="10181" spans="1:4" hidden="1" x14ac:dyDescent="0.3">
      <c r="A10181" t="s">
        <v>817</v>
      </c>
      <c r="B10181" t="s">
        <v>24</v>
      </c>
      <c r="C10181" s="1">
        <f>HYPERLINK("https://cao.dolgi.msk.ru/account/1011383486/", 1011383486)</f>
        <v>1011383486</v>
      </c>
      <c r="D10181">
        <v>0</v>
      </c>
    </row>
    <row r="10182" spans="1:4" hidden="1" x14ac:dyDescent="0.3">
      <c r="A10182" t="s">
        <v>817</v>
      </c>
      <c r="B10182" t="s">
        <v>25</v>
      </c>
      <c r="C10182" s="1">
        <f>HYPERLINK("https://cao.dolgi.msk.ru/account/1011383398/", 1011383398)</f>
        <v>1011383398</v>
      </c>
      <c r="D10182">
        <v>0</v>
      </c>
    </row>
    <row r="10183" spans="1:4" x14ac:dyDescent="0.3">
      <c r="A10183" t="s">
        <v>817</v>
      </c>
      <c r="B10183" t="s">
        <v>26</v>
      </c>
      <c r="C10183" s="1">
        <f>HYPERLINK("https://cao.dolgi.msk.ru/account/1011383582/", 1011383582)</f>
        <v>1011383582</v>
      </c>
      <c r="D10183">
        <v>20258.080000000002</v>
      </c>
    </row>
    <row r="10184" spans="1:4" hidden="1" x14ac:dyDescent="0.3">
      <c r="A10184" t="s">
        <v>817</v>
      </c>
      <c r="B10184" t="s">
        <v>27</v>
      </c>
      <c r="C10184" s="1">
        <f>HYPERLINK("https://cao.dolgi.msk.ru/account/1011383419/", 1011383419)</f>
        <v>1011383419</v>
      </c>
      <c r="D10184">
        <v>0</v>
      </c>
    </row>
    <row r="10185" spans="1:4" hidden="1" x14ac:dyDescent="0.3">
      <c r="A10185" t="s">
        <v>817</v>
      </c>
      <c r="B10185" t="s">
        <v>29</v>
      </c>
      <c r="C10185" s="1">
        <f>HYPERLINK("https://cao.dolgi.msk.ru/account/1011383494/", 1011383494)</f>
        <v>1011383494</v>
      </c>
      <c r="D10185">
        <v>-52309.07</v>
      </c>
    </row>
    <row r="10186" spans="1:4" hidden="1" x14ac:dyDescent="0.3">
      <c r="A10186" t="s">
        <v>817</v>
      </c>
      <c r="B10186" t="s">
        <v>29</v>
      </c>
      <c r="C10186" s="1">
        <f>HYPERLINK("https://cao.dolgi.msk.ru/account/1011541798/", 1011541798)</f>
        <v>1011541798</v>
      </c>
      <c r="D10186">
        <v>-4562.22</v>
      </c>
    </row>
    <row r="10187" spans="1:4" hidden="1" x14ac:dyDescent="0.3">
      <c r="A10187" t="s">
        <v>817</v>
      </c>
      <c r="B10187" t="s">
        <v>38</v>
      </c>
      <c r="C10187" s="1">
        <f>HYPERLINK("https://cao.dolgi.msk.ru/account/1011383507/", 1011383507)</f>
        <v>1011383507</v>
      </c>
      <c r="D10187">
        <v>0</v>
      </c>
    </row>
    <row r="10188" spans="1:4" hidden="1" x14ac:dyDescent="0.3">
      <c r="A10188" t="s">
        <v>817</v>
      </c>
      <c r="B10188" t="s">
        <v>39</v>
      </c>
      <c r="C10188" s="1">
        <f>HYPERLINK("https://cao.dolgi.msk.ru/account/1011383777/", 1011383777)</f>
        <v>1011383777</v>
      </c>
      <c r="D10188">
        <v>-8657.6299999999992</v>
      </c>
    </row>
    <row r="10189" spans="1:4" x14ac:dyDescent="0.3">
      <c r="A10189" t="s">
        <v>817</v>
      </c>
      <c r="B10189" t="s">
        <v>40</v>
      </c>
      <c r="C10189" s="1">
        <f>HYPERLINK("https://cao.dolgi.msk.ru/account/1011383603/", 1011383603)</f>
        <v>1011383603</v>
      </c>
      <c r="D10189">
        <v>14818.36</v>
      </c>
    </row>
    <row r="10190" spans="1:4" hidden="1" x14ac:dyDescent="0.3">
      <c r="A10190" t="s">
        <v>817</v>
      </c>
      <c r="B10190" t="s">
        <v>41</v>
      </c>
      <c r="C10190" s="1">
        <f>HYPERLINK("https://cao.dolgi.msk.ru/account/1011383611/", 1011383611)</f>
        <v>1011383611</v>
      </c>
      <c r="D10190">
        <v>-9390.9699999999993</v>
      </c>
    </row>
    <row r="10191" spans="1:4" hidden="1" x14ac:dyDescent="0.3">
      <c r="A10191" t="s">
        <v>817</v>
      </c>
      <c r="B10191" t="s">
        <v>51</v>
      </c>
      <c r="C10191" s="1">
        <f>HYPERLINK("https://cao.dolgi.msk.ru/account/1011383689/", 1011383689)</f>
        <v>1011383689</v>
      </c>
      <c r="D10191">
        <v>0</v>
      </c>
    </row>
    <row r="10192" spans="1:4" hidden="1" x14ac:dyDescent="0.3">
      <c r="A10192" t="s">
        <v>817</v>
      </c>
      <c r="B10192" t="s">
        <v>52</v>
      </c>
      <c r="C10192" s="1">
        <f>HYPERLINK("https://cao.dolgi.msk.ru/account/1011383638/", 1011383638)</f>
        <v>1011383638</v>
      </c>
      <c r="D10192">
        <v>0</v>
      </c>
    </row>
    <row r="10193" spans="1:4" hidden="1" x14ac:dyDescent="0.3">
      <c r="A10193" t="s">
        <v>817</v>
      </c>
      <c r="B10193" t="s">
        <v>52</v>
      </c>
      <c r="C10193" s="1">
        <f>HYPERLINK("https://cao.dolgi.msk.ru/account/1011383806/", 1011383806)</f>
        <v>1011383806</v>
      </c>
      <c r="D10193">
        <v>0</v>
      </c>
    </row>
    <row r="10194" spans="1:4" hidden="1" x14ac:dyDescent="0.3">
      <c r="A10194" t="s">
        <v>817</v>
      </c>
      <c r="B10194" t="s">
        <v>53</v>
      </c>
      <c r="C10194" s="1">
        <f>HYPERLINK("https://cao.dolgi.msk.ru/account/1011383953/", 1011383953)</f>
        <v>1011383953</v>
      </c>
      <c r="D10194">
        <v>0</v>
      </c>
    </row>
    <row r="10195" spans="1:4" hidden="1" x14ac:dyDescent="0.3">
      <c r="A10195" t="s">
        <v>817</v>
      </c>
      <c r="B10195" t="s">
        <v>54</v>
      </c>
      <c r="C10195" s="1">
        <f>HYPERLINK("https://cao.dolgi.msk.ru/account/1011383646/", 1011383646)</f>
        <v>1011383646</v>
      </c>
      <c r="D10195">
        <v>-7211.59</v>
      </c>
    </row>
    <row r="10196" spans="1:4" hidden="1" x14ac:dyDescent="0.3">
      <c r="A10196" t="s">
        <v>817</v>
      </c>
      <c r="B10196" t="s">
        <v>55</v>
      </c>
      <c r="C10196" s="1">
        <f>HYPERLINK("https://cao.dolgi.msk.ru/account/1011383515/", 1011383515)</f>
        <v>1011383515</v>
      </c>
      <c r="D10196">
        <v>-42908.57</v>
      </c>
    </row>
    <row r="10197" spans="1:4" hidden="1" x14ac:dyDescent="0.3">
      <c r="A10197" t="s">
        <v>817</v>
      </c>
      <c r="B10197" t="s">
        <v>56</v>
      </c>
      <c r="C10197" s="1">
        <f>HYPERLINK("https://cao.dolgi.msk.ru/account/1011383857/", 1011383857)</f>
        <v>1011383857</v>
      </c>
      <c r="D10197">
        <v>0</v>
      </c>
    </row>
    <row r="10198" spans="1:4" hidden="1" x14ac:dyDescent="0.3">
      <c r="A10198" t="s">
        <v>817</v>
      </c>
      <c r="B10198" t="s">
        <v>87</v>
      </c>
      <c r="C10198" s="1">
        <f>HYPERLINK("https://cao.dolgi.msk.ru/account/1011383697/", 1011383697)</f>
        <v>1011383697</v>
      </c>
      <c r="D10198">
        <v>0</v>
      </c>
    </row>
    <row r="10199" spans="1:4" hidden="1" x14ac:dyDescent="0.3">
      <c r="A10199" t="s">
        <v>817</v>
      </c>
      <c r="B10199" t="s">
        <v>88</v>
      </c>
      <c r="C10199" s="1">
        <f>HYPERLINK("https://cao.dolgi.msk.ru/account/1011383523/", 1011383523)</f>
        <v>1011383523</v>
      </c>
      <c r="D10199">
        <v>0</v>
      </c>
    </row>
    <row r="10200" spans="1:4" hidden="1" x14ac:dyDescent="0.3">
      <c r="A10200" t="s">
        <v>817</v>
      </c>
      <c r="B10200" t="s">
        <v>89</v>
      </c>
      <c r="C10200" s="1">
        <f>HYPERLINK("https://cao.dolgi.msk.ru/account/1011383427/", 1011383427)</f>
        <v>1011383427</v>
      </c>
      <c r="D10200">
        <v>0</v>
      </c>
    </row>
    <row r="10201" spans="1:4" hidden="1" x14ac:dyDescent="0.3">
      <c r="A10201" t="s">
        <v>817</v>
      </c>
      <c r="B10201" t="s">
        <v>90</v>
      </c>
      <c r="C10201" s="1">
        <f>HYPERLINK("https://cao.dolgi.msk.ru/account/1011383961/", 1011383961)</f>
        <v>1011383961</v>
      </c>
      <c r="D10201">
        <v>-5386.96</v>
      </c>
    </row>
    <row r="10202" spans="1:4" hidden="1" x14ac:dyDescent="0.3">
      <c r="A10202" t="s">
        <v>817</v>
      </c>
      <c r="B10202" t="s">
        <v>96</v>
      </c>
      <c r="C10202" s="1">
        <f>HYPERLINK("https://cao.dolgi.msk.ru/account/1011383988/", 1011383988)</f>
        <v>1011383988</v>
      </c>
      <c r="D10202">
        <v>-10107.549999999999</v>
      </c>
    </row>
    <row r="10203" spans="1:4" hidden="1" x14ac:dyDescent="0.3">
      <c r="A10203" t="s">
        <v>817</v>
      </c>
      <c r="B10203" t="s">
        <v>97</v>
      </c>
      <c r="C10203" s="1">
        <f>HYPERLINK("https://cao.dolgi.msk.ru/account/1011383996/", 1011383996)</f>
        <v>1011383996</v>
      </c>
      <c r="D10203">
        <v>-8628.3700000000008</v>
      </c>
    </row>
    <row r="10204" spans="1:4" hidden="1" x14ac:dyDescent="0.3">
      <c r="A10204" t="s">
        <v>817</v>
      </c>
      <c r="B10204" t="s">
        <v>98</v>
      </c>
      <c r="C10204" s="1">
        <f>HYPERLINK("https://cao.dolgi.msk.ru/account/1011384008/", 1011384008)</f>
        <v>1011384008</v>
      </c>
      <c r="D10204">
        <v>-38787.519999999997</v>
      </c>
    </row>
    <row r="10205" spans="1:4" hidden="1" x14ac:dyDescent="0.3">
      <c r="A10205" t="s">
        <v>817</v>
      </c>
      <c r="B10205" t="s">
        <v>58</v>
      </c>
      <c r="C10205" s="1">
        <f>HYPERLINK("https://cao.dolgi.msk.ru/account/1011383785/", 1011383785)</f>
        <v>1011383785</v>
      </c>
      <c r="D10205">
        <v>0</v>
      </c>
    </row>
    <row r="10206" spans="1:4" hidden="1" x14ac:dyDescent="0.3">
      <c r="A10206" t="s">
        <v>817</v>
      </c>
      <c r="B10206" t="s">
        <v>59</v>
      </c>
      <c r="C10206" s="1">
        <f>HYPERLINK("https://cao.dolgi.msk.ru/account/1011383718/", 1011383718)</f>
        <v>1011383718</v>
      </c>
      <c r="D10206">
        <v>0</v>
      </c>
    </row>
    <row r="10207" spans="1:4" hidden="1" x14ac:dyDescent="0.3">
      <c r="A10207" t="s">
        <v>817</v>
      </c>
      <c r="B10207" t="s">
        <v>60</v>
      </c>
      <c r="C10207" s="1">
        <f>HYPERLINK("https://cao.dolgi.msk.ru/account/1011383793/", 1011383793)</f>
        <v>1011383793</v>
      </c>
      <c r="D10207">
        <v>-5741.53</v>
      </c>
    </row>
    <row r="10208" spans="1:4" hidden="1" x14ac:dyDescent="0.3">
      <c r="A10208" t="s">
        <v>817</v>
      </c>
      <c r="B10208" t="s">
        <v>61</v>
      </c>
      <c r="C10208" s="1">
        <f>HYPERLINK("https://cao.dolgi.msk.ru/account/1011384016/", 1011384016)</f>
        <v>1011384016</v>
      </c>
      <c r="D10208">
        <v>-11819.32</v>
      </c>
    </row>
    <row r="10209" spans="1:4" hidden="1" x14ac:dyDescent="0.3">
      <c r="A10209" t="s">
        <v>817</v>
      </c>
      <c r="B10209" t="s">
        <v>62</v>
      </c>
      <c r="C10209" s="1">
        <f>HYPERLINK("https://cao.dolgi.msk.ru/account/1011383435/", 1011383435)</f>
        <v>1011383435</v>
      </c>
      <c r="D10209">
        <v>0</v>
      </c>
    </row>
    <row r="10210" spans="1:4" hidden="1" x14ac:dyDescent="0.3">
      <c r="A10210" t="s">
        <v>817</v>
      </c>
      <c r="B10210" t="s">
        <v>63</v>
      </c>
      <c r="C10210" s="1">
        <f>HYPERLINK("https://cao.dolgi.msk.ru/account/1011383865/", 1011383865)</f>
        <v>1011383865</v>
      </c>
      <c r="D10210">
        <v>-5226.71</v>
      </c>
    </row>
    <row r="10211" spans="1:4" hidden="1" x14ac:dyDescent="0.3">
      <c r="A10211" t="s">
        <v>817</v>
      </c>
      <c r="B10211" t="s">
        <v>64</v>
      </c>
      <c r="C10211" s="1">
        <f>HYPERLINK("https://cao.dolgi.msk.ru/account/1011383873/", 1011383873)</f>
        <v>1011383873</v>
      </c>
      <c r="D10211">
        <v>-11961.27</v>
      </c>
    </row>
    <row r="10212" spans="1:4" hidden="1" x14ac:dyDescent="0.3">
      <c r="A10212" t="s">
        <v>817</v>
      </c>
      <c r="B10212" t="s">
        <v>65</v>
      </c>
      <c r="C10212" s="1">
        <f>HYPERLINK("https://cao.dolgi.msk.ru/account/1011383881/", 1011383881)</f>
        <v>1011383881</v>
      </c>
      <c r="D10212">
        <v>-45681.36</v>
      </c>
    </row>
    <row r="10213" spans="1:4" hidden="1" x14ac:dyDescent="0.3">
      <c r="A10213" t="s">
        <v>817</v>
      </c>
      <c r="B10213" t="s">
        <v>66</v>
      </c>
      <c r="C10213" s="1">
        <f>HYPERLINK("https://cao.dolgi.msk.ru/account/1011383902/", 1011383902)</f>
        <v>1011383902</v>
      </c>
      <c r="D10213">
        <v>0</v>
      </c>
    </row>
    <row r="10214" spans="1:4" hidden="1" x14ac:dyDescent="0.3">
      <c r="A10214" t="s">
        <v>818</v>
      </c>
      <c r="B10214" t="s">
        <v>606</v>
      </c>
      <c r="C10214" s="1">
        <f>HYPERLINK("https://cao.dolgi.msk.ru/account/1011202593/", 1011202593)</f>
        <v>1011202593</v>
      </c>
      <c r="D10214">
        <v>0</v>
      </c>
    </row>
    <row r="10215" spans="1:4" hidden="1" x14ac:dyDescent="0.3">
      <c r="A10215" t="s">
        <v>818</v>
      </c>
      <c r="B10215" t="s">
        <v>606</v>
      </c>
      <c r="C10215" s="1">
        <f>HYPERLINK("https://cao.dolgi.msk.ru/account/1011202614/", 1011202614)</f>
        <v>1011202614</v>
      </c>
      <c r="D10215">
        <v>0</v>
      </c>
    </row>
    <row r="10216" spans="1:4" hidden="1" x14ac:dyDescent="0.3">
      <c r="A10216" t="s">
        <v>818</v>
      </c>
      <c r="B10216" t="s">
        <v>740</v>
      </c>
      <c r="C10216" s="1">
        <f>HYPERLINK("https://cao.dolgi.msk.ru/account/1011202606/", 1011202606)</f>
        <v>1011202606</v>
      </c>
      <c r="D10216">
        <v>-5552.83</v>
      </c>
    </row>
    <row r="10217" spans="1:4" x14ac:dyDescent="0.3">
      <c r="A10217" t="s">
        <v>818</v>
      </c>
      <c r="B10217" t="s">
        <v>7</v>
      </c>
      <c r="C10217" s="1">
        <f>HYPERLINK("https://cao.dolgi.msk.ru/account/1011202622/", 1011202622)</f>
        <v>1011202622</v>
      </c>
      <c r="D10217">
        <v>810.45</v>
      </c>
    </row>
    <row r="10218" spans="1:4" x14ac:dyDescent="0.3">
      <c r="A10218" t="s">
        <v>818</v>
      </c>
      <c r="B10218" t="s">
        <v>819</v>
      </c>
      <c r="C10218" s="1">
        <f>HYPERLINK("https://cao.dolgi.msk.ru/account/1011202657/", 1011202657)</f>
        <v>1011202657</v>
      </c>
      <c r="D10218">
        <v>2085.4299999999998</v>
      </c>
    </row>
    <row r="10219" spans="1:4" x14ac:dyDescent="0.3">
      <c r="A10219" t="s">
        <v>818</v>
      </c>
      <c r="B10219" t="s">
        <v>8</v>
      </c>
      <c r="C10219" s="1">
        <f>HYPERLINK("https://cao.dolgi.msk.ru/account/1011202649/", 1011202649)</f>
        <v>1011202649</v>
      </c>
      <c r="D10219">
        <v>3804.78</v>
      </c>
    </row>
    <row r="10220" spans="1:4" hidden="1" x14ac:dyDescent="0.3">
      <c r="A10220" t="s">
        <v>820</v>
      </c>
      <c r="B10220" t="s">
        <v>6</v>
      </c>
      <c r="C10220" s="1">
        <f>HYPERLINK("https://cao.dolgi.msk.ru/account/1010267141/", 1010267141)</f>
        <v>1010267141</v>
      </c>
      <c r="D10220">
        <v>-6380.9</v>
      </c>
    </row>
    <row r="10221" spans="1:4" hidden="1" x14ac:dyDescent="0.3">
      <c r="A10221" t="s">
        <v>820</v>
      </c>
      <c r="B10221" t="s">
        <v>35</v>
      </c>
      <c r="C10221" s="1">
        <f>HYPERLINK("https://cao.dolgi.msk.ru/account/1010267184/", 1010267184)</f>
        <v>1010267184</v>
      </c>
      <c r="D10221">
        <v>0</v>
      </c>
    </row>
    <row r="10222" spans="1:4" hidden="1" x14ac:dyDescent="0.3">
      <c r="A10222" t="s">
        <v>820</v>
      </c>
      <c r="B10222" t="s">
        <v>5</v>
      </c>
      <c r="C10222" s="1">
        <f>HYPERLINK("https://cao.dolgi.msk.ru/account/1010267192/", 1010267192)</f>
        <v>1010267192</v>
      </c>
      <c r="D10222">
        <v>-1863.74</v>
      </c>
    </row>
    <row r="10223" spans="1:4" x14ac:dyDescent="0.3">
      <c r="A10223" t="s">
        <v>820</v>
      </c>
      <c r="B10223" t="s">
        <v>7</v>
      </c>
      <c r="C10223" s="1">
        <f>HYPERLINK("https://cao.dolgi.msk.ru/account/1010267205/", 1010267205)</f>
        <v>1010267205</v>
      </c>
      <c r="D10223">
        <v>28222.66</v>
      </c>
    </row>
    <row r="10224" spans="1:4" hidden="1" x14ac:dyDescent="0.3">
      <c r="A10224" t="s">
        <v>820</v>
      </c>
      <c r="B10224" t="s">
        <v>8</v>
      </c>
      <c r="C10224" s="1">
        <f>HYPERLINK("https://cao.dolgi.msk.ru/account/1011504778/", 1011504778)</f>
        <v>1011504778</v>
      </c>
      <c r="D10224">
        <v>0</v>
      </c>
    </row>
    <row r="10225" spans="1:4" hidden="1" x14ac:dyDescent="0.3">
      <c r="A10225" t="s">
        <v>820</v>
      </c>
      <c r="B10225" t="s">
        <v>31</v>
      </c>
      <c r="C10225" s="1">
        <f>HYPERLINK("https://cao.dolgi.msk.ru/account/1010267221/", 1010267221)</f>
        <v>1010267221</v>
      </c>
      <c r="D10225">
        <v>-4796.3100000000004</v>
      </c>
    </row>
    <row r="10226" spans="1:4" hidden="1" x14ac:dyDescent="0.3">
      <c r="A10226" t="s">
        <v>820</v>
      </c>
      <c r="B10226" t="s">
        <v>9</v>
      </c>
      <c r="C10226" s="1">
        <f>HYPERLINK("https://cao.dolgi.msk.ru/account/1010267248/", 1010267248)</f>
        <v>1010267248</v>
      </c>
      <c r="D10226">
        <v>-3677.62</v>
      </c>
    </row>
    <row r="10227" spans="1:4" x14ac:dyDescent="0.3">
      <c r="A10227" t="s">
        <v>820</v>
      </c>
      <c r="B10227" t="s">
        <v>10</v>
      </c>
      <c r="C10227" s="1">
        <f>HYPERLINK("https://cao.dolgi.msk.ru/account/1010267256/", 1010267256)</f>
        <v>1010267256</v>
      </c>
      <c r="D10227">
        <v>119.61</v>
      </c>
    </row>
    <row r="10228" spans="1:4" hidden="1" x14ac:dyDescent="0.3">
      <c r="A10228" t="s">
        <v>820</v>
      </c>
      <c r="B10228" t="s">
        <v>11</v>
      </c>
      <c r="C10228" s="1">
        <f>HYPERLINK("https://cao.dolgi.msk.ru/account/1010267264/", 1010267264)</f>
        <v>1010267264</v>
      </c>
      <c r="D10228">
        <v>-13212.5</v>
      </c>
    </row>
    <row r="10229" spans="1:4" hidden="1" x14ac:dyDescent="0.3">
      <c r="A10229" t="s">
        <v>820</v>
      </c>
      <c r="B10229" t="s">
        <v>12</v>
      </c>
      <c r="C10229" s="1">
        <f>HYPERLINK("https://cao.dolgi.msk.ru/account/1010267299/", 1010267299)</f>
        <v>1010267299</v>
      </c>
      <c r="D10229">
        <v>-10239.040000000001</v>
      </c>
    </row>
    <row r="10230" spans="1:4" hidden="1" x14ac:dyDescent="0.3">
      <c r="A10230" t="s">
        <v>820</v>
      </c>
      <c r="B10230" t="s">
        <v>23</v>
      </c>
      <c r="C10230" s="1">
        <f>HYPERLINK("https://cao.dolgi.msk.ru/account/1010267301/", 1010267301)</f>
        <v>1010267301</v>
      </c>
      <c r="D10230">
        <v>0</v>
      </c>
    </row>
    <row r="10231" spans="1:4" x14ac:dyDescent="0.3">
      <c r="A10231" t="s">
        <v>820</v>
      </c>
      <c r="B10231" t="s">
        <v>13</v>
      </c>
      <c r="C10231" s="1">
        <f>HYPERLINK("https://cao.dolgi.msk.ru/account/1010267328/", 1010267328)</f>
        <v>1010267328</v>
      </c>
      <c r="D10231">
        <v>11515.04</v>
      </c>
    </row>
    <row r="10232" spans="1:4" hidden="1" x14ac:dyDescent="0.3">
      <c r="A10232" t="s">
        <v>820</v>
      </c>
      <c r="B10232" t="s">
        <v>14</v>
      </c>
      <c r="C10232" s="1">
        <f>HYPERLINK("https://cao.dolgi.msk.ru/account/1010267336/", 1010267336)</f>
        <v>1010267336</v>
      </c>
      <c r="D10232">
        <v>0</v>
      </c>
    </row>
    <row r="10233" spans="1:4" hidden="1" x14ac:dyDescent="0.3">
      <c r="A10233" t="s">
        <v>820</v>
      </c>
      <c r="B10233" t="s">
        <v>16</v>
      </c>
      <c r="C10233" s="1">
        <f>HYPERLINK("https://cao.dolgi.msk.ru/account/1010267344/", 1010267344)</f>
        <v>1010267344</v>
      </c>
      <c r="D10233">
        <v>-5984.07</v>
      </c>
    </row>
    <row r="10234" spans="1:4" x14ac:dyDescent="0.3">
      <c r="A10234" t="s">
        <v>820</v>
      </c>
      <c r="B10234" t="s">
        <v>17</v>
      </c>
      <c r="C10234" s="1">
        <f>HYPERLINK("https://cao.dolgi.msk.ru/account/1010267352/", 1010267352)</f>
        <v>1010267352</v>
      </c>
      <c r="D10234">
        <v>8165.04</v>
      </c>
    </row>
    <row r="10235" spans="1:4" x14ac:dyDescent="0.3">
      <c r="A10235" t="s">
        <v>820</v>
      </c>
      <c r="B10235" t="s">
        <v>18</v>
      </c>
      <c r="C10235" s="1">
        <f>HYPERLINK("https://cao.dolgi.msk.ru/account/1010267379/", 1010267379)</f>
        <v>1010267379</v>
      </c>
      <c r="D10235">
        <v>6389.88</v>
      </c>
    </row>
    <row r="10236" spans="1:4" hidden="1" x14ac:dyDescent="0.3">
      <c r="A10236" t="s">
        <v>820</v>
      </c>
      <c r="B10236" t="s">
        <v>19</v>
      </c>
      <c r="C10236" s="1">
        <f>HYPERLINK("https://cao.dolgi.msk.ru/account/1010267387/", 1010267387)</f>
        <v>1010267387</v>
      </c>
      <c r="D10236">
        <v>0</v>
      </c>
    </row>
    <row r="10237" spans="1:4" hidden="1" x14ac:dyDescent="0.3">
      <c r="A10237" t="s">
        <v>820</v>
      </c>
      <c r="B10237" t="s">
        <v>20</v>
      </c>
      <c r="C10237" s="1">
        <f>HYPERLINK("https://cao.dolgi.msk.ru/account/1010267395/", 1010267395)</f>
        <v>1010267395</v>
      </c>
      <c r="D10237">
        <v>-5778.4</v>
      </c>
    </row>
    <row r="10238" spans="1:4" x14ac:dyDescent="0.3">
      <c r="A10238" t="s">
        <v>820</v>
      </c>
      <c r="B10238" t="s">
        <v>21</v>
      </c>
      <c r="C10238" s="1">
        <f>HYPERLINK("https://cao.dolgi.msk.ru/account/1010267408/", 1010267408)</f>
        <v>1010267408</v>
      </c>
      <c r="D10238">
        <v>15772.95</v>
      </c>
    </row>
    <row r="10239" spans="1:4" hidden="1" x14ac:dyDescent="0.3">
      <c r="A10239" t="s">
        <v>820</v>
      </c>
      <c r="B10239" t="s">
        <v>22</v>
      </c>
      <c r="C10239" s="1">
        <f>HYPERLINK("https://cao.dolgi.msk.ru/account/1010267416/", 1010267416)</f>
        <v>1010267416</v>
      </c>
      <c r="D10239">
        <v>-408.39</v>
      </c>
    </row>
    <row r="10240" spans="1:4" hidden="1" x14ac:dyDescent="0.3">
      <c r="A10240" t="s">
        <v>820</v>
      </c>
      <c r="B10240" t="s">
        <v>24</v>
      </c>
      <c r="C10240" s="1">
        <f>HYPERLINK("https://cao.dolgi.msk.ru/account/1010267424/", 1010267424)</f>
        <v>1010267424</v>
      </c>
      <c r="D10240">
        <v>-320.7</v>
      </c>
    </row>
    <row r="10241" spans="1:4" hidden="1" x14ac:dyDescent="0.3">
      <c r="A10241" t="s">
        <v>820</v>
      </c>
      <c r="B10241" t="s">
        <v>25</v>
      </c>
      <c r="C10241" s="1">
        <f>HYPERLINK("https://cao.dolgi.msk.ru/account/1011021493/", 1011021493)</f>
        <v>1011021493</v>
      </c>
      <c r="D10241">
        <v>0</v>
      </c>
    </row>
    <row r="10242" spans="1:4" hidden="1" x14ac:dyDescent="0.3">
      <c r="A10242" t="s">
        <v>820</v>
      </c>
      <c r="B10242" t="s">
        <v>26</v>
      </c>
      <c r="C10242" s="1">
        <f>HYPERLINK("https://cao.dolgi.msk.ru/account/1010267459/", 1010267459)</f>
        <v>1010267459</v>
      </c>
      <c r="D10242">
        <v>-3417.41</v>
      </c>
    </row>
    <row r="10243" spans="1:4" hidden="1" x14ac:dyDescent="0.3">
      <c r="A10243" t="s">
        <v>820</v>
      </c>
      <c r="B10243" t="s">
        <v>26</v>
      </c>
      <c r="C10243" s="1">
        <f>HYPERLINK("https://cao.dolgi.msk.ru/account/1011135992/", 1011135992)</f>
        <v>1011135992</v>
      </c>
      <c r="D10243">
        <v>0</v>
      </c>
    </row>
    <row r="10244" spans="1:4" hidden="1" x14ac:dyDescent="0.3">
      <c r="A10244" t="s">
        <v>820</v>
      </c>
      <c r="B10244" t="s">
        <v>27</v>
      </c>
      <c r="C10244" s="1">
        <f>HYPERLINK("https://cao.dolgi.msk.ru/account/1010267467/", 1010267467)</f>
        <v>1010267467</v>
      </c>
      <c r="D10244">
        <v>-6524.36</v>
      </c>
    </row>
    <row r="10245" spans="1:4" hidden="1" x14ac:dyDescent="0.3">
      <c r="A10245" t="s">
        <v>820</v>
      </c>
      <c r="B10245" t="s">
        <v>29</v>
      </c>
      <c r="C10245" s="1">
        <f>HYPERLINK("https://cao.dolgi.msk.ru/account/1010267475/", 1010267475)</f>
        <v>1010267475</v>
      </c>
      <c r="D10245">
        <v>0</v>
      </c>
    </row>
    <row r="10246" spans="1:4" hidden="1" x14ac:dyDescent="0.3">
      <c r="A10246" t="s">
        <v>820</v>
      </c>
      <c r="B10246" t="s">
        <v>38</v>
      </c>
      <c r="C10246" s="1">
        <f>HYPERLINK("https://cao.dolgi.msk.ru/account/1010267483/", 1010267483)</f>
        <v>1010267483</v>
      </c>
      <c r="D10246">
        <v>-4508.17</v>
      </c>
    </row>
    <row r="10247" spans="1:4" hidden="1" x14ac:dyDescent="0.3">
      <c r="A10247" t="s">
        <v>820</v>
      </c>
      <c r="B10247" t="s">
        <v>38</v>
      </c>
      <c r="C10247" s="1">
        <f>HYPERLINK("https://cao.dolgi.msk.ru/account/1010272936/", 1010272936)</f>
        <v>1010272936</v>
      </c>
      <c r="D10247">
        <v>0</v>
      </c>
    </row>
    <row r="10248" spans="1:4" hidden="1" x14ac:dyDescent="0.3">
      <c r="A10248" t="s">
        <v>820</v>
      </c>
      <c r="B10248" t="s">
        <v>39</v>
      </c>
      <c r="C10248" s="1">
        <f>HYPERLINK("https://cao.dolgi.msk.ru/account/1010267491/", 1010267491)</f>
        <v>1010267491</v>
      </c>
      <c r="D10248">
        <v>-7322.76</v>
      </c>
    </row>
    <row r="10249" spans="1:4" hidden="1" x14ac:dyDescent="0.3">
      <c r="A10249" t="s">
        <v>820</v>
      </c>
      <c r="B10249" t="s">
        <v>40</v>
      </c>
      <c r="C10249" s="1">
        <f>HYPERLINK("https://cao.dolgi.msk.ru/account/1010267504/", 1010267504)</f>
        <v>1010267504</v>
      </c>
      <c r="D10249">
        <v>-46.67</v>
      </c>
    </row>
    <row r="10250" spans="1:4" hidden="1" x14ac:dyDescent="0.3">
      <c r="A10250" t="s">
        <v>820</v>
      </c>
      <c r="B10250" t="s">
        <v>41</v>
      </c>
      <c r="C10250" s="1">
        <f>HYPERLINK("https://cao.dolgi.msk.ru/account/1010267539/", 1010267539)</f>
        <v>1010267539</v>
      </c>
      <c r="D10250">
        <v>0</v>
      </c>
    </row>
    <row r="10251" spans="1:4" hidden="1" x14ac:dyDescent="0.3">
      <c r="A10251" t="s">
        <v>820</v>
      </c>
      <c r="B10251" t="s">
        <v>51</v>
      </c>
      <c r="C10251" s="1">
        <f>HYPERLINK("https://cao.dolgi.msk.ru/account/1010267547/", 1010267547)</f>
        <v>1010267547</v>
      </c>
      <c r="D10251">
        <v>-6652.1</v>
      </c>
    </row>
    <row r="10252" spans="1:4" x14ac:dyDescent="0.3">
      <c r="A10252" t="s">
        <v>820</v>
      </c>
      <c r="B10252" t="s">
        <v>52</v>
      </c>
      <c r="C10252" s="1">
        <f>HYPERLINK("https://cao.dolgi.msk.ru/account/1010267555/", 1010267555)</f>
        <v>1010267555</v>
      </c>
      <c r="D10252">
        <v>4898.22</v>
      </c>
    </row>
    <row r="10253" spans="1:4" hidden="1" x14ac:dyDescent="0.3">
      <c r="A10253" t="s">
        <v>820</v>
      </c>
      <c r="B10253" t="s">
        <v>53</v>
      </c>
      <c r="C10253" s="1">
        <f>HYPERLINK("https://cao.dolgi.msk.ru/account/1010267563/", 1010267563)</f>
        <v>1010267563</v>
      </c>
      <c r="D10253">
        <v>-368.97</v>
      </c>
    </row>
    <row r="10254" spans="1:4" hidden="1" x14ac:dyDescent="0.3">
      <c r="A10254" t="s">
        <v>820</v>
      </c>
      <c r="B10254" t="s">
        <v>54</v>
      </c>
      <c r="C10254" s="1">
        <f>HYPERLINK("https://cao.dolgi.msk.ru/account/1010267571/", 1010267571)</f>
        <v>1010267571</v>
      </c>
      <c r="D10254">
        <v>0</v>
      </c>
    </row>
    <row r="10255" spans="1:4" hidden="1" x14ac:dyDescent="0.3">
      <c r="A10255" t="s">
        <v>820</v>
      </c>
      <c r="B10255" t="s">
        <v>55</v>
      </c>
      <c r="C10255" s="1">
        <f>HYPERLINK("https://cao.dolgi.msk.ru/account/1010267125/", 1010267125)</f>
        <v>1010267125</v>
      </c>
      <c r="D10255">
        <v>-5967.08</v>
      </c>
    </row>
    <row r="10256" spans="1:4" hidden="1" x14ac:dyDescent="0.3">
      <c r="A10256" t="s">
        <v>820</v>
      </c>
      <c r="B10256" t="s">
        <v>56</v>
      </c>
      <c r="C10256" s="1">
        <f>HYPERLINK("https://cao.dolgi.msk.ru/account/1010267627/", 1010267627)</f>
        <v>1010267627</v>
      </c>
      <c r="D10256">
        <v>0</v>
      </c>
    </row>
    <row r="10257" spans="1:4" hidden="1" x14ac:dyDescent="0.3">
      <c r="A10257" t="s">
        <v>820</v>
      </c>
      <c r="B10257" t="s">
        <v>87</v>
      </c>
      <c r="C10257" s="1">
        <f>HYPERLINK("https://cao.dolgi.msk.ru/account/1010267635/", 1010267635)</f>
        <v>1010267635</v>
      </c>
      <c r="D10257">
        <v>-4450.01</v>
      </c>
    </row>
    <row r="10258" spans="1:4" hidden="1" x14ac:dyDescent="0.3">
      <c r="A10258" t="s">
        <v>820</v>
      </c>
      <c r="B10258" t="s">
        <v>88</v>
      </c>
      <c r="C10258" s="1">
        <f>HYPERLINK("https://cao.dolgi.msk.ru/account/1010267643/", 1010267643)</f>
        <v>1010267643</v>
      </c>
      <c r="D10258">
        <v>-16.86</v>
      </c>
    </row>
    <row r="10259" spans="1:4" hidden="1" x14ac:dyDescent="0.3">
      <c r="A10259" t="s">
        <v>820</v>
      </c>
      <c r="B10259" t="s">
        <v>89</v>
      </c>
      <c r="C10259" s="1">
        <f>HYPERLINK("https://cao.dolgi.msk.ru/account/1010267651/", 1010267651)</f>
        <v>1010267651</v>
      </c>
      <c r="D10259">
        <v>0</v>
      </c>
    </row>
    <row r="10260" spans="1:4" hidden="1" x14ac:dyDescent="0.3">
      <c r="A10260" t="s">
        <v>820</v>
      </c>
      <c r="B10260" t="s">
        <v>90</v>
      </c>
      <c r="C10260" s="1">
        <f>HYPERLINK("https://cao.dolgi.msk.ru/account/1010267678/", 1010267678)</f>
        <v>1010267678</v>
      </c>
      <c r="D10260">
        <v>0</v>
      </c>
    </row>
    <row r="10261" spans="1:4" hidden="1" x14ac:dyDescent="0.3">
      <c r="A10261" t="s">
        <v>820</v>
      </c>
      <c r="B10261" t="s">
        <v>96</v>
      </c>
      <c r="C10261" s="1">
        <f>HYPERLINK("https://cao.dolgi.msk.ru/account/1010267686/", 1010267686)</f>
        <v>1010267686</v>
      </c>
      <c r="D10261">
        <v>-3618.77</v>
      </c>
    </row>
    <row r="10262" spans="1:4" x14ac:dyDescent="0.3">
      <c r="A10262" t="s">
        <v>820</v>
      </c>
      <c r="B10262" t="s">
        <v>97</v>
      </c>
      <c r="C10262" s="1">
        <f>HYPERLINK("https://cao.dolgi.msk.ru/account/1010267694/", 1010267694)</f>
        <v>1010267694</v>
      </c>
      <c r="D10262">
        <v>19647.39</v>
      </c>
    </row>
    <row r="10263" spans="1:4" hidden="1" x14ac:dyDescent="0.3">
      <c r="A10263" t="s">
        <v>820</v>
      </c>
      <c r="B10263" t="s">
        <v>98</v>
      </c>
      <c r="C10263" s="1">
        <f>HYPERLINK("https://cao.dolgi.msk.ru/account/1010267707/", 1010267707)</f>
        <v>1010267707</v>
      </c>
      <c r="D10263">
        <v>0</v>
      </c>
    </row>
    <row r="10264" spans="1:4" hidden="1" x14ac:dyDescent="0.3">
      <c r="A10264" t="s">
        <v>820</v>
      </c>
      <c r="B10264" t="s">
        <v>58</v>
      </c>
      <c r="C10264" s="1">
        <f>HYPERLINK("https://cao.dolgi.msk.ru/account/1010267715/", 1010267715)</f>
        <v>1010267715</v>
      </c>
      <c r="D10264">
        <v>-8031.31</v>
      </c>
    </row>
    <row r="10265" spans="1:4" x14ac:dyDescent="0.3">
      <c r="A10265" t="s">
        <v>820</v>
      </c>
      <c r="B10265" t="s">
        <v>59</v>
      </c>
      <c r="C10265" s="1">
        <f>HYPERLINK("https://cao.dolgi.msk.ru/account/1010267723/", 1010267723)</f>
        <v>1010267723</v>
      </c>
      <c r="D10265">
        <v>253417.43</v>
      </c>
    </row>
    <row r="10266" spans="1:4" hidden="1" x14ac:dyDescent="0.3">
      <c r="A10266" t="s">
        <v>820</v>
      </c>
      <c r="B10266" t="s">
        <v>60</v>
      </c>
      <c r="C10266" s="1">
        <f>HYPERLINK("https://cao.dolgi.msk.ru/account/1010267731/", 1010267731)</f>
        <v>1010267731</v>
      </c>
      <c r="D10266">
        <v>-13.03</v>
      </c>
    </row>
    <row r="10267" spans="1:4" hidden="1" x14ac:dyDescent="0.3">
      <c r="A10267" t="s">
        <v>820</v>
      </c>
      <c r="B10267" t="s">
        <v>61</v>
      </c>
      <c r="C10267" s="1">
        <f>HYPERLINK("https://cao.dolgi.msk.ru/account/1010267803/", 1010267803)</f>
        <v>1010267803</v>
      </c>
      <c r="D10267">
        <v>-0.59</v>
      </c>
    </row>
    <row r="10268" spans="1:4" hidden="1" x14ac:dyDescent="0.3">
      <c r="A10268" t="s">
        <v>820</v>
      </c>
      <c r="B10268" t="s">
        <v>62</v>
      </c>
      <c r="C10268" s="1">
        <f>HYPERLINK("https://cao.dolgi.msk.ru/account/1010267811/", 1010267811)</f>
        <v>1010267811</v>
      </c>
      <c r="D10268">
        <v>-4722.83</v>
      </c>
    </row>
    <row r="10269" spans="1:4" hidden="1" x14ac:dyDescent="0.3">
      <c r="A10269" t="s">
        <v>820</v>
      </c>
      <c r="B10269" t="s">
        <v>63</v>
      </c>
      <c r="C10269" s="1">
        <f>HYPERLINK("https://cao.dolgi.msk.ru/account/1010267838/", 1010267838)</f>
        <v>1010267838</v>
      </c>
      <c r="D10269">
        <v>0</v>
      </c>
    </row>
    <row r="10270" spans="1:4" hidden="1" x14ac:dyDescent="0.3">
      <c r="A10270" t="s">
        <v>820</v>
      </c>
      <c r="B10270" t="s">
        <v>64</v>
      </c>
      <c r="C10270" s="1">
        <f>HYPERLINK("https://cao.dolgi.msk.ru/account/1010267846/", 1010267846)</f>
        <v>1010267846</v>
      </c>
      <c r="D10270">
        <v>-16640.45</v>
      </c>
    </row>
    <row r="10271" spans="1:4" hidden="1" x14ac:dyDescent="0.3">
      <c r="A10271" t="s">
        <v>820</v>
      </c>
      <c r="B10271" t="s">
        <v>65</v>
      </c>
      <c r="C10271" s="1">
        <f>HYPERLINK("https://cao.dolgi.msk.ru/account/1010267854/", 1010267854)</f>
        <v>1010267854</v>
      </c>
      <c r="D10271">
        <v>-10.26</v>
      </c>
    </row>
    <row r="10272" spans="1:4" hidden="1" x14ac:dyDescent="0.3">
      <c r="A10272" t="s">
        <v>820</v>
      </c>
      <c r="B10272" t="s">
        <v>66</v>
      </c>
      <c r="C10272" s="1">
        <f>HYPERLINK("https://cao.dolgi.msk.ru/account/1010267862/", 1010267862)</f>
        <v>1010267862</v>
      </c>
      <c r="D10272">
        <v>-283.08999999999997</v>
      </c>
    </row>
    <row r="10273" spans="1:4" hidden="1" x14ac:dyDescent="0.3">
      <c r="A10273" t="s">
        <v>820</v>
      </c>
      <c r="B10273" t="s">
        <v>67</v>
      </c>
      <c r="C10273" s="1">
        <f>HYPERLINK("https://cao.dolgi.msk.ru/account/1010267889/", 1010267889)</f>
        <v>1010267889</v>
      </c>
      <c r="D10273">
        <v>0</v>
      </c>
    </row>
    <row r="10274" spans="1:4" hidden="1" x14ac:dyDescent="0.3">
      <c r="A10274" t="s">
        <v>820</v>
      </c>
      <c r="B10274" t="s">
        <v>68</v>
      </c>
      <c r="C10274" s="1">
        <f>HYPERLINK("https://cao.dolgi.msk.ru/account/1010267897/", 1010267897)</f>
        <v>1010267897</v>
      </c>
      <c r="D10274">
        <v>0</v>
      </c>
    </row>
    <row r="10275" spans="1:4" hidden="1" x14ac:dyDescent="0.3">
      <c r="A10275" t="s">
        <v>820</v>
      </c>
      <c r="B10275" t="s">
        <v>69</v>
      </c>
      <c r="C10275" s="1">
        <f>HYPERLINK("https://cao.dolgi.msk.ru/account/1010267918/", 1010267918)</f>
        <v>1010267918</v>
      </c>
      <c r="D10275">
        <v>-26.36</v>
      </c>
    </row>
    <row r="10276" spans="1:4" hidden="1" x14ac:dyDescent="0.3">
      <c r="A10276" t="s">
        <v>820</v>
      </c>
      <c r="B10276" t="s">
        <v>69</v>
      </c>
      <c r="C10276" s="1">
        <f>HYPERLINK("https://cao.dolgi.msk.ru/account/1010267926/", 1010267926)</f>
        <v>1010267926</v>
      </c>
      <c r="D10276">
        <v>-1837.84</v>
      </c>
    </row>
    <row r="10277" spans="1:4" hidden="1" x14ac:dyDescent="0.3">
      <c r="A10277" t="s">
        <v>820</v>
      </c>
      <c r="B10277" t="s">
        <v>70</v>
      </c>
      <c r="C10277" s="1">
        <f>HYPERLINK("https://cao.dolgi.msk.ru/account/1010267934/", 1010267934)</f>
        <v>1010267934</v>
      </c>
      <c r="D10277">
        <v>0</v>
      </c>
    </row>
    <row r="10278" spans="1:4" hidden="1" x14ac:dyDescent="0.3">
      <c r="A10278" t="s">
        <v>820</v>
      </c>
      <c r="B10278" t="s">
        <v>259</v>
      </c>
      <c r="C10278" s="1">
        <f>HYPERLINK("https://cao.dolgi.msk.ru/account/1010267942/", 1010267942)</f>
        <v>1010267942</v>
      </c>
      <c r="D10278">
        <v>-324.51</v>
      </c>
    </row>
    <row r="10279" spans="1:4" hidden="1" x14ac:dyDescent="0.3">
      <c r="A10279" t="s">
        <v>820</v>
      </c>
      <c r="B10279" t="s">
        <v>100</v>
      </c>
      <c r="C10279" s="1">
        <f>HYPERLINK("https://cao.dolgi.msk.ru/account/1010267969/", 1010267969)</f>
        <v>1010267969</v>
      </c>
      <c r="D10279">
        <v>0</v>
      </c>
    </row>
    <row r="10280" spans="1:4" x14ac:dyDescent="0.3">
      <c r="A10280" t="s">
        <v>820</v>
      </c>
      <c r="B10280" t="s">
        <v>72</v>
      </c>
      <c r="C10280" s="1">
        <f>HYPERLINK("https://cao.dolgi.msk.ru/account/1010267977/", 1010267977)</f>
        <v>1010267977</v>
      </c>
      <c r="D10280">
        <v>1273.43</v>
      </c>
    </row>
    <row r="10281" spans="1:4" hidden="1" x14ac:dyDescent="0.3">
      <c r="A10281" t="s">
        <v>820</v>
      </c>
      <c r="B10281" t="s">
        <v>73</v>
      </c>
      <c r="C10281" s="1">
        <f>HYPERLINK("https://cao.dolgi.msk.ru/account/1010267985/", 1010267985)</f>
        <v>1010267985</v>
      </c>
      <c r="D10281">
        <v>-6904.33</v>
      </c>
    </row>
    <row r="10282" spans="1:4" hidden="1" x14ac:dyDescent="0.3">
      <c r="A10282" t="s">
        <v>820</v>
      </c>
      <c r="B10282" t="s">
        <v>74</v>
      </c>
      <c r="C10282" s="1">
        <f>HYPERLINK("https://cao.dolgi.msk.ru/account/1010267993/", 1010267993)</f>
        <v>1010267993</v>
      </c>
      <c r="D10282">
        <v>0</v>
      </c>
    </row>
    <row r="10283" spans="1:4" hidden="1" x14ac:dyDescent="0.3">
      <c r="A10283" t="s">
        <v>820</v>
      </c>
      <c r="B10283" t="s">
        <v>75</v>
      </c>
      <c r="C10283" s="1">
        <f>HYPERLINK("https://cao.dolgi.msk.ru/account/1010268005/", 1010268005)</f>
        <v>1010268005</v>
      </c>
      <c r="D10283">
        <v>-6930.47</v>
      </c>
    </row>
    <row r="10284" spans="1:4" hidden="1" x14ac:dyDescent="0.3">
      <c r="A10284" t="s">
        <v>820</v>
      </c>
      <c r="B10284" t="s">
        <v>76</v>
      </c>
      <c r="C10284" s="1">
        <f>HYPERLINK("https://cao.dolgi.msk.ru/account/1010268013/", 1010268013)</f>
        <v>1010268013</v>
      </c>
      <c r="D10284">
        <v>0</v>
      </c>
    </row>
    <row r="10285" spans="1:4" hidden="1" x14ac:dyDescent="0.3">
      <c r="A10285" t="s">
        <v>820</v>
      </c>
      <c r="B10285" t="s">
        <v>77</v>
      </c>
      <c r="C10285" s="1">
        <f>HYPERLINK("https://cao.dolgi.msk.ru/account/1010268021/", 1010268021)</f>
        <v>1010268021</v>
      </c>
      <c r="D10285">
        <v>-4806.1899999999996</v>
      </c>
    </row>
    <row r="10286" spans="1:4" x14ac:dyDescent="0.3">
      <c r="A10286" t="s">
        <v>820</v>
      </c>
      <c r="B10286" t="s">
        <v>78</v>
      </c>
      <c r="C10286" s="1">
        <f>HYPERLINK("https://cao.dolgi.msk.ru/account/1010268048/", 1010268048)</f>
        <v>1010268048</v>
      </c>
      <c r="D10286">
        <v>11934.15</v>
      </c>
    </row>
    <row r="10287" spans="1:4" x14ac:dyDescent="0.3">
      <c r="A10287" t="s">
        <v>820</v>
      </c>
      <c r="B10287" t="s">
        <v>79</v>
      </c>
      <c r="C10287" s="1">
        <f>HYPERLINK("https://cao.dolgi.msk.ru/account/1010268056/", 1010268056)</f>
        <v>1010268056</v>
      </c>
      <c r="D10287">
        <v>5720.12</v>
      </c>
    </row>
    <row r="10288" spans="1:4" x14ac:dyDescent="0.3">
      <c r="A10288" t="s">
        <v>820</v>
      </c>
      <c r="B10288" t="s">
        <v>80</v>
      </c>
      <c r="C10288" s="1">
        <f>HYPERLINK("https://cao.dolgi.msk.ru/account/1010268064/", 1010268064)</f>
        <v>1010268064</v>
      </c>
      <c r="D10288">
        <v>5450.7</v>
      </c>
    </row>
    <row r="10289" spans="1:4" hidden="1" x14ac:dyDescent="0.3">
      <c r="A10289" t="s">
        <v>820</v>
      </c>
      <c r="B10289" t="s">
        <v>81</v>
      </c>
      <c r="C10289" s="1">
        <f>HYPERLINK("https://cao.dolgi.msk.ru/account/1010268072/", 1010268072)</f>
        <v>1010268072</v>
      </c>
      <c r="D10289">
        <v>0</v>
      </c>
    </row>
    <row r="10290" spans="1:4" hidden="1" x14ac:dyDescent="0.3">
      <c r="A10290" t="s">
        <v>820</v>
      </c>
      <c r="B10290" t="s">
        <v>101</v>
      </c>
      <c r="C10290" s="1">
        <f>HYPERLINK("https://cao.dolgi.msk.ru/account/1010268099/", 1010268099)</f>
        <v>1010268099</v>
      </c>
      <c r="D10290">
        <v>-35.71</v>
      </c>
    </row>
    <row r="10291" spans="1:4" hidden="1" x14ac:dyDescent="0.3">
      <c r="A10291" t="s">
        <v>820</v>
      </c>
      <c r="B10291" t="s">
        <v>82</v>
      </c>
      <c r="C10291" s="1">
        <f>HYPERLINK("https://cao.dolgi.msk.ru/account/1010268101/", 1010268101)</f>
        <v>1010268101</v>
      </c>
      <c r="D10291">
        <v>0</v>
      </c>
    </row>
    <row r="10292" spans="1:4" hidden="1" x14ac:dyDescent="0.3">
      <c r="A10292" t="s">
        <v>820</v>
      </c>
      <c r="B10292" t="s">
        <v>83</v>
      </c>
      <c r="C10292" s="1">
        <f>HYPERLINK("https://cao.dolgi.msk.ru/account/1010268128/", 1010268128)</f>
        <v>1010268128</v>
      </c>
      <c r="D10292">
        <v>0</v>
      </c>
    </row>
    <row r="10293" spans="1:4" hidden="1" x14ac:dyDescent="0.3">
      <c r="A10293" t="s">
        <v>820</v>
      </c>
      <c r="B10293" t="s">
        <v>84</v>
      </c>
      <c r="C10293" s="1">
        <f>HYPERLINK("https://cao.dolgi.msk.ru/account/1010268136/", 1010268136)</f>
        <v>1010268136</v>
      </c>
      <c r="D10293">
        <v>0</v>
      </c>
    </row>
    <row r="10294" spans="1:4" hidden="1" x14ac:dyDescent="0.3">
      <c r="A10294" t="s">
        <v>820</v>
      </c>
      <c r="B10294" t="s">
        <v>85</v>
      </c>
      <c r="C10294" s="1">
        <f>HYPERLINK("https://cao.dolgi.msk.ru/account/1010268144/", 1010268144)</f>
        <v>1010268144</v>
      </c>
      <c r="D10294">
        <v>-3072.58</v>
      </c>
    </row>
    <row r="10295" spans="1:4" hidden="1" x14ac:dyDescent="0.3">
      <c r="A10295" t="s">
        <v>820</v>
      </c>
      <c r="B10295" t="s">
        <v>102</v>
      </c>
      <c r="C10295" s="1">
        <f>HYPERLINK("https://cao.dolgi.msk.ru/account/1010268152/", 1010268152)</f>
        <v>1010268152</v>
      </c>
      <c r="D10295">
        <v>-100.44</v>
      </c>
    </row>
    <row r="10296" spans="1:4" hidden="1" x14ac:dyDescent="0.3">
      <c r="A10296" t="s">
        <v>820</v>
      </c>
      <c r="B10296" t="s">
        <v>103</v>
      </c>
      <c r="C10296" s="1">
        <f>HYPERLINK("https://cao.dolgi.msk.ru/account/1010268179/", 1010268179)</f>
        <v>1010268179</v>
      </c>
      <c r="D10296">
        <v>-158.31</v>
      </c>
    </row>
    <row r="10297" spans="1:4" hidden="1" x14ac:dyDescent="0.3">
      <c r="A10297" t="s">
        <v>820</v>
      </c>
      <c r="B10297" t="s">
        <v>103</v>
      </c>
      <c r="C10297" s="1">
        <f>HYPERLINK("https://cao.dolgi.msk.ru/account/1010268187/", 1010268187)</f>
        <v>1010268187</v>
      </c>
      <c r="D10297">
        <v>-77.02</v>
      </c>
    </row>
    <row r="10298" spans="1:4" hidden="1" x14ac:dyDescent="0.3">
      <c r="A10298" t="s">
        <v>820</v>
      </c>
      <c r="B10298" t="s">
        <v>104</v>
      </c>
      <c r="C10298" s="1">
        <f>HYPERLINK("https://cao.dolgi.msk.ru/account/1010268195/", 1010268195)</f>
        <v>1010268195</v>
      </c>
      <c r="D10298">
        <v>-4933.47</v>
      </c>
    </row>
    <row r="10299" spans="1:4" hidden="1" x14ac:dyDescent="0.3">
      <c r="A10299" t="s">
        <v>820</v>
      </c>
      <c r="B10299" t="s">
        <v>105</v>
      </c>
      <c r="C10299" s="1">
        <f>HYPERLINK("https://cao.dolgi.msk.ru/account/1010268208/", 1010268208)</f>
        <v>1010268208</v>
      </c>
      <c r="D10299">
        <v>0</v>
      </c>
    </row>
    <row r="10300" spans="1:4" hidden="1" x14ac:dyDescent="0.3">
      <c r="A10300" t="s">
        <v>820</v>
      </c>
      <c r="B10300" t="s">
        <v>106</v>
      </c>
      <c r="C10300" s="1">
        <f>HYPERLINK("https://cao.dolgi.msk.ru/account/1010268216/", 1010268216)</f>
        <v>1010268216</v>
      </c>
      <c r="D10300">
        <v>-5227.62</v>
      </c>
    </row>
    <row r="10301" spans="1:4" hidden="1" x14ac:dyDescent="0.3">
      <c r="A10301" t="s">
        <v>820</v>
      </c>
      <c r="B10301" t="s">
        <v>107</v>
      </c>
      <c r="C10301" s="1">
        <f>HYPERLINK("https://cao.dolgi.msk.ru/account/1011013717/", 1011013717)</f>
        <v>1011013717</v>
      </c>
      <c r="D10301">
        <v>-4536.2700000000004</v>
      </c>
    </row>
    <row r="10302" spans="1:4" hidden="1" x14ac:dyDescent="0.3">
      <c r="A10302" t="s">
        <v>820</v>
      </c>
      <c r="B10302" t="s">
        <v>108</v>
      </c>
      <c r="C10302" s="1">
        <f>HYPERLINK("https://cao.dolgi.msk.ru/account/1010268232/", 1010268232)</f>
        <v>1010268232</v>
      </c>
      <c r="D10302">
        <v>0</v>
      </c>
    </row>
    <row r="10303" spans="1:4" x14ac:dyDescent="0.3">
      <c r="A10303" t="s">
        <v>820</v>
      </c>
      <c r="B10303" t="s">
        <v>109</v>
      </c>
      <c r="C10303" s="1">
        <f>HYPERLINK("https://cao.dolgi.msk.ru/account/1010268259/", 1010268259)</f>
        <v>1010268259</v>
      </c>
      <c r="D10303">
        <v>131603.34</v>
      </c>
    </row>
    <row r="10304" spans="1:4" hidden="1" x14ac:dyDescent="0.3">
      <c r="A10304" t="s">
        <v>820</v>
      </c>
      <c r="B10304" t="s">
        <v>109</v>
      </c>
      <c r="C10304" s="1">
        <f>HYPERLINK("https://cao.dolgi.msk.ru/account/1010268267/", 1010268267)</f>
        <v>1010268267</v>
      </c>
      <c r="D10304">
        <v>-5.39</v>
      </c>
    </row>
    <row r="10305" spans="1:4" hidden="1" x14ac:dyDescent="0.3">
      <c r="A10305" t="s">
        <v>820</v>
      </c>
      <c r="B10305" t="s">
        <v>110</v>
      </c>
      <c r="C10305" s="1">
        <f>HYPERLINK("https://cao.dolgi.msk.ru/account/1010268275/", 1010268275)</f>
        <v>1010268275</v>
      </c>
      <c r="D10305">
        <v>-735.31</v>
      </c>
    </row>
    <row r="10306" spans="1:4" hidden="1" x14ac:dyDescent="0.3">
      <c r="A10306" t="s">
        <v>820</v>
      </c>
      <c r="B10306" t="s">
        <v>110</v>
      </c>
      <c r="C10306" s="1">
        <f>HYPERLINK("https://cao.dolgi.msk.ru/account/1011061292/", 1011061292)</f>
        <v>1011061292</v>
      </c>
      <c r="D10306">
        <v>-5452.21</v>
      </c>
    </row>
    <row r="10307" spans="1:4" hidden="1" x14ac:dyDescent="0.3">
      <c r="A10307" t="s">
        <v>820</v>
      </c>
      <c r="B10307" t="s">
        <v>111</v>
      </c>
      <c r="C10307" s="1">
        <f>HYPERLINK("https://cao.dolgi.msk.ru/account/1010268283/", 1010268283)</f>
        <v>1010268283</v>
      </c>
      <c r="D10307">
        <v>0</v>
      </c>
    </row>
    <row r="10308" spans="1:4" hidden="1" x14ac:dyDescent="0.3">
      <c r="A10308" t="s">
        <v>820</v>
      </c>
      <c r="B10308" t="s">
        <v>112</v>
      </c>
      <c r="C10308" s="1">
        <f>HYPERLINK("https://cao.dolgi.msk.ru/account/1010268304/", 1010268304)</f>
        <v>1010268304</v>
      </c>
      <c r="D10308">
        <v>0</v>
      </c>
    </row>
    <row r="10309" spans="1:4" hidden="1" x14ac:dyDescent="0.3">
      <c r="A10309" t="s">
        <v>820</v>
      </c>
      <c r="B10309" t="s">
        <v>113</v>
      </c>
      <c r="C10309" s="1">
        <f>HYPERLINK("https://cao.dolgi.msk.ru/account/1010268312/", 1010268312)</f>
        <v>1010268312</v>
      </c>
      <c r="D10309">
        <v>-6442.8</v>
      </c>
    </row>
    <row r="10310" spans="1:4" hidden="1" x14ac:dyDescent="0.3">
      <c r="A10310" t="s">
        <v>820</v>
      </c>
      <c r="B10310" t="s">
        <v>114</v>
      </c>
      <c r="C10310" s="1">
        <f>HYPERLINK("https://cao.dolgi.msk.ru/account/1011542483/", 1011542483)</f>
        <v>1011542483</v>
      </c>
      <c r="D10310">
        <v>-4767.05</v>
      </c>
    </row>
    <row r="10311" spans="1:4" hidden="1" x14ac:dyDescent="0.3">
      <c r="A10311" t="s">
        <v>820</v>
      </c>
      <c r="B10311" t="s">
        <v>115</v>
      </c>
      <c r="C10311" s="1">
        <f>HYPERLINK("https://cao.dolgi.msk.ru/account/1011065234/", 1011065234)</f>
        <v>1011065234</v>
      </c>
      <c r="D10311">
        <v>0</v>
      </c>
    </row>
    <row r="10312" spans="1:4" hidden="1" x14ac:dyDescent="0.3">
      <c r="A10312" t="s">
        <v>820</v>
      </c>
      <c r="B10312" t="s">
        <v>116</v>
      </c>
      <c r="C10312" s="1">
        <f>HYPERLINK("https://cao.dolgi.msk.ru/account/1010268355/", 1010268355)</f>
        <v>1010268355</v>
      </c>
      <c r="D10312">
        <v>-72.510000000000005</v>
      </c>
    </row>
    <row r="10313" spans="1:4" hidden="1" x14ac:dyDescent="0.3">
      <c r="A10313" t="s">
        <v>820</v>
      </c>
      <c r="B10313" t="s">
        <v>266</v>
      </c>
      <c r="C10313" s="1">
        <f>HYPERLINK("https://cao.dolgi.msk.ru/account/1010268363/", 1010268363)</f>
        <v>1010268363</v>
      </c>
      <c r="D10313">
        <v>-77.88</v>
      </c>
    </row>
    <row r="10314" spans="1:4" hidden="1" x14ac:dyDescent="0.3">
      <c r="A10314" t="s">
        <v>820</v>
      </c>
      <c r="B10314" t="s">
        <v>117</v>
      </c>
      <c r="C10314" s="1">
        <f>HYPERLINK("https://cao.dolgi.msk.ru/account/1010268371/", 1010268371)</f>
        <v>1010268371</v>
      </c>
      <c r="D10314">
        <v>-16011.79</v>
      </c>
    </row>
    <row r="10315" spans="1:4" hidden="1" x14ac:dyDescent="0.3">
      <c r="A10315" t="s">
        <v>820</v>
      </c>
      <c r="B10315" t="s">
        <v>118</v>
      </c>
      <c r="C10315" s="1">
        <f>HYPERLINK("https://cao.dolgi.msk.ru/account/1019010828/", 1019010828)</f>
        <v>1019010828</v>
      </c>
      <c r="D10315">
        <v>-246.27</v>
      </c>
    </row>
    <row r="10316" spans="1:4" hidden="1" x14ac:dyDescent="0.3">
      <c r="A10316" t="s">
        <v>820</v>
      </c>
      <c r="B10316" t="s">
        <v>119</v>
      </c>
      <c r="C10316" s="1">
        <f>HYPERLINK("https://cao.dolgi.msk.ru/account/1010268419/", 1010268419)</f>
        <v>1010268419</v>
      </c>
      <c r="D10316">
        <v>-8.64</v>
      </c>
    </row>
    <row r="10317" spans="1:4" hidden="1" x14ac:dyDescent="0.3">
      <c r="A10317" t="s">
        <v>820</v>
      </c>
      <c r="B10317" t="s">
        <v>120</v>
      </c>
      <c r="C10317" s="1">
        <f>HYPERLINK("https://cao.dolgi.msk.ru/account/1010268638/", 1010268638)</f>
        <v>1010268638</v>
      </c>
      <c r="D10317">
        <v>-2644.08</v>
      </c>
    </row>
    <row r="10318" spans="1:4" hidden="1" x14ac:dyDescent="0.3">
      <c r="A10318" t="s">
        <v>820</v>
      </c>
      <c r="B10318" t="s">
        <v>120</v>
      </c>
      <c r="C10318" s="1">
        <f>HYPERLINK("https://cao.dolgi.msk.ru/account/1010268646/", 1010268646)</f>
        <v>1010268646</v>
      </c>
      <c r="D10318">
        <v>-3541.88</v>
      </c>
    </row>
    <row r="10319" spans="1:4" hidden="1" x14ac:dyDescent="0.3">
      <c r="A10319" t="s">
        <v>820</v>
      </c>
      <c r="B10319" t="s">
        <v>120</v>
      </c>
      <c r="C10319" s="1">
        <f>HYPERLINK("https://cao.dolgi.msk.ru/account/1010268654/", 1010268654)</f>
        <v>1010268654</v>
      </c>
      <c r="D10319">
        <v>-2464.2800000000002</v>
      </c>
    </row>
    <row r="10320" spans="1:4" hidden="1" x14ac:dyDescent="0.3">
      <c r="A10320" t="s">
        <v>820</v>
      </c>
      <c r="B10320" t="s">
        <v>121</v>
      </c>
      <c r="C10320" s="1">
        <f>HYPERLINK("https://cao.dolgi.msk.ru/account/1010273402/", 1010273402)</f>
        <v>1010273402</v>
      </c>
      <c r="D10320">
        <v>-52.25</v>
      </c>
    </row>
    <row r="10321" spans="1:4" hidden="1" x14ac:dyDescent="0.3">
      <c r="A10321" t="s">
        <v>820</v>
      </c>
      <c r="B10321" t="s">
        <v>122</v>
      </c>
      <c r="C10321" s="1">
        <f>HYPERLINK("https://cao.dolgi.msk.ru/account/1010268662/", 1010268662)</f>
        <v>1010268662</v>
      </c>
      <c r="D10321">
        <v>-13743.55</v>
      </c>
    </row>
    <row r="10322" spans="1:4" hidden="1" x14ac:dyDescent="0.3">
      <c r="A10322" t="s">
        <v>820</v>
      </c>
      <c r="B10322" t="s">
        <v>123</v>
      </c>
      <c r="C10322" s="1">
        <f>HYPERLINK("https://cao.dolgi.msk.ru/account/1010268689/", 1010268689)</f>
        <v>1010268689</v>
      </c>
      <c r="D10322">
        <v>-9264.11</v>
      </c>
    </row>
    <row r="10323" spans="1:4" hidden="1" x14ac:dyDescent="0.3">
      <c r="A10323" t="s">
        <v>820</v>
      </c>
      <c r="B10323" t="s">
        <v>124</v>
      </c>
      <c r="C10323" s="1">
        <f>HYPERLINK("https://cao.dolgi.msk.ru/account/1010268697/", 1010268697)</f>
        <v>1010268697</v>
      </c>
      <c r="D10323">
        <v>-6076.95</v>
      </c>
    </row>
    <row r="10324" spans="1:4" hidden="1" x14ac:dyDescent="0.3">
      <c r="A10324" t="s">
        <v>820</v>
      </c>
      <c r="B10324" t="s">
        <v>125</v>
      </c>
      <c r="C10324" s="1">
        <f>HYPERLINK("https://cao.dolgi.msk.ru/account/1010268718/", 1010268718)</f>
        <v>1010268718</v>
      </c>
      <c r="D10324">
        <v>-121.59</v>
      </c>
    </row>
    <row r="10325" spans="1:4" hidden="1" x14ac:dyDescent="0.3">
      <c r="A10325" t="s">
        <v>820</v>
      </c>
      <c r="B10325" t="s">
        <v>126</v>
      </c>
      <c r="C10325" s="1">
        <f>HYPERLINK("https://cao.dolgi.msk.ru/account/1010268726/", 1010268726)</f>
        <v>1010268726</v>
      </c>
      <c r="D10325">
        <v>-14.69</v>
      </c>
    </row>
    <row r="10326" spans="1:4" hidden="1" x14ac:dyDescent="0.3">
      <c r="A10326" t="s">
        <v>820</v>
      </c>
      <c r="B10326" t="s">
        <v>127</v>
      </c>
      <c r="C10326" s="1">
        <f>HYPERLINK("https://cao.dolgi.msk.ru/account/1010268734/", 1010268734)</f>
        <v>1010268734</v>
      </c>
      <c r="D10326">
        <v>-90</v>
      </c>
    </row>
    <row r="10327" spans="1:4" hidden="1" x14ac:dyDescent="0.3">
      <c r="A10327" t="s">
        <v>820</v>
      </c>
      <c r="B10327" t="s">
        <v>262</v>
      </c>
      <c r="C10327" s="1">
        <f>HYPERLINK("https://cao.dolgi.msk.ru/account/1010268742/", 1010268742)</f>
        <v>1010268742</v>
      </c>
      <c r="D10327">
        <v>-906.17</v>
      </c>
    </row>
    <row r="10328" spans="1:4" x14ac:dyDescent="0.3">
      <c r="A10328" t="s">
        <v>820</v>
      </c>
      <c r="B10328" t="s">
        <v>128</v>
      </c>
      <c r="C10328" s="1">
        <f>HYPERLINK("https://cao.dolgi.msk.ru/account/1010268769/", 1010268769)</f>
        <v>1010268769</v>
      </c>
      <c r="D10328">
        <v>6492.66</v>
      </c>
    </row>
    <row r="10329" spans="1:4" hidden="1" x14ac:dyDescent="0.3">
      <c r="A10329" t="s">
        <v>820</v>
      </c>
      <c r="B10329" t="s">
        <v>129</v>
      </c>
      <c r="C10329" s="1">
        <f>HYPERLINK("https://cao.dolgi.msk.ru/account/1010268777/", 1010268777)</f>
        <v>1010268777</v>
      </c>
      <c r="D10329">
        <v>0</v>
      </c>
    </row>
    <row r="10330" spans="1:4" hidden="1" x14ac:dyDescent="0.3">
      <c r="A10330" t="s">
        <v>820</v>
      </c>
      <c r="B10330" t="s">
        <v>130</v>
      </c>
      <c r="C10330" s="1">
        <f>HYPERLINK("https://cao.dolgi.msk.ru/account/1010268793/", 1010268793)</f>
        <v>1010268793</v>
      </c>
      <c r="D10330">
        <v>0</v>
      </c>
    </row>
    <row r="10331" spans="1:4" hidden="1" x14ac:dyDescent="0.3">
      <c r="A10331" t="s">
        <v>820</v>
      </c>
      <c r="B10331" t="s">
        <v>131</v>
      </c>
      <c r="C10331" s="1">
        <f>HYPERLINK("https://cao.dolgi.msk.ru/account/1010268806/", 1010268806)</f>
        <v>1010268806</v>
      </c>
      <c r="D10331">
        <v>-2723.88</v>
      </c>
    </row>
    <row r="10332" spans="1:4" hidden="1" x14ac:dyDescent="0.3">
      <c r="A10332" t="s">
        <v>820</v>
      </c>
      <c r="B10332" t="s">
        <v>132</v>
      </c>
      <c r="C10332" s="1">
        <f>HYPERLINK("https://cao.dolgi.msk.ru/account/1010268814/", 1010268814)</f>
        <v>1010268814</v>
      </c>
      <c r="D10332">
        <v>0</v>
      </c>
    </row>
    <row r="10333" spans="1:4" hidden="1" x14ac:dyDescent="0.3">
      <c r="A10333" t="s">
        <v>820</v>
      </c>
      <c r="B10333" t="s">
        <v>133</v>
      </c>
      <c r="C10333" s="1">
        <f>HYPERLINK("https://cao.dolgi.msk.ru/account/1010268822/", 1010268822)</f>
        <v>1010268822</v>
      </c>
      <c r="D10333">
        <v>-2619.71</v>
      </c>
    </row>
    <row r="10334" spans="1:4" hidden="1" x14ac:dyDescent="0.3">
      <c r="A10334" t="s">
        <v>820</v>
      </c>
      <c r="B10334" t="s">
        <v>134</v>
      </c>
      <c r="C10334" s="1">
        <f>HYPERLINK("https://cao.dolgi.msk.ru/account/1010268849/", 1010268849)</f>
        <v>1010268849</v>
      </c>
      <c r="D10334">
        <v>0</v>
      </c>
    </row>
    <row r="10335" spans="1:4" x14ac:dyDescent="0.3">
      <c r="A10335" t="s">
        <v>820</v>
      </c>
      <c r="B10335" t="s">
        <v>135</v>
      </c>
      <c r="C10335" s="1">
        <f>HYPERLINK("https://cao.dolgi.msk.ru/account/1010268857/", 1010268857)</f>
        <v>1010268857</v>
      </c>
      <c r="D10335">
        <v>14414.98</v>
      </c>
    </row>
    <row r="10336" spans="1:4" hidden="1" x14ac:dyDescent="0.3">
      <c r="A10336" t="s">
        <v>820</v>
      </c>
      <c r="B10336" t="s">
        <v>264</v>
      </c>
      <c r="C10336" s="1">
        <f>HYPERLINK("https://cao.dolgi.msk.ru/account/1010268865/", 1010268865)</f>
        <v>1010268865</v>
      </c>
      <c r="D10336">
        <v>-215.22</v>
      </c>
    </row>
    <row r="10337" spans="1:4" hidden="1" x14ac:dyDescent="0.3">
      <c r="A10337" t="s">
        <v>820</v>
      </c>
      <c r="B10337" t="s">
        <v>136</v>
      </c>
      <c r="C10337" s="1">
        <f>HYPERLINK("https://cao.dolgi.msk.ru/account/1010268873/", 1010268873)</f>
        <v>1010268873</v>
      </c>
      <c r="D10337">
        <v>-8368.4599999999991</v>
      </c>
    </row>
    <row r="10338" spans="1:4" hidden="1" x14ac:dyDescent="0.3">
      <c r="A10338" t="s">
        <v>820</v>
      </c>
      <c r="B10338" t="s">
        <v>137</v>
      </c>
      <c r="C10338" s="1">
        <f>HYPERLINK("https://cao.dolgi.msk.ru/account/1010268881/", 1010268881)</f>
        <v>1010268881</v>
      </c>
      <c r="D10338">
        <v>0</v>
      </c>
    </row>
    <row r="10339" spans="1:4" hidden="1" x14ac:dyDescent="0.3">
      <c r="A10339" t="s">
        <v>820</v>
      </c>
      <c r="B10339" t="s">
        <v>138</v>
      </c>
      <c r="C10339" s="1">
        <f>HYPERLINK("https://cao.dolgi.msk.ru/account/1010268902/", 1010268902)</f>
        <v>1010268902</v>
      </c>
      <c r="D10339">
        <v>0</v>
      </c>
    </row>
    <row r="10340" spans="1:4" hidden="1" x14ac:dyDescent="0.3">
      <c r="A10340" t="s">
        <v>820</v>
      </c>
      <c r="B10340" t="s">
        <v>139</v>
      </c>
      <c r="C10340" s="1">
        <f>HYPERLINK("https://cao.dolgi.msk.ru/account/1010268929/", 1010268929)</f>
        <v>1010268929</v>
      </c>
      <c r="D10340">
        <v>0</v>
      </c>
    </row>
    <row r="10341" spans="1:4" hidden="1" x14ac:dyDescent="0.3">
      <c r="A10341" t="s">
        <v>820</v>
      </c>
      <c r="B10341" t="s">
        <v>140</v>
      </c>
      <c r="C10341" s="1">
        <f>HYPERLINK("https://cao.dolgi.msk.ru/account/1010268937/", 1010268937)</f>
        <v>1010268937</v>
      </c>
      <c r="D10341">
        <v>0</v>
      </c>
    </row>
    <row r="10342" spans="1:4" hidden="1" x14ac:dyDescent="0.3">
      <c r="A10342" t="s">
        <v>820</v>
      </c>
      <c r="B10342" t="s">
        <v>141</v>
      </c>
      <c r="C10342" s="1">
        <f>HYPERLINK("https://cao.dolgi.msk.ru/account/1010268988/", 1010268988)</f>
        <v>1010268988</v>
      </c>
      <c r="D10342">
        <v>-19351.11</v>
      </c>
    </row>
    <row r="10343" spans="1:4" hidden="1" x14ac:dyDescent="0.3">
      <c r="A10343" t="s">
        <v>820</v>
      </c>
      <c r="B10343" t="s">
        <v>142</v>
      </c>
      <c r="C10343" s="1">
        <f>HYPERLINK("https://cao.dolgi.msk.ru/account/1010269008/", 1010269008)</f>
        <v>1010269008</v>
      </c>
      <c r="D10343">
        <v>-2593.67</v>
      </c>
    </row>
    <row r="10344" spans="1:4" hidden="1" x14ac:dyDescent="0.3">
      <c r="A10344" t="s">
        <v>820</v>
      </c>
      <c r="B10344" t="s">
        <v>143</v>
      </c>
      <c r="C10344" s="1">
        <f>HYPERLINK("https://cao.dolgi.msk.ru/account/1010269016/", 1010269016)</f>
        <v>1010269016</v>
      </c>
      <c r="D10344">
        <v>0</v>
      </c>
    </row>
    <row r="10345" spans="1:4" hidden="1" x14ac:dyDescent="0.3">
      <c r="A10345" t="s">
        <v>820</v>
      </c>
      <c r="B10345" t="s">
        <v>144</v>
      </c>
      <c r="C10345" s="1">
        <f>HYPERLINK("https://cao.dolgi.msk.ru/account/1010268603/", 1010268603)</f>
        <v>1010268603</v>
      </c>
      <c r="D10345">
        <v>-5851.73</v>
      </c>
    </row>
    <row r="10346" spans="1:4" hidden="1" x14ac:dyDescent="0.3">
      <c r="A10346" t="s">
        <v>820</v>
      </c>
      <c r="B10346" t="s">
        <v>145</v>
      </c>
      <c r="C10346" s="1">
        <f>HYPERLINK("https://cao.dolgi.msk.ru/account/1010269024/", 1010269024)</f>
        <v>1010269024</v>
      </c>
      <c r="D10346">
        <v>-2143.81</v>
      </c>
    </row>
    <row r="10347" spans="1:4" hidden="1" x14ac:dyDescent="0.3">
      <c r="A10347" t="s">
        <v>820</v>
      </c>
      <c r="B10347" t="s">
        <v>146</v>
      </c>
      <c r="C10347" s="1">
        <f>HYPERLINK("https://cao.dolgi.msk.ru/account/1010269032/", 1010269032)</f>
        <v>1010269032</v>
      </c>
      <c r="D10347">
        <v>0</v>
      </c>
    </row>
    <row r="10348" spans="1:4" hidden="1" x14ac:dyDescent="0.3">
      <c r="A10348" t="s">
        <v>820</v>
      </c>
      <c r="B10348" t="s">
        <v>146</v>
      </c>
      <c r="C10348" s="1">
        <f>HYPERLINK("https://cao.dolgi.msk.ru/account/1019026803/", 1019026803)</f>
        <v>1019026803</v>
      </c>
      <c r="D10348">
        <v>0</v>
      </c>
    </row>
    <row r="10349" spans="1:4" hidden="1" x14ac:dyDescent="0.3">
      <c r="A10349" t="s">
        <v>820</v>
      </c>
      <c r="B10349" t="s">
        <v>147</v>
      </c>
      <c r="C10349" s="1">
        <f>HYPERLINK("https://cao.dolgi.msk.ru/account/1010269059/", 1010269059)</f>
        <v>1010269059</v>
      </c>
      <c r="D10349">
        <v>0</v>
      </c>
    </row>
    <row r="10350" spans="1:4" hidden="1" x14ac:dyDescent="0.3">
      <c r="A10350" t="s">
        <v>820</v>
      </c>
      <c r="B10350" t="s">
        <v>148</v>
      </c>
      <c r="C10350" s="1">
        <f>HYPERLINK("https://cao.dolgi.msk.ru/account/1010269067/", 1010269067)</f>
        <v>1010269067</v>
      </c>
      <c r="D10350">
        <v>0</v>
      </c>
    </row>
    <row r="10351" spans="1:4" hidden="1" x14ac:dyDescent="0.3">
      <c r="A10351" t="s">
        <v>820</v>
      </c>
      <c r="B10351" t="s">
        <v>149</v>
      </c>
      <c r="C10351" s="1">
        <f>HYPERLINK("https://cao.dolgi.msk.ru/account/1010269075/", 1010269075)</f>
        <v>1010269075</v>
      </c>
      <c r="D10351">
        <v>0</v>
      </c>
    </row>
    <row r="10352" spans="1:4" x14ac:dyDescent="0.3">
      <c r="A10352" t="s">
        <v>820</v>
      </c>
      <c r="B10352" t="s">
        <v>150</v>
      </c>
      <c r="C10352" s="1">
        <f>HYPERLINK("https://cao.dolgi.msk.ru/account/1010269083/", 1010269083)</f>
        <v>1010269083</v>
      </c>
      <c r="D10352">
        <v>34671.599999999999</v>
      </c>
    </row>
    <row r="10353" spans="1:4" hidden="1" x14ac:dyDescent="0.3">
      <c r="A10353" t="s">
        <v>820</v>
      </c>
      <c r="B10353" t="s">
        <v>151</v>
      </c>
      <c r="C10353" s="1">
        <f>HYPERLINK("https://cao.dolgi.msk.ru/account/1010269091/", 1010269091)</f>
        <v>1010269091</v>
      </c>
      <c r="D10353">
        <v>-1128.77</v>
      </c>
    </row>
    <row r="10354" spans="1:4" hidden="1" x14ac:dyDescent="0.3">
      <c r="A10354" t="s">
        <v>820</v>
      </c>
      <c r="B10354" t="s">
        <v>152</v>
      </c>
      <c r="C10354" s="1">
        <f>HYPERLINK("https://cao.dolgi.msk.ru/account/1010269104/", 1010269104)</f>
        <v>1010269104</v>
      </c>
      <c r="D10354">
        <v>-205.46</v>
      </c>
    </row>
    <row r="10355" spans="1:4" hidden="1" x14ac:dyDescent="0.3">
      <c r="A10355" t="s">
        <v>820</v>
      </c>
      <c r="B10355" t="s">
        <v>153</v>
      </c>
      <c r="C10355" s="1">
        <f>HYPERLINK("https://cao.dolgi.msk.ru/account/1010269112/", 1010269112)</f>
        <v>1010269112</v>
      </c>
      <c r="D10355">
        <v>-1115.06</v>
      </c>
    </row>
    <row r="10356" spans="1:4" hidden="1" x14ac:dyDescent="0.3">
      <c r="A10356" t="s">
        <v>820</v>
      </c>
      <c r="B10356" t="s">
        <v>154</v>
      </c>
      <c r="C10356" s="1">
        <f>HYPERLINK("https://cao.dolgi.msk.ru/account/1010269139/", 1010269139)</f>
        <v>1010269139</v>
      </c>
      <c r="D10356">
        <v>0</v>
      </c>
    </row>
    <row r="10357" spans="1:4" hidden="1" x14ac:dyDescent="0.3">
      <c r="A10357" t="s">
        <v>820</v>
      </c>
      <c r="B10357" t="s">
        <v>155</v>
      </c>
      <c r="C10357" s="1">
        <f>HYPERLINK("https://cao.dolgi.msk.ru/account/1010269147/", 1010269147)</f>
        <v>1010269147</v>
      </c>
      <c r="D10357">
        <v>-138.96</v>
      </c>
    </row>
    <row r="10358" spans="1:4" hidden="1" x14ac:dyDescent="0.3">
      <c r="A10358" t="s">
        <v>820</v>
      </c>
      <c r="B10358" t="s">
        <v>156</v>
      </c>
      <c r="C10358" s="1">
        <f>HYPERLINK("https://cao.dolgi.msk.ru/account/1010269155/", 1010269155)</f>
        <v>1010269155</v>
      </c>
      <c r="D10358">
        <v>0</v>
      </c>
    </row>
    <row r="10359" spans="1:4" hidden="1" x14ac:dyDescent="0.3">
      <c r="A10359" t="s">
        <v>820</v>
      </c>
      <c r="B10359" t="s">
        <v>157</v>
      </c>
      <c r="C10359" s="1">
        <f>HYPERLINK("https://cao.dolgi.msk.ru/account/1010269235/", 1010269235)</f>
        <v>1010269235</v>
      </c>
      <c r="D10359">
        <v>-8850.9500000000007</v>
      </c>
    </row>
    <row r="10360" spans="1:4" x14ac:dyDescent="0.3">
      <c r="A10360" t="s">
        <v>820</v>
      </c>
      <c r="B10360" t="s">
        <v>158</v>
      </c>
      <c r="C10360" s="1">
        <f>HYPERLINK("https://cao.dolgi.msk.ru/account/1011514183/", 1011514183)</f>
        <v>1011514183</v>
      </c>
      <c r="D10360">
        <v>5928.68</v>
      </c>
    </row>
    <row r="10361" spans="1:4" hidden="1" x14ac:dyDescent="0.3">
      <c r="A10361" t="s">
        <v>820</v>
      </c>
      <c r="B10361" t="s">
        <v>159</v>
      </c>
      <c r="C10361" s="1">
        <f>HYPERLINK("https://cao.dolgi.msk.ru/account/1010268478/", 1010268478)</f>
        <v>1010268478</v>
      </c>
      <c r="D10361">
        <v>0</v>
      </c>
    </row>
    <row r="10362" spans="1:4" hidden="1" x14ac:dyDescent="0.3">
      <c r="A10362" t="s">
        <v>820</v>
      </c>
      <c r="B10362" t="s">
        <v>160</v>
      </c>
      <c r="C10362" s="1">
        <f>HYPERLINK("https://cao.dolgi.msk.ru/account/1010269286/", 1010269286)</f>
        <v>1010269286</v>
      </c>
      <c r="D10362">
        <v>0</v>
      </c>
    </row>
    <row r="10363" spans="1:4" hidden="1" x14ac:dyDescent="0.3">
      <c r="A10363" t="s">
        <v>820</v>
      </c>
      <c r="B10363" t="s">
        <v>161</v>
      </c>
      <c r="C10363" s="1">
        <f>HYPERLINK("https://cao.dolgi.msk.ru/account/1010269294/", 1010269294)</f>
        <v>1010269294</v>
      </c>
      <c r="D10363">
        <v>0</v>
      </c>
    </row>
    <row r="10364" spans="1:4" hidden="1" x14ac:dyDescent="0.3">
      <c r="A10364" t="s">
        <v>820</v>
      </c>
      <c r="B10364" t="s">
        <v>162</v>
      </c>
      <c r="C10364" s="1">
        <f>HYPERLINK("https://cao.dolgi.msk.ru/account/1010269307/", 1010269307)</f>
        <v>1010269307</v>
      </c>
      <c r="D10364">
        <v>0</v>
      </c>
    </row>
    <row r="10365" spans="1:4" hidden="1" x14ac:dyDescent="0.3">
      <c r="A10365" t="s">
        <v>820</v>
      </c>
      <c r="B10365" t="s">
        <v>163</v>
      </c>
      <c r="C10365" s="1">
        <f>HYPERLINK("https://cao.dolgi.msk.ru/account/1011124126/", 1011124126)</f>
        <v>1011124126</v>
      </c>
      <c r="D10365">
        <v>-7183.35</v>
      </c>
    </row>
    <row r="10366" spans="1:4" hidden="1" x14ac:dyDescent="0.3">
      <c r="A10366" t="s">
        <v>820</v>
      </c>
      <c r="B10366" t="s">
        <v>164</v>
      </c>
      <c r="C10366" s="1">
        <f>HYPERLINK("https://cao.dolgi.msk.ru/account/1010269331/", 1010269331)</f>
        <v>1010269331</v>
      </c>
      <c r="D10366">
        <v>0</v>
      </c>
    </row>
    <row r="10367" spans="1:4" hidden="1" x14ac:dyDescent="0.3">
      <c r="A10367" t="s">
        <v>820</v>
      </c>
      <c r="B10367" t="s">
        <v>164</v>
      </c>
      <c r="C10367" s="1">
        <f>HYPERLINK("https://cao.dolgi.msk.ru/account/1019023741/", 1019023741)</f>
        <v>1019023741</v>
      </c>
      <c r="D10367">
        <v>0</v>
      </c>
    </row>
    <row r="10368" spans="1:4" hidden="1" x14ac:dyDescent="0.3">
      <c r="A10368" t="s">
        <v>820</v>
      </c>
      <c r="B10368" t="s">
        <v>165</v>
      </c>
      <c r="C10368" s="1">
        <f>HYPERLINK("https://cao.dolgi.msk.ru/account/1010269358/", 1010269358)</f>
        <v>1010269358</v>
      </c>
      <c r="D10368">
        <v>0</v>
      </c>
    </row>
    <row r="10369" spans="1:4" hidden="1" x14ac:dyDescent="0.3">
      <c r="A10369" t="s">
        <v>820</v>
      </c>
      <c r="B10369" t="s">
        <v>166</v>
      </c>
      <c r="C10369" s="1">
        <f>HYPERLINK("https://cao.dolgi.msk.ru/account/1010269366/", 1010269366)</f>
        <v>1010269366</v>
      </c>
      <c r="D10369">
        <v>0</v>
      </c>
    </row>
    <row r="10370" spans="1:4" hidden="1" x14ac:dyDescent="0.3">
      <c r="A10370" t="s">
        <v>820</v>
      </c>
      <c r="B10370" t="s">
        <v>167</v>
      </c>
      <c r="C10370" s="1">
        <f>HYPERLINK("https://cao.dolgi.msk.ru/account/1010269374/", 1010269374)</f>
        <v>1010269374</v>
      </c>
      <c r="D10370">
        <v>0</v>
      </c>
    </row>
    <row r="10371" spans="1:4" hidden="1" x14ac:dyDescent="0.3">
      <c r="A10371" t="s">
        <v>820</v>
      </c>
      <c r="B10371" t="s">
        <v>168</v>
      </c>
      <c r="C10371" s="1">
        <f>HYPERLINK("https://cao.dolgi.msk.ru/account/1010269382/", 1010269382)</f>
        <v>1010269382</v>
      </c>
      <c r="D10371">
        <v>-1436.76</v>
      </c>
    </row>
    <row r="10372" spans="1:4" hidden="1" x14ac:dyDescent="0.3">
      <c r="A10372" t="s">
        <v>820</v>
      </c>
      <c r="B10372" t="s">
        <v>168</v>
      </c>
      <c r="C10372" s="1">
        <f>HYPERLINK("https://cao.dolgi.msk.ru/account/1011116708/", 1011116708)</f>
        <v>1011116708</v>
      </c>
      <c r="D10372">
        <v>-900.26</v>
      </c>
    </row>
    <row r="10373" spans="1:4" hidden="1" x14ac:dyDescent="0.3">
      <c r="A10373" t="s">
        <v>820</v>
      </c>
      <c r="B10373" t="s">
        <v>169</v>
      </c>
      <c r="C10373" s="1">
        <f>HYPERLINK("https://cao.dolgi.msk.ru/account/1010269403/", 1010269403)</f>
        <v>1010269403</v>
      </c>
      <c r="D10373">
        <v>-16079.87</v>
      </c>
    </row>
    <row r="10374" spans="1:4" hidden="1" x14ac:dyDescent="0.3">
      <c r="A10374" t="s">
        <v>820</v>
      </c>
      <c r="B10374" t="s">
        <v>170</v>
      </c>
      <c r="C10374" s="1">
        <f>HYPERLINK("https://cao.dolgi.msk.ru/account/1010269411/", 1010269411)</f>
        <v>1010269411</v>
      </c>
      <c r="D10374">
        <v>-33.31</v>
      </c>
    </row>
    <row r="10375" spans="1:4" hidden="1" x14ac:dyDescent="0.3">
      <c r="A10375" t="s">
        <v>820</v>
      </c>
      <c r="B10375" t="s">
        <v>171</v>
      </c>
      <c r="C10375" s="1">
        <f>HYPERLINK("https://cao.dolgi.msk.ru/account/1010269438/", 1010269438)</f>
        <v>1010269438</v>
      </c>
      <c r="D10375">
        <v>-10486.49</v>
      </c>
    </row>
    <row r="10376" spans="1:4" hidden="1" x14ac:dyDescent="0.3">
      <c r="A10376" t="s">
        <v>820</v>
      </c>
      <c r="B10376" t="s">
        <v>172</v>
      </c>
      <c r="C10376" s="1">
        <f>HYPERLINK("https://cao.dolgi.msk.ru/account/1010269446/", 1010269446)</f>
        <v>1010269446</v>
      </c>
      <c r="D10376">
        <v>-8411.56</v>
      </c>
    </row>
    <row r="10377" spans="1:4" hidden="1" x14ac:dyDescent="0.3">
      <c r="A10377" t="s">
        <v>820</v>
      </c>
      <c r="B10377" t="s">
        <v>175</v>
      </c>
      <c r="C10377" s="1">
        <f>HYPERLINK("https://cao.dolgi.msk.ru/account/1010269171/", 1010269171)</f>
        <v>1010269171</v>
      </c>
      <c r="D10377">
        <v>0</v>
      </c>
    </row>
    <row r="10378" spans="1:4" x14ac:dyDescent="0.3">
      <c r="A10378" t="s">
        <v>820</v>
      </c>
      <c r="B10378" t="s">
        <v>176</v>
      </c>
      <c r="C10378" s="1">
        <f>HYPERLINK("https://cao.dolgi.msk.ru/account/1010270412/", 1010270412)</f>
        <v>1010270412</v>
      </c>
      <c r="D10378">
        <v>34976.94</v>
      </c>
    </row>
    <row r="10379" spans="1:4" hidden="1" x14ac:dyDescent="0.3">
      <c r="A10379" t="s">
        <v>820</v>
      </c>
      <c r="B10379" t="s">
        <v>177</v>
      </c>
      <c r="C10379" s="1">
        <f>HYPERLINK("https://cao.dolgi.msk.ru/account/1010270463/", 1010270463)</f>
        <v>1010270463</v>
      </c>
      <c r="D10379">
        <v>-702.11</v>
      </c>
    </row>
    <row r="10380" spans="1:4" hidden="1" x14ac:dyDescent="0.3">
      <c r="A10380" t="s">
        <v>820</v>
      </c>
      <c r="B10380" t="s">
        <v>178</v>
      </c>
      <c r="C10380" s="1">
        <f>HYPERLINK("https://cao.dolgi.msk.ru/account/1010270471/", 1010270471)</f>
        <v>1010270471</v>
      </c>
      <c r="D10380">
        <v>0</v>
      </c>
    </row>
    <row r="10381" spans="1:4" hidden="1" x14ac:dyDescent="0.3">
      <c r="A10381" t="s">
        <v>820</v>
      </c>
      <c r="B10381" t="s">
        <v>179</v>
      </c>
      <c r="C10381" s="1">
        <f>HYPERLINK("https://cao.dolgi.msk.ru/account/1010270498/", 1010270498)</f>
        <v>1010270498</v>
      </c>
      <c r="D10381">
        <v>-7389.12</v>
      </c>
    </row>
    <row r="10382" spans="1:4" hidden="1" x14ac:dyDescent="0.3">
      <c r="A10382" t="s">
        <v>820</v>
      </c>
      <c r="B10382" t="s">
        <v>273</v>
      </c>
      <c r="C10382" s="1">
        <f>HYPERLINK("https://cao.dolgi.msk.ru/account/1010270527/", 1010270527)</f>
        <v>1010270527</v>
      </c>
      <c r="D10382">
        <v>0</v>
      </c>
    </row>
    <row r="10383" spans="1:4" hidden="1" x14ac:dyDescent="0.3">
      <c r="A10383" t="s">
        <v>820</v>
      </c>
      <c r="B10383" t="s">
        <v>180</v>
      </c>
      <c r="C10383" s="1">
        <f>HYPERLINK("https://cao.dolgi.msk.ru/account/1010270535/", 1010270535)</f>
        <v>1010270535</v>
      </c>
      <c r="D10383">
        <v>-6816.35</v>
      </c>
    </row>
    <row r="10384" spans="1:4" hidden="1" x14ac:dyDescent="0.3">
      <c r="A10384" t="s">
        <v>820</v>
      </c>
      <c r="B10384" t="s">
        <v>181</v>
      </c>
      <c r="C10384" s="1">
        <f>HYPERLINK("https://cao.dolgi.msk.ru/account/1010270543/", 1010270543)</f>
        <v>1010270543</v>
      </c>
      <c r="D10384">
        <v>-625.79</v>
      </c>
    </row>
    <row r="10385" spans="1:4" x14ac:dyDescent="0.3">
      <c r="A10385" t="s">
        <v>820</v>
      </c>
      <c r="B10385" t="s">
        <v>182</v>
      </c>
      <c r="C10385" s="1">
        <f>HYPERLINK("https://cao.dolgi.msk.ru/account/1010270594/", 1010270594)</f>
        <v>1010270594</v>
      </c>
      <c r="D10385">
        <v>26081.55</v>
      </c>
    </row>
    <row r="10386" spans="1:4" hidden="1" x14ac:dyDescent="0.3">
      <c r="A10386" t="s">
        <v>820</v>
      </c>
      <c r="B10386" t="s">
        <v>183</v>
      </c>
      <c r="C10386" s="1">
        <f>HYPERLINK("https://cao.dolgi.msk.ru/account/1010268427/", 1010268427)</f>
        <v>1010268427</v>
      </c>
      <c r="D10386">
        <v>0</v>
      </c>
    </row>
    <row r="10387" spans="1:4" hidden="1" x14ac:dyDescent="0.3">
      <c r="A10387" t="s">
        <v>820</v>
      </c>
      <c r="B10387" t="s">
        <v>184</v>
      </c>
      <c r="C10387" s="1">
        <f>HYPERLINK("https://cao.dolgi.msk.ru/account/1010270607/", 1010270607)</f>
        <v>1010270607</v>
      </c>
      <c r="D10387">
        <v>0</v>
      </c>
    </row>
    <row r="10388" spans="1:4" x14ac:dyDescent="0.3">
      <c r="A10388" t="s">
        <v>820</v>
      </c>
      <c r="B10388" t="s">
        <v>185</v>
      </c>
      <c r="C10388" s="1">
        <f>HYPERLINK("https://cao.dolgi.msk.ru/account/1010270615/", 1010270615)</f>
        <v>1010270615</v>
      </c>
      <c r="D10388">
        <v>56.23</v>
      </c>
    </row>
    <row r="10389" spans="1:4" hidden="1" x14ac:dyDescent="0.3">
      <c r="A10389" t="s">
        <v>820</v>
      </c>
      <c r="B10389" t="s">
        <v>274</v>
      </c>
      <c r="C10389" s="1">
        <f>HYPERLINK("https://cao.dolgi.msk.ru/account/1010270623/", 1010270623)</f>
        <v>1010270623</v>
      </c>
      <c r="D10389">
        <v>0</v>
      </c>
    </row>
    <row r="10390" spans="1:4" hidden="1" x14ac:dyDescent="0.3">
      <c r="A10390" t="s">
        <v>820</v>
      </c>
      <c r="B10390" t="s">
        <v>186</v>
      </c>
      <c r="C10390" s="1">
        <f>HYPERLINK("https://cao.dolgi.msk.ru/account/1011060919/", 1011060919)</f>
        <v>1011060919</v>
      </c>
      <c r="D10390">
        <v>0</v>
      </c>
    </row>
    <row r="10391" spans="1:4" hidden="1" x14ac:dyDescent="0.3">
      <c r="A10391" t="s">
        <v>820</v>
      </c>
      <c r="B10391" t="s">
        <v>187</v>
      </c>
      <c r="C10391" s="1">
        <f>HYPERLINK("https://cao.dolgi.msk.ru/account/1010270666/", 1010270666)</f>
        <v>1010270666</v>
      </c>
      <c r="D10391">
        <v>-395.5</v>
      </c>
    </row>
    <row r="10392" spans="1:4" hidden="1" x14ac:dyDescent="0.3">
      <c r="A10392" t="s">
        <v>820</v>
      </c>
      <c r="B10392" t="s">
        <v>187</v>
      </c>
      <c r="C10392" s="1">
        <f>HYPERLINK("https://cao.dolgi.msk.ru/account/1011526053/", 1011526053)</f>
        <v>1011526053</v>
      </c>
      <c r="D10392">
        <v>0</v>
      </c>
    </row>
    <row r="10393" spans="1:4" hidden="1" x14ac:dyDescent="0.3">
      <c r="A10393" t="s">
        <v>820</v>
      </c>
      <c r="B10393" t="s">
        <v>188</v>
      </c>
      <c r="C10393" s="1">
        <f>HYPERLINK("https://cao.dolgi.msk.ru/account/1010270682/", 1010270682)</f>
        <v>1010270682</v>
      </c>
      <c r="D10393">
        <v>-8495.34</v>
      </c>
    </row>
    <row r="10394" spans="1:4" hidden="1" x14ac:dyDescent="0.3">
      <c r="A10394" t="s">
        <v>820</v>
      </c>
      <c r="B10394" t="s">
        <v>189</v>
      </c>
      <c r="C10394" s="1">
        <f>HYPERLINK("https://cao.dolgi.msk.ru/account/1010270703/", 1010270703)</f>
        <v>1010270703</v>
      </c>
      <c r="D10394">
        <v>0</v>
      </c>
    </row>
    <row r="10395" spans="1:4" hidden="1" x14ac:dyDescent="0.3">
      <c r="A10395" t="s">
        <v>820</v>
      </c>
      <c r="B10395" t="s">
        <v>190</v>
      </c>
      <c r="C10395" s="1">
        <f>HYPERLINK("https://cao.dolgi.msk.ru/account/1010272012/", 1010272012)</f>
        <v>1010272012</v>
      </c>
      <c r="D10395">
        <v>0</v>
      </c>
    </row>
    <row r="10396" spans="1:4" hidden="1" x14ac:dyDescent="0.3">
      <c r="A10396" t="s">
        <v>820</v>
      </c>
      <c r="B10396" t="s">
        <v>190</v>
      </c>
      <c r="C10396" s="1">
        <f>HYPERLINK("https://cao.dolgi.msk.ru/account/1011109233/", 1011109233)</f>
        <v>1011109233</v>
      </c>
      <c r="D10396">
        <v>-411.24</v>
      </c>
    </row>
    <row r="10397" spans="1:4" hidden="1" x14ac:dyDescent="0.3">
      <c r="A10397" t="s">
        <v>820</v>
      </c>
      <c r="B10397" t="s">
        <v>191</v>
      </c>
      <c r="C10397" s="1">
        <f>HYPERLINK("https://cao.dolgi.msk.ru/account/1010269729/", 1010269729)</f>
        <v>1010269729</v>
      </c>
      <c r="D10397">
        <v>-7.07</v>
      </c>
    </row>
    <row r="10398" spans="1:4" hidden="1" x14ac:dyDescent="0.3">
      <c r="A10398" t="s">
        <v>820</v>
      </c>
      <c r="B10398" t="s">
        <v>192</v>
      </c>
      <c r="C10398" s="1">
        <f>HYPERLINK("https://cao.dolgi.msk.ru/account/1010269737/", 1010269737)</f>
        <v>1010269737</v>
      </c>
      <c r="D10398">
        <v>-1459.75</v>
      </c>
    </row>
    <row r="10399" spans="1:4" hidden="1" x14ac:dyDescent="0.3">
      <c r="A10399" t="s">
        <v>820</v>
      </c>
      <c r="B10399" t="s">
        <v>325</v>
      </c>
      <c r="C10399" s="1">
        <f>HYPERLINK("https://cao.dolgi.msk.ru/account/1010269745/", 1010269745)</f>
        <v>1010269745</v>
      </c>
      <c r="D10399">
        <v>0</v>
      </c>
    </row>
    <row r="10400" spans="1:4" hidden="1" x14ac:dyDescent="0.3">
      <c r="A10400" t="s">
        <v>820</v>
      </c>
      <c r="B10400" t="s">
        <v>193</v>
      </c>
      <c r="C10400" s="1">
        <f>HYPERLINK("https://cao.dolgi.msk.ru/account/1010269753/", 1010269753)</f>
        <v>1010269753</v>
      </c>
      <c r="D10400">
        <v>0</v>
      </c>
    </row>
    <row r="10401" spans="1:4" hidden="1" x14ac:dyDescent="0.3">
      <c r="A10401" t="s">
        <v>820</v>
      </c>
      <c r="B10401" t="s">
        <v>194</v>
      </c>
      <c r="C10401" s="1">
        <f>HYPERLINK("https://cao.dolgi.msk.ru/account/1010269761/", 1010269761)</f>
        <v>1010269761</v>
      </c>
      <c r="D10401">
        <v>0</v>
      </c>
    </row>
    <row r="10402" spans="1:4" x14ac:dyDescent="0.3">
      <c r="A10402" t="s">
        <v>820</v>
      </c>
      <c r="B10402" t="s">
        <v>195</v>
      </c>
      <c r="C10402" s="1">
        <f>HYPERLINK("https://cao.dolgi.msk.ru/account/1010269788/", 1010269788)</f>
        <v>1010269788</v>
      </c>
      <c r="D10402">
        <v>7638.2</v>
      </c>
    </row>
    <row r="10403" spans="1:4" hidden="1" x14ac:dyDescent="0.3">
      <c r="A10403" t="s">
        <v>820</v>
      </c>
      <c r="B10403" t="s">
        <v>196</v>
      </c>
      <c r="C10403" s="1">
        <f>HYPERLINK("https://cao.dolgi.msk.ru/account/1010269796/", 1010269796)</f>
        <v>1010269796</v>
      </c>
      <c r="D10403">
        <v>0</v>
      </c>
    </row>
    <row r="10404" spans="1:4" hidden="1" x14ac:dyDescent="0.3">
      <c r="A10404" t="s">
        <v>820</v>
      </c>
      <c r="B10404" t="s">
        <v>197</v>
      </c>
      <c r="C10404" s="1">
        <f>HYPERLINK("https://cao.dolgi.msk.ru/account/1010269809/", 1010269809)</f>
        <v>1010269809</v>
      </c>
      <c r="D10404">
        <v>0</v>
      </c>
    </row>
    <row r="10405" spans="1:4" hidden="1" x14ac:dyDescent="0.3">
      <c r="A10405" t="s">
        <v>820</v>
      </c>
      <c r="B10405" t="s">
        <v>198</v>
      </c>
      <c r="C10405" s="1">
        <f>HYPERLINK("https://cao.dolgi.msk.ru/account/1010268953/", 1010268953)</f>
        <v>1010268953</v>
      </c>
      <c r="D10405">
        <v>-5270.43</v>
      </c>
    </row>
    <row r="10406" spans="1:4" hidden="1" x14ac:dyDescent="0.3">
      <c r="A10406" t="s">
        <v>820</v>
      </c>
      <c r="B10406" t="s">
        <v>199</v>
      </c>
      <c r="C10406" s="1">
        <f>HYPERLINK("https://cao.dolgi.msk.ru/account/1010269817/", 1010269817)</f>
        <v>1010269817</v>
      </c>
      <c r="D10406">
        <v>0</v>
      </c>
    </row>
    <row r="10407" spans="1:4" hidden="1" x14ac:dyDescent="0.3">
      <c r="A10407" t="s">
        <v>820</v>
      </c>
      <c r="B10407" t="s">
        <v>200</v>
      </c>
      <c r="C10407" s="1">
        <f>HYPERLINK("https://cao.dolgi.msk.ru/account/1010269163/", 1010269163)</f>
        <v>1010269163</v>
      </c>
      <c r="D10407">
        <v>-7992.29</v>
      </c>
    </row>
    <row r="10408" spans="1:4" hidden="1" x14ac:dyDescent="0.3">
      <c r="A10408" t="s">
        <v>820</v>
      </c>
      <c r="B10408" t="s">
        <v>201</v>
      </c>
      <c r="C10408" s="1">
        <f>HYPERLINK("https://cao.dolgi.msk.ru/account/1010269198/", 1010269198)</f>
        <v>1010269198</v>
      </c>
      <c r="D10408">
        <v>0</v>
      </c>
    </row>
    <row r="10409" spans="1:4" hidden="1" x14ac:dyDescent="0.3">
      <c r="A10409" t="s">
        <v>820</v>
      </c>
      <c r="B10409" t="s">
        <v>202</v>
      </c>
      <c r="C10409" s="1">
        <f>HYPERLINK("https://cao.dolgi.msk.ru/account/1010269227/", 1010269227)</f>
        <v>1010269227</v>
      </c>
      <c r="D10409">
        <v>-15.59</v>
      </c>
    </row>
    <row r="10410" spans="1:4" hidden="1" x14ac:dyDescent="0.3">
      <c r="A10410" t="s">
        <v>820</v>
      </c>
      <c r="B10410" t="s">
        <v>203</v>
      </c>
      <c r="C10410" s="1">
        <f>HYPERLINK("https://cao.dolgi.msk.ru/account/1010269219/", 1010269219)</f>
        <v>1010269219</v>
      </c>
      <c r="D10410">
        <v>-32375.61</v>
      </c>
    </row>
    <row r="10411" spans="1:4" x14ac:dyDescent="0.3">
      <c r="A10411" t="s">
        <v>820</v>
      </c>
      <c r="B10411" t="s">
        <v>326</v>
      </c>
      <c r="C10411" s="1">
        <f>HYPERLINK("https://cao.dolgi.msk.ru/account/1010270711/", 1010270711)</f>
        <v>1010270711</v>
      </c>
      <c r="D10411">
        <v>7060.05</v>
      </c>
    </row>
    <row r="10412" spans="1:4" x14ac:dyDescent="0.3">
      <c r="A10412" t="s">
        <v>820</v>
      </c>
      <c r="B10412" t="s">
        <v>204</v>
      </c>
      <c r="C10412" s="1">
        <f>HYPERLINK("https://cao.dolgi.msk.ru/account/1010270738/", 1010270738)</f>
        <v>1010270738</v>
      </c>
      <c r="D10412">
        <v>22276.400000000001</v>
      </c>
    </row>
    <row r="10413" spans="1:4" x14ac:dyDescent="0.3">
      <c r="A10413" t="s">
        <v>820</v>
      </c>
      <c r="B10413" t="s">
        <v>205</v>
      </c>
      <c r="C10413" s="1">
        <f>HYPERLINK("https://cao.dolgi.msk.ru/account/1010270746/", 1010270746)</f>
        <v>1010270746</v>
      </c>
      <c r="D10413">
        <v>88933.1</v>
      </c>
    </row>
    <row r="10414" spans="1:4" hidden="1" x14ac:dyDescent="0.3">
      <c r="A10414" t="s">
        <v>820</v>
      </c>
      <c r="B10414" t="s">
        <v>206</v>
      </c>
      <c r="C10414" s="1">
        <f>HYPERLINK("https://cao.dolgi.msk.ru/account/1010270754/", 1010270754)</f>
        <v>1010270754</v>
      </c>
      <c r="D10414">
        <v>-5794.25</v>
      </c>
    </row>
    <row r="10415" spans="1:4" hidden="1" x14ac:dyDescent="0.3">
      <c r="A10415" t="s">
        <v>820</v>
      </c>
      <c r="B10415" t="s">
        <v>207</v>
      </c>
      <c r="C10415" s="1">
        <f>HYPERLINK("https://cao.dolgi.msk.ru/account/1010270762/", 1010270762)</f>
        <v>1010270762</v>
      </c>
      <c r="D10415">
        <v>-6656.27</v>
      </c>
    </row>
    <row r="10416" spans="1:4" hidden="1" x14ac:dyDescent="0.3">
      <c r="A10416" t="s">
        <v>820</v>
      </c>
      <c r="B10416" t="s">
        <v>207</v>
      </c>
      <c r="C10416" s="1">
        <f>HYPERLINK("https://cao.dolgi.msk.ru/account/1010270789/", 1010270789)</f>
        <v>1010270789</v>
      </c>
      <c r="D10416">
        <v>-4421.79</v>
      </c>
    </row>
    <row r="10417" spans="1:4" x14ac:dyDescent="0.3">
      <c r="A10417" t="s">
        <v>820</v>
      </c>
      <c r="B10417" t="s">
        <v>207</v>
      </c>
      <c r="C10417" s="1">
        <f>HYPERLINK("https://cao.dolgi.msk.ru/account/1011013741/", 1011013741)</f>
        <v>1011013741</v>
      </c>
      <c r="D10417">
        <v>3496.73</v>
      </c>
    </row>
    <row r="10418" spans="1:4" hidden="1" x14ac:dyDescent="0.3">
      <c r="A10418" t="s">
        <v>820</v>
      </c>
      <c r="B10418" t="s">
        <v>208</v>
      </c>
      <c r="C10418" s="1">
        <f>HYPERLINK("https://cao.dolgi.msk.ru/account/1010270797/", 1010270797)</f>
        <v>1010270797</v>
      </c>
      <c r="D10418">
        <v>-8759.86</v>
      </c>
    </row>
    <row r="10419" spans="1:4" hidden="1" x14ac:dyDescent="0.3">
      <c r="A10419" t="s">
        <v>820</v>
      </c>
      <c r="B10419" t="s">
        <v>327</v>
      </c>
      <c r="C10419" s="1">
        <f>HYPERLINK("https://cao.dolgi.msk.ru/account/1010268611/", 1010268611)</f>
        <v>1010268611</v>
      </c>
      <c r="D10419">
        <v>-816.39</v>
      </c>
    </row>
    <row r="10420" spans="1:4" hidden="1" x14ac:dyDescent="0.3">
      <c r="A10420" t="s">
        <v>820</v>
      </c>
      <c r="B10420" t="s">
        <v>209</v>
      </c>
      <c r="C10420" s="1">
        <f>HYPERLINK("https://cao.dolgi.msk.ru/account/1010270826/", 1010270826)</f>
        <v>1010270826</v>
      </c>
      <c r="D10420">
        <v>-9238.0400000000009</v>
      </c>
    </row>
    <row r="10421" spans="1:4" hidden="1" x14ac:dyDescent="0.3">
      <c r="A10421" t="s">
        <v>820</v>
      </c>
      <c r="B10421" t="s">
        <v>210</v>
      </c>
      <c r="C10421" s="1">
        <f>HYPERLINK("https://cao.dolgi.msk.ru/account/1010270834/", 1010270834)</f>
        <v>1010270834</v>
      </c>
      <c r="D10421">
        <v>-141.97999999999999</v>
      </c>
    </row>
    <row r="10422" spans="1:4" x14ac:dyDescent="0.3">
      <c r="A10422" t="s">
        <v>820</v>
      </c>
      <c r="B10422" t="s">
        <v>211</v>
      </c>
      <c r="C10422" s="1">
        <f>HYPERLINK("https://cao.dolgi.msk.ru/account/1010270842/", 1010270842)</f>
        <v>1010270842</v>
      </c>
      <c r="D10422">
        <v>377.7</v>
      </c>
    </row>
    <row r="10423" spans="1:4" hidden="1" x14ac:dyDescent="0.3">
      <c r="A10423" t="s">
        <v>820</v>
      </c>
      <c r="B10423" t="s">
        <v>212</v>
      </c>
      <c r="C10423" s="1">
        <f>HYPERLINK("https://cao.dolgi.msk.ru/account/1010270869/", 1010270869)</f>
        <v>1010270869</v>
      </c>
      <c r="D10423">
        <v>-9228.67</v>
      </c>
    </row>
    <row r="10424" spans="1:4" hidden="1" x14ac:dyDescent="0.3">
      <c r="A10424" t="s">
        <v>820</v>
      </c>
      <c r="B10424" t="s">
        <v>213</v>
      </c>
      <c r="C10424" s="1">
        <f>HYPERLINK("https://cao.dolgi.msk.ru/account/1010270877/", 1010270877)</f>
        <v>1010270877</v>
      </c>
      <c r="D10424">
        <v>-43.82</v>
      </c>
    </row>
    <row r="10425" spans="1:4" hidden="1" x14ac:dyDescent="0.3">
      <c r="A10425" t="s">
        <v>820</v>
      </c>
      <c r="B10425" t="s">
        <v>214</v>
      </c>
      <c r="C10425" s="1">
        <f>HYPERLINK("https://cao.dolgi.msk.ru/account/1010270885/", 1010270885)</f>
        <v>1010270885</v>
      </c>
      <c r="D10425">
        <v>-1753.68</v>
      </c>
    </row>
    <row r="10426" spans="1:4" hidden="1" x14ac:dyDescent="0.3">
      <c r="A10426" t="s">
        <v>820</v>
      </c>
      <c r="B10426" t="s">
        <v>215</v>
      </c>
      <c r="C10426" s="1">
        <f>HYPERLINK("https://cao.dolgi.msk.ru/account/1010270893/", 1010270893)</f>
        <v>1010270893</v>
      </c>
      <c r="D10426">
        <v>0</v>
      </c>
    </row>
    <row r="10427" spans="1:4" hidden="1" x14ac:dyDescent="0.3">
      <c r="A10427" t="s">
        <v>820</v>
      </c>
      <c r="B10427" t="s">
        <v>216</v>
      </c>
      <c r="C10427" s="1">
        <f>HYPERLINK("https://cao.dolgi.msk.ru/account/1010270906/", 1010270906)</f>
        <v>1010270906</v>
      </c>
      <c r="D10427">
        <v>0</v>
      </c>
    </row>
    <row r="10428" spans="1:4" hidden="1" x14ac:dyDescent="0.3">
      <c r="A10428" t="s">
        <v>820</v>
      </c>
      <c r="B10428" t="s">
        <v>286</v>
      </c>
      <c r="C10428" s="1">
        <f>HYPERLINK("https://cao.dolgi.msk.ru/account/1010270914/", 1010270914)</f>
        <v>1010270914</v>
      </c>
      <c r="D10428">
        <v>-8984.33</v>
      </c>
    </row>
    <row r="10429" spans="1:4" hidden="1" x14ac:dyDescent="0.3">
      <c r="A10429" t="s">
        <v>820</v>
      </c>
      <c r="B10429" t="s">
        <v>287</v>
      </c>
      <c r="C10429" s="1">
        <f>HYPERLINK("https://cao.dolgi.msk.ru/account/1010270922/", 1010270922)</f>
        <v>1010270922</v>
      </c>
      <c r="D10429">
        <v>-2334.5100000000002</v>
      </c>
    </row>
    <row r="10430" spans="1:4" hidden="1" x14ac:dyDescent="0.3">
      <c r="A10430" t="s">
        <v>820</v>
      </c>
      <c r="B10430" t="s">
        <v>217</v>
      </c>
      <c r="C10430" s="1">
        <f>HYPERLINK("https://cao.dolgi.msk.ru/account/1010270949/", 1010270949)</f>
        <v>1010270949</v>
      </c>
      <c r="D10430">
        <v>0</v>
      </c>
    </row>
    <row r="10431" spans="1:4" hidden="1" x14ac:dyDescent="0.3">
      <c r="A10431" t="s">
        <v>820</v>
      </c>
      <c r="B10431" t="s">
        <v>218</v>
      </c>
      <c r="C10431" s="1">
        <f>HYPERLINK("https://cao.dolgi.msk.ru/account/1010270957/", 1010270957)</f>
        <v>1010270957</v>
      </c>
      <c r="D10431">
        <v>0</v>
      </c>
    </row>
    <row r="10432" spans="1:4" hidden="1" x14ac:dyDescent="0.3">
      <c r="A10432" t="s">
        <v>820</v>
      </c>
      <c r="B10432" t="s">
        <v>219</v>
      </c>
      <c r="C10432" s="1">
        <f>HYPERLINK("https://cao.dolgi.msk.ru/account/1010270965/", 1010270965)</f>
        <v>1010270965</v>
      </c>
      <c r="D10432">
        <v>-17717.7</v>
      </c>
    </row>
    <row r="10433" spans="1:4" hidden="1" x14ac:dyDescent="0.3">
      <c r="A10433" t="s">
        <v>820</v>
      </c>
      <c r="B10433" t="s">
        <v>220</v>
      </c>
      <c r="C10433" s="1">
        <f>HYPERLINK("https://cao.dolgi.msk.ru/account/1010270973/", 1010270973)</f>
        <v>1010270973</v>
      </c>
      <c r="D10433">
        <v>0</v>
      </c>
    </row>
    <row r="10434" spans="1:4" x14ac:dyDescent="0.3">
      <c r="A10434" t="s">
        <v>820</v>
      </c>
      <c r="B10434" t="s">
        <v>221</v>
      </c>
      <c r="C10434" s="1">
        <f>HYPERLINK("https://cao.dolgi.msk.ru/account/1010270981/", 1010270981)</f>
        <v>1010270981</v>
      </c>
      <c r="D10434">
        <v>4303.43</v>
      </c>
    </row>
    <row r="10435" spans="1:4" hidden="1" x14ac:dyDescent="0.3">
      <c r="A10435" t="s">
        <v>820</v>
      </c>
      <c r="B10435" t="s">
        <v>222</v>
      </c>
      <c r="C10435" s="1">
        <f>HYPERLINK("https://cao.dolgi.msk.ru/account/1010271001/", 1010271001)</f>
        <v>1010271001</v>
      </c>
      <c r="D10435">
        <v>0</v>
      </c>
    </row>
    <row r="10436" spans="1:4" hidden="1" x14ac:dyDescent="0.3">
      <c r="A10436" t="s">
        <v>820</v>
      </c>
      <c r="B10436" t="s">
        <v>223</v>
      </c>
      <c r="C10436" s="1">
        <f>HYPERLINK("https://cao.dolgi.msk.ru/account/1010271028/", 1010271028)</f>
        <v>1010271028</v>
      </c>
      <c r="D10436">
        <v>-55.46</v>
      </c>
    </row>
    <row r="10437" spans="1:4" hidden="1" x14ac:dyDescent="0.3">
      <c r="A10437" t="s">
        <v>820</v>
      </c>
      <c r="B10437" t="s">
        <v>224</v>
      </c>
      <c r="C10437" s="1">
        <f>HYPERLINK("https://cao.dolgi.msk.ru/account/1010271044/", 1010271044)</f>
        <v>1010271044</v>
      </c>
      <c r="D10437">
        <v>0</v>
      </c>
    </row>
    <row r="10438" spans="1:4" x14ac:dyDescent="0.3">
      <c r="A10438" t="s">
        <v>820</v>
      </c>
      <c r="B10438" t="s">
        <v>225</v>
      </c>
      <c r="C10438" s="1">
        <f>HYPERLINK("https://cao.dolgi.msk.ru/account/1010271052/", 1010271052)</f>
        <v>1010271052</v>
      </c>
      <c r="D10438">
        <v>794.97</v>
      </c>
    </row>
    <row r="10439" spans="1:4" hidden="1" x14ac:dyDescent="0.3">
      <c r="A10439" t="s">
        <v>820</v>
      </c>
      <c r="B10439" t="s">
        <v>226</v>
      </c>
      <c r="C10439" s="1">
        <f>HYPERLINK("https://cao.dolgi.msk.ru/account/1010271079/", 1010271079)</f>
        <v>1010271079</v>
      </c>
      <c r="D10439">
        <v>0</v>
      </c>
    </row>
    <row r="10440" spans="1:4" hidden="1" x14ac:dyDescent="0.3">
      <c r="A10440" t="s">
        <v>820</v>
      </c>
      <c r="B10440" t="s">
        <v>227</v>
      </c>
      <c r="C10440" s="1">
        <f>HYPERLINK("https://cao.dolgi.msk.ru/account/1010271087/", 1010271087)</f>
        <v>1010271087</v>
      </c>
      <c r="D10440">
        <v>-145.1</v>
      </c>
    </row>
    <row r="10441" spans="1:4" x14ac:dyDescent="0.3">
      <c r="A10441" t="s">
        <v>820</v>
      </c>
      <c r="B10441" t="s">
        <v>228</v>
      </c>
      <c r="C10441" s="1">
        <f>HYPERLINK("https://cao.dolgi.msk.ru/account/1010271108/", 1010271108)</f>
        <v>1010271108</v>
      </c>
      <c r="D10441">
        <v>8825.26</v>
      </c>
    </row>
    <row r="10442" spans="1:4" x14ac:dyDescent="0.3">
      <c r="A10442" t="s">
        <v>820</v>
      </c>
      <c r="B10442" t="s">
        <v>229</v>
      </c>
      <c r="C10442" s="1">
        <f>HYPERLINK("https://cao.dolgi.msk.ru/account/1010271116/", 1010271116)</f>
        <v>1010271116</v>
      </c>
      <c r="D10442">
        <v>78628.75</v>
      </c>
    </row>
    <row r="10443" spans="1:4" x14ac:dyDescent="0.3">
      <c r="A10443" t="s">
        <v>820</v>
      </c>
      <c r="B10443" t="s">
        <v>230</v>
      </c>
      <c r="C10443" s="1">
        <f>HYPERLINK("https://cao.dolgi.msk.ru/account/1010271124/", 1010271124)</f>
        <v>1010271124</v>
      </c>
      <c r="D10443">
        <v>2671.03</v>
      </c>
    </row>
    <row r="10444" spans="1:4" hidden="1" x14ac:dyDescent="0.3">
      <c r="A10444" t="s">
        <v>820</v>
      </c>
      <c r="B10444" t="s">
        <v>231</v>
      </c>
      <c r="C10444" s="1">
        <f>HYPERLINK("https://cao.dolgi.msk.ru/account/1010271132/", 1010271132)</f>
        <v>1010271132</v>
      </c>
      <c r="D10444">
        <v>-7846.81</v>
      </c>
    </row>
    <row r="10445" spans="1:4" hidden="1" x14ac:dyDescent="0.3">
      <c r="A10445" t="s">
        <v>820</v>
      </c>
      <c r="B10445" t="s">
        <v>232</v>
      </c>
      <c r="C10445" s="1">
        <f>HYPERLINK("https://cao.dolgi.msk.ru/account/1010271159/", 1010271159)</f>
        <v>1010271159</v>
      </c>
      <c r="D10445">
        <v>0</v>
      </c>
    </row>
    <row r="10446" spans="1:4" hidden="1" x14ac:dyDescent="0.3">
      <c r="A10446" t="s">
        <v>820</v>
      </c>
      <c r="B10446" t="s">
        <v>233</v>
      </c>
      <c r="C10446" s="1">
        <f>HYPERLINK("https://cao.dolgi.msk.ru/account/1010271167/", 1010271167)</f>
        <v>1010271167</v>
      </c>
      <c r="D10446">
        <v>-1917.5</v>
      </c>
    </row>
    <row r="10447" spans="1:4" hidden="1" x14ac:dyDescent="0.3">
      <c r="A10447" t="s">
        <v>820</v>
      </c>
      <c r="B10447" t="s">
        <v>234</v>
      </c>
      <c r="C10447" s="1">
        <f>HYPERLINK("https://cao.dolgi.msk.ru/account/1011510588/", 1011510588)</f>
        <v>1011510588</v>
      </c>
      <c r="D10447">
        <v>-1607.25</v>
      </c>
    </row>
    <row r="10448" spans="1:4" hidden="1" x14ac:dyDescent="0.3">
      <c r="A10448" t="s">
        <v>820</v>
      </c>
      <c r="B10448" t="s">
        <v>235</v>
      </c>
      <c r="C10448" s="1">
        <f>HYPERLINK("https://cao.dolgi.msk.ru/account/1010271204/", 1010271204)</f>
        <v>1010271204</v>
      </c>
      <c r="D10448">
        <v>0</v>
      </c>
    </row>
    <row r="10449" spans="1:4" hidden="1" x14ac:dyDescent="0.3">
      <c r="A10449" t="s">
        <v>820</v>
      </c>
      <c r="B10449" t="s">
        <v>288</v>
      </c>
      <c r="C10449" s="1">
        <f>HYPERLINK("https://cao.dolgi.msk.ru/account/1010271212/", 1010271212)</f>
        <v>1010271212</v>
      </c>
      <c r="D10449">
        <v>-30819.200000000001</v>
      </c>
    </row>
    <row r="10450" spans="1:4" hidden="1" x14ac:dyDescent="0.3">
      <c r="A10450" t="s">
        <v>820</v>
      </c>
      <c r="B10450" t="s">
        <v>236</v>
      </c>
      <c r="C10450" s="1">
        <f>HYPERLINK("https://cao.dolgi.msk.ru/account/1010271239/", 1010271239)</f>
        <v>1010271239</v>
      </c>
      <c r="D10450">
        <v>-13.98</v>
      </c>
    </row>
    <row r="10451" spans="1:4" hidden="1" x14ac:dyDescent="0.3">
      <c r="A10451" t="s">
        <v>820</v>
      </c>
      <c r="B10451" t="s">
        <v>236</v>
      </c>
      <c r="C10451" s="1">
        <f>HYPERLINK("https://cao.dolgi.msk.ru/account/1010271247/", 1010271247)</f>
        <v>1010271247</v>
      </c>
      <c r="D10451">
        <v>-147.66</v>
      </c>
    </row>
    <row r="10452" spans="1:4" x14ac:dyDescent="0.3">
      <c r="A10452" t="s">
        <v>820</v>
      </c>
      <c r="B10452" t="s">
        <v>237</v>
      </c>
      <c r="C10452" s="1">
        <f>HYPERLINK("https://cao.dolgi.msk.ru/account/1011061727/", 1011061727)</f>
        <v>1011061727</v>
      </c>
      <c r="D10452">
        <v>188122.31</v>
      </c>
    </row>
    <row r="10453" spans="1:4" x14ac:dyDescent="0.3">
      <c r="A10453" t="s">
        <v>820</v>
      </c>
      <c r="B10453" t="s">
        <v>238</v>
      </c>
      <c r="C10453" s="1">
        <f>HYPERLINK("https://cao.dolgi.msk.ru/account/1010270105/", 1010270105)</f>
        <v>1010270105</v>
      </c>
      <c r="D10453">
        <v>37698.480000000003</v>
      </c>
    </row>
    <row r="10454" spans="1:4" hidden="1" x14ac:dyDescent="0.3">
      <c r="A10454" t="s">
        <v>820</v>
      </c>
      <c r="B10454" t="s">
        <v>239</v>
      </c>
      <c r="C10454" s="1">
        <f>HYPERLINK("https://cao.dolgi.msk.ru/account/1010271263/", 1010271263)</f>
        <v>1010271263</v>
      </c>
      <c r="D10454">
        <v>-0.59</v>
      </c>
    </row>
    <row r="10455" spans="1:4" hidden="1" x14ac:dyDescent="0.3">
      <c r="A10455" t="s">
        <v>820</v>
      </c>
      <c r="B10455" t="s">
        <v>239</v>
      </c>
      <c r="C10455" s="1">
        <f>HYPERLINK("https://cao.dolgi.msk.ru/account/1011020677/", 1011020677)</f>
        <v>1011020677</v>
      </c>
      <c r="D10455">
        <v>0</v>
      </c>
    </row>
    <row r="10456" spans="1:4" hidden="1" x14ac:dyDescent="0.3">
      <c r="A10456" t="s">
        <v>820</v>
      </c>
      <c r="B10456" t="s">
        <v>240</v>
      </c>
      <c r="C10456" s="1">
        <f>HYPERLINK("https://cao.dolgi.msk.ru/account/1010271271/", 1010271271)</f>
        <v>1010271271</v>
      </c>
      <c r="D10456">
        <v>-5698.2</v>
      </c>
    </row>
    <row r="10457" spans="1:4" hidden="1" x14ac:dyDescent="0.3">
      <c r="A10457" t="s">
        <v>820</v>
      </c>
      <c r="B10457" t="s">
        <v>240</v>
      </c>
      <c r="C10457" s="1">
        <f>HYPERLINK("https://cao.dolgi.msk.ru/account/1010271298/", 1010271298)</f>
        <v>1010271298</v>
      </c>
      <c r="D10457">
        <v>-34</v>
      </c>
    </row>
    <row r="10458" spans="1:4" hidden="1" x14ac:dyDescent="0.3">
      <c r="A10458" t="s">
        <v>820</v>
      </c>
      <c r="B10458" t="s">
        <v>241</v>
      </c>
      <c r="C10458" s="1">
        <f>HYPERLINK("https://cao.dolgi.msk.ru/account/1010271319/", 1010271319)</f>
        <v>1010271319</v>
      </c>
      <c r="D10458">
        <v>0</v>
      </c>
    </row>
    <row r="10459" spans="1:4" hidden="1" x14ac:dyDescent="0.3">
      <c r="A10459" t="s">
        <v>820</v>
      </c>
      <c r="B10459" t="s">
        <v>242</v>
      </c>
      <c r="C10459" s="1">
        <f>HYPERLINK("https://cao.dolgi.msk.ru/account/1010271327/", 1010271327)</f>
        <v>1010271327</v>
      </c>
      <c r="D10459">
        <v>-4481.37</v>
      </c>
    </row>
    <row r="10460" spans="1:4" hidden="1" x14ac:dyDescent="0.3">
      <c r="A10460" t="s">
        <v>820</v>
      </c>
      <c r="B10460" t="s">
        <v>242</v>
      </c>
      <c r="C10460" s="1">
        <f>HYPERLINK("https://cao.dolgi.msk.ru/account/1011061313/", 1011061313)</f>
        <v>1011061313</v>
      </c>
      <c r="D10460">
        <v>-5522.07</v>
      </c>
    </row>
    <row r="10461" spans="1:4" hidden="1" x14ac:dyDescent="0.3">
      <c r="A10461" t="s">
        <v>820</v>
      </c>
      <c r="B10461" t="s">
        <v>242</v>
      </c>
      <c r="C10461" s="1">
        <f>HYPERLINK("https://cao.dolgi.msk.ru/account/1011061321/", 1011061321)</f>
        <v>1011061321</v>
      </c>
      <c r="D10461">
        <v>-2991.99</v>
      </c>
    </row>
    <row r="10462" spans="1:4" hidden="1" x14ac:dyDescent="0.3">
      <c r="A10462" t="s">
        <v>820</v>
      </c>
      <c r="B10462" t="s">
        <v>289</v>
      </c>
      <c r="C10462" s="1">
        <f>HYPERLINK("https://cao.dolgi.msk.ru/account/1010271335/", 1010271335)</f>
        <v>1010271335</v>
      </c>
      <c r="D10462">
        <v>0</v>
      </c>
    </row>
    <row r="10463" spans="1:4" x14ac:dyDescent="0.3">
      <c r="A10463" t="s">
        <v>820</v>
      </c>
      <c r="B10463" t="s">
        <v>243</v>
      </c>
      <c r="C10463" s="1">
        <f>HYPERLINK("https://cao.dolgi.msk.ru/account/1010271343/", 1010271343)</f>
        <v>1010271343</v>
      </c>
      <c r="D10463">
        <v>18093.560000000001</v>
      </c>
    </row>
    <row r="10464" spans="1:4" hidden="1" x14ac:dyDescent="0.3">
      <c r="A10464" t="s">
        <v>820</v>
      </c>
      <c r="B10464" t="s">
        <v>244</v>
      </c>
      <c r="C10464" s="1">
        <f>HYPERLINK("https://cao.dolgi.msk.ru/account/1010271351/", 1010271351)</f>
        <v>1010271351</v>
      </c>
      <c r="D10464">
        <v>-6258.52</v>
      </c>
    </row>
    <row r="10465" spans="1:4" hidden="1" x14ac:dyDescent="0.3">
      <c r="A10465" t="s">
        <v>820</v>
      </c>
      <c r="B10465" t="s">
        <v>245</v>
      </c>
      <c r="C10465" s="1">
        <f>HYPERLINK("https://cao.dolgi.msk.ru/account/1010271378/", 1010271378)</f>
        <v>1010271378</v>
      </c>
      <c r="D10465">
        <v>0</v>
      </c>
    </row>
    <row r="10466" spans="1:4" hidden="1" x14ac:dyDescent="0.3">
      <c r="A10466" t="s">
        <v>820</v>
      </c>
      <c r="B10466" t="s">
        <v>245</v>
      </c>
      <c r="C10466" s="1">
        <f>HYPERLINK("https://cao.dolgi.msk.ru/account/1011130913/", 1011130913)</f>
        <v>1011130913</v>
      </c>
      <c r="D10466">
        <v>0</v>
      </c>
    </row>
    <row r="10467" spans="1:4" hidden="1" x14ac:dyDescent="0.3">
      <c r="A10467" t="s">
        <v>820</v>
      </c>
      <c r="B10467" t="s">
        <v>246</v>
      </c>
      <c r="C10467" s="1">
        <f>HYPERLINK("https://cao.dolgi.msk.ru/account/1010271386/", 1010271386)</f>
        <v>1010271386</v>
      </c>
      <c r="D10467">
        <v>0</v>
      </c>
    </row>
    <row r="10468" spans="1:4" hidden="1" x14ac:dyDescent="0.3">
      <c r="A10468" t="s">
        <v>820</v>
      </c>
      <c r="B10468" t="s">
        <v>247</v>
      </c>
      <c r="C10468" s="1">
        <f>HYPERLINK("https://cao.dolgi.msk.ru/account/1010271394/", 1010271394)</f>
        <v>1010271394</v>
      </c>
      <c r="D10468">
        <v>-11820.04</v>
      </c>
    </row>
    <row r="10469" spans="1:4" hidden="1" x14ac:dyDescent="0.3">
      <c r="A10469" t="s">
        <v>820</v>
      </c>
      <c r="B10469" t="s">
        <v>248</v>
      </c>
      <c r="C10469" s="1">
        <f>HYPERLINK("https://cao.dolgi.msk.ru/account/1010268494/", 1010268494)</f>
        <v>1010268494</v>
      </c>
      <c r="D10469">
        <v>0</v>
      </c>
    </row>
    <row r="10470" spans="1:4" hidden="1" x14ac:dyDescent="0.3">
      <c r="A10470" t="s">
        <v>820</v>
      </c>
      <c r="B10470" t="s">
        <v>248</v>
      </c>
      <c r="C10470" s="1">
        <f>HYPERLINK("https://cao.dolgi.msk.ru/account/1010268507/", 1010268507)</f>
        <v>1010268507</v>
      </c>
      <c r="D10470">
        <v>-1977.24</v>
      </c>
    </row>
    <row r="10471" spans="1:4" hidden="1" x14ac:dyDescent="0.3">
      <c r="A10471" t="s">
        <v>820</v>
      </c>
      <c r="B10471" t="s">
        <v>248</v>
      </c>
      <c r="C10471" s="1">
        <f>HYPERLINK("https://cao.dolgi.msk.ru/account/1010268523/", 1010268523)</f>
        <v>1010268523</v>
      </c>
      <c r="D10471">
        <v>0</v>
      </c>
    </row>
    <row r="10472" spans="1:4" hidden="1" x14ac:dyDescent="0.3">
      <c r="A10472" t="s">
        <v>820</v>
      </c>
      <c r="B10472" t="s">
        <v>290</v>
      </c>
      <c r="C10472" s="1">
        <f>HYPERLINK("https://cao.dolgi.msk.ru/account/1010271407/", 1010271407)</f>
        <v>1010271407</v>
      </c>
      <c r="D10472">
        <v>-3.31</v>
      </c>
    </row>
    <row r="10473" spans="1:4" hidden="1" x14ac:dyDescent="0.3">
      <c r="A10473" t="s">
        <v>820</v>
      </c>
      <c r="B10473" t="s">
        <v>249</v>
      </c>
      <c r="C10473" s="1">
        <f>HYPERLINK("https://cao.dolgi.msk.ru/account/1010271415/", 1010271415)</f>
        <v>1010271415</v>
      </c>
      <c r="D10473">
        <v>-1131.56</v>
      </c>
    </row>
    <row r="10474" spans="1:4" hidden="1" x14ac:dyDescent="0.3">
      <c r="A10474" t="s">
        <v>820</v>
      </c>
      <c r="B10474" t="s">
        <v>250</v>
      </c>
      <c r="C10474" s="1">
        <f>HYPERLINK("https://cao.dolgi.msk.ru/account/1010271423/", 1010271423)</f>
        <v>1010271423</v>
      </c>
      <c r="D10474">
        <v>0</v>
      </c>
    </row>
    <row r="10475" spans="1:4" hidden="1" x14ac:dyDescent="0.3">
      <c r="A10475" t="s">
        <v>820</v>
      </c>
      <c r="B10475" t="s">
        <v>251</v>
      </c>
      <c r="C10475" s="1">
        <f>HYPERLINK("https://cao.dolgi.msk.ru/account/1010271431/", 1010271431)</f>
        <v>1010271431</v>
      </c>
      <c r="D10475">
        <v>0</v>
      </c>
    </row>
    <row r="10476" spans="1:4" hidden="1" x14ac:dyDescent="0.3">
      <c r="A10476" t="s">
        <v>820</v>
      </c>
      <c r="B10476" t="s">
        <v>251</v>
      </c>
      <c r="C10476" s="1">
        <f>HYPERLINK("https://cao.dolgi.msk.ru/account/1010271458/", 1010271458)</f>
        <v>1010271458</v>
      </c>
      <c r="D10476">
        <v>0</v>
      </c>
    </row>
    <row r="10477" spans="1:4" hidden="1" x14ac:dyDescent="0.3">
      <c r="A10477" t="s">
        <v>820</v>
      </c>
      <c r="B10477" t="s">
        <v>251</v>
      </c>
      <c r="C10477" s="1">
        <f>HYPERLINK("https://cao.dolgi.msk.ru/account/1010271466/", 1010271466)</f>
        <v>1010271466</v>
      </c>
      <c r="D10477">
        <v>-144.85</v>
      </c>
    </row>
    <row r="10478" spans="1:4" hidden="1" x14ac:dyDescent="0.3">
      <c r="A10478" t="s">
        <v>820</v>
      </c>
      <c r="B10478" t="s">
        <v>252</v>
      </c>
      <c r="C10478" s="1">
        <f>HYPERLINK("https://cao.dolgi.msk.ru/account/1010270076/", 1010270076)</f>
        <v>1010270076</v>
      </c>
      <c r="D10478">
        <v>0</v>
      </c>
    </row>
    <row r="10479" spans="1:4" x14ac:dyDescent="0.3">
      <c r="A10479" t="s">
        <v>820</v>
      </c>
      <c r="B10479" t="s">
        <v>252</v>
      </c>
      <c r="C10479" s="1">
        <f>HYPERLINK("https://cao.dolgi.msk.ru/account/1010271474/", 1010271474)</f>
        <v>1010271474</v>
      </c>
      <c r="D10479">
        <v>5426.13</v>
      </c>
    </row>
    <row r="10480" spans="1:4" hidden="1" x14ac:dyDescent="0.3">
      <c r="A10480" t="s">
        <v>820</v>
      </c>
      <c r="B10480" t="s">
        <v>253</v>
      </c>
      <c r="C10480" s="1">
        <f>HYPERLINK("https://cao.dolgi.msk.ru/account/1010270084/", 1010270084)</f>
        <v>1010270084</v>
      </c>
      <c r="D10480">
        <v>-8048.52</v>
      </c>
    </row>
    <row r="10481" spans="1:4" hidden="1" x14ac:dyDescent="0.3">
      <c r="A10481" t="s">
        <v>820</v>
      </c>
      <c r="B10481" t="s">
        <v>254</v>
      </c>
      <c r="C10481" s="1">
        <f>HYPERLINK("https://cao.dolgi.msk.ru/account/1010270439/", 1010270439)</f>
        <v>1010270439</v>
      </c>
      <c r="D10481">
        <v>0</v>
      </c>
    </row>
    <row r="10482" spans="1:4" x14ac:dyDescent="0.3">
      <c r="A10482" t="s">
        <v>820</v>
      </c>
      <c r="B10482" t="s">
        <v>255</v>
      </c>
      <c r="C10482" s="1">
        <f>HYPERLINK("https://cao.dolgi.msk.ru/account/1010271511/", 1010271511)</f>
        <v>1010271511</v>
      </c>
      <c r="D10482">
        <v>2676.9</v>
      </c>
    </row>
    <row r="10483" spans="1:4" x14ac:dyDescent="0.3">
      <c r="A10483" t="s">
        <v>820</v>
      </c>
      <c r="B10483" t="s">
        <v>256</v>
      </c>
      <c r="C10483" s="1">
        <f>HYPERLINK("https://cao.dolgi.msk.ru/account/1010270447/", 1010270447)</f>
        <v>1010270447</v>
      </c>
      <c r="D10483">
        <v>4719.1499999999996</v>
      </c>
    </row>
    <row r="10484" spans="1:4" x14ac:dyDescent="0.3">
      <c r="A10484" t="s">
        <v>820</v>
      </c>
      <c r="B10484" t="s">
        <v>257</v>
      </c>
      <c r="C10484" s="1">
        <f>HYPERLINK("https://cao.dolgi.msk.ru/account/1010271482/", 1010271482)</f>
        <v>1010271482</v>
      </c>
      <c r="D10484">
        <v>79910.53</v>
      </c>
    </row>
    <row r="10485" spans="1:4" x14ac:dyDescent="0.3">
      <c r="A10485" t="s">
        <v>820</v>
      </c>
      <c r="B10485" t="s">
        <v>291</v>
      </c>
      <c r="C10485" s="1">
        <f>HYPERLINK("https://cao.dolgi.msk.ru/account/1010271538/", 1010271538)</f>
        <v>1010271538</v>
      </c>
      <c r="D10485">
        <v>26915.37</v>
      </c>
    </row>
    <row r="10486" spans="1:4" hidden="1" x14ac:dyDescent="0.3">
      <c r="A10486" t="s">
        <v>820</v>
      </c>
      <c r="B10486" t="s">
        <v>292</v>
      </c>
      <c r="C10486" s="1">
        <f>HYPERLINK("https://cao.dolgi.msk.ru/account/1010271546/", 1010271546)</f>
        <v>1010271546</v>
      </c>
      <c r="D10486">
        <v>0</v>
      </c>
    </row>
    <row r="10487" spans="1:4" hidden="1" x14ac:dyDescent="0.3">
      <c r="A10487" t="s">
        <v>820</v>
      </c>
      <c r="B10487" t="s">
        <v>293</v>
      </c>
      <c r="C10487" s="1">
        <f>HYPERLINK("https://cao.dolgi.msk.ru/account/1010271554/", 1010271554)</f>
        <v>1010271554</v>
      </c>
      <c r="D10487">
        <v>-109.81</v>
      </c>
    </row>
    <row r="10488" spans="1:4" hidden="1" x14ac:dyDescent="0.3">
      <c r="A10488" t="s">
        <v>820</v>
      </c>
      <c r="B10488" t="s">
        <v>294</v>
      </c>
      <c r="C10488" s="1">
        <f>HYPERLINK("https://cao.dolgi.msk.ru/account/1010271562/", 1010271562)</f>
        <v>1010271562</v>
      </c>
      <c r="D10488">
        <v>-6317.06</v>
      </c>
    </row>
    <row r="10489" spans="1:4" hidden="1" x14ac:dyDescent="0.3">
      <c r="A10489" t="s">
        <v>820</v>
      </c>
      <c r="B10489" t="s">
        <v>295</v>
      </c>
      <c r="C10489" s="1">
        <f>HYPERLINK("https://cao.dolgi.msk.ru/account/1010267598/", 1010267598)</f>
        <v>1010267598</v>
      </c>
      <c r="D10489">
        <v>-3731.32</v>
      </c>
    </row>
    <row r="10490" spans="1:4" x14ac:dyDescent="0.3">
      <c r="A10490" t="s">
        <v>820</v>
      </c>
      <c r="B10490" t="s">
        <v>295</v>
      </c>
      <c r="C10490" s="1">
        <f>HYPERLINK("https://cao.dolgi.msk.ru/account/1010267619/", 1010267619)</f>
        <v>1010267619</v>
      </c>
      <c r="D10490">
        <v>1254.3399999999999</v>
      </c>
    </row>
    <row r="10491" spans="1:4" x14ac:dyDescent="0.3">
      <c r="A10491" t="s">
        <v>820</v>
      </c>
      <c r="B10491" t="s">
        <v>296</v>
      </c>
      <c r="C10491" s="1">
        <f>HYPERLINK("https://cao.dolgi.msk.ru/account/1010271589/", 1010271589)</f>
        <v>1010271589</v>
      </c>
      <c r="D10491">
        <v>5558.15</v>
      </c>
    </row>
    <row r="10492" spans="1:4" hidden="1" x14ac:dyDescent="0.3">
      <c r="A10492" t="s">
        <v>820</v>
      </c>
      <c r="B10492" t="s">
        <v>297</v>
      </c>
      <c r="C10492" s="1">
        <f>HYPERLINK("https://cao.dolgi.msk.ru/account/1010271618/", 1010271618)</f>
        <v>1010271618</v>
      </c>
      <c r="D10492">
        <v>0</v>
      </c>
    </row>
    <row r="10493" spans="1:4" hidden="1" x14ac:dyDescent="0.3">
      <c r="A10493" t="s">
        <v>820</v>
      </c>
      <c r="B10493" t="s">
        <v>298</v>
      </c>
      <c r="C10493" s="1">
        <f>HYPERLINK("https://cao.dolgi.msk.ru/account/1010271626/", 1010271626)</f>
        <v>1010271626</v>
      </c>
      <c r="D10493">
        <v>-4388.01</v>
      </c>
    </row>
    <row r="10494" spans="1:4" hidden="1" x14ac:dyDescent="0.3">
      <c r="A10494" t="s">
        <v>820</v>
      </c>
      <c r="B10494" t="s">
        <v>299</v>
      </c>
      <c r="C10494" s="1">
        <f>HYPERLINK("https://cao.dolgi.msk.ru/account/1010271634/", 1010271634)</f>
        <v>1010271634</v>
      </c>
      <c r="D10494">
        <v>-940.77</v>
      </c>
    </row>
    <row r="10495" spans="1:4" hidden="1" x14ac:dyDescent="0.3">
      <c r="A10495" t="s">
        <v>820</v>
      </c>
      <c r="B10495" t="s">
        <v>300</v>
      </c>
      <c r="C10495" s="1">
        <f>HYPERLINK("https://cao.dolgi.msk.ru/account/1010271642/", 1010271642)</f>
        <v>1010271642</v>
      </c>
      <c r="D10495">
        <v>-9181.85</v>
      </c>
    </row>
    <row r="10496" spans="1:4" hidden="1" x14ac:dyDescent="0.3">
      <c r="A10496" t="s">
        <v>820</v>
      </c>
      <c r="B10496" t="s">
        <v>301</v>
      </c>
      <c r="C10496" s="1">
        <f>HYPERLINK("https://cao.dolgi.msk.ru/account/1010271669/", 1010271669)</f>
        <v>1010271669</v>
      </c>
      <c r="D10496">
        <v>-3875.96</v>
      </c>
    </row>
    <row r="10497" spans="1:4" hidden="1" x14ac:dyDescent="0.3">
      <c r="A10497" t="s">
        <v>820</v>
      </c>
      <c r="B10497" t="s">
        <v>302</v>
      </c>
      <c r="C10497" s="1">
        <f>HYPERLINK("https://cao.dolgi.msk.ru/account/1010271677/", 1010271677)</f>
        <v>1010271677</v>
      </c>
      <c r="D10497">
        <v>-383.05</v>
      </c>
    </row>
    <row r="10498" spans="1:4" hidden="1" x14ac:dyDescent="0.3">
      <c r="A10498" t="s">
        <v>820</v>
      </c>
      <c r="B10498" t="s">
        <v>303</v>
      </c>
      <c r="C10498" s="1">
        <f>HYPERLINK("https://cao.dolgi.msk.ru/account/1010271685/", 1010271685)</f>
        <v>1010271685</v>
      </c>
      <c r="D10498">
        <v>-12269.83</v>
      </c>
    </row>
    <row r="10499" spans="1:4" x14ac:dyDescent="0.3">
      <c r="A10499" t="s">
        <v>820</v>
      </c>
      <c r="B10499" t="s">
        <v>304</v>
      </c>
      <c r="C10499" s="1">
        <f>HYPERLINK("https://cao.dolgi.msk.ru/account/1010271693/", 1010271693)</f>
        <v>1010271693</v>
      </c>
      <c r="D10499">
        <v>5992.14</v>
      </c>
    </row>
    <row r="10500" spans="1:4" hidden="1" x14ac:dyDescent="0.3">
      <c r="A10500" t="s">
        <v>820</v>
      </c>
      <c r="B10500" t="s">
        <v>305</v>
      </c>
      <c r="C10500" s="1">
        <f>HYPERLINK("https://cao.dolgi.msk.ru/account/1010271706/", 1010271706)</f>
        <v>1010271706</v>
      </c>
      <c r="D10500">
        <v>-33878.660000000003</v>
      </c>
    </row>
    <row r="10501" spans="1:4" x14ac:dyDescent="0.3">
      <c r="A10501" t="s">
        <v>820</v>
      </c>
      <c r="B10501" t="s">
        <v>305</v>
      </c>
      <c r="C10501" s="1">
        <f>HYPERLINK("https://cao.dolgi.msk.ru/account/1011013725/", 1011013725)</f>
        <v>1011013725</v>
      </c>
      <c r="D10501">
        <v>4537.45</v>
      </c>
    </row>
    <row r="10502" spans="1:4" hidden="1" x14ac:dyDescent="0.3">
      <c r="A10502" t="s">
        <v>820</v>
      </c>
      <c r="B10502" t="s">
        <v>305</v>
      </c>
      <c r="C10502" s="1">
        <f>HYPERLINK("https://cao.dolgi.msk.ru/account/1011506079/", 1011506079)</f>
        <v>1011506079</v>
      </c>
      <c r="D10502">
        <v>0</v>
      </c>
    </row>
    <row r="10503" spans="1:4" x14ac:dyDescent="0.3">
      <c r="A10503" t="s">
        <v>820</v>
      </c>
      <c r="B10503" t="s">
        <v>305</v>
      </c>
      <c r="C10503" s="1">
        <f>HYPERLINK("https://cao.dolgi.msk.ru/account/1011506087/", 1011506087)</f>
        <v>1011506087</v>
      </c>
      <c r="D10503">
        <v>1182.02</v>
      </c>
    </row>
    <row r="10504" spans="1:4" x14ac:dyDescent="0.3">
      <c r="A10504" t="s">
        <v>820</v>
      </c>
      <c r="B10504" t="s">
        <v>305</v>
      </c>
      <c r="C10504" s="1">
        <f>HYPERLINK("https://cao.dolgi.msk.ru/account/1011506095/", 1011506095)</f>
        <v>1011506095</v>
      </c>
      <c r="D10504">
        <v>12051.51</v>
      </c>
    </row>
    <row r="10505" spans="1:4" x14ac:dyDescent="0.3">
      <c r="A10505" t="s">
        <v>820</v>
      </c>
      <c r="B10505" t="s">
        <v>305</v>
      </c>
      <c r="C10505" s="1">
        <f>HYPERLINK("https://cao.dolgi.msk.ru/account/1011506108/", 1011506108)</f>
        <v>1011506108</v>
      </c>
      <c r="D10505">
        <v>12618.6</v>
      </c>
    </row>
    <row r="10506" spans="1:4" x14ac:dyDescent="0.3">
      <c r="A10506" t="s">
        <v>820</v>
      </c>
      <c r="B10506" t="s">
        <v>305</v>
      </c>
      <c r="C10506" s="1">
        <f>HYPERLINK("https://cao.dolgi.msk.ru/account/1011506116/", 1011506116)</f>
        <v>1011506116</v>
      </c>
      <c r="D10506">
        <v>35921.33</v>
      </c>
    </row>
    <row r="10507" spans="1:4" hidden="1" x14ac:dyDescent="0.3">
      <c r="A10507" t="s">
        <v>820</v>
      </c>
      <c r="B10507" t="s">
        <v>306</v>
      </c>
      <c r="C10507" s="1">
        <f>HYPERLINK("https://cao.dolgi.msk.ru/account/1010271714/", 1010271714)</f>
        <v>1010271714</v>
      </c>
      <c r="D10507">
        <v>-1476.5</v>
      </c>
    </row>
    <row r="10508" spans="1:4" x14ac:dyDescent="0.3">
      <c r="A10508" t="s">
        <v>820</v>
      </c>
      <c r="B10508" t="s">
        <v>307</v>
      </c>
      <c r="C10508" s="1">
        <f>HYPERLINK("https://cao.dolgi.msk.ru/account/1010271722/", 1010271722)</f>
        <v>1010271722</v>
      </c>
      <c r="D10508">
        <v>1842.88</v>
      </c>
    </row>
    <row r="10509" spans="1:4" x14ac:dyDescent="0.3">
      <c r="A10509" t="s">
        <v>820</v>
      </c>
      <c r="B10509" t="s">
        <v>307</v>
      </c>
      <c r="C10509" s="1">
        <f>HYPERLINK("https://cao.dolgi.msk.ru/account/1010271749/", 1010271749)</f>
        <v>1010271749</v>
      </c>
      <c r="D10509">
        <v>2105.5</v>
      </c>
    </row>
    <row r="10510" spans="1:4" hidden="1" x14ac:dyDescent="0.3">
      <c r="A10510" t="s">
        <v>820</v>
      </c>
      <c r="B10510" t="s">
        <v>307</v>
      </c>
      <c r="C10510" s="1">
        <f>HYPERLINK("https://cao.dolgi.msk.ru/account/1019004495/", 1019004495)</f>
        <v>1019004495</v>
      </c>
      <c r="D10510">
        <v>-2971.65</v>
      </c>
    </row>
    <row r="10511" spans="1:4" x14ac:dyDescent="0.3">
      <c r="A10511" t="s">
        <v>820</v>
      </c>
      <c r="B10511" t="s">
        <v>308</v>
      </c>
      <c r="C10511" s="1">
        <f>HYPERLINK("https://cao.dolgi.msk.ru/account/1010271757/", 1010271757)</f>
        <v>1010271757</v>
      </c>
      <c r="D10511">
        <v>13939.61</v>
      </c>
    </row>
    <row r="10512" spans="1:4" hidden="1" x14ac:dyDescent="0.3">
      <c r="A10512" t="s">
        <v>820</v>
      </c>
      <c r="B10512" t="s">
        <v>309</v>
      </c>
      <c r="C10512" s="1">
        <f>HYPERLINK("https://cao.dolgi.msk.ru/account/1010271765/", 1010271765)</f>
        <v>1010271765</v>
      </c>
      <c r="D10512">
        <v>-3472.13</v>
      </c>
    </row>
    <row r="10513" spans="1:4" x14ac:dyDescent="0.3">
      <c r="A10513" t="s">
        <v>820</v>
      </c>
      <c r="B10513" t="s">
        <v>310</v>
      </c>
      <c r="C10513" s="1">
        <f>HYPERLINK("https://cao.dolgi.msk.ru/account/1010271773/", 1010271773)</f>
        <v>1010271773</v>
      </c>
      <c r="D10513">
        <v>32675.040000000001</v>
      </c>
    </row>
    <row r="10514" spans="1:4" hidden="1" x14ac:dyDescent="0.3">
      <c r="A10514" t="s">
        <v>820</v>
      </c>
      <c r="B10514" t="s">
        <v>311</v>
      </c>
      <c r="C10514" s="1">
        <f>HYPERLINK("https://cao.dolgi.msk.ru/account/1010271781/", 1010271781)</f>
        <v>1010271781</v>
      </c>
      <c r="D10514">
        <v>0</v>
      </c>
    </row>
    <row r="10515" spans="1:4" x14ac:dyDescent="0.3">
      <c r="A10515" t="s">
        <v>820</v>
      </c>
      <c r="B10515" t="s">
        <v>312</v>
      </c>
      <c r="C10515" s="1">
        <f>HYPERLINK("https://cao.dolgi.msk.ru/account/1010271802/", 1010271802)</f>
        <v>1010271802</v>
      </c>
      <c r="D10515">
        <v>20.059999999999999</v>
      </c>
    </row>
    <row r="10516" spans="1:4" hidden="1" x14ac:dyDescent="0.3">
      <c r="A10516" t="s">
        <v>820</v>
      </c>
      <c r="B10516" t="s">
        <v>313</v>
      </c>
      <c r="C10516" s="1">
        <f>HYPERLINK("https://cao.dolgi.msk.ru/account/1010271829/", 1010271829)</f>
        <v>1010271829</v>
      </c>
      <c r="D10516">
        <v>0</v>
      </c>
    </row>
    <row r="10517" spans="1:4" hidden="1" x14ac:dyDescent="0.3">
      <c r="A10517" t="s">
        <v>820</v>
      </c>
      <c r="B10517" t="s">
        <v>314</v>
      </c>
      <c r="C10517" s="1">
        <f>HYPERLINK("https://cao.dolgi.msk.ru/account/1010271837/", 1010271837)</f>
        <v>1010271837</v>
      </c>
      <c r="D10517">
        <v>-82.6</v>
      </c>
    </row>
    <row r="10518" spans="1:4" hidden="1" x14ac:dyDescent="0.3">
      <c r="A10518" t="s">
        <v>820</v>
      </c>
      <c r="B10518" t="s">
        <v>315</v>
      </c>
      <c r="C10518" s="1">
        <f>HYPERLINK("https://cao.dolgi.msk.ru/account/1010271845/", 1010271845)</f>
        <v>1010271845</v>
      </c>
      <c r="D10518">
        <v>0</v>
      </c>
    </row>
    <row r="10519" spans="1:4" x14ac:dyDescent="0.3">
      <c r="A10519" t="s">
        <v>820</v>
      </c>
      <c r="B10519" t="s">
        <v>316</v>
      </c>
      <c r="C10519" s="1">
        <f>HYPERLINK("https://cao.dolgi.msk.ru/account/1010271853/", 1010271853)</f>
        <v>1010271853</v>
      </c>
      <c r="D10519">
        <v>6017.22</v>
      </c>
    </row>
    <row r="10520" spans="1:4" hidden="1" x14ac:dyDescent="0.3">
      <c r="A10520" t="s">
        <v>820</v>
      </c>
      <c r="B10520" t="s">
        <v>317</v>
      </c>
      <c r="C10520" s="1">
        <f>HYPERLINK("https://cao.dolgi.msk.ru/account/1010271861/", 1010271861)</f>
        <v>1010271861</v>
      </c>
      <c r="D10520">
        <v>-6520.56</v>
      </c>
    </row>
    <row r="10521" spans="1:4" hidden="1" x14ac:dyDescent="0.3">
      <c r="A10521" t="s">
        <v>820</v>
      </c>
      <c r="B10521" t="s">
        <v>318</v>
      </c>
      <c r="C10521" s="1">
        <f>HYPERLINK("https://cao.dolgi.msk.ru/account/1010271888/", 1010271888)</f>
        <v>1010271888</v>
      </c>
      <c r="D10521">
        <v>-41.23</v>
      </c>
    </row>
    <row r="10522" spans="1:4" hidden="1" x14ac:dyDescent="0.3">
      <c r="A10522" t="s">
        <v>820</v>
      </c>
      <c r="B10522" t="s">
        <v>319</v>
      </c>
      <c r="C10522" s="1">
        <f>HYPERLINK("https://cao.dolgi.msk.ru/account/1010271896/", 1010271896)</f>
        <v>1010271896</v>
      </c>
      <c r="D10522">
        <v>-3303.58</v>
      </c>
    </row>
    <row r="10523" spans="1:4" hidden="1" x14ac:dyDescent="0.3">
      <c r="A10523" t="s">
        <v>820</v>
      </c>
      <c r="B10523" t="s">
        <v>320</v>
      </c>
      <c r="C10523" s="1">
        <f>HYPERLINK("https://cao.dolgi.msk.ru/account/1010271909/", 1010271909)</f>
        <v>1010271909</v>
      </c>
      <c r="D10523">
        <v>-3964.83</v>
      </c>
    </row>
    <row r="10524" spans="1:4" hidden="1" x14ac:dyDescent="0.3">
      <c r="A10524" t="s">
        <v>820</v>
      </c>
      <c r="B10524" t="s">
        <v>321</v>
      </c>
      <c r="C10524" s="1">
        <f>HYPERLINK("https://cao.dolgi.msk.ru/account/1010267774/", 1010267774)</f>
        <v>1010267774</v>
      </c>
      <c r="D10524">
        <v>-8718.92</v>
      </c>
    </row>
    <row r="10525" spans="1:4" hidden="1" x14ac:dyDescent="0.3">
      <c r="A10525" t="s">
        <v>820</v>
      </c>
      <c r="B10525" t="s">
        <v>322</v>
      </c>
      <c r="C10525" s="1">
        <f>HYPERLINK("https://cao.dolgi.msk.ru/account/1010271917/", 1010271917)</f>
        <v>1010271917</v>
      </c>
      <c r="D10525">
        <v>0</v>
      </c>
    </row>
    <row r="10526" spans="1:4" hidden="1" x14ac:dyDescent="0.3">
      <c r="A10526" t="s">
        <v>820</v>
      </c>
      <c r="B10526" t="s">
        <v>350</v>
      </c>
      <c r="C10526" s="1">
        <f>HYPERLINK("https://cao.dolgi.msk.ru/account/1010271925/", 1010271925)</f>
        <v>1010271925</v>
      </c>
      <c r="D10526">
        <v>-4411.3900000000003</v>
      </c>
    </row>
    <row r="10527" spans="1:4" hidden="1" x14ac:dyDescent="0.3">
      <c r="A10527" t="s">
        <v>820</v>
      </c>
      <c r="B10527" t="s">
        <v>351</v>
      </c>
      <c r="C10527" s="1">
        <f>HYPERLINK("https://cao.dolgi.msk.ru/account/1010271933/", 1010271933)</f>
        <v>1010271933</v>
      </c>
      <c r="D10527">
        <v>-1290.6300000000001</v>
      </c>
    </row>
    <row r="10528" spans="1:4" x14ac:dyDescent="0.3">
      <c r="A10528" t="s">
        <v>820</v>
      </c>
      <c r="B10528" t="s">
        <v>352</v>
      </c>
      <c r="C10528" s="1">
        <f>HYPERLINK("https://cao.dolgi.msk.ru/account/1010271941/", 1010271941)</f>
        <v>1010271941</v>
      </c>
      <c r="D10528">
        <v>3592.65</v>
      </c>
    </row>
    <row r="10529" spans="1:4" hidden="1" x14ac:dyDescent="0.3">
      <c r="A10529" t="s">
        <v>820</v>
      </c>
      <c r="B10529" t="s">
        <v>353</v>
      </c>
      <c r="C10529" s="1">
        <f>HYPERLINK("https://cao.dolgi.msk.ru/account/1010271968/", 1010271968)</f>
        <v>1010271968</v>
      </c>
      <c r="D10529">
        <v>-7195.89</v>
      </c>
    </row>
    <row r="10530" spans="1:4" hidden="1" x14ac:dyDescent="0.3">
      <c r="A10530" t="s">
        <v>820</v>
      </c>
      <c r="B10530" t="s">
        <v>354</v>
      </c>
      <c r="C10530" s="1">
        <f>HYPERLINK("https://cao.dolgi.msk.ru/account/1010271976/", 1010271976)</f>
        <v>1010271976</v>
      </c>
      <c r="D10530">
        <v>-50.54</v>
      </c>
    </row>
    <row r="10531" spans="1:4" hidden="1" x14ac:dyDescent="0.3">
      <c r="A10531" t="s">
        <v>820</v>
      </c>
      <c r="B10531" t="s">
        <v>355</v>
      </c>
      <c r="C10531" s="1">
        <f>HYPERLINK("https://cao.dolgi.msk.ru/account/1010271984/", 1010271984)</f>
        <v>1010271984</v>
      </c>
      <c r="D10531">
        <v>-4707.8599999999997</v>
      </c>
    </row>
    <row r="10532" spans="1:4" hidden="1" x14ac:dyDescent="0.3">
      <c r="A10532" t="s">
        <v>820</v>
      </c>
      <c r="B10532" t="s">
        <v>356</v>
      </c>
      <c r="C10532" s="1">
        <f>HYPERLINK("https://cao.dolgi.msk.ru/account/1010271992/", 1010271992)</f>
        <v>1010271992</v>
      </c>
      <c r="D10532">
        <v>0</v>
      </c>
    </row>
    <row r="10533" spans="1:4" hidden="1" x14ac:dyDescent="0.3">
      <c r="A10533" t="s">
        <v>820</v>
      </c>
      <c r="B10533" t="s">
        <v>357</v>
      </c>
      <c r="C10533" s="1">
        <f>HYPERLINK("https://cao.dolgi.msk.ru/account/1010268531/", 1010268531)</f>
        <v>1010268531</v>
      </c>
      <c r="D10533">
        <v>0</v>
      </c>
    </row>
    <row r="10534" spans="1:4" hidden="1" x14ac:dyDescent="0.3">
      <c r="A10534" t="s">
        <v>820</v>
      </c>
      <c r="B10534" t="s">
        <v>357</v>
      </c>
      <c r="C10534" s="1">
        <f>HYPERLINK("https://cao.dolgi.msk.ru/account/1010268558/", 1010268558)</f>
        <v>1010268558</v>
      </c>
      <c r="D10534">
        <v>-3101.61</v>
      </c>
    </row>
    <row r="10535" spans="1:4" hidden="1" x14ac:dyDescent="0.3">
      <c r="A10535" t="s">
        <v>820</v>
      </c>
      <c r="B10535" t="s">
        <v>357</v>
      </c>
      <c r="C10535" s="1">
        <f>HYPERLINK("https://cao.dolgi.msk.ru/account/1010268566/", 1010268566)</f>
        <v>1010268566</v>
      </c>
      <c r="D10535">
        <v>-2418.9</v>
      </c>
    </row>
    <row r="10536" spans="1:4" hidden="1" x14ac:dyDescent="0.3">
      <c r="A10536" t="s">
        <v>820</v>
      </c>
      <c r="B10536" t="s">
        <v>358</v>
      </c>
      <c r="C10536" s="1">
        <f>HYPERLINK("https://cao.dolgi.msk.ru/account/1010268574/", 1010268574)</f>
        <v>1010268574</v>
      </c>
      <c r="D10536">
        <v>0</v>
      </c>
    </row>
    <row r="10537" spans="1:4" hidden="1" x14ac:dyDescent="0.3">
      <c r="A10537" t="s">
        <v>820</v>
      </c>
      <c r="B10537" t="s">
        <v>359</v>
      </c>
      <c r="C10537" s="1">
        <f>HYPERLINK("https://cao.dolgi.msk.ru/account/1010269462/", 1010269462)</f>
        <v>1010269462</v>
      </c>
      <c r="D10537">
        <v>-100.9</v>
      </c>
    </row>
    <row r="10538" spans="1:4" hidden="1" x14ac:dyDescent="0.3">
      <c r="A10538" t="s">
        <v>820</v>
      </c>
      <c r="B10538" t="s">
        <v>360</v>
      </c>
      <c r="C10538" s="1">
        <f>HYPERLINK("https://cao.dolgi.msk.ru/account/1010269489/", 1010269489)</f>
        <v>1010269489</v>
      </c>
      <c r="D10538">
        <v>-864.42</v>
      </c>
    </row>
    <row r="10539" spans="1:4" hidden="1" x14ac:dyDescent="0.3">
      <c r="A10539" t="s">
        <v>820</v>
      </c>
      <c r="B10539" t="s">
        <v>361</v>
      </c>
      <c r="C10539" s="1">
        <f>HYPERLINK("https://cao.dolgi.msk.ru/account/1010269497/", 1010269497)</f>
        <v>1010269497</v>
      </c>
      <c r="D10539">
        <v>0</v>
      </c>
    </row>
    <row r="10540" spans="1:4" x14ac:dyDescent="0.3">
      <c r="A10540" t="s">
        <v>820</v>
      </c>
      <c r="B10540" t="s">
        <v>362</v>
      </c>
      <c r="C10540" s="1">
        <f>HYPERLINK("https://cao.dolgi.msk.ru/account/1010269518/", 1010269518)</f>
        <v>1010269518</v>
      </c>
      <c r="D10540">
        <v>8122.95</v>
      </c>
    </row>
    <row r="10541" spans="1:4" hidden="1" x14ac:dyDescent="0.3">
      <c r="A10541" t="s">
        <v>820</v>
      </c>
      <c r="B10541" t="s">
        <v>363</v>
      </c>
      <c r="C10541" s="1">
        <f>HYPERLINK("https://cao.dolgi.msk.ru/account/1010267133/", 1010267133)</f>
        <v>1010267133</v>
      </c>
      <c r="D10541">
        <v>0</v>
      </c>
    </row>
    <row r="10542" spans="1:4" hidden="1" x14ac:dyDescent="0.3">
      <c r="A10542" t="s">
        <v>820</v>
      </c>
      <c r="B10542" t="s">
        <v>364</v>
      </c>
      <c r="C10542" s="1">
        <f>HYPERLINK("https://cao.dolgi.msk.ru/account/1010269526/", 1010269526)</f>
        <v>1010269526</v>
      </c>
      <c r="D10542">
        <v>0</v>
      </c>
    </row>
    <row r="10543" spans="1:4" hidden="1" x14ac:dyDescent="0.3">
      <c r="A10543" t="s">
        <v>820</v>
      </c>
      <c r="B10543" t="s">
        <v>365</v>
      </c>
      <c r="C10543" s="1">
        <f>HYPERLINK("https://cao.dolgi.msk.ru/account/1010269534/", 1010269534)</f>
        <v>1010269534</v>
      </c>
      <c r="D10543">
        <v>0</v>
      </c>
    </row>
    <row r="10544" spans="1:4" x14ac:dyDescent="0.3">
      <c r="A10544" t="s">
        <v>820</v>
      </c>
      <c r="B10544" t="s">
        <v>366</v>
      </c>
      <c r="C10544" s="1">
        <f>HYPERLINK("https://cao.dolgi.msk.ru/account/1010269542/", 1010269542)</f>
        <v>1010269542</v>
      </c>
      <c r="D10544">
        <v>221997.52</v>
      </c>
    </row>
    <row r="10545" spans="1:4" hidden="1" x14ac:dyDescent="0.3">
      <c r="A10545" t="s">
        <v>820</v>
      </c>
      <c r="B10545" t="s">
        <v>367</v>
      </c>
      <c r="C10545" s="1">
        <f>HYPERLINK("https://cao.dolgi.msk.ru/account/1010269569/", 1010269569)</f>
        <v>1010269569</v>
      </c>
      <c r="D10545">
        <v>-3918.29</v>
      </c>
    </row>
    <row r="10546" spans="1:4" hidden="1" x14ac:dyDescent="0.3">
      <c r="A10546" t="s">
        <v>820</v>
      </c>
      <c r="B10546" t="s">
        <v>368</v>
      </c>
      <c r="C10546" s="1">
        <f>HYPERLINK("https://cao.dolgi.msk.ru/account/1010269577/", 1010269577)</f>
        <v>1010269577</v>
      </c>
      <c r="D10546">
        <v>0</v>
      </c>
    </row>
    <row r="10547" spans="1:4" x14ac:dyDescent="0.3">
      <c r="A10547" t="s">
        <v>820</v>
      </c>
      <c r="B10547" t="s">
        <v>369</v>
      </c>
      <c r="C10547" s="1">
        <f>HYPERLINK("https://cao.dolgi.msk.ru/account/1010269585/", 1010269585)</f>
        <v>1010269585</v>
      </c>
      <c r="D10547">
        <v>7453.76</v>
      </c>
    </row>
    <row r="10548" spans="1:4" hidden="1" x14ac:dyDescent="0.3">
      <c r="A10548" t="s">
        <v>820</v>
      </c>
      <c r="B10548" t="s">
        <v>370</v>
      </c>
      <c r="C10548" s="1">
        <f>HYPERLINK("https://cao.dolgi.msk.ru/account/1010269593/", 1010269593)</f>
        <v>1010269593</v>
      </c>
      <c r="D10548">
        <v>0</v>
      </c>
    </row>
    <row r="10549" spans="1:4" hidden="1" x14ac:dyDescent="0.3">
      <c r="A10549" t="s">
        <v>820</v>
      </c>
      <c r="B10549" t="s">
        <v>371</v>
      </c>
      <c r="C10549" s="1">
        <f>HYPERLINK("https://cao.dolgi.msk.ru/account/1010269606/", 1010269606)</f>
        <v>1010269606</v>
      </c>
      <c r="D10549">
        <v>0</v>
      </c>
    </row>
    <row r="10550" spans="1:4" hidden="1" x14ac:dyDescent="0.3">
      <c r="A10550" t="s">
        <v>820</v>
      </c>
      <c r="B10550" t="s">
        <v>372</v>
      </c>
      <c r="C10550" s="1">
        <f>HYPERLINK("https://cao.dolgi.msk.ru/account/1010269614/", 1010269614)</f>
        <v>1010269614</v>
      </c>
      <c r="D10550">
        <v>0</v>
      </c>
    </row>
    <row r="10551" spans="1:4" hidden="1" x14ac:dyDescent="0.3">
      <c r="A10551" t="s">
        <v>820</v>
      </c>
      <c r="B10551" t="s">
        <v>373</v>
      </c>
      <c r="C10551" s="1">
        <f>HYPERLINK("https://cao.dolgi.msk.ru/account/1010269622/", 1010269622)</f>
        <v>1010269622</v>
      </c>
      <c r="D10551">
        <v>0</v>
      </c>
    </row>
    <row r="10552" spans="1:4" hidden="1" x14ac:dyDescent="0.3">
      <c r="A10552" t="s">
        <v>820</v>
      </c>
      <c r="B10552" t="s">
        <v>374</v>
      </c>
      <c r="C10552" s="1">
        <f>HYPERLINK("https://cao.dolgi.msk.ru/account/1010269649/", 1010269649)</f>
        <v>1010269649</v>
      </c>
      <c r="D10552">
        <v>0</v>
      </c>
    </row>
    <row r="10553" spans="1:4" hidden="1" x14ac:dyDescent="0.3">
      <c r="A10553" t="s">
        <v>820</v>
      </c>
      <c r="B10553" t="s">
        <v>375</v>
      </c>
      <c r="C10553" s="1">
        <f>HYPERLINK("https://cao.dolgi.msk.ru/account/1010269657/", 1010269657)</f>
        <v>1010269657</v>
      </c>
      <c r="D10553">
        <v>-12.01</v>
      </c>
    </row>
    <row r="10554" spans="1:4" hidden="1" x14ac:dyDescent="0.3">
      <c r="A10554" t="s">
        <v>820</v>
      </c>
      <c r="B10554" t="s">
        <v>376</v>
      </c>
      <c r="C10554" s="1">
        <f>HYPERLINK("https://cao.dolgi.msk.ru/account/1010269665/", 1010269665)</f>
        <v>1010269665</v>
      </c>
      <c r="D10554">
        <v>0</v>
      </c>
    </row>
    <row r="10555" spans="1:4" hidden="1" x14ac:dyDescent="0.3">
      <c r="A10555" t="s">
        <v>820</v>
      </c>
      <c r="B10555" t="s">
        <v>377</v>
      </c>
      <c r="C10555" s="1">
        <f>HYPERLINK("https://cao.dolgi.msk.ru/account/1010269673/", 1010269673)</f>
        <v>1010269673</v>
      </c>
      <c r="D10555">
        <v>0</v>
      </c>
    </row>
    <row r="10556" spans="1:4" hidden="1" x14ac:dyDescent="0.3">
      <c r="A10556" t="s">
        <v>820</v>
      </c>
      <c r="B10556" t="s">
        <v>378</v>
      </c>
      <c r="C10556" s="1">
        <f>HYPERLINK("https://cao.dolgi.msk.ru/account/1010269681/", 1010269681)</f>
        <v>1010269681</v>
      </c>
      <c r="D10556">
        <v>0</v>
      </c>
    </row>
    <row r="10557" spans="1:4" hidden="1" x14ac:dyDescent="0.3">
      <c r="A10557" t="s">
        <v>820</v>
      </c>
      <c r="B10557" t="s">
        <v>379</v>
      </c>
      <c r="C10557" s="1">
        <f>HYPERLINK("https://cao.dolgi.msk.ru/account/1011514167/", 1011514167)</f>
        <v>1011514167</v>
      </c>
      <c r="D10557">
        <v>-6125.81</v>
      </c>
    </row>
    <row r="10558" spans="1:4" hidden="1" x14ac:dyDescent="0.3">
      <c r="A10558" t="s">
        <v>820</v>
      </c>
      <c r="B10558" t="s">
        <v>380</v>
      </c>
      <c r="C10558" s="1">
        <f>HYPERLINK("https://cao.dolgi.msk.ru/account/1010267168/", 1010267168)</f>
        <v>1010267168</v>
      </c>
      <c r="D10558">
        <v>0</v>
      </c>
    </row>
    <row r="10559" spans="1:4" x14ac:dyDescent="0.3">
      <c r="A10559" t="s">
        <v>820</v>
      </c>
      <c r="B10559" t="s">
        <v>380</v>
      </c>
      <c r="C10559" s="1">
        <f>HYPERLINK("https://cao.dolgi.msk.ru/account/1010267176/", 1010267176)</f>
        <v>1010267176</v>
      </c>
      <c r="D10559">
        <v>3917.13</v>
      </c>
    </row>
    <row r="10560" spans="1:4" x14ac:dyDescent="0.3">
      <c r="A10560" t="s">
        <v>820</v>
      </c>
      <c r="B10560" t="s">
        <v>381</v>
      </c>
      <c r="C10560" s="1">
        <f>HYPERLINK("https://cao.dolgi.msk.ru/account/1011514175/", 1011514175)</f>
        <v>1011514175</v>
      </c>
      <c r="D10560">
        <v>5428.71</v>
      </c>
    </row>
    <row r="10561" spans="1:4" hidden="1" x14ac:dyDescent="0.3">
      <c r="A10561" t="s">
        <v>820</v>
      </c>
      <c r="B10561" t="s">
        <v>382</v>
      </c>
      <c r="C10561" s="1">
        <f>HYPERLINK("https://cao.dolgi.msk.ru/account/1010269833/", 1010269833)</f>
        <v>1010269833</v>
      </c>
      <c r="D10561">
        <v>-5598.06</v>
      </c>
    </row>
    <row r="10562" spans="1:4" hidden="1" x14ac:dyDescent="0.3">
      <c r="A10562" t="s">
        <v>820</v>
      </c>
      <c r="B10562" t="s">
        <v>383</v>
      </c>
      <c r="C10562" s="1">
        <f>HYPERLINK("https://cao.dolgi.msk.ru/account/1010269841/", 1010269841)</f>
        <v>1010269841</v>
      </c>
      <c r="D10562">
        <v>-3380.13</v>
      </c>
    </row>
    <row r="10563" spans="1:4" hidden="1" x14ac:dyDescent="0.3">
      <c r="A10563" t="s">
        <v>820</v>
      </c>
      <c r="B10563" t="s">
        <v>384</v>
      </c>
      <c r="C10563" s="1">
        <f>HYPERLINK("https://cao.dolgi.msk.ru/account/1010269454/", 1010269454)</f>
        <v>1010269454</v>
      </c>
      <c r="D10563">
        <v>-894.45</v>
      </c>
    </row>
    <row r="10564" spans="1:4" hidden="1" x14ac:dyDescent="0.3">
      <c r="A10564" t="s">
        <v>820</v>
      </c>
      <c r="B10564" t="s">
        <v>385</v>
      </c>
      <c r="C10564" s="1">
        <f>HYPERLINK("https://cao.dolgi.msk.ru/account/1010269868/", 1010269868)</f>
        <v>1010269868</v>
      </c>
      <c r="D10564">
        <v>-16896.2</v>
      </c>
    </row>
    <row r="10565" spans="1:4" hidden="1" x14ac:dyDescent="0.3">
      <c r="A10565" t="s">
        <v>820</v>
      </c>
      <c r="B10565" t="s">
        <v>386</v>
      </c>
      <c r="C10565" s="1">
        <f>HYPERLINK("https://cao.dolgi.msk.ru/account/1010269876/", 1010269876)</f>
        <v>1010269876</v>
      </c>
      <c r="D10565">
        <v>-5407.19</v>
      </c>
    </row>
    <row r="10566" spans="1:4" hidden="1" x14ac:dyDescent="0.3">
      <c r="A10566" t="s">
        <v>820</v>
      </c>
      <c r="B10566" t="s">
        <v>821</v>
      </c>
      <c r="C10566" s="1">
        <f>HYPERLINK("https://cao.dolgi.msk.ru/account/1010269884/", 1010269884)</f>
        <v>1010269884</v>
      </c>
      <c r="D10566">
        <v>-0.01</v>
      </c>
    </row>
    <row r="10567" spans="1:4" hidden="1" x14ac:dyDescent="0.3">
      <c r="A10567" t="s">
        <v>820</v>
      </c>
      <c r="B10567" t="s">
        <v>822</v>
      </c>
      <c r="C10567" s="1">
        <f>HYPERLINK("https://cao.dolgi.msk.ru/account/1010269892/", 1010269892)</f>
        <v>1010269892</v>
      </c>
      <c r="D10567">
        <v>-24.48</v>
      </c>
    </row>
    <row r="10568" spans="1:4" hidden="1" x14ac:dyDescent="0.3">
      <c r="A10568" t="s">
        <v>820</v>
      </c>
      <c r="B10568" t="s">
        <v>387</v>
      </c>
      <c r="C10568" s="1">
        <f>HYPERLINK("https://cao.dolgi.msk.ru/account/1010269913/", 1010269913)</f>
        <v>1010269913</v>
      </c>
      <c r="D10568">
        <v>-330.71</v>
      </c>
    </row>
    <row r="10569" spans="1:4" hidden="1" x14ac:dyDescent="0.3">
      <c r="A10569" t="s">
        <v>820</v>
      </c>
      <c r="B10569" t="s">
        <v>388</v>
      </c>
      <c r="C10569" s="1">
        <f>HYPERLINK("https://cao.dolgi.msk.ru/account/1010269921/", 1010269921)</f>
        <v>1010269921</v>
      </c>
      <c r="D10569">
        <v>-616.27</v>
      </c>
    </row>
    <row r="10570" spans="1:4" hidden="1" x14ac:dyDescent="0.3">
      <c r="A10570" t="s">
        <v>820</v>
      </c>
      <c r="B10570" t="s">
        <v>389</v>
      </c>
      <c r="C10570" s="1">
        <f>HYPERLINK("https://cao.dolgi.msk.ru/account/1010269948/", 1010269948)</f>
        <v>1010269948</v>
      </c>
      <c r="D10570">
        <v>0</v>
      </c>
    </row>
    <row r="10571" spans="1:4" hidden="1" x14ac:dyDescent="0.3">
      <c r="A10571" t="s">
        <v>820</v>
      </c>
      <c r="B10571" t="s">
        <v>390</v>
      </c>
      <c r="C10571" s="1">
        <f>HYPERLINK("https://cao.dolgi.msk.ru/account/1010269956/", 1010269956)</f>
        <v>1010269956</v>
      </c>
      <c r="D10571">
        <v>0</v>
      </c>
    </row>
    <row r="10572" spans="1:4" hidden="1" x14ac:dyDescent="0.3">
      <c r="A10572" t="s">
        <v>820</v>
      </c>
      <c r="B10572" t="s">
        <v>391</v>
      </c>
      <c r="C10572" s="1">
        <f>HYPERLINK("https://cao.dolgi.msk.ru/account/1010269964/", 1010269964)</f>
        <v>1010269964</v>
      </c>
      <c r="D10572">
        <v>-7522.59</v>
      </c>
    </row>
    <row r="10573" spans="1:4" hidden="1" x14ac:dyDescent="0.3">
      <c r="A10573" t="s">
        <v>820</v>
      </c>
      <c r="B10573" t="s">
        <v>392</v>
      </c>
      <c r="C10573" s="1">
        <f>HYPERLINK("https://cao.dolgi.msk.ru/account/1010268945/", 1010268945)</f>
        <v>1010268945</v>
      </c>
      <c r="D10573">
        <v>-7136.98</v>
      </c>
    </row>
    <row r="10574" spans="1:4" hidden="1" x14ac:dyDescent="0.3">
      <c r="A10574" t="s">
        <v>820</v>
      </c>
      <c r="B10574" t="s">
        <v>393</v>
      </c>
      <c r="C10574" s="1">
        <f>HYPERLINK("https://cao.dolgi.msk.ru/account/1010269972/", 1010269972)</f>
        <v>1010269972</v>
      </c>
      <c r="D10574">
        <v>0</v>
      </c>
    </row>
    <row r="10575" spans="1:4" hidden="1" x14ac:dyDescent="0.3">
      <c r="A10575" t="s">
        <v>820</v>
      </c>
      <c r="B10575" t="s">
        <v>394</v>
      </c>
      <c r="C10575" s="1">
        <f>HYPERLINK("https://cao.dolgi.msk.ru/account/1010269999/", 1010269999)</f>
        <v>1010269999</v>
      </c>
      <c r="D10575">
        <v>-1850.07</v>
      </c>
    </row>
    <row r="10576" spans="1:4" hidden="1" x14ac:dyDescent="0.3">
      <c r="A10576" t="s">
        <v>820</v>
      </c>
      <c r="B10576" t="s">
        <v>395</v>
      </c>
      <c r="C10576" s="1">
        <f>HYPERLINK("https://cao.dolgi.msk.ru/account/1010270009/", 1010270009)</f>
        <v>1010270009</v>
      </c>
      <c r="D10576">
        <v>-0.59</v>
      </c>
    </row>
    <row r="10577" spans="1:4" hidden="1" x14ac:dyDescent="0.3">
      <c r="A10577" t="s">
        <v>820</v>
      </c>
      <c r="B10577" t="s">
        <v>396</v>
      </c>
      <c r="C10577" s="1">
        <f>HYPERLINK("https://cao.dolgi.msk.ru/account/1010270017/", 1010270017)</f>
        <v>1010270017</v>
      </c>
      <c r="D10577">
        <v>-6099.35</v>
      </c>
    </row>
    <row r="10578" spans="1:4" hidden="1" x14ac:dyDescent="0.3">
      <c r="A10578" t="s">
        <v>820</v>
      </c>
      <c r="B10578" t="s">
        <v>397</v>
      </c>
      <c r="C10578" s="1">
        <f>HYPERLINK("https://cao.dolgi.msk.ru/account/1010270025/", 1010270025)</f>
        <v>1010270025</v>
      </c>
      <c r="D10578">
        <v>-10555.51</v>
      </c>
    </row>
    <row r="10579" spans="1:4" hidden="1" x14ac:dyDescent="0.3">
      <c r="A10579" t="s">
        <v>820</v>
      </c>
      <c r="B10579" t="s">
        <v>398</v>
      </c>
      <c r="C10579" s="1">
        <f>HYPERLINK("https://cao.dolgi.msk.ru/account/1010270033/", 1010270033)</f>
        <v>1010270033</v>
      </c>
      <c r="D10579">
        <v>0</v>
      </c>
    </row>
    <row r="10580" spans="1:4" x14ac:dyDescent="0.3">
      <c r="A10580" t="s">
        <v>820</v>
      </c>
      <c r="B10580" t="s">
        <v>399</v>
      </c>
      <c r="C10580" s="1">
        <f>HYPERLINK("https://cao.dolgi.msk.ru/account/1010270041/", 1010270041)</f>
        <v>1010270041</v>
      </c>
      <c r="D10580">
        <v>5480.74</v>
      </c>
    </row>
    <row r="10581" spans="1:4" hidden="1" x14ac:dyDescent="0.3">
      <c r="A10581" t="s">
        <v>820</v>
      </c>
      <c r="B10581" t="s">
        <v>400</v>
      </c>
      <c r="C10581" s="1">
        <f>HYPERLINK("https://cao.dolgi.msk.ru/account/1010270068/", 1010270068)</f>
        <v>1010270068</v>
      </c>
      <c r="D10581">
        <v>-7.25</v>
      </c>
    </row>
    <row r="10582" spans="1:4" x14ac:dyDescent="0.3">
      <c r="A10582" t="s">
        <v>820</v>
      </c>
      <c r="B10582" t="s">
        <v>401</v>
      </c>
      <c r="C10582" s="1">
        <f>HYPERLINK("https://cao.dolgi.msk.ru/account/1010270113/", 1010270113)</f>
        <v>1010270113</v>
      </c>
      <c r="D10582">
        <v>6020.6</v>
      </c>
    </row>
    <row r="10583" spans="1:4" hidden="1" x14ac:dyDescent="0.3">
      <c r="A10583" t="s">
        <v>820</v>
      </c>
      <c r="B10583" t="s">
        <v>402</v>
      </c>
      <c r="C10583" s="1">
        <f>HYPERLINK("https://cao.dolgi.msk.ru/account/1010270121/", 1010270121)</f>
        <v>1010270121</v>
      </c>
      <c r="D10583">
        <v>-7889.6</v>
      </c>
    </row>
    <row r="10584" spans="1:4" x14ac:dyDescent="0.3">
      <c r="A10584" t="s">
        <v>820</v>
      </c>
      <c r="B10584" t="s">
        <v>403</v>
      </c>
      <c r="C10584" s="1">
        <f>HYPERLINK("https://cao.dolgi.msk.ru/account/1011514554/", 1011514554)</f>
        <v>1011514554</v>
      </c>
      <c r="D10584">
        <v>129563.44</v>
      </c>
    </row>
    <row r="10585" spans="1:4" hidden="1" x14ac:dyDescent="0.3">
      <c r="A10585" t="s">
        <v>820</v>
      </c>
      <c r="B10585" t="s">
        <v>404</v>
      </c>
      <c r="C10585" s="1">
        <f>HYPERLINK("https://cao.dolgi.msk.ru/account/1010270156/", 1010270156)</f>
        <v>1010270156</v>
      </c>
      <c r="D10585">
        <v>-2771.59</v>
      </c>
    </row>
    <row r="10586" spans="1:4" x14ac:dyDescent="0.3">
      <c r="A10586" t="s">
        <v>820</v>
      </c>
      <c r="B10586" t="s">
        <v>404</v>
      </c>
      <c r="C10586" s="1">
        <f>HYPERLINK("https://cao.dolgi.msk.ru/account/1011013768/", 1011013768)</f>
        <v>1011013768</v>
      </c>
      <c r="D10586">
        <v>4190.38</v>
      </c>
    </row>
    <row r="10587" spans="1:4" hidden="1" x14ac:dyDescent="0.3">
      <c r="A10587" t="s">
        <v>820</v>
      </c>
      <c r="B10587" t="s">
        <v>405</v>
      </c>
      <c r="C10587" s="1">
        <f>HYPERLINK("https://cao.dolgi.msk.ru/account/1010270172/", 1010270172)</f>
        <v>1010270172</v>
      </c>
      <c r="D10587">
        <v>0</v>
      </c>
    </row>
    <row r="10588" spans="1:4" hidden="1" x14ac:dyDescent="0.3">
      <c r="A10588" t="s">
        <v>820</v>
      </c>
      <c r="B10588" t="s">
        <v>406</v>
      </c>
      <c r="C10588" s="1">
        <f>HYPERLINK("https://cao.dolgi.msk.ru/account/1010270199/", 1010270199)</f>
        <v>1010270199</v>
      </c>
      <c r="D10588">
        <v>-6168.93</v>
      </c>
    </row>
    <row r="10589" spans="1:4" hidden="1" x14ac:dyDescent="0.3">
      <c r="A10589" t="s">
        <v>820</v>
      </c>
      <c r="B10589" t="s">
        <v>407</v>
      </c>
      <c r="C10589" s="1">
        <f>HYPERLINK("https://cao.dolgi.msk.ru/account/1010270201/", 1010270201)</f>
        <v>1010270201</v>
      </c>
      <c r="D10589">
        <v>-1158.8399999999999</v>
      </c>
    </row>
    <row r="10590" spans="1:4" hidden="1" x14ac:dyDescent="0.3">
      <c r="A10590" t="s">
        <v>820</v>
      </c>
      <c r="B10590" t="s">
        <v>408</v>
      </c>
      <c r="C10590" s="1">
        <f>HYPERLINK("https://cao.dolgi.msk.ru/account/1010270228/", 1010270228)</f>
        <v>1010270228</v>
      </c>
      <c r="D10590">
        <v>0</v>
      </c>
    </row>
    <row r="10591" spans="1:4" hidden="1" x14ac:dyDescent="0.3">
      <c r="A10591" t="s">
        <v>820</v>
      </c>
      <c r="B10591" t="s">
        <v>409</v>
      </c>
      <c r="C10591" s="1">
        <f>HYPERLINK("https://cao.dolgi.msk.ru/account/1010270236/", 1010270236)</f>
        <v>1010270236</v>
      </c>
      <c r="D10591">
        <v>0</v>
      </c>
    </row>
    <row r="10592" spans="1:4" hidden="1" x14ac:dyDescent="0.3">
      <c r="A10592" t="s">
        <v>820</v>
      </c>
      <c r="B10592" t="s">
        <v>410</v>
      </c>
      <c r="C10592" s="1">
        <f>HYPERLINK("https://cao.dolgi.msk.ru/account/1010270244/", 1010270244)</f>
        <v>1010270244</v>
      </c>
      <c r="D10592">
        <v>-3989.6</v>
      </c>
    </row>
    <row r="10593" spans="1:4" hidden="1" x14ac:dyDescent="0.3">
      <c r="A10593" t="s">
        <v>820</v>
      </c>
      <c r="B10593" t="s">
        <v>411</v>
      </c>
      <c r="C10593" s="1">
        <f>HYPERLINK("https://cao.dolgi.msk.ru/account/1010270252/", 1010270252)</f>
        <v>1010270252</v>
      </c>
      <c r="D10593">
        <v>0</v>
      </c>
    </row>
    <row r="10594" spans="1:4" hidden="1" x14ac:dyDescent="0.3">
      <c r="A10594" t="s">
        <v>820</v>
      </c>
      <c r="B10594" t="s">
        <v>412</v>
      </c>
      <c r="C10594" s="1">
        <f>HYPERLINK("https://cao.dolgi.msk.ru/account/1010270279/", 1010270279)</f>
        <v>1010270279</v>
      </c>
      <c r="D10594">
        <v>0</v>
      </c>
    </row>
    <row r="10595" spans="1:4" hidden="1" x14ac:dyDescent="0.3">
      <c r="A10595" t="s">
        <v>820</v>
      </c>
      <c r="B10595" t="s">
        <v>413</v>
      </c>
      <c r="C10595" s="1">
        <f>HYPERLINK("https://cao.dolgi.msk.ru/account/1010270287/", 1010270287)</f>
        <v>1010270287</v>
      </c>
      <c r="D10595">
        <v>-3.09</v>
      </c>
    </row>
    <row r="10596" spans="1:4" hidden="1" x14ac:dyDescent="0.3">
      <c r="A10596" t="s">
        <v>820</v>
      </c>
      <c r="B10596" t="s">
        <v>823</v>
      </c>
      <c r="C10596" s="1">
        <f>HYPERLINK("https://cao.dolgi.msk.ru/account/1010270295/", 1010270295)</f>
        <v>1010270295</v>
      </c>
      <c r="D10596">
        <v>0</v>
      </c>
    </row>
    <row r="10597" spans="1:4" hidden="1" x14ac:dyDescent="0.3">
      <c r="A10597" t="s">
        <v>820</v>
      </c>
      <c r="B10597" t="s">
        <v>414</v>
      </c>
      <c r="C10597" s="1">
        <f>HYPERLINK("https://cao.dolgi.msk.ru/account/1010270308/", 1010270308)</f>
        <v>1010270308</v>
      </c>
      <c r="D10597">
        <v>0</v>
      </c>
    </row>
    <row r="10598" spans="1:4" hidden="1" x14ac:dyDescent="0.3">
      <c r="A10598" t="s">
        <v>820</v>
      </c>
      <c r="B10598" t="s">
        <v>414</v>
      </c>
      <c r="C10598" s="1">
        <f>HYPERLINK("https://cao.dolgi.msk.ru/account/1010270316/", 1010270316)</f>
        <v>1010270316</v>
      </c>
      <c r="D10598">
        <v>0</v>
      </c>
    </row>
    <row r="10599" spans="1:4" x14ac:dyDescent="0.3">
      <c r="A10599" t="s">
        <v>820</v>
      </c>
      <c r="B10599" t="s">
        <v>415</v>
      </c>
      <c r="C10599" s="1">
        <f>HYPERLINK("https://cao.dolgi.msk.ru/account/1010270324/", 1010270324)</f>
        <v>1010270324</v>
      </c>
      <c r="D10599">
        <v>3696.08</v>
      </c>
    </row>
    <row r="10600" spans="1:4" hidden="1" x14ac:dyDescent="0.3">
      <c r="A10600" t="s">
        <v>820</v>
      </c>
      <c r="B10600" t="s">
        <v>416</v>
      </c>
      <c r="C10600" s="1">
        <f>HYPERLINK("https://cao.dolgi.msk.ru/account/1010268435/", 1010268435)</f>
        <v>1010268435</v>
      </c>
      <c r="D10600">
        <v>0</v>
      </c>
    </row>
    <row r="10601" spans="1:4" x14ac:dyDescent="0.3">
      <c r="A10601" t="s">
        <v>820</v>
      </c>
      <c r="B10601" t="s">
        <v>417</v>
      </c>
      <c r="C10601" s="1">
        <f>HYPERLINK("https://cao.dolgi.msk.ru/account/1010270332/", 1010270332)</f>
        <v>1010270332</v>
      </c>
      <c r="D10601">
        <v>6717.24</v>
      </c>
    </row>
    <row r="10602" spans="1:4" hidden="1" x14ac:dyDescent="0.3">
      <c r="A10602" t="s">
        <v>820</v>
      </c>
      <c r="B10602" t="s">
        <v>418</v>
      </c>
      <c r="C10602" s="1">
        <f>HYPERLINK("https://cao.dolgi.msk.ru/account/1010270359/", 1010270359)</f>
        <v>1010270359</v>
      </c>
      <c r="D10602">
        <v>-1116.53</v>
      </c>
    </row>
    <row r="10603" spans="1:4" hidden="1" x14ac:dyDescent="0.3">
      <c r="A10603" t="s">
        <v>820</v>
      </c>
      <c r="B10603" t="s">
        <v>419</v>
      </c>
      <c r="C10603" s="1">
        <f>HYPERLINK("https://cao.dolgi.msk.ru/account/1010270367/", 1010270367)</f>
        <v>1010270367</v>
      </c>
      <c r="D10603">
        <v>0</v>
      </c>
    </row>
    <row r="10604" spans="1:4" hidden="1" x14ac:dyDescent="0.3">
      <c r="A10604" t="s">
        <v>820</v>
      </c>
      <c r="B10604" t="s">
        <v>420</v>
      </c>
      <c r="C10604" s="1">
        <f>HYPERLINK("https://cao.dolgi.msk.ru/account/1010270375/", 1010270375)</f>
        <v>1010270375</v>
      </c>
      <c r="D10604">
        <v>0</v>
      </c>
    </row>
    <row r="10605" spans="1:4" hidden="1" x14ac:dyDescent="0.3">
      <c r="A10605" t="s">
        <v>820</v>
      </c>
      <c r="B10605" t="s">
        <v>421</v>
      </c>
      <c r="C10605" s="1">
        <f>HYPERLINK("https://cao.dolgi.msk.ru/account/1010270391/", 1010270391)</f>
        <v>1010270391</v>
      </c>
      <c r="D10605">
        <v>-2104.12</v>
      </c>
    </row>
    <row r="10606" spans="1:4" x14ac:dyDescent="0.3">
      <c r="A10606" t="s">
        <v>820</v>
      </c>
      <c r="B10606" t="s">
        <v>421</v>
      </c>
      <c r="C10606" s="1">
        <f>HYPERLINK("https://cao.dolgi.msk.ru/account/1011013776/", 1011013776)</f>
        <v>1011013776</v>
      </c>
      <c r="D10606">
        <v>4329.13</v>
      </c>
    </row>
    <row r="10607" spans="1:4" hidden="1" x14ac:dyDescent="0.3">
      <c r="A10607" t="s">
        <v>820</v>
      </c>
      <c r="B10607" t="s">
        <v>422</v>
      </c>
      <c r="C10607" s="1">
        <f>HYPERLINK("https://cao.dolgi.msk.ru/account/1010270404/", 1010270404)</f>
        <v>1010270404</v>
      </c>
      <c r="D10607">
        <v>0</v>
      </c>
    </row>
    <row r="10608" spans="1:4" hidden="1" x14ac:dyDescent="0.3">
      <c r="A10608" t="s">
        <v>824</v>
      </c>
      <c r="B10608" t="s">
        <v>11</v>
      </c>
      <c r="C10608" s="1">
        <f>HYPERLINK("https://cao.dolgi.msk.ru/account/1011527144/", 1011527144)</f>
        <v>1011527144</v>
      </c>
      <c r="D10608">
        <v>0</v>
      </c>
    </row>
    <row r="10609" spans="1:4" hidden="1" x14ac:dyDescent="0.3">
      <c r="A10609" t="s">
        <v>824</v>
      </c>
      <c r="B10609" t="s">
        <v>16</v>
      </c>
      <c r="C10609" s="1">
        <f>HYPERLINK("https://cao.dolgi.msk.ru/account/1010216686/", 1010216686)</f>
        <v>1010216686</v>
      </c>
      <c r="D10609">
        <v>-2331.44</v>
      </c>
    </row>
    <row r="10610" spans="1:4" x14ac:dyDescent="0.3">
      <c r="A10610" t="s">
        <v>824</v>
      </c>
      <c r="B10610" t="s">
        <v>16</v>
      </c>
      <c r="C10610" s="1">
        <f>HYPERLINK("https://cao.dolgi.msk.ru/account/1010216694/", 1010216694)</f>
        <v>1010216694</v>
      </c>
      <c r="D10610">
        <v>1835.05</v>
      </c>
    </row>
    <row r="10611" spans="1:4" x14ac:dyDescent="0.3">
      <c r="A10611" t="s">
        <v>824</v>
      </c>
      <c r="B10611" t="s">
        <v>16</v>
      </c>
      <c r="C10611" s="1">
        <f>HYPERLINK("https://cao.dolgi.msk.ru/account/1010216707/", 1010216707)</f>
        <v>1010216707</v>
      </c>
      <c r="D10611">
        <v>17611.12</v>
      </c>
    </row>
    <row r="10612" spans="1:4" hidden="1" x14ac:dyDescent="0.3">
      <c r="A10612" t="s">
        <v>824</v>
      </c>
      <c r="B10612" t="s">
        <v>16</v>
      </c>
      <c r="C10612" s="1">
        <f>HYPERLINK("https://cao.dolgi.msk.ru/account/1010216723/", 1010216723)</f>
        <v>1010216723</v>
      </c>
      <c r="D10612">
        <v>-113.46</v>
      </c>
    </row>
    <row r="10613" spans="1:4" hidden="1" x14ac:dyDescent="0.3">
      <c r="A10613" t="s">
        <v>824</v>
      </c>
      <c r="B10613" t="s">
        <v>16</v>
      </c>
      <c r="C10613" s="1">
        <f>HYPERLINK("https://cao.dolgi.msk.ru/account/1010273285/", 1010273285)</f>
        <v>1010273285</v>
      </c>
      <c r="D10613">
        <v>-106.92</v>
      </c>
    </row>
    <row r="10614" spans="1:4" x14ac:dyDescent="0.3">
      <c r="A10614" t="s">
        <v>825</v>
      </c>
      <c r="B10614" t="s">
        <v>21</v>
      </c>
      <c r="C10614" s="1">
        <f>HYPERLINK("https://cao.dolgi.msk.ru/account/1011314544/", 1011314544)</f>
        <v>1011314544</v>
      </c>
      <c r="D10614">
        <v>17023.37</v>
      </c>
    </row>
    <row r="10615" spans="1:4" hidden="1" x14ac:dyDescent="0.3">
      <c r="A10615" t="s">
        <v>825</v>
      </c>
      <c r="B10615" t="s">
        <v>22</v>
      </c>
      <c r="C10615" s="1">
        <f>HYPERLINK("https://cao.dolgi.msk.ru/account/1011314595/", 1011314595)</f>
        <v>1011314595</v>
      </c>
      <c r="D10615">
        <v>0</v>
      </c>
    </row>
    <row r="10616" spans="1:4" x14ac:dyDescent="0.3">
      <c r="A10616" t="s">
        <v>825</v>
      </c>
      <c r="B10616" t="s">
        <v>24</v>
      </c>
      <c r="C10616" s="1">
        <f>HYPERLINK("https://cao.dolgi.msk.ru/account/1011314579/", 1011314579)</f>
        <v>1011314579</v>
      </c>
      <c r="D10616">
        <v>3822.79</v>
      </c>
    </row>
    <row r="10617" spans="1:4" x14ac:dyDescent="0.3">
      <c r="A10617" t="s">
        <v>825</v>
      </c>
      <c r="B10617" t="s">
        <v>25</v>
      </c>
      <c r="C10617" s="1">
        <f>HYPERLINK("https://cao.dolgi.msk.ru/account/1011314616/", 1011314616)</f>
        <v>1011314616</v>
      </c>
      <c r="D10617">
        <v>23598.59</v>
      </c>
    </row>
    <row r="10618" spans="1:4" hidden="1" x14ac:dyDescent="0.3">
      <c r="A10618" t="s">
        <v>825</v>
      </c>
      <c r="B10618" t="s">
        <v>27</v>
      </c>
      <c r="C10618" s="1">
        <f>HYPERLINK("https://cao.dolgi.msk.ru/account/1011314501/", 1011314501)</f>
        <v>1011314501</v>
      </c>
      <c r="D10618">
        <v>-56</v>
      </c>
    </row>
    <row r="10619" spans="1:4" hidden="1" x14ac:dyDescent="0.3">
      <c r="A10619" t="s">
        <v>825</v>
      </c>
      <c r="B10619" t="s">
        <v>27</v>
      </c>
      <c r="C10619" s="1">
        <f>HYPERLINK("https://cao.dolgi.msk.ru/account/1011314528/", 1011314528)</f>
        <v>1011314528</v>
      </c>
      <c r="D10619">
        <v>-4823.13</v>
      </c>
    </row>
    <row r="10620" spans="1:4" hidden="1" x14ac:dyDescent="0.3">
      <c r="A10620" t="s">
        <v>825</v>
      </c>
      <c r="B10620" t="s">
        <v>27</v>
      </c>
      <c r="C10620" s="1">
        <f>HYPERLINK("https://cao.dolgi.msk.ru/account/1011314536/", 1011314536)</f>
        <v>1011314536</v>
      </c>
      <c r="D10620">
        <v>-3933.83</v>
      </c>
    </row>
    <row r="10621" spans="1:4" x14ac:dyDescent="0.3">
      <c r="A10621" t="s">
        <v>825</v>
      </c>
      <c r="B10621" t="s">
        <v>27</v>
      </c>
      <c r="C10621" s="1">
        <f>HYPERLINK("https://cao.dolgi.msk.ru/account/1011314552/", 1011314552)</f>
        <v>1011314552</v>
      </c>
      <c r="D10621">
        <v>6682.14</v>
      </c>
    </row>
    <row r="10622" spans="1:4" x14ac:dyDescent="0.3">
      <c r="A10622" t="s">
        <v>825</v>
      </c>
      <c r="B10622" t="s">
        <v>27</v>
      </c>
      <c r="C10622" s="1">
        <f>HYPERLINK("https://cao.dolgi.msk.ru/account/1011314624/", 1011314624)</f>
        <v>1011314624</v>
      </c>
      <c r="D10622">
        <v>2828.04</v>
      </c>
    </row>
    <row r="10623" spans="1:4" x14ac:dyDescent="0.3">
      <c r="A10623" t="s">
        <v>825</v>
      </c>
      <c r="B10623" t="s">
        <v>29</v>
      </c>
      <c r="C10623" s="1">
        <f>HYPERLINK("https://cao.dolgi.msk.ru/account/1011314608/", 1011314608)</f>
        <v>1011314608</v>
      </c>
      <c r="D10623">
        <v>2586.62</v>
      </c>
    </row>
    <row r="10624" spans="1:4" x14ac:dyDescent="0.3">
      <c r="A10624" t="s">
        <v>825</v>
      </c>
      <c r="B10624" t="s">
        <v>38</v>
      </c>
      <c r="C10624" s="1">
        <f>HYPERLINK("https://cao.dolgi.msk.ru/account/1011314587/", 1011314587)</f>
        <v>1011314587</v>
      </c>
      <c r="D10624">
        <v>944.06</v>
      </c>
    </row>
    <row r="10625" spans="1:4" hidden="1" x14ac:dyDescent="0.3">
      <c r="A10625" t="s">
        <v>826</v>
      </c>
      <c r="B10625" t="s">
        <v>20</v>
      </c>
      <c r="C10625" s="1">
        <f>HYPERLINK("https://cao.dolgi.msk.ru/account/1010216782/", 1010216782)</f>
        <v>1010216782</v>
      </c>
      <c r="D10625">
        <v>0</v>
      </c>
    </row>
    <row r="10626" spans="1:4" hidden="1" x14ac:dyDescent="0.3">
      <c r="A10626" t="s">
        <v>827</v>
      </c>
      <c r="B10626" t="s">
        <v>28</v>
      </c>
      <c r="C10626" s="1">
        <f>HYPERLINK("https://cao.dolgi.msk.ru/account/1010216918/", 1010216918)</f>
        <v>1010216918</v>
      </c>
      <c r="D10626">
        <v>-8636.07</v>
      </c>
    </row>
    <row r="10627" spans="1:4" hidden="1" x14ac:dyDescent="0.3">
      <c r="A10627" t="s">
        <v>827</v>
      </c>
      <c r="B10627" t="s">
        <v>35</v>
      </c>
      <c r="C10627" s="1">
        <f>HYPERLINK("https://cao.dolgi.msk.ru/account/1010216934/", 1010216934)</f>
        <v>1010216934</v>
      </c>
      <c r="D10627">
        <v>-21201.87</v>
      </c>
    </row>
    <row r="10628" spans="1:4" hidden="1" x14ac:dyDescent="0.3">
      <c r="A10628" t="s">
        <v>827</v>
      </c>
      <c r="B10628" t="s">
        <v>5</v>
      </c>
      <c r="C10628" s="1">
        <f>HYPERLINK("https://cao.dolgi.msk.ru/account/1010216926/", 1010216926)</f>
        <v>1010216926</v>
      </c>
      <c r="D10628">
        <v>-4548.8500000000004</v>
      </c>
    </row>
    <row r="10629" spans="1:4" hidden="1" x14ac:dyDescent="0.3">
      <c r="A10629" t="s">
        <v>827</v>
      </c>
      <c r="B10629" t="s">
        <v>5</v>
      </c>
      <c r="C10629" s="1">
        <f>HYPERLINK("https://cao.dolgi.msk.ru/account/1010217566/", 1010217566)</f>
        <v>1010217566</v>
      </c>
      <c r="D10629">
        <v>-2275.08</v>
      </c>
    </row>
    <row r="10630" spans="1:4" x14ac:dyDescent="0.3">
      <c r="A10630" t="s">
        <v>827</v>
      </c>
      <c r="B10630" t="s">
        <v>7</v>
      </c>
      <c r="C10630" s="1">
        <f>HYPERLINK("https://cao.dolgi.msk.ru/account/1010216942/", 1010216942)</f>
        <v>1010216942</v>
      </c>
      <c r="D10630">
        <v>1088.0899999999999</v>
      </c>
    </row>
    <row r="10631" spans="1:4" hidden="1" x14ac:dyDescent="0.3">
      <c r="A10631" t="s">
        <v>827</v>
      </c>
      <c r="B10631" t="s">
        <v>8</v>
      </c>
      <c r="C10631" s="1">
        <f>HYPERLINK("https://cao.dolgi.msk.ru/account/1010216993/", 1010216993)</f>
        <v>1010216993</v>
      </c>
      <c r="D10631">
        <v>-14493.63</v>
      </c>
    </row>
    <row r="10632" spans="1:4" hidden="1" x14ac:dyDescent="0.3">
      <c r="A10632" t="s">
        <v>827</v>
      </c>
      <c r="B10632" t="s">
        <v>31</v>
      </c>
      <c r="C10632" s="1">
        <f>HYPERLINK("https://cao.dolgi.msk.ru/account/1010217048/", 1010217048)</f>
        <v>1010217048</v>
      </c>
      <c r="D10632">
        <v>-11032.53</v>
      </c>
    </row>
    <row r="10633" spans="1:4" hidden="1" x14ac:dyDescent="0.3">
      <c r="A10633" t="s">
        <v>827</v>
      </c>
      <c r="B10633" t="s">
        <v>9</v>
      </c>
      <c r="C10633" s="1">
        <f>HYPERLINK("https://cao.dolgi.msk.ru/account/1010217208/", 1010217208)</f>
        <v>1010217208</v>
      </c>
      <c r="D10633">
        <v>-23824.85</v>
      </c>
    </row>
    <row r="10634" spans="1:4" hidden="1" x14ac:dyDescent="0.3">
      <c r="A10634" t="s">
        <v>827</v>
      </c>
      <c r="B10634" t="s">
        <v>10</v>
      </c>
      <c r="C10634" s="1">
        <f>HYPERLINK("https://cao.dolgi.msk.ru/account/1010217021/", 1010217021)</f>
        <v>1010217021</v>
      </c>
      <c r="D10634">
        <v>-11930.52</v>
      </c>
    </row>
    <row r="10635" spans="1:4" x14ac:dyDescent="0.3">
      <c r="A10635" t="s">
        <v>827</v>
      </c>
      <c r="B10635" t="s">
        <v>10</v>
      </c>
      <c r="C10635" s="1">
        <f>HYPERLINK("https://cao.dolgi.msk.ru/account/1010217072/", 1010217072)</f>
        <v>1010217072</v>
      </c>
      <c r="D10635">
        <v>73337.039999999994</v>
      </c>
    </row>
    <row r="10636" spans="1:4" x14ac:dyDescent="0.3">
      <c r="A10636" t="s">
        <v>827</v>
      </c>
      <c r="B10636" t="s">
        <v>10</v>
      </c>
      <c r="C10636" s="1">
        <f>HYPERLINK("https://cao.dolgi.msk.ru/account/1010217216/", 1010217216)</f>
        <v>1010217216</v>
      </c>
      <c r="D10636">
        <v>283.27</v>
      </c>
    </row>
    <row r="10637" spans="1:4" hidden="1" x14ac:dyDescent="0.3">
      <c r="A10637" t="s">
        <v>827</v>
      </c>
      <c r="B10637" t="s">
        <v>10</v>
      </c>
      <c r="C10637" s="1">
        <f>HYPERLINK("https://cao.dolgi.msk.ru/account/1011013792/", 1011013792)</f>
        <v>1011013792</v>
      </c>
      <c r="D10637">
        <v>-10107.56</v>
      </c>
    </row>
    <row r="10638" spans="1:4" hidden="1" x14ac:dyDescent="0.3">
      <c r="A10638" t="s">
        <v>827</v>
      </c>
      <c r="B10638" t="s">
        <v>11</v>
      </c>
      <c r="C10638" s="1">
        <f>HYPERLINK("https://cao.dolgi.msk.ru/account/1010217099/", 1010217099)</f>
        <v>1010217099</v>
      </c>
      <c r="D10638">
        <v>-40703.93</v>
      </c>
    </row>
    <row r="10639" spans="1:4" hidden="1" x14ac:dyDescent="0.3">
      <c r="A10639" t="s">
        <v>827</v>
      </c>
      <c r="B10639" t="s">
        <v>12</v>
      </c>
      <c r="C10639" s="1">
        <f>HYPERLINK("https://cao.dolgi.msk.ru/account/1010217101/", 1010217101)</f>
        <v>1010217101</v>
      </c>
      <c r="D10639">
        <v>-9488.41</v>
      </c>
    </row>
    <row r="10640" spans="1:4" hidden="1" x14ac:dyDescent="0.3">
      <c r="A10640" t="s">
        <v>827</v>
      </c>
      <c r="B10640" t="s">
        <v>23</v>
      </c>
      <c r="C10640" s="1">
        <f>HYPERLINK("https://cao.dolgi.msk.ru/account/1010217144/", 1010217144)</f>
        <v>1010217144</v>
      </c>
      <c r="D10640">
        <v>-13314.71</v>
      </c>
    </row>
    <row r="10641" spans="1:4" hidden="1" x14ac:dyDescent="0.3">
      <c r="A10641" t="s">
        <v>828</v>
      </c>
      <c r="B10641" t="s">
        <v>39</v>
      </c>
      <c r="C10641" s="1">
        <f>HYPERLINK("https://cao.dolgi.msk.ru/account/1011429528/", 1011429528)</f>
        <v>1011429528</v>
      </c>
      <c r="D10641">
        <v>-8013.63</v>
      </c>
    </row>
    <row r="10642" spans="1:4" hidden="1" x14ac:dyDescent="0.3">
      <c r="A10642" t="s">
        <v>828</v>
      </c>
      <c r="B10642" t="s">
        <v>40</v>
      </c>
      <c r="C10642" s="1">
        <f>HYPERLINK("https://cao.dolgi.msk.ru/account/1011429317/", 1011429317)</f>
        <v>1011429317</v>
      </c>
      <c r="D10642">
        <v>-10.9</v>
      </c>
    </row>
    <row r="10643" spans="1:4" hidden="1" x14ac:dyDescent="0.3">
      <c r="A10643" t="s">
        <v>828</v>
      </c>
      <c r="B10643" t="s">
        <v>40</v>
      </c>
      <c r="C10643" s="1">
        <f>HYPERLINK("https://cao.dolgi.msk.ru/account/1011429341/", 1011429341)</f>
        <v>1011429341</v>
      </c>
      <c r="D10643">
        <v>0</v>
      </c>
    </row>
    <row r="10644" spans="1:4" hidden="1" x14ac:dyDescent="0.3">
      <c r="A10644" t="s">
        <v>828</v>
      </c>
      <c r="B10644" t="s">
        <v>41</v>
      </c>
      <c r="C10644" s="1">
        <f>HYPERLINK("https://cao.dolgi.msk.ru/account/1011429536/", 1011429536)</f>
        <v>1011429536</v>
      </c>
      <c r="D10644">
        <v>-2080.89</v>
      </c>
    </row>
    <row r="10645" spans="1:4" hidden="1" x14ac:dyDescent="0.3">
      <c r="A10645" t="s">
        <v>828</v>
      </c>
      <c r="B10645" t="s">
        <v>51</v>
      </c>
      <c r="C10645" s="1">
        <f>HYPERLINK("https://cao.dolgi.msk.ru/account/1011429309/", 1011429309)</f>
        <v>1011429309</v>
      </c>
      <c r="D10645">
        <v>0</v>
      </c>
    </row>
    <row r="10646" spans="1:4" hidden="1" x14ac:dyDescent="0.3">
      <c r="A10646" t="s">
        <v>828</v>
      </c>
      <c r="B10646" t="s">
        <v>51</v>
      </c>
      <c r="C10646" s="1">
        <f>HYPERLINK("https://cao.dolgi.msk.ru/account/1011429384/", 1011429384)</f>
        <v>1011429384</v>
      </c>
      <c r="D10646">
        <v>-2.3199999999999998</v>
      </c>
    </row>
    <row r="10647" spans="1:4" x14ac:dyDescent="0.3">
      <c r="A10647" t="s">
        <v>828</v>
      </c>
      <c r="B10647" t="s">
        <v>52</v>
      </c>
      <c r="C10647" s="1">
        <f>HYPERLINK("https://cao.dolgi.msk.ru/account/1011429448/", 1011429448)</f>
        <v>1011429448</v>
      </c>
      <c r="D10647">
        <v>13510.69</v>
      </c>
    </row>
    <row r="10648" spans="1:4" hidden="1" x14ac:dyDescent="0.3">
      <c r="A10648" t="s">
        <v>828</v>
      </c>
      <c r="B10648" t="s">
        <v>53</v>
      </c>
      <c r="C10648" s="1">
        <f>HYPERLINK("https://cao.dolgi.msk.ru/account/1011429544/", 1011429544)</f>
        <v>1011429544</v>
      </c>
      <c r="D10648">
        <v>-5445.87</v>
      </c>
    </row>
    <row r="10649" spans="1:4" hidden="1" x14ac:dyDescent="0.3">
      <c r="A10649" t="s">
        <v>828</v>
      </c>
      <c r="B10649" t="s">
        <v>54</v>
      </c>
      <c r="C10649" s="1">
        <f>HYPERLINK("https://cao.dolgi.msk.ru/account/1011429413/", 1011429413)</f>
        <v>1011429413</v>
      </c>
      <c r="D10649">
        <v>-4920.3</v>
      </c>
    </row>
    <row r="10650" spans="1:4" x14ac:dyDescent="0.3">
      <c r="A10650" t="s">
        <v>828</v>
      </c>
      <c r="B10650" t="s">
        <v>829</v>
      </c>
      <c r="C10650" s="1">
        <f>HYPERLINK("https://cao.dolgi.msk.ru/account/1011429376/", 1011429376)</f>
        <v>1011429376</v>
      </c>
      <c r="D10650">
        <v>14569.95</v>
      </c>
    </row>
    <row r="10651" spans="1:4" hidden="1" x14ac:dyDescent="0.3">
      <c r="A10651" t="s">
        <v>828</v>
      </c>
      <c r="B10651" t="s">
        <v>55</v>
      </c>
      <c r="C10651" s="1">
        <f>HYPERLINK("https://cao.dolgi.msk.ru/account/1011429325/", 1011429325)</f>
        <v>1011429325</v>
      </c>
      <c r="D10651">
        <v>0</v>
      </c>
    </row>
    <row r="10652" spans="1:4" hidden="1" x14ac:dyDescent="0.3">
      <c r="A10652" t="s">
        <v>828</v>
      </c>
      <c r="B10652" t="s">
        <v>55</v>
      </c>
      <c r="C10652" s="1">
        <f>HYPERLINK("https://cao.dolgi.msk.ru/account/1011429499/", 1011429499)</f>
        <v>1011429499</v>
      </c>
      <c r="D10652">
        <v>0</v>
      </c>
    </row>
    <row r="10653" spans="1:4" hidden="1" x14ac:dyDescent="0.3">
      <c r="A10653" t="s">
        <v>828</v>
      </c>
      <c r="B10653" t="s">
        <v>55</v>
      </c>
      <c r="C10653" s="1">
        <f>HYPERLINK("https://cao.dolgi.msk.ru/account/1011429608/", 1011429608)</f>
        <v>1011429608</v>
      </c>
      <c r="D10653">
        <v>0</v>
      </c>
    </row>
    <row r="10654" spans="1:4" hidden="1" x14ac:dyDescent="0.3">
      <c r="A10654" t="s">
        <v>828</v>
      </c>
      <c r="B10654" t="s">
        <v>56</v>
      </c>
      <c r="C10654" s="1">
        <f>HYPERLINK("https://cao.dolgi.msk.ru/account/1011429464/", 1011429464)</f>
        <v>1011429464</v>
      </c>
      <c r="D10654">
        <v>0</v>
      </c>
    </row>
    <row r="10655" spans="1:4" hidden="1" x14ac:dyDescent="0.3">
      <c r="A10655" t="s">
        <v>828</v>
      </c>
      <c r="B10655" t="s">
        <v>87</v>
      </c>
      <c r="C10655" s="1">
        <f>HYPERLINK("https://cao.dolgi.msk.ru/account/1011429456/", 1011429456)</f>
        <v>1011429456</v>
      </c>
      <c r="D10655">
        <v>0</v>
      </c>
    </row>
    <row r="10656" spans="1:4" hidden="1" x14ac:dyDescent="0.3">
      <c r="A10656" t="s">
        <v>828</v>
      </c>
      <c r="B10656" t="s">
        <v>88</v>
      </c>
      <c r="C10656" s="1">
        <f>HYPERLINK("https://cao.dolgi.msk.ru/account/1011429296/", 1011429296)</f>
        <v>1011429296</v>
      </c>
      <c r="D10656">
        <v>0</v>
      </c>
    </row>
    <row r="10657" spans="1:4" hidden="1" x14ac:dyDescent="0.3">
      <c r="A10657" t="s">
        <v>828</v>
      </c>
      <c r="B10657" t="s">
        <v>89</v>
      </c>
      <c r="C10657" s="1">
        <f>HYPERLINK("https://cao.dolgi.msk.ru/account/1011429501/", 1011429501)</f>
        <v>1011429501</v>
      </c>
      <c r="D10657">
        <v>0</v>
      </c>
    </row>
    <row r="10658" spans="1:4" x14ac:dyDescent="0.3">
      <c r="A10658" t="s">
        <v>828</v>
      </c>
      <c r="B10658" t="s">
        <v>90</v>
      </c>
      <c r="C10658" s="1">
        <f>HYPERLINK("https://cao.dolgi.msk.ru/account/1011429579/", 1011429579)</f>
        <v>1011429579</v>
      </c>
      <c r="D10658">
        <v>4971.5200000000004</v>
      </c>
    </row>
    <row r="10659" spans="1:4" x14ac:dyDescent="0.3">
      <c r="A10659" t="s">
        <v>828</v>
      </c>
      <c r="B10659" t="s">
        <v>96</v>
      </c>
      <c r="C10659" s="1">
        <f>HYPERLINK("https://cao.dolgi.msk.ru/account/1011429552/", 1011429552)</f>
        <v>1011429552</v>
      </c>
      <c r="D10659">
        <v>122446.39</v>
      </c>
    </row>
    <row r="10660" spans="1:4" hidden="1" x14ac:dyDescent="0.3">
      <c r="A10660" t="s">
        <v>828</v>
      </c>
      <c r="B10660" t="s">
        <v>97</v>
      </c>
      <c r="C10660" s="1">
        <f>HYPERLINK("https://cao.dolgi.msk.ru/account/1011429333/", 1011429333)</f>
        <v>1011429333</v>
      </c>
      <c r="D10660">
        <v>0</v>
      </c>
    </row>
    <row r="10661" spans="1:4" hidden="1" x14ac:dyDescent="0.3">
      <c r="A10661" t="s">
        <v>828</v>
      </c>
      <c r="B10661" t="s">
        <v>98</v>
      </c>
      <c r="C10661" s="1">
        <f>HYPERLINK("https://cao.dolgi.msk.ru/account/1011429368/", 1011429368)</f>
        <v>1011429368</v>
      </c>
      <c r="D10661">
        <v>0</v>
      </c>
    </row>
    <row r="10662" spans="1:4" hidden="1" x14ac:dyDescent="0.3">
      <c r="A10662" t="s">
        <v>828</v>
      </c>
      <c r="B10662" t="s">
        <v>58</v>
      </c>
      <c r="C10662" s="1">
        <f>HYPERLINK("https://cao.dolgi.msk.ru/account/1011429421/", 1011429421)</f>
        <v>1011429421</v>
      </c>
      <c r="D10662">
        <v>0</v>
      </c>
    </row>
    <row r="10663" spans="1:4" hidden="1" x14ac:dyDescent="0.3">
      <c r="A10663" t="s">
        <v>828</v>
      </c>
      <c r="B10663" t="s">
        <v>59</v>
      </c>
      <c r="C10663" s="1">
        <f>HYPERLINK("https://cao.dolgi.msk.ru/account/1011429472/", 1011429472)</f>
        <v>1011429472</v>
      </c>
      <c r="D10663">
        <v>0</v>
      </c>
    </row>
    <row r="10664" spans="1:4" hidden="1" x14ac:dyDescent="0.3">
      <c r="A10664" t="s">
        <v>828</v>
      </c>
      <c r="B10664" t="s">
        <v>59</v>
      </c>
      <c r="C10664" s="1">
        <f>HYPERLINK("https://cao.dolgi.msk.ru/account/1011507733/", 1011507733)</f>
        <v>1011507733</v>
      </c>
      <c r="D10664">
        <v>0</v>
      </c>
    </row>
    <row r="10665" spans="1:4" x14ac:dyDescent="0.3">
      <c r="A10665" t="s">
        <v>828</v>
      </c>
      <c r="B10665" t="s">
        <v>60</v>
      </c>
      <c r="C10665" s="1">
        <f>HYPERLINK("https://cao.dolgi.msk.ru/account/1011429405/", 1011429405)</f>
        <v>1011429405</v>
      </c>
      <c r="D10665">
        <v>5914.9</v>
      </c>
    </row>
    <row r="10666" spans="1:4" x14ac:dyDescent="0.3">
      <c r="A10666" t="s">
        <v>828</v>
      </c>
      <c r="B10666" t="s">
        <v>61</v>
      </c>
      <c r="C10666" s="1">
        <f>HYPERLINK("https://cao.dolgi.msk.ru/account/1011429392/", 1011429392)</f>
        <v>1011429392</v>
      </c>
      <c r="D10666">
        <v>8274.67</v>
      </c>
    </row>
    <row r="10667" spans="1:4" hidden="1" x14ac:dyDescent="0.3">
      <c r="A10667" t="s">
        <v>830</v>
      </c>
      <c r="B10667" t="s">
        <v>98</v>
      </c>
      <c r="C10667" s="1">
        <f>HYPERLINK("https://cao.dolgi.msk.ru/account/1011332056/", 1011332056)</f>
        <v>1011332056</v>
      </c>
      <c r="D10667">
        <v>0</v>
      </c>
    </row>
    <row r="10668" spans="1:4" hidden="1" x14ac:dyDescent="0.3">
      <c r="A10668" t="s">
        <v>830</v>
      </c>
      <c r="B10668" t="s">
        <v>58</v>
      </c>
      <c r="C10668" s="1">
        <f>HYPERLINK("https://cao.dolgi.msk.ru/account/1011331723/", 1011331723)</f>
        <v>1011331723</v>
      </c>
      <c r="D10668">
        <v>0</v>
      </c>
    </row>
    <row r="10669" spans="1:4" hidden="1" x14ac:dyDescent="0.3">
      <c r="A10669" t="s">
        <v>830</v>
      </c>
      <c r="B10669" t="s">
        <v>59</v>
      </c>
      <c r="C10669" s="1">
        <f>HYPERLINK("https://cao.dolgi.msk.ru/account/1011331942/", 1011331942)</f>
        <v>1011331942</v>
      </c>
      <c r="D10669">
        <v>0</v>
      </c>
    </row>
    <row r="10670" spans="1:4" hidden="1" x14ac:dyDescent="0.3">
      <c r="A10670" t="s">
        <v>830</v>
      </c>
      <c r="B10670" t="s">
        <v>60</v>
      </c>
      <c r="C10670" s="1">
        <f>HYPERLINK("https://cao.dolgi.msk.ru/account/1011331731/", 1011331731)</f>
        <v>1011331731</v>
      </c>
      <c r="D10670">
        <v>-6300.53</v>
      </c>
    </row>
    <row r="10671" spans="1:4" hidden="1" x14ac:dyDescent="0.3">
      <c r="A10671" t="s">
        <v>830</v>
      </c>
      <c r="B10671" t="s">
        <v>61</v>
      </c>
      <c r="C10671" s="1">
        <f>HYPERLINK("https://cao.dolgi.msk.ru/account/1011331803/", 1011331803)</f>
        <v>1011331803</v>
      </c>
      <c r="D10671">
        <v>-9103.9</v>
      </c>
    </row>
    <row r="10672" spans="1:4" hidden="1" x14ac:dyDescent="0.3">
      <c r="A10672" t="s">
        <v>830</v>
      </c>
      <c r="B10672" t="s">
        <v>62</v>
      </c>
      <c r="C10672" s="1">
        <f>HYPERLINK("https://cao.dolgi.msk.ru/account/1011331854/", 1011331854)</f>
        <v>1011331854</v>
      </c>
      <c r="D10672">
        <v>-46.95</v>
      </c>
    </row>
    <row r="10673" spans="1:4" hidden="1" x14ac:dyDescent="0.3">
      <c r="A10673" t="s">
        <v>830</v>
      </c>
      <c r="B10673" t="s">
        <v>63</v>
      </c>
      <c r="C10673" s="1">
        <f>HYPERLINK("https://cao.dolgi.msk.ru/account/1011331918/", 1011331918)</f>
        <v>1011331918</v>
      </c>
      <c r="D10673">
        <v>0</v>
      </c>
    </row>
    <row r="10674" spans="1:4" hidden="1" x14ac:dyDescent="0.3">
      <c r="A10674" t="s">
        <v>830</v>
      </c>
      <c r="B10674" t="s">
        <v>64</v>
      </c>
      <c r="C10674" s="1">
        <f>HYPERLINK("https://cao.dolgi.msk.ru/account/1011331838/", 1011331838)</f>
        <v>1011331838</v>
      </c>
      <c r="D10674">
        <v>0</v>
      </c>
    </row>
    <row r="10675" spans="1:4" hidden="1" x14ac:dyDescent="0.3">
      <c r="A10675" t="s">
        <v>830</v>
      </c>
      <c r="B10675" t="s">
        <v>65</v>
      </c>
      <c r="C10675" s="1">
        <f>HYPERLINK("https://cao.dolgi.msk.ru/account/1011332021/", 1011332021)</f>
        <v>1011332021</v>
      </c>
      <c r="D10675">
        <v>0</v>
      </c>
    </row>
    <row r="10676" spans="1:4" hidden="1" x14ac:dyDescent="0.3">
      <c r="A10676" t="s">
        <v>830</v>
      </c>
      <c r="B10676" t="s">
        <v>66</v>
      </c>
      <c r="C10676" s="1">
        <f>HYPERLINK("https://cao.dolgi.msk.ru/account/1011331985/", 1011331985)</f>
        <v>1011331985</v>
      </c>
      <c r="D10676">
        <v>0</v>
      </c>
    </row>
    <row r="10677" spans="1:4" hidden="1" x14ac:dyDescent="0.3">
      <c r="A10677" t="s">
        <v>830</v>
      </c>
      <c r="B10677" t="s">
        <v>67</v>
      </c>
      <c r="C10677" s="1">
        <f>HYPERLINK("https://cao.dolgi.msk.ru/account/1011331993/", 1011331993)</f>
        <v>1011331993</v>
      </c>
      <c r="D10677">
        <v>0</v>
      </c>
    </row>
    <row r="10678" spans="1:4" hidden="1" x14ac:dyDescent="0.3">
      <c r="A10678" t="s">
        <v>830</v>
      </c>
      <c r="B10678" t="s">
        <v>68</v>
      </c>
      <c r="C10678" s="1">
        <f>HYPERLINK("https://cao.dolgi.msk.ru/account/1011331811/", 1011331811)</f>
        <v>1011331811</v>
      </c>
      <c r="D10678">
        <v>0</v>
      </c>
    </row>
    <row r="10679" spans="1:4" hidden="1" x14ac:dyDescent="0.3">
      <c r="A10679" t="s">
        <v>830</v>
      </c>
      <c r="B10679" t="s">
        <v>69</v>
      </c>
      <c r="C10679" s="1">
        <f>HYPERLINK("https://cao.dolgi.msk.ru/account/1011331977/", 1011331977)</f>
        <v>1011331977</v>
      </c>
      <c r="D10679">
        <v>0</v>
      </c>
    </row>
    <row r="10680" spans="1:4" hidden="1" x14ac:dyDescent="0.3">
      <c r="A10680" t="s">
        <v>830</v>
      </c>
      <c r="B10680" t="s">
        <v>70</v>
      </c>
      <c r="C10680" s="1">
        <f>HYPERLINK("https://cao.dolgi.msk.ru/account/1011331758/", 1011331758)</f>
        <v>1011331758</v>
      </c>
      <c r="D10680">
        <v>0</v>
      </c>
    </row>
    <row r="10681" spans="1:4" hidden="1" x14ac:dyDescent="0.3">
      <c r="A10681" t="s">
        <v>830</v>
      </c>
      <c r="B10681" t="s">
        <v>259</v>
      </c>
      <c r="C10681" s="1">
        <f>HYPERLINK("https://cao.dolgi.msk.ru/account/1011331969/", 1011331969)</f>
        <v>1011331969</v>
      </c>
      <c r="D10681">
        <v>0</v>
      </c>
    </row>
    <row r="10682" spans="1:4" hidden="1" x14ac:dyDescent="0.3">
      <c r="A10682" t="s">
        <v>830</v>
      </c>
      <c r="B10682" t="s">
        <v>100</v>
      </c>
      <c r="C10682" s="1">
        <f>HYPERLINK("https://cao.dolgi.msk.ru/account/1011332064/", 1011332064)</f>
        <v>1011332064</v>
      </c>
      <c r="D10682">
        <v>-862.07</v>
      </c>
    </row>
    <row r="10683" spans="1:4" hidden="1" x14ac:dyDescent="0.3">
      <c r="A10683" t="s">
        <v>830</v>
      </c>
      <c r="B10683" t="s">
        <v>72</v>
      </c>
      <c r="C10683" s="1">
        <f>HYPERLINK("https://cao.dolgi.msk.ru/account/1011331846/", 1011331846)</f>
        <v>1011331846</v>
      </c>
      <c r="D10683">
        <v>-91373.38</v>
      </c>
    </row>
    <row r="10684" spans="1:4" x14ac:dyDescent="0.3">
      <c r="A10684" t="s">
        <v>830</v>
      </c>
      <c r="B10684" t="s">
        <v>73</v>
      </c>
      <c r="C10684" s="1">
        <f>HYPERLINK("https://cao.dolgi.msk.ru/account/1011332005/", 1011332005)</f>
        <v>1011332005</v>
      </c>
      <c r="D10684">
        <v>7648.25</v>
      </c>
    </row>
    <row r="10685" spans="1:4" hidden="1" x14ac:dyDescent="0.3">
      <c r="A10685" t="s">
        <v>830</v>
      </c>
      <c r="B10685" t="s">
        <v>74</v>
      </c>
      <c r="C10685" s="1">
        <f>HYPERLINK("https://cao.dolgi.msk.ru/account/1011331862/", 1011331862)</f>
        <v>1011331862</v>
      </c>
      <c r="D10685">
        <v>-728.77</v>
      </c>
    </row>
    <row r="10686" spans="1:4" hidden="1" x14ac:dyDescent="0.3">
      <c r="A10686" t="s">
        <v>830</v>
      </c>
      <c r="B10686" t="s">
        <v>75</v>
      </c>
      <c r="C10686" s="1">
        <f>HYPERLINK("https://cao.dolgi.msk.ru/account/1011331766/", 1011331766)</f>
        <v>1011331766</v>
      </c>
      <c r="D10686">
        <v>0</v>
      </c>
    </row>
    <row r="10687" spans="1:4" hidden="1" x14ac:dyDescent="0.3">
      <c r="A10687" t="s">
        <v>830</v>
      </c>
      <c r="B10687" t="s">
        <v>76</v>
      </c>
      <c r="C10687" s="1">
        <f>HYPERLINK("https://cao.dolgi.msk.ru/account/1011331782/", 1011331782)</f>
        <v>1011331782</v>
      </c>
      <c r="D10687">
        <v>-7606.07</v>
      </c>
    </row>
    <row r="10688" spans="1:4" x14ac:dyDescent="0.3">
      <c r="A10688" t="s">
        <v>830</v>
      </c>
      <c r="B10688" t="s">
        <v>77</v>
      </c>
      <c r="C10688" s="1">
        <f>HYPERLINK("https://cao.dolgi.msk.ru/account/1011331774/", 1011331774)</f>
        <v>1011331774</v>
      </c>
      <c r="D10688">
        <v>8116.49</v>
      </c>
    </row>
    <row r="10689" spans="1:4" x14ac:dyDescent="0.3">
      <c r="A10689" t="s">
        <v>830</v>
      </c>
      <c r="B10689" t="s">
        <v>78</v>
      </c>
      <c r="C10689" s="1">
        <f>HYPERLINK("https://cao.dolgi.msk.ru/account/1011331934/", 1011331934)</f>
        <v>1011331934</v>
      </c>
      <c r="D10689">
        <v>65645.89</v>
      </c>
    </row>
    <row r="10690" spans="1:4" hidden="1" x14ac:dyDescent="0.3">
      <c r="A10690" t="s">
        <v>830</v>
      </c>
      <c r="B10690" t="s">
        <v>79</v>
      </c>
      <c r="C10690" s="1">
        <f>HYPERLINK("https://cao.dolgi.msk.ru/account/1011331926/", 1011331926)</f>
        <v>1011331926</v>
      </c>
      <c r="D10690">
        <v>-32838.31</v>
      </c>
    </row>
    <row r="10691" spans="1:4" hidden="1" x14ac:dyDescent="0.3">
      <c r="A10691" t="s">
        <v>830</v>
      </c>
      <c r="B10691" t="s">
        <v>80</v>
      </c>
      <c r="C10691" s="1">
        <f>HYPERLINK("https://cao.dolgi.msk.ru/account/1011332013/", 1011332013)</f>
        <v>1011332013</v>
      </c>
      <c r="D10691">
        <v>-22492.79</v>
      </c>
    </row>
    <row r="10692" spans="1:4" hidden="1" x14ac:dyDescent="0.3">
      <c r="A10692" t="s">
        <v>830</v>
      </c>
      <c r="B10692" t="s">
        <v>81</v>
      </c>
      <c r="C10692" s="1">
        <f>HYPERLINK("https://cao.dolgi.msk.ru/account/1011331889/", 1011331889)</f>
        <v>1011331889</v>
      </c>
      <c r="D10692">
        <v>-5425.25</v>
      </c>
    </row>
    <row r="10693" spans="1:4" hidden="1" x14ac:dyDescent="0.3">
      <c r="A10693" t="s">
        <v>830</v>
      </c>
      <c r="B10693" t="s">
        <v>101</v>
      </c>
      <c r="C10693" s="1">
        <f>HYPERLINK("https://cao.dolgi.msk.ru/account/1011331897/", 1011331897)</f>
        <v>1011331897</v>
      </c>
      <c r="D10693">
        <v>0</v>
      </c>
    </row>
    <row r="10694" spans="1:4" hidden="1" x14ac:dyDescent="0.3">
      <c r="A10694" t="s">
        <v>830</v>
      </c>
      <c r="B10694" t="s">
        <v>82</v>
      </c>
      <c r="C10694" s="1">
        <f>HYPERLINK("https://cao.dolgi.msk.ru/account/1011332048/", 1011332048)</f>
        <v>1011332048</v>
      </c>
      <c r="D10694">
        <v>-9780.52</v>
      </c>
    </row>
    <row r="10695" spans="1:4" hidden="1" x14ac:dyDescent="0.3">
      <c r="A10695" t="s">
        <v>831</v>
      </c>
      <c r="B10695" t="s">
        <v>35</v>
      </c>
      <c r="C10695" s="1">
        <f>HYPERLINK("https://cao.dolgi.msk.ru/account/1011369588/", 1011369588)</f>
        <v>1011369588</v>
      </c>
      <c r="D10695">
        <v>0</v>
      </c>
    </row>
    <row r="10696" spans="1:4" x14ac:dyDescent="0.3">
      <c r="A10696" t="s">
        <v>831</v>
      </c>
      <c r="B10696" t="s">
        <v>5</v>
      </c>
      <c r="C10696" s="1">
        <f>HYPERLINK("https://cao.dolgi.msk.ru/account/1011369422/", 1011369422)</f>
        <v>1011369422</v>
      </c>
      <c r="D10696">
        <v>4897.7299999999996</v>
      </c>
    </row>
    <row r="10697" spans="1:4" x14ac:dyDescent="0.3">
      <c r="A10697" t="s">
        <v>831</v>
      </c>
      <c r="B10697" t="s">
        <v>5</v>
      </c>
      <c r="C10697" s="1">
        <f>HYPERLINK("https://cao.dolgi.msk.ru/account/1011369692/", 1011369692)</f>
        <v>1011369692</v>
      </c>
      <c r="D10697">
        <v>22775.18</v>
      </c>
    </row>
    <row r="10698" spans="1:4" x14ac:dyDescent="0.3">
      <c r="A10698" t="s">
        <v>831</v>
      </c>
      <c r="B10698" t="s">
        <v>7</v>
      </c>
      <c r="C10698" s="1">
        <f>HYPERLINK("https://cao.dolgi.msk.ru/account/1011369836/", 1011369836)</f>
        <v>1011369836</v>
      </c>
      <c r="D10698">
        <v>66520.070000000007</v>
      </c>
    </row>
    <row r="10699" spans="1:4" x14ac:dyDescent="0.3">
      <c r="A10699" t="s">
        <v>831</v>
      </c>
      <c r="B10699" t="s">
        <v>8</v>
      </c>
      <c r="C10699" s="1">
        <f>HYPERLINK("https://cao.dolgi.msk.ru/account/1011369465/", 1011369465)</f>
        <v>1011369465</v>
      </c>
      <c r="D10699">
        <v>105753.68</v>
      </c>
    </row>
    <row r="10700" spans="1:4" x14ac:dyDescent="0.3">
      <c r="A10700" t="s">
        <v>831</v>
      </c>
      <c r="B10700" t="s">
        <v>31</v>
      </c>
      <c r="C10700" s="1">
        <f>HYPERLINK("https://cao.dolgi.msk.ru/account/1011369609/", 1011369609)</f>
        <v>1011369609</v>
      </c>
      <c r="D10700">
        <v>23737.17</v>
      </c>
    </row>
    <row r="10701" spans="1:4" x14ac:dyDescent="0.3">
      <c r="A10701" t="s">
        <v>831</v>
      </c>
      <c r="B10701" t="s">
        <v>9</v>
      </c>
      <c r="C10701" s="1">
        <f>HYPERLINK("https://cao.dolgi.msk.ru/account/1011369676/", 1011369676)</f>
        <v>1011369676</v>
      </c>
      <c r="D10701">
        <v>23442.52</v>
      </c>
    </row>
    <row r="10702" spans="1:4" hidden="1" x14ac:dyDescent="0.3">
      <c r="A10702" t="s">
        <v>831</v>
      </c>
      <c r="B10702" t="s">
        <v>10</v>
      </c>
      <c r="C10702" s="1">
        <f>HYPERLINK("https://cao.dolgi.msk.ru/account/1011369502/", 1011369502)</f>
        <v>1011369502</v>
      </c>
      <c r="D10702">
        <v>0</v>
      </c>
    </row>
    <row r="10703" spans="1:4" hidden="1" x14ac:dyDescent="0.3">
      <c r="A10703" t="s">
        <v>831</v>
      </c>
      <c r="B10703" t="s">
        <v>11</v>
      </c>
      <c r="C10703" s="1">
        <f>HYPERLINK("https://cao.dolgi.msk.ru/account/1011369887/", 1011369887)</f>
        <v>1011369887</v>
      </c>
      <c r="D10703">
        <v>-1.22</v>
      </c>
    </row>
    <row r="10704" spans="1:4" x14ac:dyDescent="0.3">
      <c r="A10704" t="s">
        <v>831</v>
      </c>
      <c r="B10704" t="s">
        <v>12</v>
      </c>
      <c r="C10704" s="1">
        <f>HYPERLINK("https://cao.dolgi.msk.ru/account/1011369748/", 1011369748)</f>
        <v>1011369748</v>
      </c>
      <c r="D10704">
        <v>38455.040000000001</v>
      </c>
    </row>
    <row r="10705" spans="1:4" x14ac:dyDescent="0.3">
      <c r="A10705" t="s">
        <v>831</v>
      </c>
      <c r="B10705" t="s">
        <v>23</v>
      </c>
      <c r="C10705" s="1">
        <f>HYPERLINK("https://cao.dolgi.msk.ru/account/1011369764/", 1011369764)</f>
        <v>1011369764</v>
      </c>
      <c r="D10705">
        <v>41838.800000000003</v>
      </c>
    </row>
    <row r="10706" spans="1:4" hidden="1" x14ac:dyDescent="0.3">
      <c r="A10706" t="s">
        <v>831</v>
      </c>
      <c r="B10706" t="s">
        <v>13</v>
      </c>
      <c r="C10706" s="1">
        <f>HYPERLINK("https://cao.dolgi.msk.ru/account/1011369799/", 1011369799)</f>
        <v>1011369799</v>
      </c>
      <c r="D10706">
        <v>0</v>
      </c>
    </row>
    <row r="10707" spans="1:4" hidden="1" x14ac:dyDescent="0.3">
      <c r="A10707" t="s">
        <v>831</v>
      </c>
      <c r="B10707" t="s">
        <v>14</v>
      </c>
      <c r="C10707" s="1">
        <f>HYPERLINK("https://cao.dolgi.msk.ru/account/1011369596/", 1011369596)</f>
        <v>1011369596</v>
      </c>
      <c r="D10707">
        <v>-10160.459999999999</v>
      </c>
    </row>
    <row r="10708" spans="1:4" hidden="1" x14ac:dyDescent="0.3">
      <c r="A10708" t="s">
        <v>831</v>
      </c>
      <c r="B10708" t="s">
        <v>16</v>
      </c>
      <c r="C10708" s="1">
        <f>HYPERLINK("https://cao.dolgi.msk.ru/account/1011369705/", 1011369705)</f>
        <v>1011369705</v>
      </c>
      <c r="D10708">
        <v>0</v>
      </c>
    </row>
    <row r="10709" spans="1:4" x14ac:dyDescent="0.3">
      <c r="A10709" t="s">
        <v>831</v>
      </c>
      <c r="B10709" t="s">
        <v>17</v>
      </c>
      <c r="C10709" s="1">
        <f>HYPERLINK("https://cao.dolgi.msk.ru/account/1011369617/", 1011369617)</f>
        <v>1011369617</v>
      </c>
      <c r="D10709">
        <v>11241.4</v>
      </c>
    </row>
    <row r="10710" spans="1:4" hidden="1" x14ac:dyDescent="0.3">
      <c r="A10710" t="s">
        <v>831</v>
      </c>
      <c r="B10710" t="s">
        <v>18</v>
      </c>
      <c r="C10710" s="1">
        <f>HYPERLINK("https://cao.dolgi.msk.ru/account/1011369713/", 1011369713)</f>
        <v>1011369713</v>
      </c>
      <c r="D10710">
        <v>0</v>
      </c>
    </row>
    <row r="10711" spans="1:4" hidden="1" x14ac:dyDescent="0.3">
      <c r="A10711" t="s">
        <v>831</v>
      </c>
      <c r="B10711" t="s">
        <v>19</v>
      </c>
      <c r="C10711" s="1">
        <f>HYPERLINK("https://cao.dolgi.msk.ru/account/1011369553/", 1011369553)</f>
        <v>1011369553</v>
      </c>
      <c r="D10711">
        <v>-13039.33</v>
      </c>
    </row>
    <row r="10712" spans="1:4" x14ac:dyDescent="0.3">
      <c r="A10712" t="s">
        <v>831</v>
      </c>
      <c r="B10712" t="s">
        <v>20</v>
      </c>
      <c r="C10712" s="1">
        <f>HYPERLINK("https://cao.dolgi.msk.ru/account/1011369641/", 1011369641)</f>
        <v>1011369641</v>
      </c>
      <c r="D10712">
        <v>51346.92</v>
      </c>
    </row>
    <row r="10713" spans="1:4" x14ac:dyDescent="0.3">
      <c r="A10713" t="s">
        <v>831</v>
      </c>
      <c r="B10713" t="s">
        <v>21</v>
      </c>
      <c r="C10713" s="1">
        <f>HYPERLINK("https://cao.dolgi.msk.ru/account/1011369633/", 1011369633)</f>
        <v>1011369633</v>
      </c>
      <c r="D10713">
        <v>744073.28</v>
      </c>
    </row>
    <row r="10714" spans="1:4" hidden="1" x14ac:dyDescent="0.3">
      <c r="A10714" t="s">
        <v>831</v>
      </c>
      <c r="B10714" t="s">
        <v>25</v>
      </c>
      <c r="C10714" s="1">
        <f>HYPERLINK("https://cao.dolgi.msk.ru/account/1011369668/", 1011369668)</f>
        <v>1011369668</v>
      </c>
      <c r="D10714">
        <v>0</v>
      </c>
    </row>
    <row r="10715" spans="1:4" hidden="1" x14ac:dyDescent="0.3">
      <c r="A10715" t="s">
        <v>831</v>
      </c>
      <c r="B10715" t="s">
        <v>26</v>
      </c>
      <c r="C10715" s="1">
        <f>HYPERLINK("https://cao.dolgi.msk.ru/account/1011369529/", 1011369529)</f>
        <v>1011369529</v>
      </c>
      <c r="D10715">
        <v>0</v>
      </c>
    </row>
    <row r="10716" spans="1:4" hidden="1" x14ac:dyDescent="0.3">
      <c r="A10716" t="s">
        <v>831</v>
      </c>
      <c r="B10716" t="s">
        <v>585</v>
      </c>
      <c r="C10716" s="1">
        <f>HYPERLINK("https://cao.dolgi.msk.ru/account/1011369473/", 1011369473)</f>
        <v>1011369473</v>
      </c>
      <c r="D10716">
        <v>-164.51</v>
      </c>
    </row>
    <row r="10717" spans="1:4" hidden="1" x14ac:dyDescent="0.3">
      <c r="A10717" t="s">
        <v>831</v>
      </c>
      <c r="B10717" t="s">
        <v>27</v>
      </c>
      <c r="C10717" s="1">
        <f>HYPERLINK("https://cao.dolgi.msk.ru/account/1011369414/", 1011369414)</f>
        <v>1011369414</v>
      </c>
      <c r="D10717">
        <v>0</v>
      </c>
    </row>
    <row r="10718" spans="1:4" hidden="1" x14ac:dyDescent="0.3">
      <c r="A10718" t="s">
        <v>831</v>
      </c>
      <c r="B10718" t="s">
        <v>29</v>
      </c>
      <c r="C10718" s="1">
        <f>HYPERLINK("https://cao.dolgi.msk.ru/account/1011369537/", 1011369537)</f>
        <v>1011369537</v>
      </c>
      <c r="D10718">
        <v>0</v>
      </c>
    </row>
    <row r="10719" spans="1:4" x14ac:dyDescent="0.3">
      <c r="A10719" t="s">
        <v>831</v>
      </c>
      <c r="B10719" t="s">
        <v>38</v>
      </c>
      <c r="C10719" s="1">
        <f>HYPERLINK("https://cao.dolgi.msk.ru/account/1011369772/", 1011369772)</f>
        <v>1011369772</v>
      </c>
      <c r="D10719">
        <v>333.92</v>
      </c>
    </row>
    <row r="10720" spans="1:4" hidden="1" x14ac:dyDescent="0.3">
      <c r="A10720" t="s">
        <v>831</v>
      </c>
      <c r="B10720" t="s">
        <v>588</v>
      </c>
      <c r="C10720" s="1">
        <f>HYPERLINK("https://cao.dolgi.msk.ru/account/1011369449/", 1011369449)</f>
        <v>1011369449</v>
      </c>
      <c r="D10720">
        <v>-15513.42</v>
      </c>
    </row>
    <row r="10721" spans="1:4" hidden="1" x14ac:dyDescent="0.3">
      <c r="A10721" t="s">
        <v>831</v>
      </c>
      <c r="B10721" t="s">
        <v>39</v>
      </c>
      <c r="C10721" s="1">
        <f>HYPERLINK("https://cao.dolgi.msk.ru/account/1011369721/", 1011369721)</f>
        <v>1011369721</v>
      </c>
      <c r="D10721">
        <v>0</v>
      </c>
    </row>
    <row r="10722" spans="1:4" hidden="1" x14ac:dyDescent="0.3">
      <c r="A10722" t="s">
        <v>831</v>
      </c>
      <c r="B10722" t="s">
        <v>40</v>
      </c>
      <c r="C10722" s="1">
        <f>HYPERLINK("https://cao.dolgi.msk.ru/account/1011369457/", 1011369457)</f>
        <v>1011369457</v>
      </c>
      <c r="D10722">
        <v>0</v>
      </c>
    </row>
    <row r="10723" spans="1:4" hidden="1" x14ac:dyDescent="0.3">
      <c r="A10723" t="s">
        <v>831</v>
      </c>
      <c r="B10723" t="s">
        <v>832</v>
      </c>
      <c r="C10723" s="1">
        <f>HYPERLINK("https://cao.dolgi.msk.ru/account/1011369481/", 1011369481)</f>
        <v>1011369481</v>
      </c>
      <c r="D10723">
        <v>-436.01</v>
      </c>
    </row>
    <row r="10724" spans="1:4" hidden="1" x14ac:dyDescent="0.3">
      <c r="A10724" t="s">
        <v>831</v>
      </c>
      <c r="B10724" t="s">
        <v>41</v>
      </c>
      <c r="C10724" s="1">
        <f>HYPERLINK("https://cao.dolgi.msk.ru/account/1011369561/", 1011369561)</f>
        <v>1011369561</v>
      </c>
      <c r="D10724">
        <v>-12829.6</v>
      </c>
    </row>
    <row r="10725" spans="1:4" hidden="1" x14ac:dyDescent="0.3">
      <c r="A10725" t="s">
        <v>831</v>
      </c>
      <c r="B10725" t="s">
        <v>51</v>
      </c>
      <c r="C10725" s="1">
        <f>HYPERLINK("https://cao.dolgi.msk.ru/account/1011369545/", 1011369545)</f>
        <v>1011369545</v>
      </c>
      <c r="D10725">
        <v>0</v>
      </c>
    </row>
    <row r="10726" spans="1:4" hidden="1" x14ac:dyDescent="0.3">
      <c r="A10726" t="s">
        <v>831</v>
      </c>
      <c r="B10726" t="s">
        <v>52</v>
      </c>
      <c r="C10726" s="1">
        <f>HYPERLINK("https://cao.dolgi.msk.ru/account/1011369756/", 1011369756)</f>
        <v>1011369756</v>
      </c>
      <c r="D10726">
        <v>0</v>
      </c>
    </row>
    <row r="10727" spans="1:4" x14ac:dyDescent="0.3">
      <c r="A10727" t="s">
        <v>831</v>
      </c>
      <c r="B10727" t="s">
        <v>53</v>
      </c>
      <c r="C10727" s="1">
        <f>HYPERLINK("https://cao.dolgi.msk.ru/account/1011369879/", 1011369879)</f>
        <v>1011369879</v>
      </c>
      <c r="D10727">
        <v>20920.41</v>
      </c>
    </row>
    <row r="10728" spans="1:4" hidden="1" x14ac:dyDescent="0.3">
      <c r="A10728" t="s">
        <v>831</v>
      </c>
      <c r="B10728" t="s">
        <v>54</v>
      </c>
      <c r="C10728" s="1">
        <f>HYPERLINK("https://cao.dolgi.msk.ru/account/1011369801/", 1011369801)</f>
        <v>1011369801</v>
      </c>
      <c r="D10728">
        <v>-8422.9599999999991</v>
      </c>
    </row>
    <row r="10729" spans="1:4" hidden="1" x14ac:dyDescent="0.3">
      <c r="A10729" t="s">
        <v>831</v>
      </c>
      <c r="B10729" t="s">
        <v>55</v>
      </c>
      <c r="C10729" s="1">
        <f>HYPERLINK("https://cao.dolgi.msk.ru/account/1011369844/", 1011369844)</f>
        <v>1011369844</v>
      </c>
      <c r="D10729">
        <v>0</v>
      </c>
    </row>
    <row r="10730" spans="1:4" x14ac:dyDescent="0.3">
      <c r="A10730" t="s">
        <v>831</v>
      </c>
      <c r="B10730" t="s">
        <v>56</v>
      </c>
      <c r="C10730" s="1">
        <f>HYPERLINK("https://cao.dolgi.msk.ru/account/1011369684/", 1011369684)</f>
        <v>1011369684</v>
      </c>
      <c r="D10730">
        <v>11275.11</v>
      </c>
    </row>
    <row r="10731" spans="1:4" hidden="1" x14ac:dyDescent="0.3">
      <c r="A10731" t="s">
        <v>831</v>
      </c>
      <c r="B10731" t="s">
        <v>56</v>
      </c>
      <c r="C10731" s="1">
        <f>HYPERLINK("https://cao.dolgi.msk.ru/account/1011369828/", 1011369828)</f>
        <v>1011369828</v>
      </c>
      <c r="D10731">
        <v>0</v>
      </c>
    </row>
    <row r="10732" spans="1:4" hidden="1" x14ac:dyDescent="0.3">
      <c r="A10732" t="s">
        <v>831</v>
      </c>
      <c r="B10732" t="s">
        <v>87</v>
      </c>
      <c r="C10732" s="1">
        <f>HYPERLINK("https://cao.dolgi.msk.ru/account/1011369852/", 1011369852)</f>
        <v>1011369852</v>
      </c>
      <c r="D10732">
        <v>0</v>
      </c>
    </row>
    <row r="10733" spans="1:4" x14ac:dyDescent="0.3">
      <c r="A10733" t="s">
        <v>831</v>
      </c>
      <c r="B10733" t="s">
        <v>88</v>
      </c>
      <c r="C10733" s="1">
        <f>HYPERLINK("https://cao.dolgi.msk.ru/account/1011369625/", 1011369625)</f>
        <v>1011369625</v>
      </c>
      <c r="D10733">
        <v>21414.6</v>
      </c>
    </row>
    <row r="10734" spans="1:4" x14ac:dyDescent="0.3">
      <c r="A10734" t="s">
        <v>833</v>
      </c>
      <c r="B10734" t="s">
        <v>12</v>
      </c>
      <c r="C10734" s="1">
        <f>HYPERLINK("https://cao.dolgi.msk.ru/account/1011077593/", 1011077593)</f>
        <v>1011077593</v>
      </c>
      <c r="D10734">
        <v>150722.6</v>
      </c>
    </row>
    <row r="10735" spans="1:4" hidden="1" x14ac:dyDescent="0.3">
      <c r="A10735" t="s">
        <v>833</v>
      </c>
      <c r="B10735" t="s">
        <v>23</v>
      </c>
      <c r="C10735" s="1">
        <f>HYPERLINK("https://cao.dolgi.msk.ru/account/1011077665/", 1011077665)</f>
        <v>1011077665</v>
      </c>
      <c r="D10735">
        <v>0</v>
      </c>
    </row>
    <row r="10736" spans="1:4" hidden="1" x14ac:dyDescent="0.3">
      <c r="A10736" t="s">
        <v>833</v>
      </c>
      <c r="B10736" t="s">
        <v>13</v>
      </c>
      <c r="C10736" s="1">
        <f>HYPERLINK("https://cao.dolgi.msk.ru/account/1011077681/", 1011077681)</f>
        <v>1011077681</v>
      </c>
      <c r="D10736">
        <v>0</v>
      </c>
    </row>
    <row r="10737" spans="1:4" hidden="1" x14ac:dyDescent="0.3">
      <c r="A10737" t="s">
        <v>833</v>
      </c>
      <c r="B10737" t="s">
        <v>14</v>
      </c>
      <c r="C10737" s="1">
        <f>HYPERLINK("https://cao.dolgi.msk.ru/account/1011078019/", 1011078019)</f>
        <v>1011078019</v>
      </c>
      <c r="D10737">
        <v>-6099.28</v>
      </c>
    </row>
    <row r="10738" spans="1:4" hidden="1" x14ac:dyDescent="0.3">
      <c r="A10738" t="s">
        <v>833</v>
      </c>
      <c r="B10738" t="s">
        <v>16</v>
      </c>
      <c r="C10738" s="1">
        <f>HYPERLINK("https://cao.dolgi.msk.ru/account/1011078027/", 1011078027)</f>
        <v>1011078027</v>
      </c>
      <c r="D10738">
        <v>-8505.64</v>
      </c>
    </row>
    <row r="10739" spans="1:4" hidden="1" x14ac:dyDescent="0.3">
      <c r="A10739" t="s">
        <v>833</v>
      </c>
      <c r="B10739" t="s">
        <v>17</v>
      </c>
      <c r="C10739" s="1">
        <f>HYPERLINK("https://cao.dolgi.msk.ru/account/1011078035/", 1011078035)</f>
        <v>1011078035</v>
      </c>
      <c r="D10739">
        <v>-13210.84</v>
      </c>
    </row>
    <row r="10740" spans="1:4" x14ac:dyDescent="0.3">
      <c r="A10740" t="s">
        <v>833</v>
      </c>
      <c r="B10740" t="s">
        <v>18</v>
      </c>
      <c r="C10740" s="1">
        <f>HYPERLINK("https://cao.dolgi.msk.ru/account/1011078043/", 1011078043)</f>
        <v>1011078043</v>
      </c>
      <c r="D10740">
        <v>242065.93</v>
      </c>
    </row>
    <row r="10741" spans="1:4" x14ac:dyDescent="0.3">
      <c r="A10741" t="s">
        <v>833</v>
      </c>
      <c r="B10741" t="s">
        <v>19</v>
      </c>
      <c r="C10741" s="1">
        <f>HYPERLINK("https://cao.dolgi.msk.ru/account/1011078051/", 1011078051)</f>
        <v>1011078051</v>
      </c>
      <c r="D10741">
        <v>74122.66</v>
      </c>
    </row>
    <row r="10742" spans="1:4" hidden="1" x14ac:dyDescent="0.3">
      <c r="A10742" t="s">
        <v>834</v>
      </c>
      <c r="B10742" t="s">
        <v>35</v>
      </c>
      <c r="C10742" s="1">
        <f>HYPERLINK("https://cao.dolgi.msk.ru/account/1011329236/", 1011329236)</f>
        <v>1011329236</v>
      </c>
      <c r="D10742">
        <v>0</v>
      </c>
    </row>
    <row r="10743" spans="1:4" x14ac:dyDescent="0.3">
      <c r="A10743" t="s">
        <v>834</v>
      </c>
      <c r="B10743" t="s">
        <v>5</v>
      </c>
      <c r="C10743" s="1">
        <f>HYPERLINK("https://cao.dolgi.msk.ru/account/1011510203/", 1011510203)</f>
        <v>1011510203</v>
      </c>
      <c r="D10743">
        <v>21181.74</v>
      </c>
    </row>
    <row r="10744" spans="1:4" hidden="1" x14ac:dyDescent="0.3">
      <c r="A10744" t="s">
        <v>834</v>
      </c>
      <c r="B10744" t="s">
        <v>7</v>
      </c>
      <c r="C10744" s="1">
        <f>HYPERLINK("https://cao.dolgi.msk.ru/account/1011329092/", 1011329092)</f>
        <v>1011329092</v>
      </c>
      <c r="D10744">
        <v>0</v>
      </c>
    </row>
    <row r="10745" spans="1:4" hidden="1" x14ac:dyDescent="0.3">
      <c r="A10745" t="s">
        <v>834</v>
      </c>
      <c r="B10745" t="s">
        <v>8</v>
      </c>
      <c r="C10745" s="1">
        <f>HYPERLINK("https://cao.dolgi.msk.ru/account/1011329228/", 1011329228)</f>
        <v>1011329228</v>
      </c>
      <c r="D10745">
        <v>-4824.2</v>
      </c>
    </row>
    <row r="10746" spans="1:4" hidden="1" x14ac:dyDescent="0.3">
      <c r="A10746" t="s">
        <v>834</v>
      </c>
      <c r="B10746" t="s">
        <v>31</v>
      </c>
      <c r="C10746" s="1">
        <f>HYPERLINK("https://cao.dolgi.msk.ru/account/1011329172/", 1011329172)</f>
        <v>1011329172</v>
      </c>
      <c r="D10746">
        <v>0</v>
      </c>
    </row>
    <row r="10747" spans="1:4" hidden="1" x14ac:dyDescent="0.3">
      <c r="A10747" t="s">
        <v>834</v>
      </c>
      <c r="B10747" t="s">
        <v>9</v>
      </c>
      <c r="C10747" s="1">
        <f>HYPERLINK("https://cao.dolgi.msk.ru/account/1011329148/", 1011329148)</f>
        <v>1011329148</v>
      </c>
      <c r="D10747">
        <v>0</v>
      </c>
    </row>
    <row r="10748" spans="1:4" hidden="1" x14ac:dyDescent="0.3">
      <c r="A10748" t="s">
        <v>834</v>
      </c>
      <c r="B10748" t="s">
        <v>10</v>
      </c>
      <c r="C10748" s="1">
        <f>HYPERLINK("https://cao.dolgi.msk.ru/account/1011329105/", 1011329105)</f>
        <v>1011329105</v>
      </c>
      <c r="D10748">
        <v>0</v>
      </c>
    </row>
    <row r="10749" spans="1:4" hidden="1" x14ac:dyDescent="0.3">
      <c r="A10749" t="s">
        <v>834</v>
      </c>
      <c r="B10749" t="s">
        <v>11</v>
      </c>
      <c r="C10749" s="1">
        <f>HYPERLINK("https://cao.dolgi.msk.ru/account/1011329252/", 1011329252)</f>
        <v>1011329252</v>
      </c>
      <c r="D10749">
        <v>0</v>
      </c>
    </row>
    <row r="10750" spans="1:4" hidden="1" x14ac:dyDescent="0.3">
      <c r="A10750" t="s">
        <v>834</v>
      </c>
      <c r="B10750" t="s">
        <v>12</v>
      </c>
      <c r="C10750" s="1">
        <f>HYPERLINK("https://cao.dolgi.msk.ru/account/1011329199/", 1011329199)</f>
        <v>1011329199</v>
      </c>
      <c r="D10750">
        <v>0</v>
      </c>
    </row>
    <row r="10751" spans="1:4" x14ac:dyDescent="0.3">
      <c r="A10751" t="s">
        <v>834</v>
      </c>
      <c r="B10751" t="s">
        <v>23</v>
      </c>
      <c r="C10751" s="1">
        <f>HYPERLINK("https://cao.dolgi.msk.ru/account/1011329279/", 1011329279)</f>
        <v>1011329279</v>
      </c>
      <c r="D10751">
        <v>43263.32</v>
      </c>
    </row>
    <row r="10752" spans="1:4" hidden="1" x14ac:dyDescent="0.3">
      <c r="A10752" t="s">
        <v>834</v>
      </c>
      <c r="B10752" t="s">
        <v>13</v>
      </c>
      <c r="C10752" s="1">
        <f>HYPERLINK("https://cao.dolgi.msk.ru/account/1011329113/", 1011329113)</f>
        <v>1011329113</v>
      </c>
      <c r="D10752">
        <v>0</v>
      </c>
    </row>
    <row r="10753" spans="1:4" hidden="1" x14ac:dyDescent="0.3">
      <c r="A10753" t="s">
        <v>834</v>
      </c>
      <c r="B10753" t="s">
        <v>13</v>
      </c>
      <c r="C10753" s="1">
        <f>HYPERLINK("https://cao.dolgi.msk.ru/account/1011329156/", 1011329156)</f>
        <v>1011329156</v>
      </c>
      <c r="D10753">
        <v>0</v>
      </c>
    </row>
    <row r="10754" spans="1:4" hidden="1" x14ac:dyDescent="0.3">
      <c r="A10754" t="s">
        <v>834</v>
      </c>
      <c r="B10754" t="s">
        <v>13</v>
      </c>
      <c r="C10754" s="1">
        <f>HYPERLINK("https://cao.dolgi.msk.ru/account/1011329164/", 1011329164)</f>
        <v>1011329164</v>
      </c>
      <c r="D10754">
        <v>0</v>
      </c>
    </row>
    <row r="10755" spans="1:4" hidden="1" x14ac:dyDescent="0.3">
      <c r="A10755" t="s">
        <v>834</v>
      </c>
      <c r="B10755" t="s">
        <v>14</v>
      </c>
      <c r="C10755" s="1">
        <f>HYPERLINK("https://cao.dolgi.msk.ru/account/1011329121/", 1011329121)</f>
        <v>1011329121</v>
      </c>
      <c r="D10755">
        <v>0</v>
      </c>
    </row>
    <row r="10756" spans="1:4" hidden="1" x14ac:dyDescent="0.3">
      <c r="A10756" t="s">
        <v>834</v>
      </c>
      <c r="B10756" t="s">
        <v>16</v>
      </c>
      <c r="C10756" s="1">
        <f>HYPERLINK("https://cao.dolgi.msk.ru/account/1011329201/", 1011329201)</f>
        <v>1011329201</v>
      </c>
      <c r="D10756">
        <v>-20828.57</v>
      </c>
    </row>
    <row r="10757" spans="1:4" hidden="1" x14ac:dyDescent="0.3">
      <c r="A10757" t="s">
        <v>835</v>
      </c>
      <c r="B10757" t="s">
        <v>7</v>
      </c>
      <c r="C10757" s="1">
        <f>HYPERLINK("https://cao.dolgi.msk.ru/account/1011390619/", 1011390619)</f>
        <v>1011390619</v>
      </c>
      <c r="D10757">
        <v>-10649.8</v>
      </c>
    </row>
    <row r="10758" spans="1:4" hidden="1" x14ac:dyDescent="0.3">
      <c r="A10758" t="s">
        <v>835</v>
      </c>
      <c r="B10758" t="s">
        <v>8</v>
      </c>
      <c r="C10758" s="1">
        <f>HYPERLINK("https://cao.dolgi.msk.ru/account/1011390387/", 1011390387)</f>
        <v>1011390387</v>
      </c>
      <c r="D10758">
        <v>0</v>
      </c>
    </row>
    <row r="10759" spans="1:4" x14ac:dyDescent="0.3">
      <c r="A10759" t="s">
        <v>835</v>
      </c>
      <c r="B10759" t="s">
        <v>31</v>
      </c>
      <c r="C10759" s="1">
        <f>HYPERLINK("https://cao.dolgi.msk.ru/account/1011390272/", 1011390272)</f>
        <v>1011390272</v>
      </c>
      <c r="D10759">
        <v>10610.77</v>
      </c>
    </row>
    <row r="10760" spans="1:4" hidden="1" x14ac:dyDescent="0.3">
      <c r="A10760" t="s">
        <v>835</v>
      </c>
      <c r="B10760" t="s">
        <v>10</v>
      </c>
      <c r="C10760" s="1">
        <f>HYPERLINK("https://cao.dolgi.msk.ru/account/1011390264/", 1011390264)</f>
        <v>1011390264</v>
      </c>
      <c r="D10760">
        <v>-6521.28</v>
      </c>
    </row>
    <row r="10761" spans="1:4" hidden="1" x14ac:dyDescent="0.3">
      <c r="A10761" t="s">
        <v>835</v>
      </c>
      <c r="B10761" t="s">
        <v>11</v>
      </c>
      <c r="C10761" s="1">
        <f>HYPERLINK("https://cao.dolgi.msk.ru/account/1011390424/", 1011390424)</f>
        <v>1011390424</v>
      </c>
      <c r="D10761">
        <v>-9812.9599999999991</v>
      </c>
    </row>
    <row r="10762" spans="1:4" x14ac:dyDescent="0.3">
      <c r="A10762" t="s">
        <v>835</v>
      </c>
      <c r="B10762" t="s">
        <v>12</v>
      </c>
      <c r="C10762" s="1">
        <f>HYPERLINK("https://cao.dolgi.msk.ru/account/1011390395/", 1011390395)</f>
        <v>1011390395</v>
      </c>
      <c r="D10762">
        <v>546748.63</v>
      </c>
    </row>
    <row r="10763" spans="1:4" x14ac:dyDescent="0.3">
      <c r="A10763" t="s">
        <v>835</v>
      </c>
      <c r="B10763" t="s">
        <v>23</v>
      </c>
      <c r="C10763" s="1">
        <f>HYPERLINK("https://cao.dolgi.msk.ru/account/1011390598/", 1011390598)</f>
        <v>1011390598</v>
      </c>
      <c r="D10763">
        <v>15448.72</v>
      </c>
    </row>
    <row r="10764" spans="1:4" x14ac:dyDescent="0.3">
      <c r="A10764" t="s">
        <v>835</v>
      </c>
      <c r="B10764" t="s">
        <v>13</v>
      </c>
      <c r="C10764" s="1">
        <f>HYPERLINK("https://cao.dolgi.msk.ru/account/1011390352/", 1011390352)</f>
        <v>1011390352</v>
      </c>
      <c r="D10764">
        <v>5912.86</v>
      </c>
    </row>
    <row r="10765" spans="1:4" hidden="1" x14ac:dyDescent="0.3">
      <c r="A10765" t="s">
        <v>835</v>
      </c>
      <c r="B10765" t="s">
        <v>13</v>
      </c>
      <c r="C10765" s="1">
        <f>HYPERLINK("https://cao.dolgi.msk.ru/account/1011390555/", 1011390555)</f>
        <v>1011390555</v>
      </c>
      <c r="D10765">
        <v>0</v>
      </c>
    </row>
    <row r="10766" spans="1:4" hidden="1" x14ac:dyDescent="0.3">
      <c r="A10766" t="s">
        <v>835</v>
      </c>
      <c r="B10766" t="s">
        <v>14</v>
      </c>
      <c r="C10766" s="1">
        <f>HYPERLINK("https://cao.dolgi.msk.ru/account/1011390379/", 1011390379)</f>
        <v>1011390379</v>
      </c>
      <c r="D10766">
        <v>-446.19</v>
      </c>
    </row>
    <row r="10767" spans="1:4" hidden="1" x14ac:dyDescent="0.3">
      <c r="A10767" t="s">
        <v>835</v>
      </c>
      <c r="B10767" t="s">
        <v>16</v>
      </c>
      <c r="C10767" s="1">
        <f>HYPERLINK("https://cao.dolgi.msk.ru/account/1011390483/", 1011390483)</f>
        <v>1011390483</v>
      </c>
      <c r="D10767">
        <v>-3911.35</v>
      </c>
    </row>
    <row r="10768" spans="1:4" x14ac:dyDescent="0.3">
      <c r="A10768" t="s">
        <v>835</v>
      </c>
      <c r="B10768" t="s">
        <v>17</v>
      </c>
      <c r="C10768" s="1">
        <f>HYPERLINK("https://cao.dolgi.msk.ru/account/1011390571/", 1011390571)</f>
        <v>1011390571</v>
      </c>
      <c r="D10768">
        <v>51053.62</v>
      </c>
    </row>
    <row r="10769" spans="1:4" x14ac:dyDescent="0.3">
      <c r="A10769" t="s">
        <v>835</v>
      </c>
      <c r="B10769" t="s">
        <v>18</v>
      </c>
      <c r="C10769" s="1">
        <f>HYPERLINK("https://cao.dolgi.msk.ru/account/1011390336/", 1011390336)</f>
        <v>1011390336</v>
      </c>
      <c r="D10769">
        <v>6997.6</v>
      </c>
    </row>
    <row r="10770" spans="1:4" x14ac:dyDescent="0.3">
      <c r="A10770" t="s">
        <v>835</v>
      </c>
      <c r="B10770" t="s">
        <v>19</v>
      </c>
      <c r="C10770" s="1">
        <f>HYPERLINK("https://cao.dolgi.msk.ru/account/1011390491/", 1011390491)</f>
        <v>1011390491</v>
      </c>
      <c r="D10770">
        <v>5841.72</v>
      </c>
    </row>
    <row r="10771" spans="1:4" hidden="1" x14ac:dyDescent="0.3">
      <c r="A10771" t="s">
        <v>835</v>
      </c>
      <c r="B10771" t="s">
        <v>20</v>
      </c>
      <c r="C10771" s="1">
        <f>HYPERLINK("https://cao.dolgi.msk.ru/account/1011390328/", 1011390328)</f>
        <v>1011390328</v>
      </c>
      <c r="D10771">
        <v>0</v>
      </c>
    </row>
    <row r="10772" spans="1:4" hidden="1" x14ac:dyDescent="0.3">
      <c r="A10772" t="s">
        <v>835</v>
      </c>
      <c r="B10772" t="s">
        <v>22</v>
      </c>
      <c r="C10772" s="1">
        <f>HYPERLINK("https://cao.dolgi.msk.ru/account/1011390563/", 1011390563)</f>
        <v>1011390563</v>
      </c>
      <c r="D10772">
        <v>0</v>
      </c>
    </row>
    <row r="10773" spans="1:4" x14ac:dyDescent="0.3">
      <c r="A10773" t="s">
        <v>835</v>
      </c>
      <c r="B10773" t="s">
        <v>24</v>
      </c>
      <c r="C10773" s="1">
        <f>HYPERLINK("https://cao.dolgi.msk.ru/account/1011390432/", 1011390432)</f>
        <v>1011390432</v>
      </c>
      <c r="D10773">
        <v>1903.76</v>
      </c>
    </row>
    <row r="10774" spans="1:4" x14ac:dyDescent="0.3">
      <c r="A10774" t="s">
        <v>835</v>
      </c>
      <c r="B10774" t="s">
        <v>24</v>
      </c>
      <c r="C10774" s="1">
        <f>HYPERLINK("https://cao.dolgi.msk.ru/account/1011390512/", 1011390512)</f>
        <v>1011390512</v>
      </c>
      <c r="D10774">
        <v>2286.5500000000002</v>
      </c>
    </row>
    <row r="10775" spans="1:4" x14ac:dyDescent="0.3">
      <c r="A10775" t="s">
        <v>835</v>
      </c>
      <c r="B10775" t="s">
        <v>25</v>
      </c>
      <c r="C10775" s="1">
        <f>HYPERLINK("https://cao.dolgi.msk.ru/account/1011390547/", 1011390547)</f>
        <v>1011390547</v>
      </c>
      <c r="D10775">
        <v>26706.18</v>
      </c>
    </row>
    <row r="10776" spans="1:4" x14ac:dyDescent="0.3">
      <c r="A10776" t="s">
        <v>835</v>
      </c>
      <c r="B10776" t="s">
        <v>26</v>
      </c>
      <c r="C10776" s="1">
        <f>HYPERLINK("https://cao.dolgi.msk.ru/account/1011390256/", 1011390256)</f>
        <v>1011390256</v>
      </c>
      <c r="D10776">
        <v>112</v>
      </c>
    </row>
    <row r="10777" spans="1:4" hidden="1" x14ac:dyDescent="0.3">
      <c r="A10777" t="s">
        <v>835</v>
      </c>
      <c r="B10777" t="s">
        <v>27</v>
      </c>
      <c r="C10777" s="1">
        <f>HYPERLINK("https://cao.dolgi.msk.ru/account/1011390408/", 1011390408)</f>
        <v>1011390408</v>
      </c>
      <c r="D10777">
        <v>0</v>
      </c>
    </row>
    <row r="10778" spans="1:4" hidden="1" x14ac:dyDescent="0.3">
      <c r="A10778" t="s">
        <v>835</v>
      </c>
      <c r="B10778" t="s">
        <v>29</v>
      </c>
      <c r="C10778" s="1">
        <f>HYPERLINK("https://cao.dolgi.msk.ru/account/1011390416/", 1011390416)</f>
        <v>1011390416</v>
      </c>
      <c r="D10778">
        <v>-1736.63</v>
      </c>
    </row>
    <row r="10779" spans="1:4" hidden="1" x14ac:dyDescent="0.3">
      <c r="A10779" t="s">
        <v>835</v>
      </c>
      <c r="B10779" t="s">
        <v>38</v>
      </c>
      <c r="C10779" s="1">
        <f>HYPERLINK("https://cao.dolgi.msk.ru/account/1011390299/", 1011390299)</f>
        <v>1011390299</v>
      </c>
      <c r="D10779">
        <v>-728.9</v>
      </c>
    </row>
    <row r="10780" spans="1:4" x14ac:dyDescent="0.3">
      <c r="A10780" t="s">
        <v>835</v>
      </c>
      <c r="B10780" t="s">
        <v>39</v>
      </c>
      <c r="C10780" s="1">
        <f>HYPERLINK("https://cao.dolgi.msk.ru/account/1011390459/", 1011390459)</f>
        <v>1011390459</v>
      </c>
      <c r="D10780">
        <v>14198.81</v>
      </c>
    </row>
    <row r="10781" spans="1:4" hidden="1" x14ac:dyDescent="0.3">
      <c r="A10781" t="s">
        <v>835</v>
      </c>
      <c r="B10781" t="s">
        <v>40</v>
      </c>
      <c r="C10781" s="1">
        <f>HYPERLINK("https://cao.dolgi.msk.ru/account/1011390344/", 1011390344)</f>
        <v>1011390344</v>
      </c>
      <c r="D10781">
        <v>-138.96</v>
      </c>
    </row>
    <row r="10782" spans="1:4" x14ac:dyDescent="0.3">
      <c r="A10782" t="s">
        <v>835</v>
      </c>
      <c r="B10782" t="s">
        <v>41</v>
      </c>
      <c r="C10782" s="1">
        <f>HYPERLINK("https://cao.dolgi.msk.ru/account/1011390475/", 1011390475)</f>
        <v>1011390475</v>
      </c>
      <c r="D10782">
        <v>210323.85</v>
      </c>
    </row>
    <row r="10783" spans="1:4" hidden="1" x14ac:dyDescent="0.3">
      <c r="A10783" t="s">
        <v>835</v>
      </c>
      <c r="B10783" t="s">
        <v>51</v>
      </c>
      <c r="C10783" s="1">
        <f>HYPERLINK("https://cao.dolgi.msk.ru/account/1011390467/", 1011390467)</f>
        <v>1011390467</v>
      </c>
      <c r="D10783">
        <v>0</v>
      </c>
    </row>
    <row r="10784" spans="1:4" x14ac:dyDescent="0.3">
      <c r="A10784" t="s">
        <v>835</v>
      </c>
      <c r="B10784" t="s">
        <v>52</v>
      </c>
      <c r="C10784" s="1">
        <f>HYPERLINK("https://cao.dolgi.msk.ru/account/1011390539/", 1011390539)</f>
        <v>1011390539</v>
      </c>
      <c r="D10784">
        <v>228974.85</v>
      </c>
    </row>
    <row r="10785" spans="1:4" hidden="1" x14ac:dyDescent="0.3">
      <c r="A10785" t="s">
        <v>836</v>
      </c>
      <c r="B10785" t="s">
        <v>35</v>
      </c>
      <c r="C10785" s="1">
        <f>HYPERLINK("https://cao.dolgi.msk.ru/account/1011309403/", 1011309403)</f>
        <v>1011309403</v>
      </c>
      <c r="D10785">
        <v>-7455.86</v>
      </c>
    </row>
    <row r="10786" spans="1:4" x14ac:dyDescent="0.3">
      <c r="A10786" t="s">
        <v>836</v>
      </c>
      <c r="B10786" t="s">
        <v>35</v>
      </c>
      <c r="C10786" s="1">
        <f>HYPERLINK("https://cao.dolgi.msk.ru/account/1011309753/", 1011309753)</f>
        <v>1011309753</v>
      </c>
      <c r="D10786">
        <v>11172.17</v>
      </c>
    </row>
    <row r="10787" spans="1:4" hidden="1" x14ac:dyDescent="0.3">
      <c r="A10787" t="s">
        <v>836</v>
      </c>
      <c r="B10787" t="s">
        <v>35</v>
      </c>
      <c r="C10787" s="1">
        <f>HYPERLINK("https://cao.dolgi.msk.ru/account/1011310316/", 1011310316)</f>
        <v>1011310316</v>
      </c>
      <c r="D10787">
        <v>-14139.82</v>
      </c>
    </row>
    <row r="10788" spans="1:4" hidden="1" x14ac:dyDescent="0.3">
      <c r="A10788" t="s">
        <v>836</v>
      </c>
      <c r="B10788" t="s">
        <v>35</v>
      </c>
      <c r="C10788" s="1">
        <f>HYPERLINK("https://cao.dolgi.msk.ru/account/1011527443/", 1011527443)</f>
        <v>1011527443</v>
      </c>
      <c r="D10788">
        <v>-3637.77</v>
      </c>
    </row>
    <row r="10789" spans="1:4" hidden="1" x14ac:dyDescent="0.3">
      <c r="A10789" t="s">
        <v>836</v>
      </c>
      <c r="B10789" t="s">
        <v>5</v>
      </c>
      <c r="C10789" s="1">
        <f>HYPERLINK("https://cao.dolgi.msk.ru/account/1011309489/", 1011309489)</f>
        <v>1011309489</v>
      </c>
      <c r="D10789">
        <v>0</v>
      </c>
    </row>
    <row r="10790" spans="1:4" x14ac:dyDescent="0.3">
      <c r="A10790" t="s">
        <v>836</v>
      </c>
      <c r="B10790" t="s">
        <v>7</v>
      </c>
      <c r="C10790" s="1">
        <f>HYPERLINK("https://cao.dolgi.msk.ru/account/1011310113/", 1011310113)</f>
        <v>1011310113</v>
      </c>
      <c r="D10790">
        <v>10069.85</v>
      </c>
    </row>
    <row r="10791" spans="1:4" hidden="1" x14ac:dyDescent="0.3">
      <c r="A10791" t="s">
        <v>836</v>
      </c>
      <c r="B10791" t="s">
        <v>7</v>
      </c>
      <c r="C10791" s="1">
        <f>HYPERLINK("https://cao.dolgi.msk.ru/account/1011310252/", 1011310252)</f>
        <v>1011310252</v>
      </c>
      <c r="D10791">
        <v>0</v>
      </c>
    </row>
    <row r="10792" spans="1:4" hidden="1" x14ac:dyDescent="0.3">
      <c r="A10792" t="s">
        <v>836</v>
      </c>
      <c r="B10792" t="s">
        <v>7</v>
      </c>
      <c r="C10792" s="1">
        <f>HYPERLINK("https://cao.dolgi.msk.ru/account/1011505965/", 1011505965)</f>
        <v>1011505965</v>
      </c>
      <c r="D10792">
        <v>0</v>
      </c>
    </row>
    <row r="10793" spans="1:4" hidden="1" x14ac:dyDescent="0.3">
      <c r="A10793" t="s">
        <v>836</v>
      </c>
      <c r="B10793" t="s">
        <v>7</v>
      </c>
      <c r="C10793" s="1">
        <f>HYPERLINK("https://cao.dolgi.msk.ru/account/1011510561/", 1011510561)</f>
        <v>1011510561</v>
      </c>
      <c r="D10793">
        <v>0</v>
      </c>
    </row>
    <row r="10794" spans="1:4" x14ac:dyDescent="0.3">
      <c r="A10794" t="s">
        <v>836</v>
      </c>
      <c r="B10794" t="s">
        <v>7</v>
      </c>
      <c r="C10794" s="1">
        <f>HYPERLINK("https://cao.dolgi.msk.ru/account/1011510959/", 1011510959)</f>
        <v>1011510959</v>
      </c>
      <c r="D10794">
        <v>6685.45</v>
      </c>
    </row>
    <row r="10795" spans="1:4" hidden="1" x14ac:dyDescent="0.3">
      <c r="A10795" t="s">
        <v>836</v>
      </c>
      <c r="B10795" t="s">
        <v>31</v>
      </c>
      <c r="C10795" s="1">
        <f>HYPERLINK("https://cao.dolgi.msk.ru/account/1011309868/", 1011309868)</f>
        <v>1011309868</v>
      </c>
      <c r="D10795">
        <v>0</v>
      </c>
    </row>
    <row r="10796" spans="1:4" hidden="1" x14ac:dyDescent="0.3">
      <c r="A10796" t="s">
        <v>836</v>
      </c>
      <c r="B10796" t="s">
        <v>9</v>
      </c>
      <c r="C10796" s="1">
        <f>HYPERLINK("https://cao.dolgi.msk.ru/account/1011309585/", 1011309585)</f>
        <v>1011309585</v>
      </c>
      <c r="D10796">
        <v>0</v>
      </c>
    </row>
    <row r="10797" spans="1:4" hidden="1" x14ac:dyDescent="0.3">
      <c r="A10797" t="s">
        <v>836</v>
      </c>
      <c r="B10797" t="s">
        <v>9</v>
      </c>
      <c r="C10797" s="1">
        <f>HYPERLINK("https://cao.dolgi.msk.ru/account/1011309681/", 1011309681)</f>
        <v>1011309681</v>
      </c>
      <c r="D10797">
        <v>0</v>
      </c>
    </row>
    <row r="10798" spans="1:4" x14ac:dyDescent="0.3">
      <c r="A10798" t="s">
        <v>836</v>
      </c>
      <c r="B10798" t="s">
        <v>9</v>
      </c>
      <c r="C10798" s="1">
        <f>HYPERLINK("https://cao.dolgi.msk.ru/account/1011309788/", 1011309788)</f>
        <v>1011309788</v>
      </c>
      <c r="D10798">
        <v>6381.65</v>
      </c>
    </row>
    <row r="10799" spans="1:4" hidden="1" x14ac:dyDescent="0.3">
      <c r="A10799" t="s">
        <v>836</v>
      </c>
      <c r="B10799" t="s">
        <v>9</v>
      </c>
      <c r="C10799" s="1">
        <f>HYPERLINK("https://cao.dolgi.msk.ru/account/1011310105/", 1011310105)</f>
        <v>1011310105</v>
      </c>
      <c r="D10799">
        <v>0</v>
      </c>
    </row>
    <row r="10800" spans="1:4" hidden="1" x14ac:dyDescent="0.3">
      <c r="A10800" t="s">
        <v>836</v>
      </c>
      <c r="B10800" t="s">
        <v>9</v>
      </c>
      <c r="C10800" s="1">
        <f>HYPERLINK("https://cao.dolgi.msk.ru/account/1011310439/", 1011310439)</f>
        <v>1011310439</v>
      </c>
      <c r="D10800">
        <v>0</v>
      </c>
    </row>
    <row r="10801" spans="1:4" hidden="1" x14ac:dyDescent="0.3">
      <c r="A10801" t="s">
        <v>836</v>
      </c>
      <c r="B10801" t="s">
        <v>10</v>
      </c>
      <c r="C10801" s="1">
        <f>HYPERLINK("https://cao.dolgi.msk.ru/account/1011309809/", 1011309809)</f>
        <v>1011309809</v>
      </c>
      <c r="D10801">
        <v>0</v>
      </c>
    </row>
    <row r="10802" spans="1:4" hidden="1" x14ac:dyDescent="0.3">
      <c r="A10802" t="s">
        <v>836</v>
      </c>
      <c r="B10802" t="s">
        <v>10</v>
      </c>
      <c r="C10802" s="1">
        <f>HYPERLINK("https://cao.dolgi.msk.ru/account/1011309876/", 1011309876)</f>
        <v>1011309876</v>
      </c>
      <c r="D10802">
        <v>0</v>
      </c>
    </row>
    <row r="10803" spans="1:4" hidden="1" x14ac:dyDescent="0.3">
      <c r="A10803" t="s">
        <v>836</v>
      </c>
      <c r="B10803" t="s">
        <v>10</v>
      </c>
      <c r="C10803" s="1">
        <f>HYPERLINK("https://cao.dolgi.msk.ru/account/1011309956/", 1011309956)</f>
        <v>1011309956</v>
      </c>
      <c r="D10803">
        <v>0</v>
      </c>
    </row>
    <row r="10804" spans="1:4" x14ac:dyDescent="0.3">
      <c r="A10804" t="s">
        <v>836</v>
      </c>
      <c r="B10804" t="s">
        <v>10</v>
      </c>
      <c r="C10804" s="1">
        <f>HYPERLINK("https://cao.dolgi.msk.ru/account/1011310033/", 1011310033)</f>
        <v>1011310033</v>
      </c>
      <c r="D10804">
        <v>253.01</v>
      </c>
    </row>
    <row r="10805" spans="1:4" hidden="1" x14ac:dyDescent="0.3">
      <c r="A10805" t="s">
        <v>836</v>
      </c>
      <c r="B10805" t="s">
        <v>10</v>
      </c>
      <c r="C10805" s="1">
        <f>HYPERLINK("https://cao.dolgi.msk.ru/account/1011310121/", 1011310121)</f>
        <v>1011310121</v>
      </c>
      <c r="D10805">
        <v>0</v>
      </c>
    </row>
    <row r="10806" spans="1:4" hidden="1" x14ac:dyDescent="0.3">
      <c r="A10806" t="s">
        <v>836</v>
      </c>
      <c r="B10806" t="s">
        <v>10</v>
      </c>
      <c r="C10806" s="1">
        <f>HYPERLINK("https://cao.dolgi.msk.ru/account/1011526651/", 1011526651)</f>
        <v>1011526651</v>
      </c>
      <c r="D10806">
        <v>0</v>
      </c>
    </row>
    <row r="10807" spans="1:4" x14ac:dyDescent="0.3">
      <c r="A10807" t="s">
        <v>836</v>
      </c>
      <c r="B10807" t="s">
        <v>11</v>
      </c>
      <c r="C10807" s="1">
        <f>HYPERLINK("https://cao.dolgi.msk.ru/account/1011309729/", 1011309729)</f>
        <v>1011309729</v>
      </c>
      <c r="D10807">
        <v>18328.490000000002</v>
      </c>
    </row>
    <row r="10808" spans="1:4" x14ac:dyDescent="0.3">
      <c r="A10808" t="s">
        <v>836</v>
      </c>
      <c r="B10808" t="s">
        <v>12</v>
      </c>
      <c r="C10808" s="1">
        <f>HYPERLINK("https://cao.dolgi.msk.ru/account/1011310332/", 1011310332)</f>
        <v>1011310332</v>
      </c>
      <c r="D10808">
        <v>4089.08</v>
      </c>
    </row>
    <row r="10809" spans="1:4" x14ac:dyDescent="0.3">
      <c r="A10809" t="s">
        <v>836</v>
      </c>
      <c r="B10809" t="s">
        <v>23</v>
      </c>
      <c r="C10809" s="1">
        <f>HYPERLINK("https://cao.dolgi.msk.ru/account/1011309833/", 1011309833)</f>
        <v>1011309833</v>
      </c>
      <c r="D10809">
        <v>16279.47</v>
      </c>
    </row>
    <row r="10810" spans="1:4" hidden="1" x14ac:dyDescent="0.3">
      <c r="A10810" t="s">
        <v>836</v>
      </c>
      <c r="B10810" t="s">
        <v>13</v>
      </c>
      <c r="C10810" s="1">
        <f>HYPERLINK("https://cao.dolgi.msk.ru/account/1011310156/", 1011310156)</f>
        <v>1011310156</v>
      </c>
      <c r="D10810">
        <v>-24587.21</v>
      </c>
    </row>
    <row r="10811" spans="1:4" hidden="1" x14ac:dyDescent="0.3">
      <c r="A10811" t="s">
        <v>836</v>
      </c>
      <c r="B10811" t="s">
        <v>14</v>
      </c>
      <c r="C10811" s="1">
        <f>HYPERLINK("https://cao.dolgi.msk.ru/account/1011310201/", 1011310201)</f>
        <v>1011310201</v>
      </c>
      <c r="D10811">
        <v>0</v>
      </c>
    </row>
    <row r="10812" spans="1:4" hidden="1" x14ac:dyDescent="0.3">
      <c r="A10812" t="s">
        <v>836</v>
      </c>
      <c r="B10812" t="s">
        <v>16</v>
      </c>
      <c r="C10812" s="1">
        <f>HYPERLINK("https://cao.dolgi.msk.ru/account/1011309497/", 1011309497)</f>
        <v>1011309497</v>
      </c>
      <c r="D10812">
        <v>0</v>
      </c>
    </row>
    <row r="10813" spans="1:4" hidden="1" x14ac:dyDescent="0.3">
      <c r="A10813" t="s">
        <v>836</v>
      </c>
      <c r="B10813" t="s">
        <v>16</v>
      </c>
      <c r="C10813" s="1">
        <f>HYPERLINK("https://cao.dolgi.msk.ru/account/1011309614/", 1011309614)</f>
        <v>1011309614</v>
      </c>
      <c r="D10813">
        <v>0</v>
      </c>
    </row>
    <row r="10814" spans="1:4" x14ac:dyDescent="0.3">
      <c r="A10814" t="s">
        <v>836</v>
      </c>
      <c r="B10814" t="s">
        <v>16</v>
      </c>
      <c r="C10814" s="1">
        <f>HYPERLINK("https://cao.dolgi.msk.ru/account/1011309673/", 1011309673)</f>
        <v>1011309673</v>
      </c>
      <c r="D10814">
        <v>73468.87</v>
      </c>
    </row>
    <row r="10815" spans="1:4" hidden="1" x14ac:dyDescent="0.3">
      <c r="A10815" t="s">
        <v>836</v>
      </c>
      <c r="B10815" t="s">
        <v>16</v>
      </c>
      <c r="C10815" s="1">
        <f>HYPERLINK("https://cao.dolgi.msk.ru/account/1011310148/", 1011310148)</f>
        <v>1011310148</v>
      </c>
      <c r="D10815">
        <v>-4858.7700000000004</v>
      </c>
    </row>
    <row r="10816" spans="1:4" hidden="1" x14ac:dyDescent="0.3">
      <c r="A10816" t="s">
        <v>836</v>
      </c>
      <c r="B10816" t="s">
        <v>16</v>
      </c>
      <c r="C10816" s="1">
        <f>HYPERLINK("https://cao.dolgi.msk.ru/account/1011310244/", 1011310244)</f>
        <v>1011310244</v>
      </c>
      <c r="D10816">
        <v>-9107.3799999999992</v>
      </c>
    </row>
    <row r="10817" spans="1:4" hidden="1" x14ac:dyDescent="0.3">
      <c r="A10817" t="s">
        <v>836</v>
      </c>
      <c r="B10817" t="s">
        <v>16</v>
      </c>
      <c r="C10817" s="1">
        <f>HYPERLINK("https://cao.dolgi.msk.ru/account/1011310359/", 1011310359)</f>
        <v>1011310359</v>
      </c>
      <c r="D10817">
        <v>0</v>
      </c>
    </row>
    <row r="10818" spans="1:4" hidden="1" x14ac:dyDescent="0.3">
      <c r="A10818" t="s">
        <v>836</v>
      </c>
      <c r="B10818" t="s">
        <v>17</v>
      </c>
      <c r="C10818" s="1">
        <f>HYPERLINK("https://cao.dolgi.msk.ru/account/1011309411/", 1011309411)</f>
        <v>1011309411</v>
      </c>
      <c r="D10818">
        <v>-1.55</v>
      </c>
    </row>
    <row r="10819" spans="1:4" x14ac:dyDescent="0.3">
      <c r="A10819" t="s">
        <v>836</v>
      </c>
      <c r="B10819" t="s">
        <v>18</v>
      </c>
      <c r="C10819" s="1">
        <f>HYPERLINK("https://cao.dolgi.msk.ru/account/1011310367/", 1011310367)</f>
        <v>1011310367</v>
      </c>
      <c r="D10819">
        <v>17828.82</v>
      </c>
    </row>
    <row r="10820" spans="1:4" hidden="1" x14ac:dyDescent="0.3">
      <c r="A10820" t="s">
        <v>836</v>
      </c>
      <c r="B10820" t="s">
        <v>19</v>
      </c>
      <c r="C10820" s="1">
        <f>HYPERLINK("https://cao.dolgi.msk.ru/account/1011309972/", 1011309972)</f>
        <v>1011309972</v>
      </c>
      <c r="D10820">
        <v>-6382.95</v>
      </c>
    </row>
    <row r="10821" spans="1:4" x14ac:dyDescent="0.3">
      <c r="A10821" t="s">
        <v>836</v>
      </c>
      <c r="B10821" t="s">
        <v>20</v>
      </c>
      <c r="C10821" s="1">
        <f>HYPERLINK("https://cao.dolgi.msk.ru/account/1011309526/", 1011309526)</f>
        <v>1011309526</v>
      </c>
      <c r="D10821">
        <v>71642.570000000007</v>
      </c>
    </row>
    <row r="10822" spans="1:4" hidden="1" x14ac:dyDescent="0.3">
      <c r="A10822" t="s">
        <v>836</v>
      </c>
      <c r="B10822" t="s">
        <v>21</v>
      </c>
      <c r="C10822" s="1">
        <f>HYPERLINK("https://cao.dolgi.msk.ru/account/1011309366/", 1011309366)</f>
        <v>1011309366</v>
      </c>
      <c r="D10822">
        <v>0</v>
      </c>
    </row>
    <row r="10823" spans="1:4" x14ac:dyDescent="0.3">
      <c r="A10823" t="s">
        <v>836</v>
      </c>
      <c r="B10823" t="s">
        <v>21</v>
      </c>
      <c r="C10823" s="1">
        <f>HYPERLINK("https://cao.dolgi.msk.ru/account/1011309518/", 1011309518)</f>
        <v>1011309518</v>
      </c>
      <c r="D10823">
        <v>10142.959999999999</v>
      </c>
    </row>
    <row r="10824" spans="1:4" hidden="1" x14ac:dyDescent="0.3">
      <c r="A10824" t="s">
        <v>836</v>
      </c>
      <c r="B10824" t="s">
        <v>21</v>
      </c>
      <c r="C10824" s="1">
        <f>HYPERLINK("https://cao.dolgi.msk.ru/account/1011309745/", 1011309745)</f>
        <v>1011309745</v>
      </c>
      <c r="D10824">
        <v>-2192.81</v>
      </c>
    </row>
    <row r="10825" spans="1:4" hidden="1" x14ac:dyDescent="0.3">
      <c r="A10825" t="s">
        <v>836</v>
      </c>
      <c r="B10825" t="s">
        <v>21</v>
      </c>
      <c r="C10825" s="1">
        <f>HYPERLINK("https://cao.dolgi.msk.ru/account/1011310068/", 1011310068)</f>
        <v>1011310068</v>
      </c>
      <c r="D10825">
        <v>0</v>
      </c>
    </row>
    <row r="10826" spans="1:4" hidden="1" x14ac:dyDescent="0.3">
      <c r="A10826" t="s">
        <v>836</v>
      </c>
      <c r="B10826" t="s">
        <v>21</v>
      </c>
      <c r="C10826" s="1">
        <f>HYPERLINK("https://cao.dolgi.msk.ru/account/1011531784/", 1011531784)</f>
        <v>1011531784</v>
      </c>
      <c r="D10826">
        <v>-54.28</v>
      </c>
    </row>
    <row r="10827" spans="1:4" hidden="1" x14ac:dyDescent="0.3">
      <c r="A10827" t="s">
        <v>836</v>
      </c>
      <c r="B10827" t="s">
        <v>22</v>
      </c>
      <c r="C10827" s="1">
        <f>HYPERLINK("https://cao.dolgi.msk.ru/account/1011310375/", 1011310375)</f>
        <v>1011310375</v>
      </c>
      <c r="D10827">
        <v>0</v>
      </c>
    </row>
    <row r="10828" spans="1:4" hidden="1" x14ac:dyDescent="0.3">
      <c r="A10828" t="s">
        <v>836</v>
      </c>
      <c r="B10828" t="s">
        <v>24</v>
      </c>
      <c r="C10828" s="1">
        <f>HYPERLINK("https://cao.dolgi.msk.ru/account/1011309649/", 1011309649)</f>
        <v>1011309649</v>
      </c>
      <c r="D10828">
        <v>0</v>
      </c>
    </row>
    <row r="10829" spans="1:4" hidden="1" x14ac:dyDescent="0.3">
      <c r="A10829" t="s">
        <v>836</v>
      </c>
      <c r="B10829" t="s">
        <v>24</v>
      </c>
      <c r="C10829" s="1">
        <f>HYPERLINK("https://cao.dolgi.msk.ru/account/1011309796/", 1011309796)</f>
        <v>1011309796</v>
      </c>
      <c r="D10829">
        <v>-11266.29</v>
      </c>
    </row>
    <row r="10830" spans="1:4" hidden="1" x14ac:dyDescent="0.3">
      <c r="A10830" t="s">
        <v>836</v>
      </c>
      <c r="B10830" t="s">
        <v>24</v>
      </c>
      <c r="C10830" s="1">
        <f>HYPERLINK("https://cao.dolgi.msk.ru/account/1011309884/", 1011309884)</f>
        <v>1011309884</v>
      </c>
      <c r="D10830">
        <v>0</v>
      </c>
    </row>
    <row r="10831" spans="1:4" hidden="1" x14ac:dyDescent="0.3">
      <c r="A10831" t="s">
        <v>836</v>
      </c>
      <c r="B10831" t="s">
        <v>24</v>
      </c>
      <c r="C10831" s="1">
        <f>HYPERLINK("https://cao.dolgi.msk.ru/account/1011310279/", 1011310279)</f>
        <v>1011310279</v>
      </c>
      <c r="D10831">
        <v>0</v>
      </c>
    </row>
    <row r="10832" spans="1:4" x14ac:dyDescent="0.3">
      <c r="A10832" t="s">
        <v>836</v>
      </c>
      <c r="B10832" t="s">
        <v>24</v>
      </c>
      <c r="C10832" s="1">
        <f>HYPERLINK("https://cao.dolgi.msk.ru/account/1011310295/", 1011310295)</f>
        <v>1011310295</v>
      </c>
      <c r="D10832">
        <v>8051.28</v>
      </c>
    </row>
    <row r="10833" spans="1:4" x14ac:dyDescent="0.3">
      <c r="A10833" t="s">
        <v>836</v>
      </c>
      <c r="B10833" t="s">
        <v>24</v>
      </c>
      <c r="C10833" s="1">
        <f>HYPERLINK("https://cao.dolgi.msk.ru/account/1011495955/", 1011495955)</f>
        <v>1011495955</v>
      </c>
      <c r="D10833">
        <v>19068.95</v>
      </c>
    </row>
    <row r="10834" spans="1:4" x14ac:dyDescent="0.3">
      <c r="A10834" t="s">
        <v>836</v>
      </c>
      <c r="B10834" t="s">
        <v>24</v>
      </c>
      <c r="C10834" s="1">
        <f>HYPERLINK("https://cao.dolgi.msk.ru/account/1011504663/", 1011504663)</f>
        <v>1011504663</v>
      </c>
      <c r="D10834">
        <v>18778.14</v>
      </c>
    </row>
    <row r="10835" spans="1:4" hidden="1" x14ac:dyDescent="0.3">
      <c r="A10835" t="s">
        <v>836</v>
      </c>
      <c r="B10835" t="s">
        <v>25</v>
      </c>
      <c r="C10835" s="1">
        <f>HYPERLINK("https://cao.dolgi.msk.ru/account/1011324718/", 1011324718)</f>
        <v>1011324718</v>
      </c>
      <c r="D10835">
        <v>0</v>
      </c>
    </row>
    <row r="10836" spans="1:4" x14ac:dyDescent="0.3">
      <c r="A10836" t="s">
        <v>836</v>
      </c>
      <c r="B10836" t="s">
        <v>26</v>
      </c>
      <c r="C10836" s="1">
        <f>HYPERLINK("https://cao.dolgi.msk.ru/account/1011309761/", 1011309761)</f>
        <v>1011309761</v>
      </c>
      <c r="D10836">
        <v>66254.78</v>
      </c>
    </row>
    <row r="10837" spans="1:4" x14ac:dyDescent="0.3">
      <c r="A10837" t="s">
        <v>836</v>
      </c>
      <c r="B10837" t="s">
        <v>38</v>
      </c>
      <c r="C10837" s="1">
        <f>HYPERLINK("https://cao.dolgi.msk.ru/account/1011310404/", 1011310404)</f>
        <v>1011310404</v>
      </c>
      <c r="D10837">
        <v>11132.26</v>
      </c>
    </row>
    <row r="10838" spans="1:4" hidden="1" x14ac:dyDescent="0.3">
      <c r="A10838" t="s">
        <v>836</v>
      </c>
      <c r="B10838" t="s">
        <v>39</v>
      </c>
      <c r="C10838" s="1">
        <f>HYPERLINK("https://cao.dolgi.msk.ru/account/1011309358/", 1011309358)</f>
        <v>1011309358</v>
      </c>
      <c r="D10838">
        <v>0</v>
      </c>
    </row>
    <row r="10839" spans="1:4" hidden="1" x14ac:dyDescent="0.3">
      <c r="A10839" t="s">
        <v>836</v>
      </c>
      <c r="B10839" t="s">
        <v>39</v>
      </c>
      <c r="C10839" s="1">
        <f>HYPERLINK("https://cao.dolgi.msk.ru/account/1011309593/", 1011309593)</f>
        <v>1011309593</v>
      </c>
      <c r="D10839">
        <v>0</v>
      </c>
    </row>
    <row r="10840" spans="1:4" x14ac:dyDescent="0.3">
      <c r="A10840" t="s">
        <v>836</v>
      </c>
      <c r="B10840" t="s">
        <v>39</v>
      </c>
      <c r="C10840" s="1">
        <f>HYPERLINK("https://cao.dolgi.msk.ru/account/1011309841/", 1011309841)</f>
        <v>1011309841</v>
      </c>
      <c r="D10840">
        <v>2855.75</v>
      </c>
    </row>
    <row r="10841" spans="1:4" x14ac:dyDescent="0.3">
      <c r="A10841" t="s">
        <v>836</v>
      </c>
      <c r="B10841" t="s">
        <v>39</v>
      </c>
      <c r="C10841" s="1">
        <f>HYPERLINK("https://cao.dolgi.msk.ru/account/1011310324/", 1011310324)</f>
        <v>1011310324</v>
      </c>
      <c r="D10841">
        <v>38.96</v>
      </c>
    </row>
    <row r="10842" spans="1:4" hidden="1" x14ac:dyDescent="0.3">
      <c r="A10842" t="s">
        <v>836</v>
      </c>
      <c r="B10842" t="s">
        <v>39</v>
      </c>
      <c r="C10842" s="1">
        <f>HYPERLINK("https://cao.dolgi.msk.ru/account/1011510756/", 1011510756)</f>
        <v>1011510756</v>
      </c>
      <c r="D10842">
        <v>-4319.91</v>
      </c>
    </row>
    <row r="10843" spans="1:4" hidden="1" x14ac:dyDescent="0.3">
      <c r="A10843" t="s">
        <v>836</v>
      </c>
      <c r="B10843" t="s">
        <v>39</v>
      </c>
      <c r="C10843" s="1">
        <f>HYPERLINK("https://cao.dolgi.msk.ru/account/1011510916/", 1011510916)</f>
        <v>1011510916</v>
      </c>
      <c r="D10843">
        <v>-4910.0600000000004</v>
      </c>
    </row>
    <row r="10844" spans="1:4" hidden="1" x14ac:dyDescent="0.3">
      <c r="A10844" t="s">
        <v>836</v>
      </c>
      <c r="B10844" t="s">
        <v>40</v>
      </c>
      <c r="C10844" s="1">
        <f>HYPERLINK("https://cao.dolgi.msk.ru/account/1011309454/", 1011309454)</f>
        <v>1011309454</v>
      </c>
      <c r="D10844">
        <v>0</v>
      </c>
    </row>
    <row r="10845" spans="1:4" x14ac:dyDescent="0.3">
      <c r="A10845" t="s">
        <v>836</v>
      </c>
      <c r="B10845" t="s">
        <v>41</v>
      </c>
      <c r="C10845" s="1">
        <f>HYPERLINK("https://cao.dolgi.msk.ru/account/1011309462/", 1011309462)</f>
        <v>1011309462</v>
      </c>
      <c r="D10845">
        <v>43780.52</v>
      </c>
    </row>
    <row r="10846" spans="1:4" x14ac:dyDescent="0.3">
      <c r="A10846" t="s">
        <v>836</v>
      </c>
      <c r="B10846" t="s">
        <v>41</v>
      </c>
      <c r="C10846" s="1">
        <f>HYPERLINK("https://cao.dolgi.msk.ru/account/1011309817/", 1011309817)</f>
        <v>1011309817</v>
      </c>
      <c r="D10846">
        <v>6341.52</v>
      </c>
    </row>
    <row r="10847" spans="1:4" hidden="1" x14ac:dyDescent="0.3">
      <c r="A10847" t="s">
        <v>836</v>
      </c>
      <c r="B10847" t="s">
        <v>41</v>
      </c>
      <c r="C10847" s="1">
        <f>HYPERLINK("https://cao.dolgi.msk.ru/account/1011309892/", 1011309892)</f>
        <v>1011309892</v>
      </c>
      <c r="D10847">
        <v>-4051.16</v>
      </c>
    </row>
    <row r="10848" spans="1:4" hidden="1" x14ac:dyDescent="0.3">
      <c r="A10848" t="s">
        <v>836</v>
      </c>
      <c r="B10848" t="s">
        <v>41</v>
      </c>
      <c r="C10848" s="1">
        <f>HYPERLINK("https://cao.dolgi.msk.ru/account/1011310308/", 1011310308)</f>
        <v>1011310308</v>
      </c>
      <c r="D10848">
        <v>-415.13</v>
      </c>
    </row>
    <row r="10849" spans="1:4" hidden="1" x14ac:dyDescent="0.3">
      <c r="A10849" t="s">
        <v>836</v>
      </c>
      <c r="B10849" t="s">
        <v>41</v>
      </c>
      <c r="C10849" s="1">
        <f>HYPERLINK("https://cao.dolgi.msk.ru/account/1011527363/", 1011527363)</f>
        <v>1011527363</v>
      </c>
      <c r="D10849">
        <v>0</v>
      </c>
    </row>
    <row r="10850" spans="1:4" hidden="1" x14ac:dyDescent="0.3">
      <c r="A10850" t="s">
        <v>836</v>
      </c>
      <c r="B10850" t="s">
        <v>51</v>
      </c>
      <c r="C10850" s="1">
        <f>HYPERLINK("https://cao.dolgi.msk.ru/account/1011309825/", 1011309825)</f>
        <v>1011309825</v>
      </c>
      <c r="D10850">
        <v>0</v>
      </c>
    </row>
    <row r="10851" spans="1:4" hidden="1" x14ac:dyDescent="0.3">
      <c r="A10851" t="s">
        <v>836</v>
      </c>
      <c r="B10851" t="s">
        <v>51</v>
      </c>
      <c r="C10851" s="1">
        <f>HYPERLINK("https://cao.dolgi.msk.ru/account/1011309948/", 1011309948)</f>
        <v>1011309948</v>
      </c>
      <c r="D10851">
        <v>0</v>
      </c>
    </row>
    <row r="10852" spans="1:4" hidden="1" x14ac:dyDescent="0.3">
      <c r="A10852" t="s">
        <v>836</v>
      </c>
      <c r="B10852" t="s">
        <v>51</v>
      </c>
      <c r="C10852" s="1">
        <f>HYPERLINK("https://cao.dolgi.msk.ru/account/1011310164/", 1011310164)</f>
        <v>1011310164</v>
      </c>
      <c r="D10852">
        <v>-1.94</v>
      </c>
    </row>
    <row r="10853" spans="1:4" hidden="1" x14ac:dyDescent="0.3">
      <c r="A10853" t="s">
        <v>836</v>
      </c>
      <c r="B10853" t="s">
        <v>52</v>
      </c>
      <c r="C10853" s="1">
        <f>HYPERLINK("https://cao.dolgi.msk.ru/account/1011309964/", 1011309964)</f>
        <v>1011309964</v>
      </c>
      <c r="D10853">
        <v>-5468.07</v>
      </c>
    </row>
    <row r="10854" spans="1:4" hidden="1" x14ac:dyDescent="0.3">
      <c r="A10854" t="s">
        <v>836</v>
      </c>
      <c r="B10854" t="s">
        <v>53</v>
      </c>
      <c r="C10854" s="1">
        <f>HYPERLINK("https://cao.dolgi.msk.ru/account/1011309737/", 1011309737)</f>
        <v>1011309737</v>
      </c>
      <c r="D10854">
        <v>0</v>
      </c>
    </row>
    <row r="10855" spans="1:4" x14ac:dyDescent="0.3">
      <c r="A10855" t="s">
        <v>836</v>
      </c>
      <c r="B10855" t="s">
        <v>54</v>
      </c>
      <c r="C10855" s="1">
        <f>HYPERLINK("https://cao.dolgi.msk.ru/account/1011309323/", 1011309323)</f>
        <v>1011309323</v>
      </c>
      <c r="D10855">
        <v>15059.41</v>
      </c>
    </row>
    <row r="10856" spans="1:4" x14ac:dyDescent="0.3">
      <c r="A10856" t="s">
        <v>836</v>
      </c>
      <c r="B10856" t="s">
        <v>55</v>
      </c>
      <c r="C10856" s="1">
        <f>HYPERLINK("https://cao.dolgi.msk.ru/account/1011310287/", 1011310287)</f>
        <v>1011310287</v>
      </c>
      <c r="D10856">
        <v>42780.17</v>
      </c>
    </row>
    <row r="10857" spans="1:4" hidden="1" x14ac:dyDescent="0.3">
      <c r="A10857" t="s">
        <v>836</v>
      </c>
      <c r="B10857" t="s">
        <v>56</v>
      </c>
      <c r="C10857" s="1">
        <f>HYPERLINK("https://cao.dolgi.msk.ru/account/1011309657/", 1011309657)</f>
        <v>1011309657</v>
      </c>
      <c r="D10857">
        <v>0</v>
      </c>
    </row>
    <row r="10858" spans="1:4" hidden="1" x14ac:dyDescent="0.3">
      <c r="A10858" t="s">
        <v>836</v>
      </c>
      <c r="B10858" t="s">
        <v>87</v>
      </c>
      <c r="C10858" s="1">
        <f>HYPERLINK("https://cao.dolgi.msk.ru/account/1011309446/", 1011309446)</f>
        <v>1011309446</v>
      </c>
      <c r="D10858">
        <v>-18596.93</v>
      </c>
    </row>
    <row r="10859" spans="1:4" hidden="1" x14ac:dyDescent="0.3">
      <c r="A10859" t="s">
        <v>836</v>
      </c>
      <c r="B10859" t="s">
        <v>88</v>
      </c>
      <c r="C10859" s="1">
        <f>HYPERLINK("https://cao.dolgi.msk.ru/account/1011309569/", 1011309569)</f>
        <v>1011309569</v>
      </c>
      <c r="D10859">
        <v>-5752.07</v>
      </c>
    </row>
    <row r="10860" spans="1:4" hidden="1" x14ac:dyDescent="0.3">
      <c r="A10860" t="s">
        <v>836</v>
      </c>
      <c r="B10860" t="s">
        <v>88</v>
      </c>
      <c r="C10860" s="1">
        <f>HYPERLINK("https://cao.dolgi.msk.ru/account/1011309606/", 1011309606)</f>
        <v>1011309606</v>
      </c>
      <c r="D10860">
        <v>0</v>
      </c>
    </row>
    <row r="10861" spans="1:4" x14ac:dyDescent="0.3">
      <c r="A10861" t="s">
        <v>836</v>
      </c>
      <c r="B10861" t="s">
        <v>88</v>
      </c>
      <c r="C10861" s="1">
        <f>HYPERLINK("https://cao.dolgi.msk.ru/account/1011310172/", 1011310172)</f>
        <v>1011310172</v>
      </c>
      <c r="D10861">
        <v>9857.2800000000007</v>
      </c>
    </row>
    <row r="10862" spans="1:4" x14ac:dyDescent="0.3">
      <c r="A10862" t="s">
        <v>836</v>
      </c>
      <c r="B10862" t="s">
        <v>88</v>
      </c>
      <c r="C10862" s="1">
        <f>HYPERLINK("https://cao.dolgi.msk.ru/account/1011310412/", 1011310412)</f>
        <v>1011310412</v>
      </c>
      <c r="D10862">
        <v>2426.37</v>
      </c>
    </row>
    <row r="10863" spans="1:4" hidden="1" x14ac:dyDescent="0.3">
      <c r="A10863" t="s">
        <v>836</v>
      </c>
      <c r="B10863" t="s">
        <v>89</v>
      </c>
      <c r="C10863" s="1">
        <f>HYPERLINK("https://cao.dolgi.msk.ru/account/1011310076/", 1011310076)</f>
        <v>1011310076</v>
      </c>
      <c r="D10863">
        <v>0</v>
      </c>
    </row>
    <row r="10864" spans="1:4" hidden="1" x14ac:dyDescent="0.3">
      <c r="A10864" t="s">
        <v>836</v>
      </c>
      <c r="B10864" t="s">
        <v>90</v>
      </c>
      <c r="C10864" s="1">
        <f>HYPERLINK("https://cao.dolgi.msk.ru/account/1011310236/", 1011310236)</f>
        <v>1011310236</v>
      </c>
      <c r="D10864">
        <v>-25306.45</v>
      </c>
    </row>
    <row r="10865" spans="1:4" x14ac:dyDescent="0.3">
      <c r="A10865" t="s">
        <v>836</v>
      </c>
      <c r="B10865" t="s">
        <v>96</v>
      </c>
      <c r="C10865" s="1">
        <f>HYPERLINK("https://cao.dolgi.msk.ru/account/1011310084/", 1011310084)</f>
        <v>1011310084</v>
      </c>
      <c r="D10865">
        <v>18562.71</v>
      </c>
    </row>
    <row r="10866" spans="1:4" x14ac:dyDescent="0.3">
      <c r="A10866" t="s">
        <v>836</v>
      </c>
      <c r="B10866" t="s">
        <v>97</v>
      </c>
      <c r="C10866" s="1">
        <f>HYPERLINK("https://cao.dolgi.msk.ru/account/1011309331/", 1011309331)</f>
        <v>1011309331</v>
      </c>
      <c r="D10866">
        <v>123433.88</v>
      </c>
    </row>
    <row r="10867" spans="1:4" hidden="1" x14ac:dyDescent="0.3">
      <c r="A10867" t="s">
        <v>836</v>
      </c>
      <c r="B10867" t="s">
        <v>97</v>
      </c>
      <c r="C10867" s="1">
        <f>HYPERLINK("https://cao.dolgi.msk.ru/account/1011309382/", 1011309382)</f>
        <v>1011309382</v>
      </c>
      <c r="D10867">
        <v>0</v>
      </c>
    </row>
    <row r="10868" spans="1:4" hidden="1" x14ac:dyDescent="0.3">
      <c r="A10868" t="s">
        <v>836</v>
      </c>
      <c r="B10868" t="s">
        <v>97</v>
      </c>
      <c r="C10868" s="1">
        <f>HYPERLINK("https://cao.dolgi.msk.ru/account/1011309542/", 1011309542)</f>
        <v>1011309542</v>
      </c>
      <c r="D10868">
        <v>-782.08</v>
      </c>
    </row>
    <row r="10869" spans="1:4" x14ac:dyDescent="0.3">
      <c r="A10869" t="s">
        <v>836</v>
      </c>
      <c r="B10869" t="s">
        <v>97</v>
      </c>
      <c r="C10869" s="1">
        <f>HYPERLINK("https://cao.dolgi.msk.ru/account/1011310009/", 1011310009)</f>
        <v>1011310009</v>
      </c>
      <c r="D10869">
        <v>4818.18</v>
      </c>
    </row>
    <row r="10870" spans="1:4" x14ac:dyDescent="0.3">
      <c r="A10870" t="s">
        <v>836</v>
      </c>
      <c r="B10870" t="s">
        <v>97</v>
      </c>
      <c r="C10870" s="1">
        <f>HYPERLINK("https://cao.dolgi.msk.ru/account/1011310017/", 1011310017)</f>
        <v>1011310017</v>
      </c>
      <c r="D10870">
        <v>4729.33</v>
      </c>
    </row>
    <row r="10871" spans="1:4" hidden="1" x14ac:dyDescent="0.3">
      <c r="A10871" t="s">
        <v>836</v>
      </c>
      <c r="B10871" t="s">
        <v>97</v>
      </c>
      <c r="C10871" s="1">
        <f>HYPERLINK("https://cao.dolgi.msk.ru/account/1011310391/", 1011310391)</f>
        <v>1011310391</v>
      </c>
      <c r="D10871">
        <v>-32118.98</v>
      </c>
    </row>
    <row r="10872" spans="1:4" hidden="1" x14ac:dyDescent="0.3">
      <c r="A10872" t="s">
        <v>836</v>
      </c>
      <c r="B10872" t="s">
        <v>98</v>
      </c>
      <c r="C10872" s="1">
        <f>HYPERLINK("https://cao.dolgi.msk.ru/account/1011310228/", 1011310228)</f>
        <v>1011310228</v>
      </c>
      <c r="D10872">
        <v>0</v>
      </c>
    </row>
    <row r="10873" spans="1:4" x14ac:dyDescent="0.3">
      <c r="A10873" t="s">
        <v>836</v>
      </c>
      <c r="B10873" t="s">
        <v>58</v>
      </c>
      <c r="C10873" s="1">
        <f>HYPERLINK("https://cao.dolgi.msk.ru/account/1011310199/", 1011310199)</f>
        <v>1011310199</v>
      </c>
      <c r="D10873">
        <v>26994.65</v>
      </c>
    </row>
    <row r="10874" spans="1:4" hidden="1" x14ac:dyDescent="0.3">
      <c r="A10874" t="s">
        <v>836</v>
      </c>
      <c r="B10874" t="s">
        <v>59</v>
      </c>
      <c r="C10874" s="1">
        <f>HYPERLINK("https://cao.dolgi.msk.ru/account/1011309438/", 1011309438)</f>
        <v>1011309438</v>
      </c>
      <c r="D10874">
        <v>0</v>
      </c>
    </row>
    <row r="10875" spans="1:4" hidden="1" x14ac:dyDescent="0.3">
      <c r="A10875" t="s">
        <v>836</v>
      </c>
      <c r="B10875" t="s">
        <v>59</v>
      </c>
      <c r="C10875" s="1">
        <f>HYPERLINK("https://cao.dolgi.msk.ru/account/1011309905/", 1011309905)</f>
        <v>1011309905</v>
      </c>
      <c r="D10875">
        <v>0</v>
      </c>
    </row>
    <row r="10876" spans="1:4" x14ac:dyDescent="0.3">
      <c r="A10876" t="s">
        <v>836</v>
      </c>
      <c r="B10876" t="s">
        <v>60</v>
      </c>
      <c r="C10876" s="1">
        <f>HYPERLINK("https://cao.dolgi.msk.ru/account/1011310041/", 1011310041)</f>
        <v>1011310041</v>
      </c>
      <c r="D10876">
        <v>9334.41</v>
      </c>
    </row>
    <row r="10877" spans="1:4" hidden="1" x14ac:dyDescent="0.3">
      <c r="A10877" t="s">
        <v>836</v>
      </c>
      <c r="B10877" t="s">
        <v>60</v>
      </c>
      <c r="C10877" s="1">
        <f>HYPERLINK("https://cao.dolgi.msk.ru/account/1011310092/", 1011310092)</f>
        <v>1011310092</v>
      </c>
      <c r="D10877">
        <v>-12498.87</v>
      </c>
    </row>
    <row r="10878" spans="1:4" hidden="1" x14ac:dyDescent="0.3">
      <c r="A10878" t="s">
        <v>836</v>
      </c>
      <c r="B10878" t="s">
        <v>61</v>
      </c>
      <c r="C10878" s="1">
        <f>HYPERLINK("https://cao.dolgi.msk.ru/account/1011309913/", 1011309913)</f>
        <v>1011309913</v>
      </c>
      <c r="D10878">
        <v>0</v>
      </c>
    </row>
    <row r="10879" spans="1:4" hidden="1" x14ac:dyDescent="0.3">
      <c r="A10879" t="s">
        <v>836</v>
      </c>
      <c r="B10879" t="s">
        <v>62</v>
      </c>
      <c r="C10879" s="1">
        <f>HYPERLINK("https://cao.dolgi.msk.ru/account/1011309534/", 1011309534)</f>
        <v>1011309534</v>
      </c>
      <c r="D10879">
        <v>0</v>
      </c>
    </row>
    <row r="10880" spans="1:4" hidden="1" x14ac:dyDescent="0.3">
      <c r="A10880" t="s">
        <v>836</v>
      </c>
      <c r="B10880" t="s">
        <v>63</v>
      </c>
      <c r="C10880" s="1">
        <f>HYPERLINK("https://cao.dolgi.msk.ru/account/1011309702/", 1011309702)</f>
        <v>1011309702</v>
      </c>
      <c r="D10880">
        <v>0</v>
      </c>
    </row>
    <row r="10881" spans="1:4" x14ac:dyDescent="0.3">
      <c r="A10881" t="s">
        <v>836</v>
      </c>
      <c r="B10881" t="s">
        <v>64</v>
      </c>
      <c r="C10881" s="1">
        <f>HYPERLINK("https://cao.dolgi.msk.ru/account/1011309921/", 1011309921)</f>
        <v>1011309921</v>
      </c>
      <c r="D10881">
        <v>12456.21</v>
      </c>
    </row>
    <row r="10882" spans="1:4" x14ac:dyDescent="0.3">
      <c r="A10882" t="s">
        <v>837</v>
      </c>
      <c r="B10882" t="s">
        <v>68</v>
      </c>
      <c r="C10882" s="1">
        <f>HYPERLINK("https://cao.dolgi.msk.ru/account/1011136282/", 1011136282)</f>
        <v>1011136282</v>
      </c>
      <c r="D10882">
        <v>21253.08</v>
      </c>
    </row>
    <row r="10883" spans="1:4" hidden="1" x14ac:dyDescent="0.3">
      <c r="A10883" t="s">
        <v>837</v>
      </c>
      <c r="B10883" t="s">
        <v>69</v>
      </c>
      <c r="C10883" s="1">
        <f>HYPERLINK("https://cao.dolgi.msk.ru/account/1011136055/", 1011136055)</f>
        <v>1011136055</v>
      </c>
      <c r="D10883">
        <v>0</v>
      </c>
    </row>
    <row r="10884" spans="1:4" hidden="1" x14ac:dyDescent="0.3">
      <c r="A10884" t="s">
        <v>837</v>
      </c>
      <c r="B10884" t="s">
        <v>69</v>
      </c>
      <c r="C10884" s="1">
        <f>HYPERLINK("https://cao.dolgi.msk.ru/account/1011136442/", 1011136442)</f>
        <v>1011136442</v>
      </c>
      <c r="D10884">
        <v>0</v>
      </c>
    </row>
    <row r="10885" spans="1:4" hidden="1" x14ac:dyDescent="0.3">
      <c r="A10885" t="s">
        <v>837</v>
      </c>
      <c r="B10885" t="s">
        <v>69</v>
      </c>
      <c r="C10885" s="1">
        <f>HYPERLINK("https://cao.dolgi.msk.ru/account/1011486282/", 1011486282)</f>
        <v>1011486282</v>
      </c>
      <c r="D10885">
        <v>0</v>
      </c>
    </row>
    <row r="10886" spans="1:4" hidden="1" x14ac:dyDescent="0.3">
      <c r="A10886" t="s">
        <v>837</v>
      </c>
      <c r="B10886" t="s">
        <v>70</v>
      </c>
      <c r="C10886" s="1">
        <f>HYPERLINK("https://cao.dolgi.msk.ru/account/1011136557/", 1011136557)</f>
        <v>1011136557</v>
      </c>
      <c r="D10886">
        <v>-11256.94</v>
      </c>
    </row>
    <row r="10887" spans="1:4" hidden="1" x14ac:dyDescent="0.3">
      <c r="A10887" t="s">
        <v>837</v>
      </c>
      <c r="B10887" t="s">
        <v>259</v>
      </c>
      <c r="C10887" s="1">
        <f>HYPERLINK("https://cao.dolgi.msk.ru/account/1011136207/", 1011136207)</f>
        <v>1011136207</v>
      </c>
      <c r="D10887">
        <v>-12646.26</v>
      </c>
    </row>
    <row r="10888" spans="1:4" hidden="1" x14ac:dyDescent="0.3">
      <c r="A10888" t="s">
        <v>837</v>
      </c>
      <c r="B10888" t="s">
        <v>100</v>
      </c>
      <c r="C10888" s="1">
        <f>HYPERLINK("https://cao.dolgi.msk.ru/account/1011136354/", 1011136354)</f>
        <v>1011136354</v>
      </c>
      <c r="D10888">
        <v>0</v>
      </c>
    </row>
    <row r="10889" spans="1:4" hidden="1" x14ac:dyDescent="0.3">
      <c r="A10889" t="s">
        <v>837</v>
      </c>
      <c r="B10889" t="s">
        <v>72</v>
      </c>
      <c r="C10889" s="1">
        <f>HYPERLINK("https://cao.dolgi.msk.ru/account/1011136469/", 1011136469)</f>
        <v>1011136469</v>
      </c>
      <c r="D10889">
        <v>0</v>
      </c>
    </row>
    <row r="10890" spans="1:4" hidden="1" x14ac:dyDescent="0.3">
      <c r="A10890" t="s">
        <v>837</v>
      </c>
      <c r="B10890" t="s">
        <v>73</v>
      </c>
      <c r="C10890" s="1">
        <f>HYPERLINK("https://cao.dolgi.msk.ru/account/1011136071/", 1011136071)</f>
        <v>1011136071</v>
      </c>
      <c r="D10890">
        <v>0</v>
      </c>
    </row>
    <row r="10891" spans="1:4" hidden="1" x14ac:dyDescent="0.3">
      <c r="A10891" t="s">
        <v>837</v>
      </c>
      <c r="B10891" t="s">
        <v>74</v>
      </c>
      <c r="C10891" s="1">
        <f>HYPERLINK("https://cao.dolgi.msk.ru/account/1011136143/", 1011136143)</f>
        <v>1011136143</v>
      </c>
      <c r="D10891">
        <v>-11311.63</v>
      </c>
    </row>
    <row r="10892" spans="1:4" hidden="1" x14ac:dyDescent="0.3">
      <c r="A10892" t="s">
        <v>837</v>
      </c>
      <c r="B10892" t="s">
        <v>75</v>
      </c>
      <c r="C10892" s="1">
        <f>HYPERLINK("https://cao.dolgi.msk.ru/account/1011136311/", 1011136311)</f>
        <v>1011136311</v>
      </c>
      <c r="D10892">
        <v>0</v>
      </c>
    </row>
    <row r="10893" spans="1:4" hidden="1" x14ac:dyDescent="0.3">
      <c r="A10893" t="s">
        <v>837</v>
      </c>
      <c r="B10893" t="s">
        <v>75</v>
      </c>
      <c r="C10893" s="1">
        <f>HYPERLINK("https://cao.dolgi.msk.ru/account/1011136338/", 1011136338)</f>
        <v>1011136338</v>
      </c>
      <c r="D10893">
        <v>-2254.41</v>
      </c>
    </row>
    <row r="10894" spans="1:4" x14ac:dyDescent="0.3">
      <c r="A10894" t="s">
        <v>837</v>
      </c>
      <c r="B10894" t="s">
        <v>76</v>
      </c>
      <c r="C10894" s="1">
        <f>HYPERLINK("https://cao.dolgi.msk.ru/account/1011136477/", 1011136477)</f>
        <v>1011136477</v>
      </c>
      <c r="D10894">
        <v>120786.66</v>
      </c>
    </row>
    <row r="10895" spans="1:4" hidden="1" x14ac:dyDescent="0.3">
      <c r="A10895" t="s">
        <v>837</v>
      </c>
      <c r="B10895" t="s">
        <v>77</v>
      </c>
      <c r="C10895" s="1">
        <f>HYPERLINK("https://cao.dolgi.msk.ru/account/1011136485/", 1011136485)</f>
        <v>1011136485</v>
      </c>
      <c r="D10895">
        <v>0</v>
      </c>
    </row>
    <row r="10896" spans="1:4" x14ac:dyDescent="0.3">
      <c r="A10896" t="s">
        <v>837</v>
      </c>
      <c r="B10896" t="s">
        <v>78</v>
      </c>
      <c r="C10896" s="1">
        <f>HYPERLINK("https://cao.dolgi.msk.ru/account/1011136215/", 1011136215)</f>
        <v>1011136215</v>
      </c>
      <c r="D10896">
        <v>22792.400000000001</v>
      </c>
    </row>
    <row r="10897" spans="1:4" hidden="1" x14ac:dyDescent="0.3">
      <c r="A10897" t="s">
        <v>837</v>
      </c>
      <c r="B10897" t="s">
        <v>79</v>
      </c>
      <c r="C10897" s="1">
        <f>HYPERLINK("https://cao.dolgi.msk.ru/account/1011136258/", 1011136258)</f>
        <v>1011136258</v>
      </c>
      <c r="D10897">
        <v>0</v>
      </c>
    </row>
    <row r="10898" spans="1:4" hidden="1" x14ac:dyDescent="0.3">
      <c r="A10898" t="s">
        <v>837</v>
      </c>
      <c r="B10898" t="s">
        <v>80</v>
      </c>
      <c r="C10898" s="1">
        <f>HYPERLINK("https://cao.dolgi.msk.ru/account/1011136098/", 1011136098)</f>
        <v>1011136098</v>
      </c>
      <c r="D10898">
        <v>0</v>
      </c>
    </row>
    <row r="10899" spans="1:4" hidden="1" x14ac:dyDescent="0.3">
      <c r="A10899" t="s">
        <v>837</v>
      </c>
      <c r="B10899" t="s">
        <v>81</v>
      </c>
      <c r="C10899" s="1">
        <f>HYPERLINK("https://cao.dolgi.msk.ru/account/1011136274/", 1011136274)</f>
        <v>1011136274</v>
      </c>
      <c r="D10899">
        <v>-5553.79</v>
      </c>
    </row>
    <row r="10900" spans="1:4" hidden="1" x14ac:dyDescent="0.3">
      <c r="A10900" t="s">
        <v>837</v>
      </c>
      <c r="B10900" t="s">
        <v>81</v>
      </c>
      <c r="C10900" s="1">
        <f>HYPERLINK("https://cao.dolgi.msk.ru/account/1011136565/", 1011136565)</f>
        <v>1011136565</v>
      </c>
      <c r="D10900">
        <v>-3931.67</v>
      </c>
    </row>
    <row r="10901" spans="1:4" hidden="1" x14ac:dyDescent="0.3">
      <c r="A10901" t="s">
        <v>837</v>
      </c>
      <c r="B10901" t="s">
        <v>838</v>
      </c>
      <c r="C10901" s="1">
        <f>HYPERLINK("https://cao.dolgi.msk.ru/account/1011136151/", 1011136151)</f>
        <v>1011136151</v>
      </c>
      <c r="D10901">
        <v>0</v>
      </c>
    </row>
    <row r="10902" spans="1:4" hidden="1" x14ac:dyDescent="0.3">
      <c r="A10902" t="s">
        <v>837</v>
      </c>
      <c r="B10902" t="s">
        <v>101</v>
      </c>
      <c r="C10902" s="1">
        <f>HYPERLINK("https://cao.dolgi.msk.ru/account/1011136434/", 1011136434)</f>
        <v>1011136434</v>
      </c>
      <c r="D10902">
        <v>0</v>
      </c>
    </row>
    <row r="10903" spans="1:4" hidden="1" x14ac:dyDescent="0.3">
      <c r="A10903" t="s">
        <v>837</v>
      </c>
      <c r="B10903" t="s">
        <v>839</v>
      </c>
      <c r="C10903" s="1">
        <f>HYPERLINK("https://cao.dolgi.msk.ru/account/1011136362/", 1011136362)</f>
        <v>1011136362</v>
      </c>
      <c r="D10903">
        <v>-25758.34</v>
      </c>
    </row>
    <row r="10904" spans="1:4" hidden="1" x14ac:dyDescent="0.3">
      <c r="A10904" t="s">
        <v>837</v>
      </c>
      <c r="B10904" t="s">
        <v>82</v>
      </c>
      <c r="C10904" s="1">
        <f>HYPERLINK("https://cao.dolgi.msk.ru/account/1011136119/", 1011136119)</f>
        <v>1011136119</v>
      </c>
      <c r="D10904">
        <v>0</v>
      </c>
    </row>
    <row r="10905" spans="1:4" hidden="1" x14ac:dyDescent="0.3">
      <c r="A10905" t="s">
        <v>837</v>
      </c>
      <c r="B10905" t="s">
        <v>83</v>
      </c>
      <c r="C10905" s="1">
        <f>HYPERLINK("https://cao.dolgi.msk.ru/account/1011136389/", 1011136389)</f>
        <v>1011136389</v>
      </c>
      <c r="D10905">
        <v>0</v>
      </c>
    </row>
    <row r="10906" spans="1:4" hidden="1" x14ac:dyDescent="0.3">
      <c r="A10906" t="s">
        <v>837</v>
      </c>
      <c r="B10906" t="s">
        <v>698</v>
      </c>
      <c r="C10906" s="1">
        <f>HYPERLINK("https://cao.dolgi.msk.ru/account/1011136127/", 1011136127)</f>
        <v>1011136127</v>
      </c>
      <c r="D10906">
        <v>0</v>
      </c>
    </row>
    <row r="10907" spans="1:4" hidden="1" x14ac:dyDescent="0.3">
      <c r="A10907" t="s">
        <v>837</v>
      </c>
      <c r="B10907" t="s">
        <v>84</v>
      </c>
      <c r="C10907" s="1">
        <f>HYPERLINK("https://cao.dolgi.msk.ru/account/1011514044/", 1011514044)</f>
        <v>1011514044</v>
      </c>
      <c r="D10907">
        <v>0</v>
      </c>
    </row>
    <row r="10908" spans="1:4" hidden="1" x14ac:dyDescent="0.3">
      <c r="A10908" t="s">
        <v>837</v>
      </c>
      <c r="B10908" t="s">
        <v>85</v>
      </c>
      <c r="C10908" s="1">
        <f>HYPERLINK("https://cao.dolgi.msk.ru/account/1011136573/", 1011136573)</f>
        <v>1011136573</v>
      </c>
      <c r="D10908">
        <v>0</v>
      </c>
    </row>
    <row r="10909" spans="1:4" hidden="1" x14ac:dyDescent="0.3">
      <c r="A10909" t="s">
        <v>837</v>
      </c>
      <c r="B10909" t="s">
        <v>102</v>
      </c>
      <c r="C10909" s="1">
        <f>HYPERLINK("https://cao.dolgi.msk.ru/account/1011136493/", 1011136493)</f>
        <v>1011136493</v>
      </c>
      <c r="D10909">
        <v>0</v>
      </c>
    </row>
    <row r="10910" spans="1:4" hidden="1" x14ac:dyDescent="0.3">
      <c r="A10910" t="s">
        <v>837</v>
      </c>
      <c r="B10910" t="s">
        <v>103</v>
      </c>
      <c r="C10910" s="1">
        <f>HYPERLINK("https://cao.dolgi.msk.ru/account/1011136346/", 1011136346)</f>
        <v>1011136346</v>
      </c>
      <c r="D10910">
        <v>-8166.23</v>
      </c>
    </row>
    <row r="10911" spans="1:4" hidden="1" x14ac:dyDescent="0.3">
      <c r="A10911" t="s">
        <v>837</v>
      </c>
      <c r="B10911" t="s">
        <v>104</v>
      </c>
      <c r="C10911" s="1">
        <f>HYPERLINK("https://cao.dolgi.msk.ru/account/1011136135/", 1011136135)</f>
        <v>1011136135</v>
      </c>
      <c r="D10911">
        <v>0</v>
      </c>
    </row>
    <row r="10912" spans="1:4" hidden="1" x14ac:dyDescent="0.3">
      <c r="A10912" t="s">
        <v>837</v>
      </c>
      <c r="B10912" t="s">
        <v>106</v>
      </c>
      <c r="C10912" s="1">
        <f>HYPERLINK("https://cao.dolgi.msk.ru/account/1011136223/", 1011136223)</f>
        <v>1011136223</v>
      </c>
      <c r="D10912">
        <v>0</v>
      </c>
    </row>
    <row r="10913" spans="1:4" hidden="1" x14ac:dyDescent="0.3">
      <c r="A10913" t="s">
        <v>837</v>
      </c>
      <c r="B10913" t="s">
        <v>107</v>
      </c>
      <c r="C10913" s="1">
        <f>HYPERLINK("https://cao.dolgi.msk.ru/account/1011136231/", 1011136231)</f>
        <v>1011136231</v>
      </c>
      <c r="D10913">
        <v>-9928.18</v>
      </c>
    </row>
    <row r="10914" spans="1:4" hidden="1" x14ac:dyDescent="0.3">
      <c r="A10914" t="s">
        <v>837</v>
      </c>
      <c r="B10914" t="s">
        <v>108</v>
      </c>
      <c r="C10914" s="1">
        <f>HYPERLINK("https://cao.dolgi.msk.ru/account/1011136397/", 1011136397)</f>
        <v>1011136397</v>
      </c>
      <c r="D10914">
        <v>0</v>
      </c>
    </row>
    <row r="10915" spans="1:4" hidden="1" x14ac:dyDescent="0.3">
      <c r="A10915" t="s">
        <v>837</v>
      </c>
      <c r="B10915" t="s">
        <v>840</v>
      </c>
      <c r="C10915" s="1">
        <f>HYPERLINK("https://cao.dolgi.msk.ru/account/1011136194/", 1011136194)</f>
        <v>1011136194</v>
      </c>
      <c r="D10915">
        <v>-10447.68</v>
      </c>
    </row>
    <row r="10916" spans="1:4" x14ac:dyDescent="0.3">
      <c r="A10916" t="s">
        <v>837</v>
      </c>
      <c r="B10916" t="s">
        <v>109</v>
      </c>
      <c r="C10916" s="1">
        <f>HYPERLINK("https://cao.dolgi.msk.ru/account/1011136581/", 1011136581)</f>
        <v>1011136581</v>
      </c>
      <c r="D10916">
        <v>11553.44</v>
      </c>
    </row>
    <row r="10917" spans="1:4" hidden="1" x14ac:dyDescent="0.3">
      <c r="A10917" t="s">
        <v>837</v>
      </c>
      <c r="B10917" t="s">
        <v>110</v>
      </c>
      <c r="C10917" s="1">
        <f>HYPERLINK("https://cao.dolgi.msk.ru/account/1011136186/", 1011136186)</f>
        <v>1011136186</v>
      </c>
      <c r="D10917">
        <v>0</v>
      </c>
    </row>
    <row r="10918" spans="1:4" hidden="1" x14ac:dyDescent="0.3">
      <c r="A10918" t="s">
        <v>837</v>
      </c>
      <c r="B10918" t="s">
        <v>110</v>
      </c>
      <c r="C10918" s="1">
        <f>HYPERLINK("https://cao.dolgi.msk.ru/account/1011136418/", 1011136418)</f>
        <v>1011136418</v>
      </c>
      <c r="D10918">
        <v>0</v>
      </c>
    </row>
    <row r="10919" spans="1:4" hidden="1" x14ac:dyDescent="0.3">
      <c r="A10919" t="s">
        <v>837</v>
      </c>
      <c r="B10919" t="s">
        <v>111</v>
      </c>
      <c r="C10919" s="1">
        <f>HYPERLINK("https://cao.dolgi.msk.ru/account/1011136514/", 1011136514)</f>
        <v>1011136514</v>
      </c>
      <c r="D10919">
        <v>0</v>
      </c>
    </row>
    <row r="10920" spans="1:4" hidden="1" x14ac:dyDescent="0.3">
      <c r="A10920" t="s">
        <v>837</v>
      </c>
      <c r="B10920" t="s">
        <v>112</v>
      </c>
      <c r="C10920" s="1">
        <f>HYPERLINK("https://cao.dolgi.msk.ru/account/1011136506/", 1011136506)</f>
        <v>1011136506</v>
      </c>
      <c r="D10920">
        <v>-10712.02</v>
      </c>
    </row>
    <row r="10921" spans="1:4" hidden="1" x14ac:dyDescent="0.3">
      <c r="A10921" t="s">
        <v>837</v>
      </c>
      <c r="B10921" t="s">
        <v>113</v>
      </c>
      <c r="C10921" s="1">
        <f>HYPERLINK("https://cao.dolgi.msk.ru/account/1011136426/", 1011136426)</f>
        <v>1011136426</v>
      </c>
      <c r="D10921">
        <v>0</v>
      </c>
    </row>
    <row r="10922" spans="1:4" x14ac:dyDescent="0.3">
      <c r="A10922" t="s">
        <v>841</v>
      </c>
      <c r="B10922" t="s">
        <v>6</v>
      </c>
      <c r="C10922" s="1">
        <f>HYPERLINK("https://cao.dolgi.msk.ru/account/1011437747/", 1011437747)</f>
        <v>1011437747</v>
      </c>
      <c r="D10922">
        <v>2987.32</v>
      </c>
    </row>
    <row r="10923" spans="1:4" hidden="1" x14ac:dyDescent="0.3">
      <c r="A10923" t="s">
        <v>841</v>
      </c>
      <c r="B10923" t="s">
        <v>28</v>
      </c>
      <c r="C10923" s="1">
        <f>HYPERLINK("https://cao.dolgi.msk.ru/account/1011437309/", 1011437309)</f>
        <v>1011437309</v>
      </c>
      <c r="D10923">
        <v>0</v>
      </c>
    </row>
    <row r="10924" spans="1:4" hidden="1" x14ac:dyDescent="0.3">
      <c r="A10924" t="s">
        <v>841</v>
      </c>
      <c r="B10924" t="s">
        <v>35</v>
      </c>
      <c r="C10924" s="1">
        <f>HYPERLINK("https://cao.dolgi.msk.ru/account/1011437819/", 1011437819)</f>
        <v>1011437819</v>
      </c>
      <c r="D10924">
        <v>0</v>
      </c>
    </row>
    <row r="10925" spans="1:4" hidden="1" x14ac:dyDescent="0.3">
      <c r="A10925" t="s">
        <v>841</v>
      </c>
      <c r="B10925" t="s">
        <v>5</v>
      </c>
      <c r="C10925" s="1">
        <f>HYPERLINK("https://cao.dolgi.msk.ru/account/1011437851/", 1011437851)</f>
        <v>1011437851</v>
      </c>
      <c r="D10925">
        <v>-230</v>
      </c>
    </row>
    <row r="10926" spans="1:4" hidden="1" x14ac:dyDescent="0.3">
      <c r="A10926" t="s">
        <v>841</v>
      </c>
      <c r="B10926" t="s">
        <v>7</v>
      </c>
      <c r="C10926" s="1">
        <f>HYPERLINK("https://cao.dolgi.msk.ru/account/1011437755/", 1011437755)</f>
        <v>1011437755</v>
      </c>
      <c r="D10926">
        <v>0</v>
      </c>
    </row>
    <row r="10927" spans="1:4" hidden="1" x14ac:dyDescent="0.3">
      <c r="A10927" t="s">
        <v>841</v>
      </c>
      <c r="B10927" t="s">
        <v>8</v>
      </c>
      <c r="C10927" s="1">
        <f>HYPERLINK("https://cao.dolgi.msk.ru/account/1011437616/", 1011437616)</f>
        <v>1011437616</v>
      </c>
      <c r="D10927">
        <v>0</v>
      </c>
    </row>
    <row r="10928" spans="1:4" hidden="1" x14ac:dyDescent="0.3">
      <c r="A10928" t="s">
        <v>841</v>
      </c>
      <c r="B10928" t="s">
        <v>31</v>
      </c>
      <c r="C10928" s="1">
        <f>HYPERLINK("https://cao.dolgi.msk.ru/account/1011437704/", 1011437704)</f>
        <v>1011437704</v>
      </c>
      <c r="D10928">
        <v>-3090.74</v>
      </c>
    </row>
    <row r="10929" spans="1:4" hidden="1" x14ac:dyDescent="0.3">
      <c r="A10929" t="s">
        <v>841</v>
      </c>
      <c r="B10929" t="s">
        <v>9</v>
      </c>
      <c r="C10929" s="1">
        <f>HYPERLINK("https://cao.dolgi.msk.ru/account/1011437253/", 1011437253)</f>
        <v>1011437253</v>
      </c>
      <c r="D10929">
        <v>0</v>
      </c>
    </row>
    <row r="10930" spans="1:4" hidden="1" x14ac:dyDescent="0.3">
      <c r="A10930" t="s">
        <v>841</v>
      </c>
      <c r="B10930" t="s">
        <v>10</v>
      </c>
      <c r="C10930" s="1">
        <f>HYPERLINK("https://cao.dolgi.msk.ru/account/1011437536/", 1011437536)</f>
        <v>1011437536</v>
      </c>
      <c r="D10930">
        <v>-4064.04</v>
      </c>
    </row>
    <row r="10931" spans="1:4" hidden="1" x14ac:dyDescent="0.3">
      <c r="A10931" t="s">
        <v>841</v>
      </c>
      <c r="B10931" t="s">
        <v>11</v>
      </c>
      <c r="C10931" s="1">
        <f>HYPERLINK("https://cao.dolgi.msk.ru/account/1011437368/", 1011437368)</f>
        <v>1011437368</v>
      </c>
      <c r="D10931">
        <v>0</v>
      </c>
    </row>
    <row r="10932" spans="1:4" hidden="1" x14ac:dyDescent="0.3">
      <c r="A10932" t="s">
        <v>841</v>
      </c>
      <c r="B10932" t="s">
        <v>12</v>
      </c>
      <c r="C10932" s="1">
        <f>HYPERLINK("https://cao.dolgi.msk.ru/account/1011437528/", 1011437528)</f>
        <v>1011437528</v>
      </c>
      <c r="D10932">
        <v>0</v>
      </c>
    </row>
    <row r="10933" spans="1:4" hidden="1" x14ac:dyDescent="0.3">
      <c r="A10933" t="s">
        <v>841</v>
      </c>
      <c r="B10933" t="s">
        <v>23</v>
      </c>
      <c r="C10933" s="1">
        <f>HYPERLINK("https://cao.dolgi.msk.ru/account/1011437456/", 1011437456)</f>
        <v>1011437456</v>
      </c>
      <c r="D10933">
        <v>-3264.79</v>
      </c>
    </row>
    <row r="10934" spans="1:4" hidden="1" x14ac:dyDescent="0.3">
      <c r="A10934" t="s">
        <v>841</v>
      </c>
      <c r="B10934" t="s">
        <v>13</v>
      </c>
      <c r="C10934" s="1">
        <f>HYPERLINK("https://cao.dolgi.msk.ru/account/1011437843/", 1011437843)</f>
        <v>1011437843</v>
      </c>
      <c r="D10934">
        <v>0</v>
      </c>
    </row>
    <row r="10935" spans="1:4" hidden="1" x14ac:dyDescent="0.3">
      <c r="A10935" t="s">
        <v>841</v>
      </c>
      <c r="B10935" t="s">
        <v>14</v>
      </c>
      <c r="C10935" s="1">
        <f>HYPERLINK("https://cao.dolgi.msk.ru/account/1011437659/", 1011437659)</f>
        <v>1011437659</v>
      </c>
      <c r="D10935">
        <v>0</v>
      </c>
    </row>
    <row r="10936" spans="1:4" hidden="1" x14ac:dyDescent="0.3">
      <c r="A10936" t="s">
        <v>841</v>
      </c>
      <c r="B10936" t="s">
        <v>16</v>
      </c>
      <c r="C10936" s="1">
        <f>HYPERLINK("https://cao.dolgi.msk.ru/account/1011437464/", 1011437464)</f>
        <v>1011437464</v>
      </c>
      <c r="D10936">
        <v>0</v>
      </c>
    </row>
    <row r="10937" spans="1:4" hidden="1" x14ac:dyDescent="0.3">
      <c r="A10937" t="s">
        <v>841</v>
      </c>
      <c r="B10937" t="s">
        <v>17</v>
      </c>
      <c r="C10937" s="1">
        <f>HYPERLINK("https://cao.dolgi.msk.ru/account/1011437405/", 1011437405)</f>
        <v>1011437405</v>
      </c>
      <c r="D10937">
        <v>0</v>
      </c>
    </row>
    <row r="10938" spans="1:4" hidden="1" x14ac:dyDescent="0.3">
      <c r="A10938" t="s">
        <v>841</v>
      </c>
      <c r="B10938" t="s">
        <v>18</v>
      </c>
      <c r="C10938" s="1">
        <f>HYPERLINK("https://cao.dolgi.msk.ru/account/1011437675/", 1011437675)</f>
        <v>1011437675</v>
      </c>
      <c r="D10938">
        <v>0</v>
      </c>
    </row>
    <row r="10939" spans="1:4" hidden="1" x14ac:dyDescent="0.3">
      <c r="A10939" t="s">
        <v>841</v>
      </c>
      <c r="B10939" t="s">
        <v>19</v>
      </c>
      <c r="C10939" s="1">
        <f>HYPERLINK("https://cao.dolgi.msk.ru/account/1011437165/", 1011437165)</f>
        <v>1011437165</v>
      </c>
      <c r="D10939">
        <v>-6332.03</v>
      </c>
    </row>
    <row r="10940" spans="1:4" hidden="1" x14ac:dyDescent="0.3">
      <c r="A10940" t="s">
        <v>841</v>
      </c>
      <c r="B10940" t="s">
        <v>20</v>
      </c>
      <c r="C10940" s="1">
        <f>HYPERLINK("https://cao.dolgi.msk.ru/account/1011437421/", 1011437421)</f>
        <v>1011437421</v>
      </c>
      <c r="D10940">
        <v>-63.42</v>
      </c>
    </row>
    <row r="10941" spans="1:4" hidden="1" x14ac:dyDescent="0.3">
      <c r="A10941" t="s">
        <v>841</v>
      </c>
      <c r="B10941" t="s">
        <v>21</v>
      </c>
      <c r="C10941" s="1">
        <f>HYPERLINK("https://cao.dolgi.msk.ru/account/1011437325/", 1011437325)</f>
        <v>1011437325</v>
      </c>
      <c r="D10941">
        <v>0</v>
      </c>
    </row>
    <row r="10942" spans="1:4" hidden="1" x14ac:dyDescent="0.3">
      <c r="A10942" t="s">
        <v>841</v>
      </c>
      <c r="B10942" t="s">
        <v>22</v>
      </c>
      <c r="C10942" s="1">
        <f>HYPERLINK("https://cao.dolgi.msk.ru/account/1011437448/", 1011437448)</f>
        <v>1011437448</v>
      </c>
      <c r="D10942">
        <v>0</v>
      </c>
    </row>
    <row r="10943" spans="1:4" hidden="1" x14ac:dyDescent="0.3">
      <c r="A10943" t="s">
        <v>841</v>
      </c>
      <c r="B10943" t="s">
        <v>24</v>
      </c>
      <c r="C10943" s="1">
        <f>HYPERLINK("https://cao.dolgi.msk.ru/account/1011437667/", 1011437667)</f>
        <v>1011437667</v>
      </c>
      <c r="D10943">
        <v>-67.14</v>
      </c>
    </row>
    <row r="10944" spans="1:4" x14ac:dyDescent="0.3">
      <c r="A10944" t="s">
        <v>841</v>
      </c>
      <c r="B10944" t="s">
        <v>25</v>
      </c>
      <c r="C10944" s="1">
        <f>HYPERLINK("https://cao.dolgi.msk.ru/account/1011437261/", 1011437261)</f>
        <v>1011437261</v>
      </c>
      <c r="D10944">
        <v>8192.2199999999993</v>
      </c>
    </row>
    <row r="10945" spans="1:4" hidden="1" x14ac:dyDescent="0.3">
      <c r="A10945" t="s">
        <v>841</v>
      </c>
      <c r="B10945" t="s">
        <v>26</v>
      </c>
      <c r="C10945" s="1">
        <f>HYPERLINK("https://cao.dolgi.msk.ru/account/1011437341/", 1011437341)</f>
        <v>1011437341</v>
      </c>
      <c r="D10945">
        <v>0</v>
      </c>
    </row>
    <row r="10946" spans="1:4" hidden="1" x14ac:dyDescent="0.3">
      <c r="A10946" t="s">
        <v>841</v>
      </c>
      <c r="B10946" t="s">
        <v>27</v>
      </c>
      <c r="C10946" s="1">
        <f>HYPERLINK("https://cao.dolgi.msk.ru/account/1011437835/", 1011437835)</f>
        <v>1011437835</v>
      </c>
      <c r="D10946">
        <v>0</v>
      </c>
    </row>
    <row r="10947" spans="1:4" hidden="1" x14ac:dyDescent="0.3">
      <c r="A10947" t="s">
        <v>841</v>
      </c>
      <c r="B10947" t="s">
        <v>29</v>
      </c>
      <c r="C10947" s="1">
        <f>HYPERLINK("https://cao.dolgi.msk.ru/account/1011437763/", 1011437763)</f>
        <v>1011437763</v>
      </c>
      <c r="D10947">
        <v>-4317.26</v>
      </c>
    </row>
    <row r="10948" spans="1:4" hidden="1" x14ac:dyDescent="0.3">
      <c r="A10948" t="s">
        <v>841</v>
      </c>
      <c r="B10948" t="s">
        <v>38</v>
      </c>
      <c r="C10948" s="1">
        <f>HYPERLINK("https://cao.dolgi.msk.ru/account/1011437683/", 1011437683)</f>
        <v>1011437683</v>
      </c>
      <c r="D10948">
        <v>0</v>
      </c>
    </row>
    <row r="10949" spans="1:4" hidden="1" x14ac:dyDescent="0.3">
      <c r="A10949" t="s">
        <v>841</v>
      </c>
      <c r="B10949" t="s">
        <v>39</v>
      </c>
      <c r="C10949" s="1">
        <f>HYPERLINK("https://cao.dolgi.msk.ru/account/1011437739/", 1011437739)</f>
        <v>1011437739</v>
      </c>
      <c r="D10949">
        <v>0</v>
      </c>
    </row>
    <row r="10950" spans="1:4" hidden="1" x14ac:dyDescent="0.3">
      <c r="A10950" t="s">
        <v>841</v>
      </c>
      <c r="B10950" t="s">
        <v>40</v>
      </c>
      <c r="C10950" s="1">
        <f>HYPERLINK("https://cao.dolgi.msk.ru/account/1011437878/", 1011437878)</f>
        <v>1011437878</v>
      </c>
      <c r="D10950">
        <v>-2782.56</v>
      </c>
    </row>
    <row r="10951" spans="1:4" hidden="1" x14ac:dyDescent="0.3">
      <c r="A10951" t="s">
        <v>841</v>
      </c>
      <c r="B10951" t="s">
        <v>41</v>
      </c>
      <c r="C10951" s="1">
        <f>HYPERLINK("https://cao.dolgi.msk.ru/account/1011437552/", 1011437552)</f>
        <v>1011437552</v>
      </c>
      <c r="D10951">
        <v>-5877.25</v>
      </c>
    </row>
    <row r="10952" spans="1:4" hidden="1" x14ac:dyDescent="0.3">
      <c r="A10952" t="s">
        <v>841</v>
      </c>
      <c r="B10952" t="s">
        <v>51</v>
      </c>
      <c r="C10952" s="1">
        <f>HYPERLINK("https://cao.dolgi.msk.ru/account/1011437712/", 1011437712)</f>
        <v>1011437712</v>
      </c>
      <c r="D10952">
        <v>-458.76</v>
      </c>
    </row>
    <row r="10953" spans="1:4" x14ac:dyDescent="0.3">
      <c r="A10953" t="s">
        <v>841</v>
      </c>
      <c r="B10953" t="s">
        <v>52</v>
      </c>
      <c r="C10953" s="1">
        <f>HYPERLINK("https://cao.dolgi.msk.ru/account/1011437691/", 1011437691)</f>
        <v>1011437691</v>
      </c>
      <c r="D10953">
        <v>838.96</v>
      </c>
    </row>
    <row r="10954" spans="1:4" hidden="1" x14ac:dyDescent="0.3">
      <c r="A10954" t="s">
        <v>841</v>
      </c>
      <c r="B10954" t="s">
        <v>53</v>
      </c>
      <c r="C10954" s="1">
        <f>HYPERLINK("https://cao.dolgi.msk.ru/account/1011437376/", 1011437376)</f>
        <v>1011437376</v>
      </c>
      <c r="D10954">
        <v>0</v>
      </c>
    </row>
    <row r="10955" spans="1:4" hidden="1" x14ac:dyDescent="0.3">
      <c r="A10955" t="s">
        <v>841</v>
      </c>
      <c r="B10955" t="s">
        <v>54</v>
      </c>
      <c r="C10955" s="1">
        <f>HYPERLINK("https://cao.dolgi.msk.ru/account/1011437333/", 1011437333)</f>
        <v>1011437333</v>
      </c>
      <c r="D10955">
        <v>0</v>
      </c>
    </row>
    <row r="10956" spans="1:4" hidden="1" x14ac:dyDescent="0.3">
      <c r="A10956" t="s">
        <v>841</v>
      </c>
      <c r="B10956" t="s">
        <v>55</v>
      </c>
      <c r="C10956" s="1">
        <f>HYPERLINK("https://cao.dolgi.msk.ru/account/1011437384/", 1011437384)</f>
        <v>1011437384</v>
      </c>
      <c r="D10956">
        <v>0</v>
      </c>
    </row>
    <row r="10957" spans="1:4" hidden="1" x14ac:dyDescent="0.3">
      <c r="A10957" t="s">
        <v>841</v>
      </c>
      <c r="B10957" t="s">
        <v>56</v>
      </c>
      <c r="C10957" s="1">
        <f>HYPERLINK("https://cao.dolgi.msk.ru/account/1011437392/", 1011437392)</f>
        <v>1011437392</v>
      </c>
      <c r="D10957">
        <v>0</v>
      </c>
    </row>
    <row r="10958" spans="1:4" hidden="1" x14ac:dyDescent="0.3">
      <c r="A10958" t="s">
        <v>841</v>
      </c>
      <c r="B10958" t="s">
        <v>87</v>
      </c>
      <c r="C10958" s="1">
        <f>HYPERLINK("https://cao.dolgi.msk.ru/account/1011437544/", 1011437544)</f>
        <v>1011437544</v>
      </c>
      <c r="D10958">
        <v>-2867.21</v>
      </c>
    </row>
    <row r="10959" spans="1:4" hidden="1" x14ac:dyDescent="0.3">
      <c r="A10959" t="s">
        <v>841</v>
      </c>
      <c r="B10959" t="s">
        <v>88</v>
      </c>
      <c r="C10959" s="1">
        <f>HYPERLINK("https://cao.dolgi.msk.ru/account/1011437413/", 1011437413)</f>
        <v>1011437413</v>
      </c>
      <c r="D10959">
        <v>0</v>
      </c>
    </row>
    <row r="10960" spans="1:4" hidden="1" x14ac:dyDescent="0.3">
      <c r="A10960" t="s">
        <v>841</v>
      </c>
      <c r="B10960" t="s">
        <v>89</v>
      </c>
      <c r="C10960" s="1">
        <f>HYPERLINK("https://cao.dolgi.msk.ru/account/1011437595/", 1011437595)</f>
        <v>1011437595</v>
      </c>
      <c r="D10960">
        <v>-44.11</v>
      </c>
    </row>
    <row r="10961" spans="1:4" hidden="1" x14ac:dyDescent="0.3">
      <c r="A10961" t="s">
        <v>841</v>
      </c>
      <c r="B10961" t="s">
        <v>90</v>
      </c>
      <c r="C10961" s="1">
        <f>HYPERLINK("https://cao.dolgi.msk.ru/account/1011437237/", 1011437237)</f>
        <v>1011437237</v>
      </c>
      <c r="D10961">
        <v>0</v>
      </c>
    </row>
    <row r="10962" spans="1:4" hidden="1" x14ac:dyDescent="0.3">
      <c r="A10962" t="s">
        <v>841</v>
      </c>
      <c r="B10962" t="s">
        <v>96</v>
      </c>
      <c r="C10962" s="1">
        <f>HYPERLINK("https://cao.dolgi.msk.ru/account/1011437245/", 1011437245)</f>
        <v>1011437245</v>
      </c>
      <c r="D10962">
        <v>-6427.18</v>
      </c>
    </row>
    <row r="10963" spans="1:4" hidden="1" x14ac:dyDescent="0.3">
      <c r="A10963" t="s">
        <v>841</v>
      </c>
      <c r="B10963" t="s">
        <v>96</v>
      </c>
      <c r="C10963" s="1">
        <f>HYPERLINK("https://cao.dolgi.msk.ru/account/1011437317/", 1011437317)</f>
        <v>1011437317</v>
      </c>
      <c r="D10963">
        <v>-2087.0300000000002</v>
      </c>
    </row>
    <row r="10964" spans="1:4" x14ac:dyDescent="0.3">
      <c r="A10964" t="s">
        <v>841</v>
      </c>
      <c r="B10964" t="s">
        <v>97</v>
      </c>
      <c r="C10964" s="1">
        <f>HYPERLINK("https://cao.dolgi.msk.ru/account/1011437149/", 1011437149)</f>
        <v>1011437149</v>
      </c>
      <c r="D10964">
        <v>107425.57</v>
      </c>
    </row>
    <row r="10965" spans="1:4" hidden="1" x14ac:dyDescent="0.3">
      <c r="A10965" t="s">
        <v>841</v>
      </c>
      <c r="B10965" t="s">
        <v>98</v>
      </c>
      <c r="C10965" s="1">
        <f>HYPERLINK("https://cao.dolgi.msk.ru/account/1011437472/", 1011437472)</f>
        <v>1011437472</v>
      </c>
      <c r="D10965">
        <v>0</v>
      </c>
    </row>
    <row r="10966" spans="1:4" hidden="1" x14ac:dyDescent="0.3">
      <c r="A10966" t="s">
        <v>841</v>
      </c>
      <c r="B10966" t="s">
        <v>58</v>
      </c>
      <c r="C10966" s="1">
        <f>HYPERLINK("https://cao.dolgi.msk.ru/account/1011437827/", 1011437827)</f>
        <v>1011437827</v>
      </c>
      <c r="D10966">
        <v>0</v>
      </c>
    </row>
    <row r="10967" spans="1:4" x14ac:dyDescent="0.3">
      <c r="A10967" t="s">
        <v>841</v>
      </c>
      <c r="B10967" t="s">
        <v>59</v>
      </c>
      <c r="C10967" s="1">
        <f>HYPERLINK("https://cao.dolgi.msk.ru/account/1011437579/", 1011437579)</f>
        <v>1011437579</v>
      </c>
      <c r="D10967">
        <v>6180.68</v>
      </c>
    </row>
    <row r="10968" spans="1:4" hidden="1" x14ac:dyDescent="0.3">
      <c r="A10968" t="s">
        <v>841</v>
      </c>
      <c r="B10968" t="s">
        <v>60</v>
      </c>
      <c r="C10968" s="1">
        <f>HYPERLINK("https://cao.dolgi.msk.ru/account/1011437288/", 1011437288)</f>
        <v>1011437288</v>
      </c>
      <c r="D10968">
        <v>0</v>
      </c>
    </row>
    <row r="10969" spans="1:4" hidden="1" x14ac:dyDescent="0.3">
      <c r="A10969" t="s">
        <v>841</v>
      </c>
      <c r="B10969" t="s">
        <v>61</v>
      </c>
      <c r="C10969" s="1">
        <f>HYPERLINK("https://cao.dolgi.msk.ru/account/1011437608/", 1011437608)</f>
        <v>1011437608</v>
      </c>
      <c r="D10969">
        <v>0</v>
      </c>
    </row>
    <row r="10970" spans="1:4" hidden="1" x14ac:dyDescent="0.3">
      <c r="A10970" t="s">
        <v>841</v>
      </c>
      <c r="B10970" t="s">
        <v>62</v>
      </c>
      <c r="C10970" s="1">
        <f>HYPERLINK("https://cao.dolgi.msk.ru/account/1011437157/", 1011437157)</f>
        <v>1011437157</v>
      </c>
      <c r="D10970">
        <v>-350</v>
      </c>
    </row>
    <row r="10971" spans="1:4" hidden="1" x14ac:dyDescent="0.3">
      <c r="A10971" t="s">
        <v>841</v>
      </c>
      <c r="B10971" t="s">
        <v>63</v>
      </c>
      <c r="C10971" s="1">
        <f>HYPERLINK("https://cao.dolgi.msk.ru/account/1011437202/", 1011437202)</f>
        <v>1011437202</v>
      </c>
      <c r="D10971">
        <v>0</v>
      </c>
    </row>
    <row r="10972" spans="1:4" hidden="1" x14ac:dyDescent="0.3">
      <c r="A10972" t="s">
        <v>841</v>
      </c>
      <c r="B10972" t="s">
        <v>64</v>
      </c>
      <c r="C10972" s="1">
        <f>HYPERLINK("https://cao.dolgi.msk.ru/account/1011437624/", 1011437624)</f>
        <v>1011437624</v>
      </c>
      <c r="D10972">
        <v>0</v>
      </c>
    </row>
    <row r="10973" spans="1:4" hidden="1" x14ac:dyDescent="0.3">
      <c r="A10973" t="s">
        <v>841</v>
      </c>
      <c r="B10973" t="s">
        <v>65</v>
      </c>
      <c r="C10973" s="1">
        <f>HYPERLINK("https://cao.dolgi.msk.ru/account/1011437173/", 1011437173)</f>
        <v>1011437173</v>
      </c>
      <c r="D10973">
        <v>0</v>
      </c>
    </row>
    <row r="10974" spans="1:4" hidden="1" x14ac:dyDescent="0.3">
      <c r="A10974" t="s">
        <v>841</v>
      </c>
      <c r="B10974" t="s">
        <v>66</v>
      </c>
      <c r="C10974" s="1">
        <f>HYPERLINK("https://cao.dolgi.msk.ru/account/1011437181/", 1011437181)</f>
        <v>1011437181</v>
      </c>
      <c r="D10974">
        <v>0</v>
      </c>
    </row>
    <row r="10975" spans="1:4" hidden="1" x14ac:dyDescent="0.3">
      <c r="A10975" t="s">
        <v>841</v>
      </c>
      <c r="B10975" t="s">
        <v>67</v>
      </c>
      <c r="C10975" s="1">
        <f>HYPERLINK("https://cao.dolgi.msk.ru/account/1011437587/", 1011437587)</f>
        <v>1011437587</v>
      </c>
      <c r="D10975">
        <v>-5819.14</v>
      </c>
    </row>
    <row r="10976" spans="1:4" hidden="1" x14ac:dyDescent="0.3">
      <c r="A10976" t="s">
        <v>841</v>
      </c>
      <c r="B10976" t="s">
        <v>68</v>
      </c>
      <c r="C10976" s="1">
        <f>HYPERLINK("https://cao.dolgi.msk.ru/account/1011437771/", 1011437771)</f>
        <v>1011437771</v>
      </c>
      <c r="D10976">
        <v>0</v>
      </c>
    </row>
    <row r="10977" spans="1:4" hidden="1" x14ac:dyDescent="0.3">
      <c r="A10977" t="s">
        <v>841</v>
      </c>
      <c r="B10977" t="s">
        <v>69</v>
      </c>
      <c r="C10977" s="1">
        <f>HYPERLINK("https://cao.dolgi.msk.ru/account/1011437632/", 1011437632)</f>
        <v>1011437632</v>
      </c>
      <c r="D10977">
        <v>0</v>
      </c>
    </row>
    <row r="10978" spans="1:4" hidden="1" x14ac:dyDescent="0.3">
      <c r="A10978" t="s">
        <v>841</v>
      </c>
      <c r="B10978" t="s">
        <v>70</v>
      </c>
      <c r="C10978" s="1">
        <f>HYPERLINK("https://cao.dolgi.msk.ru/account/1011437229/", 1011437229)</f>
        <v>1011437229</v>
      </c>
      <c r="D10978">
        <v>0</v>
      </c>
    </row>
    <row r="10979" spans="1:4" hidden="1" x14ac:dyDescent="0.3">
      <c r="A10979" t="s">
        <v>841</v>
      </c>
      <c r="B10979" t="s">
        <v>259</v>
      </c>
      <c r="C10979" s="1">
        <f>HYPERLINK("https://cao.dolgi.msk.ru/account/1011437798/", 1011437798)</f>
        <v>1011437798</v>
      </c>
      <c r="D10979">
        <v>0</v>
      </c>
    </row>
    <row r="10980" spans="1:4" hidden="1" x14ac:dyDescent="0.3">
      <c r="A10980" t="s">
        <v>841</v>
      </c>
      <c r="B10980" t="s">
        <v>100</v>
      </c>
      <c r="C10980" s="1">
        <f>HYPERLINK("https://cao.dolgi.msk.ru/account/1011437296/", 1011437296)</f>
        <v>1011437296</v>
      </c>
      <c r="D10980">
        <v>0</v>
      </c>
    </row>
    <row r="10981" spans="1:4" hidden="1" x14ac:dyDescent="0.3">
      <c r="A10981" t="s">
        <v>841</v>
      </c>
      <c r="B10981" t="s">
        <v>72</v>
      </c>
      <c r="C10981" s="1">
        <f>HYPERLINK("https://cao.dolgi.msk.ru/account/1011437501/", 1011437501)</f>
        <v>1011437501</v>
      </c>
      <c r="D10981">
        <v>-3077.83</v>
      </c>
    </row>
    <row r="10982" spans="1:4" hidden="1" x14ac:dyDescent="0.3">
      <c r="A10982" t="s">
        <v>841</v>
      </c>
      <c r="B10982" t="s">
        <v>73</v>
      </c>
      <c r="C10982" s="1">
        <f>HYPERLINK("https://cao.dolgi.msk.ru/account/1011437499/", 1011437499)</f>
        <v>1011437499</v>
      </c>
      <c r="D10982">
        <v>0</v>
      </c>
    </row>
    <row r="10983" spans="1:4" hidden="1" x14ac:dyDescent="0.3">
      <c r="A10983" t="s">
        <v>842</v>
      </c>
      <c r="B10983" t="s">
        <v>35</v>
      </c>
      <c r="C10983" s="1">
        <f>HYPERLINK("https://cao.dolgi.msk.ru/account/1011381325/", 1011381325)</f>
        <v>1011381325</v>
      </c>
      <c r="D10983">
        <v>-6240.95</v>
      </c>
    </row>
    <row r="10984" spans="1:4" hidden="1" x14ac:dyDescent="0.3">
      <c r="A10984" t="s">
        <v>842</v>
      </c>
      <c r="B10984" t="s">
        <v>739</v>
      </c>
      <c r="C10984" s="1">
        <f>HYPERLINK("https://cao.dolgi.msk.ru/account/1011381333/", 1011381333)</f>
        <v>1011381333</v>
      </c>
      <c r="D10984">
        <v>0</v>
      </c>
    </row>
    <row r="10985" spans="1:4" hidden="1" x14ac:dyDescent="0.3">
      <c r="A10985" t="s">
        <v>842</v>
      </c>
      <c r="B10985" t="s">
        <v>5</v>
      </c>
      <c r="C10985" s="1">
        <f>HYPERLINK("https://cao.dolgi.msk.ru/account/1011381341/", 1011381341)</f>
        <v>1011381341</v>
      </c>
      <c r="D10985">
        <v>0</v>
      </c>
    </row>
    <row r="10986" spans="1:4" hidden="1" x14ac:dyDescent="0.3">
      <c r="A10986" t="s">
        <v>842</v>
      </c>
      <c r="B10986" t="s">
        <v>7</v>
      </c>
      <c r="C10986" s="1">
        <f>HYPERLINK("https://cao.dolgi.msk.ru/account/1011381106/", 1011381106)</f>
        <v>1011381106</v>
      </c>
      <c r="D10986">
        <v>0</v>
      </c>
    </row>
    <row r="10987" spans="1:4" hidden="1" x14ac:dyDescent="0.3">
      <c r="A10987" t="s">
        <v>842</v>
      </c>
      <c r="B10987" t="s">
        <v>7</v>
      </c>
      <c r="C10987" s="1">
        <f>HYPERLINK("https://cao.dolgi.msk.ru/account/1011381122/", 1011381122)</f>
        <v>1011381122</v>
      </c>
      <c r="D10987">
        <v>0</v>
      </c>
    </row>
    <row r="10988" spans="1:4" hidden="1" x14ac:dyDescent="0.3">
      <c r="A10988" t="s">
        <v>842</v>
      </c>
      <c r="B10988" t="s">
        <v>7</v>
      </c>
      <c r="C10988" s="1">
        <f>HYPERLINK("https://cao.dolgi.msk.ru/account/1011381253/", 1011381253)</f>
        <v>1011381253</v>
      </c>
      <c r="D10988">
        <v>0</v>
      </c>
    </row>
    <row r="10989" spans="1:4" hidden="1" x14ac:dyDescent="0.3">
      <c r="A10989" t="s">
        <v>842</v>
      </c>
      <c r="B10989" t="s">
        <v>7</v>
      </c>
      <c r="C10989" s="1">
        <f>HYPERLINK("https://cao.dolgi.msk.ru/account/1011381368/", 1011381368)</f>
        <v>1011381368</v>
      </c>
      <c r="D10989">
        <v>0</v>
      </c>
    </row>
    <row r="10990" spans="1:4" hidden="1" x14ac:dyDescent="0.3">
      <c r="A10990" t="s">
        <v>842</v>
      </c>
      <c r="B10990" t="s">
        <v>8</v>
      </c>
      <c r="C10990" s="1">
        <f>HYPERLINK("https://cao.dolgi.msk.ru/account/1011381317/", 1011381317)</f>
        <v>1011381317</v>
      </c>
      <c r="D10990">
        <v>0</v>
      </c>
    </row>
    <row r="10991" spans="1:4" x14ac:dyDescent="0.3">
      <c r="A10991" t="s">
        <v>842</v>
      </c>
      <c r="B10991" t="s">
        <v>31</v>
      </c>
      <c r="C10991" s="1">
        <f>HYPERLINK("https://cao.dolgi.msk.ru/account/1011381157/", 1011381157)</f>
        <v>1011381157</v>
      </c>
      <c r="D10991">
        <v>113503.12</v>
      </c>
    </row>
    <row r="10992" spans="1:4" hidden="1" x14ac:dyDescent="0.3">
      <c r="A10992" t="s">
        <v>842</v>
      </c>
      <c r="B10992" t="s">
        <v>31</v>
      </c>
      <c r="C10992" s="1">
        <f>HYPERLINK("https://cao.dolgi.msk.ru/account/1011381173/", 1011381173)</f>
        <v>1011381173</v>
      </c>
      <c r="D10992">
        <v>0</v>
      </c>
    </row>
    <row r="10993" spans="1:4" hidden="1" x14ac:dyDescent="0.3">
      <c r="A10993" t="s">
        <v>842</v>
      </c>
      <c r="B10993" t="s">
        <v>31</v>
      </c>
      <c r="C10993" s="1">
        <f>HYPERLINK("https://cao.dolgi.msk.ru/account/1011381229/", 1011381229)</f>
        <v>1011381229</v>
      </c>
      <c r="D10993">
        <v>-5.0599999999999996</v>
      </c>
    </row>
    <row r="10994" spans="1:4" hidden="1" x14ac:dyDescent="0.3">
      <c r="A10994" t="s">
        <v>842</v>
      </c>
      <c r="B10994" t="s">
        <v>31</v>
      </c>
      <c r="C10994" s="1">
        <f>HYPERLINK("https://cao.dolgi.msk.ru/account/1011515135/", 1011515135)</f>
        <v>1011515135</v>
      </c>
      <c r="D10994">
        <v>0</v>
      </c>
    </row>
    <row r="10995" spans="1:4" hidden="1" x14ac:dyDescent="0.3">
      <c r="A10995" t="s">
        <v>842</v>
      </c>
      <c r="B10995" t="s">
        <v>11</v>
      </c>
      <c r="C10995" s="1">
        <f>HYPERLINK("https://cao.dolgi.msk.ru/account/1011381181/", 1011381181)</f>
        <v>1011381181</v>
      </c>
      <c r="D10995">
        <v>0</v>
      </c>
    </row>
    <row r="10996" spans="1:4" x14ac:dyDescent="0.3">
      <c r="A10996" t="s">
        <v>842</v>
      </c>
      <c r="B10996" t="s">
        <v>11</v>
      </c>
      <c r="C10996" s="1">
        <f>HYPERLINK("https://cao.dolgi.msk.ru/account/1011534133/", 1011534133)</f>
        <v>1011534133</v>
      </c>
      <c r="D10996">
        <v>5243.24</v>
      </c>
    </row>
    <row r="10997" spans="1:4" x14ac:dyDescent="0.3">
      <c r="A10997" t="s">
        <v>842</v>
      </c>
      <c r="B10997" t="s">
        <v>12</v>
      </c>
      <c r="C10997" s="1">
        <f>HYPERLINK("https://cao.dolgi.msk.ru/account/1011381114/", 1011381114)</f>
        <v>1011381114</v>
      </c>
      <c r="D10997">
        <v>92181.08</v>
      </c>
    </row>
    <row r="10998" spans="1:4" hidden="1" x14ac:dyDescent="0.3">
      <c r="A10998" t="s">
        <v>842</v>
      </c>
      <c r="B10998" t="s">
        <v>12</v>
      </c>
      <c r="C10998" s="1">
        <f>HYPERLINK("https://cao.dolgi.msk.ru/account/1011381149/", 1011381149)</f>
        <v>1011381149</v>
      </c>
      <c r="D10998">
        <v>0</v>
      </c>
    </row>
    <row r="10999" spans="1:4" x14ac:dyDescent="0.3">
      <c r="A10999" t="s">
        <v>842</v>
      </c>
      <c r="B10999" t="s">
        <v>12</v>
      </c>
      <c r="C10999" s="1">
        <f>HYPERLINK("https://cao.dolgi.msk.ru/account/1011506044/", 1011506044)</f>
        <v>1011506044</v>
      </c>
      <c r="D10999">
        <v>424.2</v>
      </c>
    </row>
    <row r="11000" spans="1:4" x14ac:dyDescent="0.3">
      <c r="A11000" t="s">
        <v>842</v>
      </c>
      <c r="B11000" t="s">
        <v>12</v>
      </c>
      <c r="C11000" s="1">
        <f>HYPERLINK("https://cao.dolgi.msk.ru/account/1011526512/", 1011526512)</f>
        <v>1011526512</v>
      </c>
      <c r="D11000">
        <v>7744.44</v>
      </c>
    </row>
    <row r="11001" spans="1:4" hidden="1" x14ac:dyDescent="0.3">
      <c r="A11001" t="s">
        <v>842</v>
      </c>
      <c r="B11001" t="s">
        <v>23</v>
      </c>
      <c r="C11001" s="1">
        <f>HYPERLINK("https://cao.dolgi.msk.ru/account/1011381296/", 1011381296)</f>
        <v>1011381296</v>
      </c>
      <c r="D11001">
        <v>-10509.58</v>
      </c>
    </row>
    <row r="11002" spans="1:4" hidden="1" x14ac:dyDescent="0.3">
      <c r="A11002" t="s">
        <v>842</v>
      </c>
      <c r="B11002" t="s">
        <v>13</v>
      </c>
      <c r="C11002" s="1">
        <f>HYPERLINK("https://cao.dolgi.msk.ru/account/1011381288/", 1011381288)</f>
        <v>1011381288</v>
      </c>
      <c r="D11002">
        <v>-11437.08</v>
      </c>
    </row>
    <row r="11003" spans="1:4" x14ac:dyDescent="0.3">
      <c r="A11003" t="s">
        <v>842</v>
      </c>
      <c r="B11003" t="s">
        <v>14</v>
      </c>
      <c r="C11003" s="1">
        <f>HYPERLINK("https://cao.dolgi.msk.ru/account/1011381237/", 1011381237)</f>
        <v>1011381237</v>
      </c>
      <c r="D11003">
        <v>9027.5499999999993</v>
      </c>
    </row>
    <row r="11004" spans="1:4" hidden="1" x14ac:dyDescent="0.3">
      <c r="A11004" t="s">
        <v>842</v>
      </c>
      <c r="B11004" t="s">
        <v>16</v>
      </c>
      <c r="C11004" s="1">
        <f>HYPERLINK("https://cao.dolgi.msk.ru/account/1011381202/", 1011381202)</f>
        <v>1011381202</v>
      </c>
      <c r="D11004">
        <v>0</v>
      </c>
    </row>
    <row r="11005" spans="1:4" hidden="1" x14ac:dyDescent="0.3">
      <c r="A11005" t="s">
        <v>843</v>
      </c>
      <c r="B11005" t="s">
        <v>8</v>
      </c>
      <c r="C11005" s="1">
        <f>HYPERLINK("https://cao.dolgi.msk.ru/account/1010419811/", 1010419811)</f>
        <v>1010419811</v>
      </c>
      <c r="D11005">
        <v>-1438.31</v>
      </c>
    </row>
    <row r="11006" spans="1:4" x14ac:dyDescent="0.3">
      <c r="A11006" t="s">
        <v>843</v>
      </c>
      <c r="B11006" t="s">
        <v>31</v>
      </c>
      <c r="C11006" s="1">
        <f>HYPERLINK("https://cao.dolgi.msk.ru/account/1010419838/", 1010419838)</f>
        <v>1010419838</v>
      </c>
      <c r="D11006">
        <v>9422.2900000000009</v>
      </c>
    </row>
    <row r="11007" spans="1:4" hidden="1" x14ac:dyDescent="0.3">
      <c r="A11007" t="s">
        <v>843</v>
      </c>
      <c r="B11007" t="s">
        <v>9</v>
      </c>
      <c r="C11007" s="1">
        <f>HYPERLINK("https://cao.dolgi.msk.ru/account/1011067555/", 1011067555)</f>
        <v>1011067555</v>
      </c>
      <c r="D11007">
        <v>0</v>
      </c>
    </row>
    <row r="11008" spans="1:4" hidden="1" x14ac:dyDescent="0.3">
      <c r="A11008" t="s">
        <v>843</v>
      </c>
      <c r="B11008" t="s">
        <v>11</v>
      </c>
      <c r="C11008" s="1">
        <f>HYPERLINK("https://cao.dolgi.msk.ru/account/1010419854/", 1010419854)</f>
        <v>1010419854</v>
      </c>
      <c r="D11008">
        <v>-125.6</v>
      </c>
    </row>
    <row r="11009" spans="1:4" hidden="1" x14ac:dyDescent="0.3">
      <c r="A11009" t="s">
        <v>843</v>
      </c>
      <c r="B11009" t="s">
        <v>12</v>
      </c>
      <c r="C11009" s="1">
        <f>HYPERLINK("https://cao.dolgi.msk.ru/account/1010841246/", 1010841246)</f>
        <v>1010841246</v>
      </c>
      <c r="D11009">
        <v>-177.28</v>
      </c>
    </row>
    <row r="11010" spans="1:4" hidden="1" x14ac:dyDescent="0.3">
      <c r="A11010" t="s">
        <v>843</v>
      </c>
      <c r="B11010" t="s">
        <v>23</v>
      </c>
      <c r="C11010" s="1">
        <f>HYPERLINK("https://cao.dolgi.msk.ru/account/1010419862/", 1010419862)</f>
        <v>1010419862</v>
      </c>
      <c r="D11010">
        <v>-128</v>
      </c>
    </row>
    <row r="11011" spans="1:4" x14ac:dyDescent="0.3">
      <c r="A11011" t="s">
        <v>843</v>
      </c>
      <c r="B11011" t="s">
        <v>18</v>
      </c>
      <c r="C11011" s="1">
        <f>HYPERLINK("https://cao.dolgi.msk.ru/account/1010419897/", 1010419897)</f>
        <v>1010419897</v>
      </c>
      <c r="D11011">
        <v>7437.86</v>
      </c>
    </row>
    <row r="11012" spans="1:4" hidden="1" x14ac:dyDescent="0.3">
      <c r="A11012" t="s">
        <v>843</v>
      </c>
      <c r="B11012" t="s">
        <v>19</v>
      </c>
      <c r="C11012" s="1">
        <f>HYPERLINK("https://cao.dolgi.msk.ru/account/1010419918/", 1010419918)</f>
        <v>1010419918</v>
      </c>
      <c r="D11012">
        <v>0</v>
      </c>
    </row>
    <row r="11013" spans="1:4" hidden="1" x14ac:dyDescent="0.3">
      <c r="A11013" t="s">
        <v>843</v>
      </c>
      <c r="B11013" t="s">
        <v>20</v>
      </c>
      <c r="C11013" s="1">
        <f>HYPERLINK("https://cao.dolgi.msk.ru/account/1010419934/", 1010419934)</f>
        <v>1010419934</v>
      </c>
      <c r="D11013">
        <v>0</v>
      </c>
    </row>
    <row r="11014" spans="1:4" x14ac:dyDescent="0.3">
      <c r="A11014" t="s">
        <v>843</v>
      </c>
      <c r="B11014" t="s">
        <v>21</v>
      </c>
      <c r="C11014" s="1">
        <f>HYPERLINK("https://cao.dolgi.msk.ru/account/1011534141/", 1011534141)</f>
        <v>1011534141</v>
      </c>
      <c r="D11014">
        <v>5049.0200000000004</v>
      </c>
    </row>
    <row r="11015" spans="1:4" hidden="1" x14ac:dyDescent="0.3">
      <c r="A11015" t="s">
        <v>843</v>
      </c>
      <c r="B11015" t="s">
        <v>22</v>
      </c>
      <c r="C11015" s="1">
        <f>HYPERLINK("https://cao.dolgi.msk.ru/account/1011130024/", 1011130024)</f>
        <v>1011130024</v>
      </c>
      <c r="D11015">
        <v>-544.91</v>
      </c>
    </row>
    <row r="11016" spans="1:4" hidden="1" x14ac:dyDescent="0.3">
      <c r="A11016" t="s">
        <v>843</v>
      </c>
      <c r="B11016" t="s">
        <v>24</v>
      </c>
      <c r="C11016" s="1">
        <f>HYPERLINK("https://cao.dolgi.msk.ru/account/1010419977/", 1010419977)</f>
        <v>1010419977</v>
      </c>
      <c r="D11016">
        <v>-3937.54</v>
      </c>
    </row>
    <row r="11017" spans="1:4" hidden="1" x14ac:dyDescent="0.3">
      <c r="A11017" t="s">
        <v>843</v>
      </c>
      <c r="B11017" t="s">
        <v>25</v>
      </c>
      <c r="C11017" s="1">
        <f>HYPERLINK("https://cao.dolgi.msk.ru/account/1010419985/", 1010419985)</f>
        <v>1010419985</v>
      </c>
      <c r="D11017">
        <v>-0.01</v>
      </c>
    </row>
    <row r="11018" spans="1:4" x14ac:dyDescent="0.3">
      <c r="A11018" t="s">
        <v>843</v>
      </c>
      <c r="B11018" t="s">
        <v>26</v>
      </c>
      <c r="C11018" s="1">
        <f>HYPERLINK("https://cao.dolgi.msk.ru/account/1010420003/", 1010420003)</f>
        <v>1010420003</v>
      </c>
      <c r="D11018">
        <v>88686.07</v>
      </c>
    </row>
    <row r="11019" spans="1:4" x14ac:dyDescent="0.3">
      <c r="A11019" t="s">
        <v>843</v>
      </c>
      <c r="B11019" t="s">
        <v>27</v>
      </c>
      <c r="C11019" s="1">
        <f>HYPERLINK("https://cao.dolgi.msk.ru/account/1011534168/", 1011534168)</f>
        <v>1011534168</v>
      </c>
      <c r="D11019">
        <v>3172.16</v>
      </c>
    </row>
    <row r="11020" spans="1:4" x14ac:dyDescent="0.3">
      <c r="A11020" t="s">
        <v>843</v>
      </c>
      <c r="B11020" t="s">
        <v>29</v>
      </c>
      <c r="C11020" s="1">
        <f>HYPERLINK("https://cao.dolgi.msk.ru/account/1011530378/", 1011530378)</f>
        <v>1011530378</v>
      </c>
      <c r="D11020">
        <v>8620.18</v>
      </c>
    </row>
    <row r="11021" spans="1:4" hidden="1" x14ac:dyDescent="0.3">
      <c r="A11021" t="s">
        <v>844</v>
      </c>
      <c r="B11021" t="s">
        <v>6</v>
      </c>
      <c r="C11021" s="1">
        <f>HYPERLINK("https://cao.dolgi.msk.ru/account/1011335548/", 1011335548)</f>
        <v>1011335548</v>
      </c>
      <c r="D11021">
        <v>-18734.32</v>
      </c>
    </row>
    <row r="11022" spans="1:4" hidden="1" x14ac:dyDescent="0.3">
      <c r="A11022" t="s">
        <v>844</v>
      </c>
      <c r="B11022" t="s">
        <v>28</v>
      </c>
      <c r="C11022" s="1">
        <f>HYPERLINK("https://cao.dolgi.msk.ru/account/1011335601/", 1011335601)</f>
        <v>1011335601</v>
      </c>
      <c r="D11022">
        <v>0</v>
      </c>
    </row>
    <row r="11023" spans="1:4" hidden="1" x14ac:dyDescent="0.3">
      <c r="A11023" t="s">
        <v>844</v>
      </c>
      <c r="B11023" t="s">
        <v>35</v>
      </c>
      <c r="C11023" s="1">
        <f>HYPERLINK("https://cao.dolgi.msk.ru/account/1011335644/", 1011335644)</f>
        <v>1011335644</v>
      </c>
      <c r="D11023">
        <v>0</v>
      </c>
    </row>
    <row r="11024" spans="1:4" hidden="1" x14ac:dyDescent="0.3">
      <c r="A11024" t="s">
        <v>844</v>
      </c>
      <c r="B11024" t="s">
        <v>5</v>
      </c>
      <c r="C11024" s="1">
        <f>HYPERLINK("https://cao.dolgi.msk.ru/account/1011335302/", 1011335302)</f>
        <v>1011335302</v>
      </c>
      <c r="D11024">
        <v>-14209.87</v>
      </c>
    </row>
    <row r="11025" spans="1:4" hidden="1" x14ac:dyDescent="0.3">
      <c r="A11025" t="s">
        <v>844</v>
      </c>
      <c r="B11025" t="s">
        <v>7</v>
      </c>
      <c r="C11025" s="1">
        <f>HYPERLINK("https://cao.dolgi.msk.ru/account/1011335433/", 1011335433)</f>
        <v>1011335433</v>
      </c>
      <c r="D11025">
        <v>0</v>
      </c>
    </row>
    <row r="11026" spans="1:4" hidden="1" x14ac:dyDescent="0.3">
      <c r="A11026" t="s">
        <v>844</v>
      </c>
      <c r="B11026" t="s">
        <v>8</v>
      </c>
      <c r="C11026" s="1">
        <f>HYPERLINK("https://cao.dolgi.msk.ru/account/1011335636/", 1011335636)</f>
        <v>1011335636</v>
      </c>
      <c r="D11026">
        <v>-6787.78</v>
      </c>
    </row>
    <row r="11027" spans="1:4" hidden="1" x14ac:dyDescent="0.3">
      <c r="A11027" t="s">
        <v>844</v>
      </c>
      <c r="B11027" t="s">
        <v>31</v>
      </c>
      <c r="C11027" s="1">
        <f>HYPERLINK("https://cao.dolgi.msk.ru/account/1011335628/", 1011335628)</f>
        <v>1011335628</v>
      </c>
      <c r="D11027">
        <v>-8304.4500000000007</v>
      </c>
    </row>
    <row r="11028" spans="1:4" hidden="1" x14ac:dyDescent="0.3">
      <c r="A11028" t="s">
        <v>844</v>
      </c>
      <c r="B11028" t="s">
        <v>9</v>
      </c>
      <c r="C11028" s="1">
        <f>HYPERLINK("https://cao.dolgi.msk.ru/account/1011335724/", 1011335724)</f>
        <v>1011335724</v>
      </c>
      <c r="D11028">
        <v>-6825.65</v>
      </c>
    </row>
    <row r="11029" spans="1:4" hidden="1" x14ac:dyDescent="0.3">
      <c r="A11029" t="s">
        <v>844</v>
      </c>
      <c r="B11029" t="s">
        <v>10</v>
      </c>
      <c r="C11029" s="1">
        <f>HYPERLINK("https://cao.dolgi.msk.ru/account/1011335564/", 1011335564)</f>
        <v>1011335564</v>
      </c>
      <c r="D11029">
        <v>-53.8</v>
      </c>
    </row>
    <row r="11030" spans="1:4" hidden="1" x14ac:dyDescent="0.3">
      <c r="A11030" t="s">
        <v>844</v>
      </c>
      <c r="B11030" t="s">
        <v>11</v>
      </c>
      <c r="C11030" s="1">
        <f>HYPERLINK("https://cao.dolgi.msk.ru/account/1011335556/", 1011335556)</f>
        <v>1011335556</v>
      </c>
      <c r="D11030">
        <v>0</v>
      </c>
    </row>
    <row r="11031" spans="1:4" hidden="1" x14ac:dyDescent="0.3">
      <c r="A11031" t="s">
        <v>844</v>
      </c>
      <c r="B11031" t="s">
        <v>12</v>
      </c>
      <c r="C11031" s="1">
        <f>HYPERLINK("https://cao.dolgi.msk.ru/account/1011335599/", 1011335599)</f>
        <v>1011335599</v>
      </c>
      <c r="D11031">
        <v>0</v>
      </c>
    </row>
    <row r="11032" spans="1:4" hidden="1" x14ac:dyDescent="0.3">
      <c r="A11032" t="s">
        <v>844</v>
      </c>
      <c r="B11032" t="s">
        <v>23</v>
      </c>
      <c r="C11032" s="1">
        <f>HYPERLINK("https://cao.dolgi.msk.ru/account/1011335345/", 1011335345)</f>
        <v>1011335345</v>
      </c>
      <c r="D11032">
        <v>0</v>
      </c>
    </row>
    <row r="11033" spans="1:4" x14ac:dyDescent="0.3">
      <c r="A11033" t="s">
        <v>844</v>
      </c>
      <c r="B11033" t="s">
        <v>23</v>
      </c>
      <c r="C11033" s="1">
        <f>HYPERLINK("https://cao.dolgi.msk.ru/account/1011335695/", 1011335695)</f>
        <v>1011335695</v>
      </c>
      <c r="D11033">
        <v>19287.52</v>
      </c>
    </row>
    <row r="11034" spans="1:4" hidden="1" x14ac:dyDescent="0.3">
      <c r="A11034" t="s">
        <v>844</v>
      </c>
      <c r="B11034" t="s">
        <v>13</v>
      </c>
      <c r="C11034" s="1">
        <f>HYPERLINK("https://cao.dolgi.msk.ru/account/1011335337/", 1011335337)</f>
        <v>1011335337</v>
      </c>
      <c r="D11034">
        <v>0</v>
      </c>
    </row>
    <row r="11035" spans="1:4" hidden="1" x14ac:dyDescent="0.3">
      <c r="A11035" t="s">
        <v>844</v>
      </c>
      <c r="B11035" t="s">
        <v>14</v>
      </c>
      <c r="C11035" s="1">
        <f>HYPERLINK("https://cao.dolgi.msk.ru/account/1011505906/", 1011505906)</f>
        <v>1011505906</v>
      </c>
      <c r="D11035">
        <v>-6388.91</v>
      </c>
    </row>
    <row r="11036" spans="1:4" hidden="1" x14ac:dyDescent="0.3">
      <c r="A11036" t="s">
        <v>844</v>
      </c>
      <c r="B11036" t="s">
        <v>14</v>
      </c>
      <c r="C11036" s="1">
        <f>HYPERLINK("https://cao.dolgi.msk.ru/account/1011505914/", 1011505914)</f>
        <v>1011505914</v>
      </c>
      <c r="D11036">
        <v>-2448.85</v>
      </c>
    </row>
    <row r="11037" spans="1:4" hidden="1" x14ac:dyDescent="0.3">
      <c r="A11037" t="s">
        <v>844</v>
      </c>
      <c r="B11037" t="s">
        <v>16</v>
      </c>
      <c r="C11037" s="1">
        <f>HYPERLINK("https://cao.dolgi.msk.ru/account/1011335492/", 1011335492)</f>
        <v>1011335492</v>
      </c>
      <c r="D11037">
        <v>0</v>
      </c>
    </row>
    <row r="11038" spans="1:4" hidden="1" x14ac:dyDescent="0.3">
      <c r="A11038" t="s">
        <v>844</v>
      </c>
      <c r="B11038" t="s">
        <v>17</v>
      </c>
      <c r="C11038" s="1">
        <f>HYPERLINK("https://cao.dolgi.msk.ru/account/1011335732/", 1011335732)</f>
        <v>1011335732</v>
      </c>
      <c r="D11038">
        <v>0</v>
      </c>
    </row>
    <row r="11039" spans="1:4" hidden="1" x14ac:dyDescent="0.3">
      <c r="A11039" t="s">
        <v>844</v>
      </c>
      <c r="B11039" t="s">
        <v>18</v>
      </c>
      <c r="C11039" s="1">
        <f>HYPERLINK("https://cao.dolgi.msk.ru/account/1011335505/", 1011335505)</f>
        <v>1011335505</v>
      </c>
      <c r="D11039">
        <v>0</v>
      </c>
    </row>
    <row r="11040" spans="1:4" hidden="1" x14ac:dyDescent="0.3">
      <c r="A11040" t="s">
        <v>844</v>
      </c>
      <c r="B11040" t="s">
        <v>19</v>
      </c>
      <c r="C11040" s="1">
        <f>HYPERLINK("https://cao.dolgi.msk.ru/account/1011335652/", 1011335652)</f>
        <v>1011335652</v>
      </c>
      <c r="D11040">
        <v>0</v>
      </c>
    </row>
    <row r="11041" spans="1:4" hidden="1" x14ac:dyDescent="0.3">
      <c r="A11041" t="s">
        <v>844</v>
      </c>
      <c r="B11041" t="s">
        <v>20</v>
      </c>
      <c r="C11041" s="1">
        <f>HYPERLINK("https://cao.dolgi.msk.ru/account/1011335484/", 1011335484)</f>
        <v>1011335484</v>
      </c>
      <c r="D11041">
        <v>0</v>
      </c>
    </row>
    <row r="11042" spans="1:4" x14ac:dyDescent="0.3">
      <c r="A11042" t="s">
        <v>844</v>
      </c>
      <c r="B11042" t="s">
        <v>21</v>
      </c>
      <c r="C11042" s="1">
        <f>HYPERLINK("https://cao.dolgi.msk.ru/account/1011335409/", 1011335409)</f>
        <v>1011335409</v>
      </c>
      <c r="D11042">
        <v>8317.4599999999991</v>
      </c>
    </row>
    <row r="11043" spans="1:4" x14ac:dyDescent="0.3">
      <c r="A11043" t="s">
        <v>844</v>
      </c>
      <c r="B11043" t="s">
        <v>22</v>
      </c>
      <c r="C11043" s="1">
        <f>HYPERLINK("https://cao.dolgi.msk.ru/account/1011335572/", 1011335572)</f>
        <v>1011335572</v>
      </c>
      <c r="D11043">
        <v>48554.58</v>
      </c>
    </row>
    <row r="11044" spans="1:4" hidden="1" x14ac:dyDescent="0.3">
      <c r="A11044" t="s">
        <v>844</v>
      </c>
      <c r="B11044" t="s">
        <v>24</v>
      </c>
      <c r="C11044" s="1">
        <f>HYPERLINK("https://cao.dolgi.msk.ru/account/1011335468/", 1011335468)</f>
        <v>1011335468</v>
      </c>
      <c r="D11044">
        <v>-9011.82</v>
      </c>
    </row>
    <row r="11045" spans="1:4" hidden="1" x14ac:dyDescent="0.3">
      <c r="A11045" t="s">
        <v>844</v>
      </c>
      <c r="B11045" t="s">
        <v>25</v>
      </c>
      <c r="C11045" s="1">
        <f>HYPERLINK("https://cao.dolgi.msk.ru/account/1011335476/", 1011335476)</f>
        <v>1011335476</v>
      </c>
      <c r="D11045">
        <v>0</v>
      </c>
    </row>
    <row r="11046" spans="1:4" hidden="1" x14ac:dyDescent="0.3">
      <c r="A11046" t="s">
        <v>844</v>
      </c>
      <c r="B11046" t="s">
        <v>26</v>
      </c>
      <c r="C11046" s="1">
        <f>HYPERLINK("https://cao.dolgi.msk.ru/account/1011335388/", 1011335388)</f>
        <v>1011335388</v>
      </c>
      <c r="D11046">
        <v>-309.93</v>
      </c>
    </row>
    <row r="11047" spans="1:4" x14ac:dyDescent="0.3">
      <c r="A11047" t="s">
        <v>844</v>
      </c>
      <c r="B11047" t="s">
        <v>27</v>
      </c>
      <c r="C11047" s="1">
        <f>HYPERLINK("https://cao.dolgi.msk.ru/account/1011335708/", 1011335708)</f>
        <v>1011335708</v>
      </c>
      <c r="D11047">
        <v>9083.58</v>
      </c>
    </row>
    <row r="11048" spans="1:4" hidden="1" x14ac:dyDescent="0.3">
      <c r="A11048" t="s">
        <v>844</v>
      </c>
      <c r="B11048" t="s">
        <v>29</v>
      </c>
      <c r="C11048" s="1">
        <f>HYPERLINK("https://cao.dolgi.msk.ru/account/1011335425/", 1011335425)</f>
        <v>1011335425</v>
      </c>
      <c r="D11048">
        <v>0</v>
      </c>
    </row>
    <row r="11049" spans="1:4" x14ac:dyDescent="0.3">
      <c r="A11049" t="s">
        <v>844</v>
      </c>
      <c r="B11049" t="s">
        <v>38</v>
      </c>
      <c r="C11049" s="1">
        <f>HYPERLINK("https://cao.dolgi.msk.ru/account/1011335759/", 1011335759)</f>
        <v>1011335759</v>
      </c>
      <c r="D11049">
        <v>6937.3</v>
      </c>
    </row>
    <row r="11050" spans="1:4" hidden="1" x14ac:dyDescent="0.3">
      <c r="A11050" t="s">
        <v>844</v>
      </c>
      <c r="B11050" t="s">
        <v>39</v>
      </c>
      <c r="C11050" s="1">
        <f>HYPERLINK("https://cao.dolgi.msk.ru/account/1011335396/", 1011335396)</f>
        <v>1011335396</v>
      </c>
      <c r="D11050">
        <v>0</v>
      </c>
    </row>
    <row r="11051" spans="1:4" hidden="1" x14ac:dyDescent="0.3">
      <c r="A11051" t="s">
        <v>844</v>
      </c>
      <c r="B11051" t="s">
        <v>40</v>
      </c>
      <c r="C11051" s="1">
        <f>HYPERLINK("https://cao.dolgi.msk.ru/account/1011335353/", 1011335353)</f>
        <v>1011335353</v>
      </c>
      <c r="D11051">
        <v>0</v>
      </c>
    </row>
    <row r="11052" spans="1:4" hidden="1" x14ac:dyDescent="0.3">
      <c r="A11052" t="s">
        <v>844</v>
      </c>
      <c r="B11052" t="s">
        <v>41</v>
      </c>
      <c r="C11052" s="1">
        <f>HYPERLINK("https://cao.dolgi.msk.ru/account/1011335513/", 1011335513)</f>
        <v>1011335513</v>
      </c>
      <c r="D11052">
        <v>0</v>
      </c>
    </row>
    <row r="11053" spans="1:4" hidden="1" x14ac:dyDescent="0.3">
      <c r="A11053" t="s">
        <v>844</v>
      </c>
      <c r="B11053" t="s">
        <v>51</v>
      </c>
      <c r="C11053" s="1">
        <f>HYPERLINK("https://cao.dolgi.msk.ru/account/1011335441/", 1011335441)</f>
        <v>1011335441</v>
      </c>
      <c r="D11053">
        <v>0</v>
      </c>
    </row>
    <row r="11054" spans="1:4" hidden="1" x14ac:dyDescent="0.3">
      <c r="A11054" t="s">
        <v>844</v>
      </c>
      <c r="B11054" t="s">
        <v>52</v>
      </c>
      <c r="C11054" s="1">
        <f>HYPERLINK("https://cao.dolgi.msk.ru/account/1011335329/", 1011335329)</f>
        <v>1011335329</v>
      </c>
      <c r="D11054">
        <v>0</v>
      </c>
    </row>
    <row r="11055" spans="1:4" hidden="1" x14ac:dyDescent="0.3">
      <c r="A11055" t="s">
        <v>844</v>
      </c>
      <c r="B11055" t="s">
        <v>53</v>
      </c>
      <c r="C11055" s="1">
        <f>HYPERLINK("https://cao.dolgi.msk.ru/account/1011335417/", 1011335417)</f>
        <v>1011335417</v>
      </c>
      <c r="D11055">
        <v>0</v>
      </c>
    </row>
    <row r="11056" spans="1:4" x14ac:dyDescent="0.3">
      <c r="A11056" t="s">
        <v>844</v>
      </c>
      <c r="B11056" t="s">
        <v>54</v>
      </c>
      <c r="C11056" s="1">
        <f>HYPERLINK("https://cao.dolgi.msk.ru/account/1011335521/", 1011335521)</f>
        <v>1011335521</v>
      </c>
      <c r="D11056">
        <v>5804.99</v>
      </c>
    </row>
    <row r="11057" spans="1:4" hidden="1" x14ac:dyDescent="0.3">
      <c r="A11057" t="s">
        <v>844</v>
      </c>
      <c r="B11057" t="s">
        <v>55</v>
      </c>
      <c r="C11057" s="1">
        <f>HYPERLINK("https://cao.dolgi.msk.ru/account/1011335687/", 1011335687)</f>
        <v>1011335687</v>
      </c>
      <c r="D11057">
        <v>0</v>
      </c>
    </row>
    <row r="11058" spans="1:4" hidden="1" x14ac:dyDescent="0.3">
      <c r="A11058" t="s">
        <v>844</v>
      </c>
      <c r="B11058" t="s">
        <v>56</v>
      </c>
      <c r="C11058" s="1">
        <f>HYPERLINK("https://cao.dolgi.msk.ru/account/1011335679/", 1011335679)</f>
        <v>1011335679</v>
      </c>
      <c r="D11058">
        <v>0</v>
      </c>
    </row>
    <row r="11059" spans="1:4" hidden="1" x14ac:dyDescent="0.3">
      <c r="A11059" t="s">
        <v>845</v>
      </c>
      <c r="B11059" t="s">
        <v>6</v>
      </c>
      <c r="C11059" s="1">
        <f>HYPERLINK("https://cao.dolgi.msk.ru/account/1011404101/", 1011404101)</f>
        <v>1011404101</v>
      </c>
      <c r="D11059">
        <v>-454.75</v>
      </c>
    </row>
    <row r="11060" spans="1:4" x14ac:dyDescent="0.3">
      <c r="A11060" t="s">
        <v>845</v>
      </c>
      <c r="B11060" t="s">
        <v>28</v>
      </c>
      <c r="C11060" s="1">
        <f>HYPERLINK("https://cao.dolgi.msk.ru/account/1011404128/", 1011404128)</f>
        <v>1011404128</v>
      </c>
      <c r="D11060">
        <v>39871.620000000003</v>
      </c>
    </row>
    <row r="11061" spans="1:4" hidden="1" x14ac:dyDescent="0.3">
      <c r="A11061" t="s">
        <v>845</v>
      </c>
      <c r="B11061" t="s">
        <v>35</v>
      </c>
      <c r="C11061" s="1">
        <f>HYPERLINK("https://cao.dolgi.msk.ru/account/1011404291/", 1011404291)</f>
        <v>1011404291</v>
      </c>
      <c r="D11061">
        <v>0</v>
      </c>
    </row>
    <row r="11062" spans="1:4" hidden="1" x14ac:dyDescent="0.3">
      <c r="A11062" t="s">
        <v>845</v>
      </c>
      <c r="B11062" t="s">
        <v>5</v>
      </c>
      <c r="C11062" s="1">
        <f>HYPERLINK("https://cao.dolgi.msk.ru/account/1011404486/", 1011404486)</f>
        <v>1011404486</v>
      </c>
      <c r="D11062">
        <v>-8399.27</v>
      </c>
    </row>
    <row r="11063" spans="1:4" hidden="1" x14ac:dyDescent="0.3">
      <c r="A11063" t="s">
        <v>845</v>
      </c>
      <c r="B11063" t="s">
        <v>7</v>
      </c>
      <c r="C11063" s="1">
        <f>HYPERLINK("https://cao.dolgi.msk.ru/account/1011404099/", 1011404099)</f>
        <v>1011404099</v>
      </c>
      <c r="D11063">
        <v>0</v>
      </c>
    </row>
    <row r="11064" spans="1:4" hidden="1" x14ac:dyDescent="0.3">
      <c r="A11064" t="s">
        <v>845</v>
      </c>
      <c r="B11064" t="s">
        <v>8</v>
      </c>
      <c r="C11064" s="1">
        <f>HYPERLINK("https://cao.dolgi.msk.ru/account/1011404523/", 1011404523)</f>
        <v>1011404523</v>
      </c>
      <c r="D11064">
        <v>-2473.48</v>
      </c>
    </row>
    <row r="11065" spans="1:4" hidden="1" x14ac:dyDescent="0.3">
      <c r="A11065" t="s">
        <v>845</v>
      </c>
      <c r="B11065" t="s">
        <v>31</v>
      </c>
      <c r="C11065" s="1">
        <f>HYPERLINK("https://cao.dolgi.msk.ru/account/1011404769/", 1011404769)</f>
        <v>1011404769</v>
      </c>
      <c r="D11065">
        <v>0</v>
      </c>
    </row>
    <row r="11066" spans="1:4" x14ac:dyDescent="0.3">
      <c r="A11066" t="s">
        <v>845</v>
      </c>
      <c r="B11066" t="s">
        <v>9</v>
      </c>
      <c r="C11066" s="1">
        <f>HYPERLINK("https://cao.dolgi.msk.ru/account/1011404777/", 1011404777)</f>
        <v>1011404777</v>
      </c>
      <c r="D11066">
        <v>4191</v>
      </c>
    </row>
    <row r="11067" spans="1:4" x14ac:dyDescent="0.3">
      <c r="A11067" t="s">
        <v>845</v>
      </c>
      <c r="B11067" t="s">
        <v>10</v>
      </c>
      <c r="C11067" s="1">
        <f>HYPERLINK("https://cao.dolgi.msk.ru/account/1011404558/", 1011404558)</f>
        <v>1011404558</v>
      </c>
      <c r="D11067">
        <v>44095.86</v>
      </c>
    </row>
    <row r="11068" spans="1:4" hidden="1" x14ac:dyDescent="0.3">
      <c r="A11068" t="s">
        <v>845</v>
      </c>
      <c r="B11068" t="s">
        <v>11</v>
      </c>
      <c r="C11068" s="1">
        <f>HYPERLINK("https://cao.dolgi.msk.ru/account/1011404435/", 1011404435)</f>
        <v>1011404435</v>
      </c>
      <c r="D11068">
        <v>-593.34</v>
      </c>
    </row>
    <row r="11069" spans="1:4" hidden="1" x14ac:dyDescent="0.3">
      <c r="A11069" t="s">
        <v>845</v>
      </c>
      <c r="B11069" t="s">
        <v>12</v>
      </c>
      <c r="C11069" s="1">
        <f>HYPERLINK("https://cao.dolgi.msk.ru/account/1011404857/", 1011404857)</f>
        <v>1011404857</v>
      </c>
      <c r="D11069">
        <v>-4237.78</v>
      </c>
    </row>
    <row r="11070" spans="1:4" x14ac:dyDescent="0.3">
      <c r="A11070" t="s">
        <v>845</v>
      </c>
      <c r="B11070" t="s">
        <v>23</v>
      </c>
      <c r="C11070" s="1">
        <f>HYPERLINK("https://cao.dolgi.msk.ru/account/1011404611/", 1011404611)</f>
        <v>1011404611</v>
      </c>
      <c r="D11070">
        <v>8725.7900000000009</v>
      </c>
    </row>
    <row r="11071" spans="1:4" hidden="1" x14ac:dyDescent="0.3">
      <c r="A11071" t="s">
        <v>845</v>
      </c>
      <c r="B11071" t="s">
        <v>13</v>
      </c>
      <c r="C11071" s="1">
        <f>HYPERLINK("https://cao.dolgi.msk.ru/account/1011404718/", 1011404718)</f>
        <v>1011404718</v>
      </c>
      <c r="D11071">
        <v>0</v>
      </c>
    </row>
    <row r="11072" spans="1:4" x14ac:dyDescent="0.3">
      <c r="A11072" t="s">
        <v>845</v>
      </c>
      <c r="B11072" t="s">
        <v>14</v>
      </c>
      <c r="C11072" s="1">
        <f>HYPERLINK("https://cao.dolgi.msk.ru/account/1011404371/", 1011404371)</f>
        <v>1011404371</v>
      </c>
      <c r="D11072">
        <v>124036.28</v>
      </c>
    </row>
    <row r="11073" spans="1:4" hidden="1" x14ac:dyDescent="0.3">
      <c r="A11073" t="s">
        <v>845</v>
      </c>
      <c r="B11073" t="s">
        <v>16</v>
      </c>
      <c r="C11073" s="1">
        <f>HYPERLINK("https://cao.dolgi.msk.ru/account/1011404398/", 1011404398)</f>
        <v>1011404398</v>
      </c>
      <c r="D11073">
        <v>0</v>
      </c>
    </row>
    <row r="11074" spans="1:4" hidden="1" x14ac:dyDescent="0.3">
      <c r="A11074" t="s">
        <v>845</v>
      </c>
      <c r="B11074" t="s">
        <v>17</v>
      </c>
      <c r="C11074" s="1">
        <f>HYPERLINK("https://cao.dolgi.msk.ru/account/1011404566/", 1011404566)</f>
        <v>1011404566</v>
      </c>
      <c r="D11074">
        <v>-9999.08</v>
      </c>
    </row>
    <row r="11075" spans="1:4" hidden="1" x14ac:dyDescent="0.3">
      <c r="A11075" t="s">
        <v>845</v>
      </c>
      <c r="B11075" t="s">
        <v>18</v>
      </c>
      <c r="C11075" s="1">
        <f>HYPERLINK("https://cao.dolgi.msk.ru/account/1011404531/", 1011404531)</f>
        <v>1011404531</v>
      </c>
      <c r="D11075">
        <v>-3.9</v>
      </c>
    </row>
    <row r="11076" spans="1:4" hidden="1" x14ac:dyDescent="0.3">
      <c r="A11076" t="s">
        <v>845</v>
      </c>
      <c r="B11076" t="s">
        <v>19</v>
      </c>
      <c r="C11076" s="1">
        <f>HYPERLINK("https://cao.dolgi.msk.ru/account/1011404742/", 1011404742)</f>
        <v>1011404742</v>
      </c>
      <c r="D11076">
        <v>-566.9</v>
      </c>
    </row>
    <row r="11077" spans="1:4" hidden="1" x14ac:dyDescent="0.3">
      <c r="A11077" t="s">
        <v>845</v>
      </c>
      <c r="B11077" t="s">
        <v>20</v>
      </c>
      <c r="C11077" s="1">
        <f>HYPERLINK("https://cao.dolgi.msk.ru/account/1011404806/", 1011404806)</f>
        <v>1011404806</v>
      </c>
      <c r="D11077">
        <v>-58.43</v>
      </c>
    </row>
    <row r="11078" spans="1:4" hidden="1" x14ac:dyDescent="0.3">
      <c r="A11078" t="s">
        <v>845</v>
      </c>
      <c r="B11078" t="s">
        <v>21</v>
      </c>
      <c r="C11078" s="1">
        <f>HYPERLINK("https://cao.dolgi.msk.ru/account/1011404144/", 1011404144)</f>
        <v>1011404144</v>
      </c>
      <c r="D11078">
        <v>0</v>
      </c>
    </row>
    <row r="11079" spans="1:4" x14ac:dyDescent="0.3">
      <c r="A11079" t="s">
        <v>845</v>
      </c>
      <c r="B11079" t="s">
        <v>22</v>
      </c>
      <c r="C11079" s="1">
        <f>HYPERLINK("https://cao.dolgi.msk.ru/account/1011531848/", 1011531848)</f>
        <v>1011531848</v>
      </c>
      <c r="D11079">
        <v>10381.31</v>
      </c>
    </row>
    <row r="11080" spans="1:4" hidden="1" x14ac:dyDescent="0.3">
      <c r="A11080" t="s">
        <v>845</v>
      </c>
      <c r="B11080" t="s">
        <v>24</v>
      </c>
      <c r="C11080" s="1">
        <f>HYPERLINK("https://cao.dolgi.msk.ru/account/1011404048/", 1011404048)</f>
        <v>1011404048</v>
      </c>
      <c r="D11080">
        <v>0</v>
      </c>
    </row>
    <row r="11081" spans="1:4" hidden="1" x14ac:dyDescent="0.3">
      <c r="A11081" t="s">
        <v>845</v>
      </c>
      <c r="B11081" t="s">
        <v>25</v>
      </c>
      <c r="C11081" s="1">
        <f>HYPERLINK("https://cao.dolgi.msk.ru/account/1011404515/", 1011404515)</f>
        <v>1011404515</v>
      </c>
      <c r="D11081">
        <v>-289.5</v>
      </c>
    </row>
    <row r="11082" spans="1:4" hidden="1" x14ac:dyDescent="0.3">
      <c r="A11082" t="s">
        <v>845</v>
      </c>
      <c r="B11082" t="s">
        <v>26</v>
      </c>
      <c r="C11082" s="1">
        <f>HYPERLINK("https://cao.dolgi.msk.ru/account/1011404443/", 1011404443)</f>
        <v>1011404443</v>
      </c>
      <c r="D11082">
        <v>0</v>
      </c>
    </row>
    <row r="11083" spans="1:4" hidden="1" x14ac:dyDescent="0.3">
      <c r="A11083" t="s">
        <v>845</v>
      </c>
      <c r="B11083" t="s">
        <v>27</v>
      </c>
      <c r="C11083" s="1">
        <f>HYPERLINK("https://cao.dolgi.msk.ru/account/1011404638/", 1011404638)</f>
        <v>1011404638</v>
      </c>
      <c r="D11083">
        <v>0</v>
      </c>
    </row>
    <row r="11084" spans="1:4" hidden="1" x14ac:dyDescent="0.3">
      <c r="A11084" t="s">
        <v>845</v>
      </c>
      <c r="B11084" t="s">
        <v>27</v>
      </c>
      <c r="C11084" s="1">
        <f>HYPERLINK("https://cao.dolgi.msk.ru/account/1011404689/", 1011404689)</f>
        <v>1011404689</v>
      </c>
      <c r="D11084">
        <v>0</v>
      </c>
    </row>
    <row r="11085" spans="1:4" hidden="1" x14ac:dyDescent="0.3">
      <c r="A11085" t="s">
        <v>845</v>
      </c>
      <c r="B11085" t="s">
        <v>29</v>
      </c>
      <c r="C11085" s="1">
        <f>HYPERLINK("https://cao.dolgi.msk.ru/account/1011404451/", 1011404451)</f>
        <v>1011404451</v>
      </c>
      <c r="D11085">
        <v>-1906.95</v>
      </c>
    </row>
    <row r="11086" spans="1:4" hidden="1" x14ac:dyDescent="0.3">
      <c r="A11086" t="s">
        <v>845</v>
      </c>
      <c r="B11086" t="s">
        <v>38</v>
      </c>
      <c r="C11086" s="1">
        <f>HYPERLINK("https://cao.dolgi.msk.ru/account/1011404056/", 1011404056)</f>
        <v>1011404056</v>
      </c>
      <c r="D11086">
        <v>0</v>
      </c>
    </row>
    <row r="11087" spans="1:4" x14ac:dyDescent="0.3">
      <c r="A11087" t="s">
        <v>845</v>
      </c>
      <c r="B11087" t="s">
        <v>39</v>
      </c>
      <c r="C11087" s="1">
        <f>HYPERLINK("https://cao.dolgi.msk.ru/account/1011404224/", 1011404224)</f>
        <v>1011404224</v>
      </c>
      <c r="D11087">
        <v>104512.9</v>
      </c>
    </row>
    <row r="11088" spans="1:4" hidden="1" x14ac:dyDescent="0.3">
      <c r="A11088" t="s">
        <v>845</v>
      </c>
      <c r="B11088" t="s">
        <v>39</v>
      </c>
      <c r="C11088" s="1">
        <f>HYPERLINK("https://cao.dolgi.msk.ru/account/1011404603/", 1011404603)</f>
        <v>1011404603</v>
      </c>
      <c r="D11088">
        <v>0</v>
      </c>
    </row>
    <row r="11089" spans="1:4" hidden="1" x14ac:dyDescent="0.3">
      <c r="A11089" t="s">
        <v>845</v>
      </c>
      <c r="B11089" t="s">
        <v>40</v>
      </c>
      <c r="C11089" s="1">
        <f>HYPERLINK("https://cao.dolgi.msk.ru/account/1011404662/", 1011404662)</f>
        <v>1011404662</v>
      </c>
      <c r="D11089">
        <v>0</v>
      </c>
    </row>
    <row r="11090" spans="1:4" hidden="1" x14ac:dyDescent="0.3">
      <c r="A11090" t="s">
        <v>845</v>
      </c>
      <c r="B11090" t="s">
        <v>41</v>
      </c>
      <c r="C11090" s="1">
        <f>HYPERLINK("https://cao.dolgi.msk.ru/account/1011404822/", 1011404822)</f>
        <v>1011404822</v>
      </c>
      <c r="D11090">
        <v>-9804.76</v>
      </c>
    </row>
    <row r="11091" spans="1:4" x14ac:dyDescent="0.3">
      <c r="A11091" t="s">
        <v>845</v>
      </c>
      <c r="B11091" t="s">
        <v>51</v>
      </c>
      <c r="C11091" s="1">
        <f>HYPERLINK("https://cao.dolgi.msk.ru/account/1011404646/", 1011404646)</f>
        <v>1011404646</v>
      </c>
      <c r="D11091">
        <v>15883.72</v>
      </c>
    </row>
    <row r="11092" spans="1:4" x14ac:dyDescent="0.3">
      <c r="A11092" t="s">
        <v>845</v>
      </c>
      <c r="B11092" t="s">
        <v>52</v>
      </c>
      <c r="C11092" s="1">
        <f>HYPERLINK("https://cao.dolgi.msk.ru/account/1011404072/", 1011404072)</f>
        <v>1011404072</v>
      </c>
      <c r="D11092">
        <v>8089.81</v>
      </c>
    </row>
    <row r="11093" spans="1:4" hidden="1" x14ac:dyDescent="0.3">
      <c r="A11093" t="s">
        <v>845</v>
      </c>
      <c r="B11093" t="s">
        <v>53</v>
      </c>
      <c r="C11093" s="1">
        <f>HYPERLINK("https://cao.dolgi.msk.ru/account/1011404419/", 1011404419)</f>
        <v>1011404419</v>
      </c>
      <c r="D11093">
        <v>0</v>
      </c>
    </row>
    <row r="11094" spans="1:4" hidden="1" x14ac:dyDescent="0.3">
      <c r="A11094" t="s">
        <v>845</v>
      </c>
      <c r="B11094" t="s">
        <v>54</v>
      </c>
      <c r="C11094" s="1">
        <f>HYPERLINK("https://cao.dolgi.msk.ru/account/1011404494/", 1011404494)</f>
        <v>1011404494</v>
      </c>
      <c r="D11094">
        <v>0</v>
      </c>
    </row>
    <row r="11095" spans="1:4" hidden="1" x14ac:dyDescent="0.3">
      <c r="A11095" t="s">
        <v>845</v>
      </c>
      <c r="B11095" t="s">
        <v>55</v>
      </c>
      <c r="C11095" s="1">
        <f>HYPERLINK("https://cao.dolgi.msk.ru/account/1011404312/", 1011404312)</f>
        <v>1011404312</v>
      </c>
      <c r="D11095">
        <v>-2336.4499999999998</v>
      </c>
    </row>
    <row r="11096" spans="1:4" hidden="1" x14ac:dyDescent="0.3">
      <c r="A11096" t="s">
        <v>845</v>
      </c>
      <c r="B11096" t="s">
        <v>56</v>
      </c>
      <c r="C11096" s="1">
        <f>HYPERLINK("https://cao.dolgi.msk.ru/account/1011404654/", 1011404654)</f>
        <v>1011404654</v>
      </c>
      <c r="D11096">
        <v>0</v>
      </c>
    </row>
    <row r="11097" spans="1:4" hidden="1" x14ac:dyDescent="0.3">
      <c r="A11097" t="s">
        <v>845</v>
      </c>
      <c r="B11097" t="s">
        <v>87</v>
      </c>
      <c r="C11097" s="1">
        <f>HYPERLINK("https://cao.dolgi.msk.ru/account/1011404785/", 1011404785)</f>
        <v>1011404785</v>
      </c>
      <c r="D11097">
        <v>-10468.129999999999</v>
      </c>
    </row>
    <row r="11098" spans="1:4" x14ac:dyDescent="0.3">
      <c r="A11098" t="s">
        <v>845</v>
      </c>
      <c r="B11098" t="s">
        <v>88</v>
      </c>
      <c r="C11098" s="1">
        <f>HYPERLINK("https://cao.dolgi.msk.ru/account/1011404478/", 1011404478)</f>
        <v>1011404478</v>
      </c>
      <c r="D11098">
        <v>10937.24</v>
      </c>
    </row>
    <row r="11099" spans="1:4" hidden="1" x14ac:dyDescent="0.3">
      <c r="A11099" t="s">
        <v>845</v>
      </c>
      <c r="B11099" t="s">
        <v>89</v>
      </c>
      <c r="C11099" s="1">
        <f>HYPERLINK("https://cao.dolgi.msk.ru/account/1011404195/", 1011404195)</f>
        <v>1011404195</v>
      </c>
      <c r="D11099">
        <v>0</v>
      </c>
    </row>
    <row r="11100" spans="1:4" hidden="1" x14ac:dyDescent="0.3">
      <c r="A11100" t="s">
        <v>845</v>
      </c>
      <c r="B11100" t="s">
        <v>90</v>
      </c>
      <c r="C11100" s="1">
        <f>HYPERLINK("https://cao.dolgi.msk.ru/account/1011404427/", 1011404427)</f>
        <v>1011404427</v>
      </c>
      <c r="D11100">
        <v>-113.38</v>
      </c>
    </row>
    <row r="11101" spans="1:4" x14ac:dyDescent="0.3">
      <c r="A11101" t="s">
        <v>845</v>
      </c>
      <c r="B11101" t="s">
        <v>96</v>
      </c>
      <c r="C11101" s="1">
        <f>HYPERLINK("https://cao.dolgi.msk.ru/account/1011404179/", 1011404179)</f>
        <v>1011404179</v>
      </c>
      <c r="D11101">
        <v>6634.98</v>
      </c>
    </row>
    <row r="11102" spans="1:4" x14ac:dyDescent="0.3">
      <c r="A11102" t="s">
        <v>845</v>
      </c>
      <c r="B11102" t="s">
        <v>97</v>
      </c>
      <c r="C11102" s="1">
        <f>HYPERLINK("https://cao.dolgi.msk.ru/account/1011404582/", 1011404582)</f>
        <v>1011404582</v>
      </c>
      <c r="D11102">
        <v>15202.18</v>
      </c>
    </row>
    <row r="11103" spans="1:4" hidden="1" x14ac:dyDescent="0.3">
      <c r="A11103" t="s">
        <v>845</v>
      </c>
      <c r="B11103" t="s">
        <v>98</v>
      </c>
      <c r="C11103" s="1">
        <f>HYPERLINK("https://cao.dolgi.msk.ru/account/1011404232/", 1011404232)</f>
        <v>1011404232</v>
      </c>
      <c r="D11103">
        <v>-5510.2</v>
      </c>
    </row>
    <row r="11104" spans="1:4" hidden="1" x14ac:dyDescent="0.3">
      <c r="A11104" t="s">
        <v>845</v>
      </c>
      <c r="B11104" t="s">
        <v>58</v>
      </c>
      <c r="C11104" s="1">
        <f>HYPERLINK("https://cao.dolgi.msk.ru/account/1011404697/", 1011404697)</f>
        <v>1011404697</v>
      </c>
      <c r="D11104">
        <v>-7600.15</v>
      </c>
    </row>
    <row r="11105" spans="1:4" hidden="1" x14ac:dyDescent="0.3">
      <c r="A11105" t="s">
        <v>845</v>
      </c>
      <c r="B11105" t="s">
        <v>59</v>
      </c>
      <c r="C11105" s="1">
        <f>HYPERLINK("https://cao.dolgi.msk.ru/account/1011404275/", 1011404275)</f>
        <v>1011404275</v>
      </c>
      <c r="D11105">
        <v>0</v>
      </c>
    </row>
    <row r="11106" spans="1:4" hidden="1" x14ac:dyDescent="0.3">
      <c r="A11106" t="s">
        <v>845</v>
      </c>
      <c r="B11106" t="s">
        <v>60</v>
      </c>
      <c r="C11106" s="1">
        <f>HYPERLINK("https://cao.dolgi.msk.ru/account/1011404259/", 1011404259)</f>
        <v>1011404259</v>
      </c>
      <c r="D11106">
        <v>0</v>
      </c>
    </row>
    <row r="11107" spans="1:4" hidden="1" x14ac:dyDescent="0.3">
      <c r="A11107" t="s">
        <v>845</v>
      </c>
      <c r="B11107" t="s">
        <v>61</v>
      </c>
      <c r="C11107" s="1">
        <f>HYPERLINK("https://cao.dolgi.msk.ru/account/1011404267/", 1011404267)</f>
        <v>1011404267</v>
      </c>
      <c r="D11107">
        <v>0</v>
      </c>
    </row>
    <row r="11108" spans="1:4" hidden="1" x14ac:dyDescent="0.3">
      <c r="A11108" t="s">
        <v>845</v>
      </c>
      <c r="B11108" t="s">
        <v>62</v>
      </c>
      <c r="C11108" s="1">
        <f>HYPERLINK("https://cao.dolgi.msk.ru/account/1011404726/", 1011404726)</f>
        <v>1011404726</v>
      </c>
      <c r="D11108">
        <v>-113.38</v>
      </c>
    </row>
    <row r="11109" spans="1:4" hidden="1" x14ac:dyDescent="0.3">
      <c r="A11109" t="s">
        <v>845</v>
      </c>
      <c r="B11109" t="s">
        <v>63</v>
      </c>
      <c r="C11109" s="1">
        <f>HYPERLINK("https://cao.dolgi.msk.ru/account/1011404152/", 1011404152)</f>
        <v>1011404152</v>
      </c>
      <c r="D11109">
        <v>0</v>
      </c>
    </row>
    <row r="11110" spans="1:4" hidden="1" x14ac:dyDescent="0.3">
      <c r="A11110" t="s">
        <v>845</v>
      </c>
      <c r="B11110" t="s">
        <v>63</v>
      </c>
      <c r="C11110" s="1">
        <f>HYPERLINK("https://cao.dolgi.msk.ru/account/1011404283/", 1011404283)</f>
        <v>1011404283</v>
      </c>
      <c r="D11110">
        <v>0</v>
      </c>
    </row>
    <row r="11111" spans="1:4" x14ac:dyDescent="0.3">
      <c r="A11111" t="s">
        <v>845</v>
      </c>
      <c r="B11111" t="s">
        <v>64</v>
      </c>
      <c r="C11111" s="1">
        <f>HYPERLINK("https://cao.dolgi.msk.ru/account/1011404208/", 1011404208)</f>
        <v>1011404208</v>
      </c>
      <c r="D11111">
        <v>22</v>
      </c>
    </row>
    <row r="11112" spans="1:4" hidden="1" x14ac:dyDescent="0.3">
      <c r="A11112" t="s">
        <v>845</v>
      </c>
      <c r="B11112" t="s">
        <v>65</v>
      </c>
      <c r="C11112" s="1">
        <f>HYPERLINK("https://cao.dolgi.msk.ru/account/1011404793/", 1011404793)</f>
        <v>1011404793</v>
      </c>
      <c r="D11112">
        <v>0</v>
      </c>
    </row>
    <row r="11113" spans="1:4" hidden="1" x14ac:dyDescent="0.3">
      <c r="A11113" t="s">
        <v>845</v>
      </c>
      <c r="B11113" t="s">
        <v>66</v>
      </c>
      <c r="C11113" s="1">
        <f>HYPERLINK("https://cao.dolgi.msk.ru/account/1011404363/", 1011404363)</f>
        <v>1011404363</v>
      </c>
      <c r="D11113">
        <v>-7571.32</v>
      </c>
    </row>
    <row r="11114" spans="1:4" x14ac:dyDescent="0.3">
      <c r="A11114" t="s">
        <v>845</v>
      </c>
      <c r="B11114" t="s">
        <v>67</v>
      </c>
      <c r="C11114" s="1">
        <f>HYPERLINK("https://cao.dolgi.msk.ru/account/1011404304/", 1011404304)</f>
        <v>1011404304</v>
      </c>
      <c r="D11114">
        <v>208.33</v>
      </c>
    </row>
    <row r="11115" spans="1:4" hidden="1" x14ac:dyDescent="0.3">
      <c r="A11115" t="s">
        <v>845</v>
      </c>
      <c r="B11115" t="s">
        <v>68</v>
      </c>
      <c r="C11115" s="1">
        <f>HYPERLINK("https://cao.dolgi.msk.ru/account/1011404355/", 1011404355)</f>
        <v>1011404355</v>
      </c>
      <c r="D11115">
        <v>0</v>
      </c>
    </row>
    <row r="11116" spans="1:4" hidden="1" x14ac:dyDescent="0.3">
      <c r="A11116" t="s">
        <v>845</v>
      </c>
      <c r="B11116" t="s">
        <v>69</v>
      </c>
      <c r="C11116" s="1">
        <f>HYPERLINK("https://cao.dolgi.msk.ru/account/1011404814/", 1011404814)</f>
        <v>1011404814</v>
      </c>
      <c r="D11116">
        <v>0</v>
      </c>
    </row>
    <row r="11117" spans="1:4" hidden="1" x14ac:dyDescent="0.3">
      <c r="A11117" t="s">
        <v>845</v>
      </c>
      <c r="B11117" t="s">
        <v>70</v>
      </c>
      <c r="C11117" s="1">
        <f>HYPERLINK("https://cao.dolgi.msk.ru/account/1011404339/", 1011404339)</f>
        <v>1011404339</v>
      </c>
      <c r="D11117">
        <v>0</v>
      </c>
    </row>
    <row r="11118" spans="1:4" hidden="1" x14ac:dyDescent="0.3">
      <c r="A11118" t="s">
        <v>845</v>
      </c>
      <c r="B11118" t="s">
        <v>259</v>
      </c>
      <c r="C11118" s="1">
        <f>HYPERLINK("https://cao.dolgi.msk.ru/account/1011404216/", 1011404216)</f>
        <v>1011404216</v>
      </c>
      <c r="D11118">
        <v>0</v>
      </c>
    </row>
    <row r="11119" spans="1:4" x14ac:dyDescent="0.3">
      <c r="A11119" t="s">
        <v>845</v>
      </c>
      <c r="B11119" t="s">
        <v>100</v>
      </c>
      <c r="C11119" s="1">
        <f>HYPERLINK("https://cao.dolgi.msk.ru/account/1011404734/", 1011404734)</f>
        <v>1011404734</v>
      </c>
      <c r="D11119">
        <v>28557.65</v>
      </c>
    </row>
    <row r="11120" spans="1:4" hidden="1" x14ac:dyDescent="0.3">
      <c r="A11120" t="s">
        <v>845</v>
      </c>
      <c r="B11120" t="s">
        <v>72</v>
      </c>
      <c r="C11120" s="1">
        <f>HYPERLINK("https://cao.dolgi.msk.ru/account/1011404507/", 1011404507)</f>
        <v>1011404507</v>
      </c>
      <c r="D11120">
        <v>0</v>
      </c>
    </row>
    <row r="11121" spans="1:4" hidden="1" x14ac:dyDescent="0.3">
      <c r="A11121" t="s">
        <v>845</v>
      </c>
      <c r="B11121" t="s">
        <v>73</v>
      </c>
      <c r="C11121" s="1">
        <f>HYPERLINK("https://cao.dolgi.msk.ru/account/1011404136/", 1011404136)</f>
        <v>1011404136</v>
      </c>
      <c r="D11121">
        <v>0</v>
      </c>
    </row>
    <row r="11122" spans="1:4" hidden="1" x14ac:dyDescent="0.3">
      <c r="A11122" t="s">
        <v>845</v>
      </c>
      <c r="B11122" t="s">
        <v>74</v>
      </c>
      <c r="C11122" s="1">
        <f>HYPERLINK("https://cao.dolgi.msk.ru/account/1011404187/", 1011404187)</f>
        <v>1011404187</v>
      </c>
      <c r="D11122">
        <v>0</v>
      </c>
    </row>
    <row r="11123" spans="1:4" hidden="1" x14ac:dyDescent="0.3">
      <c r="A11123" t="s">
        <v>845</v>
      </c>
      <c r="B11123" t="s">
        <v>75</v>
      </c>
      <c r="C11123" s="1">
        <f>HYPERLINK("https://cao.dolgi.msk.ru/account/1011404064/", 1011404064)</f>
        <v>1011404064</v>
      </c>
      <c r="D11123">
        <v>0</v>
      </c>
    </row>
    <row r="11124" spans="1:4" hidden="1" x14ac:dyDescent="0.3">
      <c r="A11124" t="s">
        <v>845</v>
      </c>
      <c r="B11124" t="s">
        <v>76</v>
      </c>
      <c r="C11124" s="1">
        <f>HYPERLINK("https://cao.dolgi.msk.ru/account/1011404347/", 1011404347)</f>
        <v>1011404347</v>
      </c>
      <c r="D11124">
        <v>0</v>
      </c>
    </row>
    <row r="11125" spans="1:4" hidden="1" x14ac:dyDescent="0.3">
      <c r="A11125" t="s">
        <v>845</v>
      </c>
      <c r="B11125" t="s">
        <v>77</v>
      </c>
      <c r="C11125" s="1">
        <f>HYPERLINK("https://cao.dolgi.msk.ru/account/1011404849/", 1011404849)</f>
        <v>1011404849</v>
      </c>
      <c r="D11125">
        <v>-11861.87</v>
      </c>
    </row>
    <row r="11126" spans="1:4" hidden="1" x14ac:dyDescent="0.3">
      <c r="A11126" t="s">
        <v>846</v>
      </c>
      <c r="B11126" t="s">
        <v>6</v>
      </c>
      <c r="C11126" s="1">
        <f>HYPERLINK("https://cao.dolgi.msk.ru/account/1011336161/", 1011336161)</f>
        <v>1011336161</v>
      </c>
      <c r="D11126">
        <v>0</v>
      </c>
    </row>
    <row r="11127" spans="1:4" hidden="1" x14ac:dyDescent="0.3">
      <c r="A11127" t="s">
        <v>846</v>
      </c>
      <c r="B11127" t="s">
        <v>28</v>
      </c>
      <c r="C11127" s="1">
        <f>HYPERLINK("https://cao.dolgi.msk.ru/account/1011335943/", 1011335943)</f>
        <v>1011335943</v>
      </c>
      <c r="D11127">
        <v>-25342.79</v>
      </c>
    </row>
    <row r="11128" spans="1:4" hidden="1" x14ac:dyDescent="0.3">
      <c r="A11128" t="s">
        <v>846</v>
      </c>
      <c r="B11128" t="s">
        <v>35</v>
      </c>
      <c r="C11128" s="1">
        <f>HYPERLINK("https://cao.dolgi.msk.ru/account/1011335994/", 1011335994)</f>
        <v>1011335994</v>
      </c>
      <c r="D11128">
        <v>0</v>
      </c>
    </row>
    <row r="11129" spans="1:4" hidden="1" x14ac:dyDescent="0.3">
      <c r="A11129" t="s">
        <v>846</v>
      </c>
      <c r="B11129" t="s">
        <v>35</v>
      </c>
      <c r="C11129" s="1">
        <f>HYPERLINK("https://cao.dolgi.msk.ru/account/1011336145/", 1011336145)</f>
        <v>1011336145</v>
      </c>
      <c r="D11129">
        <v>0</v>
      </c>
    </row>
    <row r="11130" spans="1:4" hidden="1" x14ac:dyDescent="0.3">
      <c r="A11130" t="s">
        <v>846</v>
      </c>
      <c r="B11130" t="s">
        <v>35</v>
      </c>
      <c r="C11130" s="1">
        <f>HYPERLINK("https://cao.dolgi.msk.ru/account/1011336313/", 1011336313)</f>
        <v>1011336313</v>
      </c>
      <c r="D11130">
        <v>-230</v>
      </c>
    </row>
    <row r="11131" spans="1:4" hidden="1" x14ac:dyDescent="0.3">
      <c r="A11131" t="s">
        <v>846</v>
      </c>
      <c r="B11131" t="s">
        <v>5</v>
      </c>
      <c r="C11131" s="1">
        <f>HYPERLINK("https://cao.dolgi.msk.ru/account/1011335863/", 1011335863)</f>
        <v>1011335863</v>
      </c>
      <c r="D11131">
        <v>0</v>
      </c>
    </row>
    <row r="11132" spans="1:4" hidden="1" x14ac:dyDescent="0.3">
      <c r="A11132" t="s">
        <v>846</v>
      </c>
      <c r="B11132" t="s">
        <v>7</v>
      </c>
      <c r="C11132" s="1">
        <f>HYPERLINK("https://cao.dolgi.msk.ru/account/1011336241/", 1011336241)</f>
        <v>1011336241</v>
      </c>
      <c r="D11132">
        <v>0</v>
      </c>
    </row>
    <row r="11133" spans="1:4" x14ac:dyDescent="0.3">
      <c r="A11133" t="s">
        <v>846</v>
      </c>
      <c r="B11133" t="s">
        <v>8</v>
      </c>
      <c r="C11133" s="1">
        <f>HYPERLINK("https://cao.dolgi.msk.ru/account/1011335986/", 1011335986)</f>
        <v>1011335986</v>
      </c>
      <c r="D11133">
        <v>4100.51</v>
      </c>
    </row>
    <row r="11134" spans="1:4" x14ac:dyDescent="0.3">
      <c r="A11134" t="s">
        <v>846</v>
      </c>
      <c r="B11134" t="s">
        <v>8</v>
      </c>
      <c r="C11134" s="1">
        <f>HYPERLINK("https://cao.dolgi.msk.ru/account/1011336081/", 1011336081)</f>
        <v>1011336081</v>
      </c>
      <c r="D11134">
        <v>37153.129999999997</v>
      </c>
    </row>
    <row r="11135" spans="1:4" hidden="1" x14ac:dyDescent="0.3">
      <c r="A11135" t="s">
        <v>846</v>
      </c>
      <c r="B11135" t="s">
        <v>31</v>
      </c>
      <c r="C11135" s="1">
        <f>HYPERLINK("https://cao.dolgi.msk.ru/account/1011336153/", 1011336153)</f>
        <v>1011336153</v>
      </c>
      <c r="D11135">
        <v>0</v>
      </c>
    </row>
    <row r="11136" spans="1:4" hidden="1" x14ac:dyDescent="0.3">
      <c r="A11136" t="s">
        <v>846</v>
      </c>
      <c r="B11136" t="s">
        <v>9</v>
      </c>
      <c r="C11136" s="1">
        <f>HYPERLINK("https://cao.dolgi.msk.ru/account/1011335839/", 1011335839)</f>
        <v>1011335839</v>
      </c>
      <c r="D11136">
        <v>-1145.92</v>
      </c>
    </row>
    <row r="11137" spans="1:4" hidden="1" x14ac:dyDescent="0.3">
      <c r="A11137" t="s">
        <v>846</v>
      </c>
      <c r="B11137" t="s">
        <v>10</v>
      </c>
      <c r="C11137" s="1">
        <f>HYPERLINK("https://cao.dolgi.msk.ru/account/1011335978/", 1011335978)</f>
        <v>1011335978</v>
      </c>
      <c r="D11137">
        <v>0</v>
      </c>
    </row>
    <row r="11138" spans="1:4" hidden="1" x14ac:dyDescent="0.3">
      <c r="A11138" t="s">
        <v>846</v>
      </c>
      <c r="B11138" t="s">
        <v>11</v>
      </c>
      <c r="C11138" s="1">
        <f>HYPERLINK("https://cao.dolgi.msk.ru/account/1011336321/", 1011336321)</f>
        <v>1011336321</v>
      </c>
      <c r="D11138">
        <v>-10494.08</v>
      </c>
    </row>
    <row r="11139" spans="1:4" hidden="1" x14ac:dyDescent="0.3">
      <c r="A11139" t="s">
        <v>846</v>
      </c>
      <c r="B11139" t="s">
        <v>12</v>
      </c>
      <c r="C11139" s="1">
        <f>HYPERLINK("https://cao.dolgi.msk.ru/account/1011336364/", 1011336364)</f>
        <v>1011336364</v>
      </c>
      <c r="D11139">
        <v>0</v>
      </c>
    </row>
    <row r="11140" spans="1:4" hidden="1" x14ac:dyDescent="0.3">
      <c r="A11140" t="s">
        <v>846</v>
      </c>
      <c r="B11140" t="s">
        <v>23</v>
      </c>
      <c r="C11140" s="1">
        <f>HYPERLINK("https://cao.dolgi.msk.ru/account/1011335847/", 1011335847)</f>
        <v>1011335847</v>
      </c>
      <c r="D11140">
        <v>0</v>
      </c>
    </row>
    <row r="11141" spans="1:4" hidden="1" x14ac:dyDescent="0.3">
      <c r="A11141" t="s">
        <v>846</v>
      </c>
      <c r="B11141" t="s">
        <v>13</v>
      </c>
      <c r="C11141" s="1">
        <f>HYPERLINK("https://cao.dolgi.msk.ru/account/1011336276/", 1011336276)</f>
        <v>1011336276</v>
      </c>
      <c r="D11141">
        <v>0</v>
      </c>
    </row>
    <row r="11142" spans="1:4" hidden="1" x14ac:dyDescent="0.3">
      <c r="A11142" t="s">
        <v>846</v>
      </c>
      <c r="B11142" t="s">
        <v>14</v>
      </c>
      <c r="C11142" s="1">
        <f>HYPERLINK("https://cao.dolgi.msk.ru/account/1011335919/", 1011335919)</f>
        <v>1011335919</v>
      </c>
      <c r="D11142">
        <v>-11168.66</v>
      </c>
    </row>
    <row r="11143" spans="1:4" hidden="1" x14ac:dyDescent="0.3">
      <c r="A11143" t="s">
        <v>846</v>
      </c>
      <c r="B11143" t="s">
        <v>16</v>
      </c>
      <c r="C11143" s="1">
        <f>HYPERLINK("https://cao.dolgi.msk.ru/account/1011335898/", 1011335898)</f>
        <v>1011335898</v>
      </c>
      <c r="D11143">
        <v>0</v>
      </c>
    </row>
    <row r="11144" spans="1:4" hidden="1" x14ac:dyDescent="0.3">
      <c r="A11144" t="s">
        <v>846</v>
      </c>
      <c r="B11144" t="s">
        <v>17</v>
      </c>
      <c r="C11144" s="1">
        <f>HYPERLINK("https://cao.dolgi.msk.ru/account/1011336137/", 1011336137)</f>
        <v>1011336137</v>
      </c>
      <c r="D11144">
        <v>0</v>
      </c>
    </row>
    <row r="11145" spans="1:4" hidden="1" x14ac:dyDescent="0.3">
      <c r="A11145" t="s">
        <v>846</v>
      </c>
      <c r="B11145" t="s">
        <v>18</v>
      </c>
      <c r="C11145" s="1">
        <f>HYPERLINK("https://cao.dolgi.msk.ru/account/1011336057/", 1011336057)</f>
        <v>1011336057</v>
      </c>
      <c r="D11145">
        <v>0</v>
      </c>
    </row>
    <row r="11146" spans="1:4" hidden="1" x14ac:dyDescent="0.3">
      <c r="A11146" t="s">
        <v>846</v>
      </c>
      <c r="B11146" t="s">
        <v>19</v>
      </c>
      <c r="C11146" s="1">
        <f>HYPERLINK("https://cao.dolgi.msk.ru/account/1011336065/", 1011336065)</f>
        <v>1011336065</v>
      </c>
      <c r="D11146">
        <v>0</v>
      </c>
    </row>
    <row r="11147" spans="1:4" hidden="1" x14ac:dyDescent="0.3">
      <c r="A11147" t="s">
        <v>846</v>
      </c>
      <c r="B11147" t="s">
        <v>19</v>
      </c>
      <c r="C11147" s="1">
        <f>HYPERLINK("https://cao.dolgi.msk.ru/account/1011336073/", 1011336073)</f>
        <v>1011336073</v>
      </c>
      <c r="D11147">
        <v>0</v>
      </c>
    </row>
    <row r="11148" spans="1:4" hidden="1" x14ac:dyDescent="0.3">
      <c r="A11148" t="s">
        <v>846</v>
      </c>
      <c r="B11148" t="s">
        <v>20</v>
      </c>
      <c r="C11148" s="1">
        <f>HYPERLINK("https://cao.dolgi.msk.ru/account/1011336014/", 1011336014)</f>
        <v>1011336014</v>
      </c>
      <c r="D11148">
        <v>0</v>
      </c>
    </row>
    <row r="11149" spans="1:4" hidden="1" x14ac:dyDescent="0.3">
      <c r="A11149" t="s">
        <v>846</v>
      </c>
      <c r="B11149" t="s">
        <v>21</v>
      </c>
      <c r="C11149" s="1">
        <f>HYPERLINK("https://cao.dolgi.msk.ru/account/1011336188/", 1011336188)</f>
        <v>1011336188</v>
      </c>
      <c r="D11149">
        <v>0</v>
      </c>
    </row>
    <row r="11150" spans="1:4" hidden="1" x14ac:dyDescent="0.3">
      <c r="A11150" t="s">
        <v>846</v>
      </c>
      <c r="B11150" t="s">
        <v>22</v>
      </c>
      <c r="C11150" s="1">
        <f>HYPERLINK("https://cao.dolgi.msk.ru/account/1011335804/", 1011335804)</f>
        <v>1011335804</v>
      </c>
      <c r="D11150">
        <v>0</v>
      </c>
    </row>
    <row r="11151" spans="1:4" hidden="1" x14ac:dyDescent="0.3">
      <c r="A11151" t="s">
        <v>846</v>
      </c>
      <c r="B11151" t="s">
        <v>24</v>
      </c>
      <c r="C11151" s="1">
        <f>HYPERLINK("https://cao.dolgi.msk.ru/account/1011336356/", 1011336356)</f>
        <v>1011336356</v>
      </c>
      <c r="D11151">
        <v>-1856.57</v>
      </c>
    </row>
    <row r="11152" spans="1:4" hidden="1" x14ac:dyDescent="0.3">
      <c r="A11152" t="s">
        <v>846</v>
      </c>
      <c r="B11152" t="s">
        <v>25</v>
      </c>
      <c r="C11152" s="1">
        <f>HYPERLINK("https://cao.dolgi.msk.ru/account/1011336049/", 1011336049)</f>
        <v>1011336049</v>
      </c>
      <c r="D11152">
        <v>0</v>
      </c>
    </row>
    <row r="11153" spans="1:4" x14ac:dyDescent="0.3">
      <c r="A11153" t="s">
        <v>846</v>
      </c>
      <c r="B11153" t="s">
        <v>26</v>
      </c>
      <c r="C11153" s="1">
        <f>HYPERLINK("https://cao.dolgi.msk.ru/account/1011336209/", 1011336209)</f>
        <v>1011336209</v>
      </c>
      <c r="D11153">
        <v>31877.78</v>
      </c>
    </row>
    <row r="11154" spans="1:4" x14ac:dyDescent="0.3">
      <c r="A11154" t="s">
        <v>846</v>
      </c>
      <c r="B11154" t="s">
        <v>27</v>
      </c>
      <c r="C11154" s="1">
        <f>HYPERLINK("https://cao.dolgi.msk.ru/account/1011335935/", 1011335935)</f>
        <v>1011335935</v>
      </c>
      <c r="D11154">
        <v>64</v>
      </c>
    </row>
    <row r="11155" spans="1:4" x14ac:dyDescent="0.3">
      <c r="A11155" t="s">
        <v>846</v>
      </c>
      <c r="B11155" t="s">
        <v>38</v>
      </c>
      <c r="C11155" s="1">
        <f>HYPERLINK("https://cao.dolgi.msk.ru/account/1011336102/", 1011336102)</f>
        <v>1011336102</v>
      </c>
      <c r="D11155">
        <v>17912.419999999998</v>
      </c>
    </row>
    <row r="11156" spans="1:4" x14ac:dyDescent="0.3">
      <c r="A11156" t="s">
        <v>846</v>
      </c>
      <c r="B11156" t="s">
        <v>39</v>
      </c>
      <c r="C11156" s="1">
        <f>HYPERLINK("https://cao.dolgi.msk.ru/account/1011336006/", 1011336006)</f>
        <v>1011336006</v>
      </c>
      <c r="D11156">
        <v>128</v>
      </c>
    </row>
    <row r="11157" spans="1:4" x14ac:dyDescent="0.3">
      <c r="A11157" t="s">
        <v>846</v>
      </c>
      <c r="B11157" t="s">
        <v>40</v>
      </c>
      <c r="C11157" s="1">
        <f>HYPERLINK("https://cao.dolgi.msk.ru/account/1011335927/", 1011335927)</f>
        <v>1011335927</v>
      </c>
      <c r="D11157">
        <v>64</v>
      </c>
    </row>
    <row r="11158" spans="1:4" hidden="1" x14ac:dyDescent="0.3">
      <c r="A11158" t="s">
        <v>846</v>
      </c>
      <c r="B11158" t="s">
        <v>41</v>
      </c>
      <c r="C11158" s="1">
        <f>HYPERLINK("https://cao.dolgi.msk.ru/account/1011336348/", 1011336348)</f>
        <v>1011336348</v>
      </c>
      <c r="D11158">
        <v>0</v>
      </c>
    </row>
    <row r="11159" spans="1:4" x14ac:dyDescent="0.3">
      <c r="A11159" t="s">
        <v>846</v>
      </c>
      <c r="B11159" t="s">
        <v>51</v>
      </c>
      <c r="C11159" s="1">
        <f>HYPERLINK("https://cao.dolgi.msk.ru/account/1011335783/", 1011335783)</f>
        <v>1011335783</v>
      </c>
      <c r="D11159">
        <v>32</v>
      </c>
    </row>
    <row r="11160" spans="1:4" x14ac:dyDescent="0.3">
      <c r="A11160" t="s">
        <v>846</v>
      </c>
      <c r="B11160" t="s">
        <v>51</v>
      </c>
      <c r="C11160" s="1">
        <f>HYPERLINK("https://cao.dolgi.msk.ru/account/1011336268/", 1011336268)</f>
        <v>1011336268</v>
      </c>
      <c r="D11160">
        <v>85807.16</v>
      </c>
    </row>
    <row r="11161" spans="1:4" x14ac:dyDescent="0.3">
      <c r="A11161" t="s">
        <v>846</v>
      </c>
      <c r="B11161" t="s">
        <v>52</v>
      </c>
      <c r="C11161" s="1">
        <f>HYPERLINK("https://cao.dolgi.msk.ru/account/1011335767/", 1011335767)</f>
        <v>1011335767</v>
      </c>
      <c r="D11161">
        <v>28753.52</v>
      </c>
    </row>
    <row r="11162" spans="1:4" x14ac:dyDescent="0.3">
      <c r="A11162" t="s">
        <v>846</v>
      </c>
      <c r="B11162" t="s">
        <v>53</v>
      </c>
      <c r="C11162" s="1">
        <f>HYPERLINK("https://cao.dolgi.msk.ru/account/1011336292/", 1011336292)</f>
        <v>1011336292</v>
      </c>
      <c r="D11162">
        <v>11447.81</v>
      </c>
    </row>
    <row r="11163" spans="1:4" x14ac:dyDescent="0.3">
      <c r="A11163" t="s">
        <v>846</v>
      </c>
      <c r="B11163" t="s">
        <v>54</v>
      </c>
      <c r="C11163" s="1">
        <f>HYPERLINK("https://cao.dolgi.msk.ru/account/1011336372/", 1011336372)</f>
        <v>1011336372</v>
      </c>
      <c r="D11163">
        <v>64</v>
      </c>
    </row>
    <row r="11164" spans="1:4" x14ac:dyDescent="0.3">
      <c r="A11164" t="s">
        <v>846</v>
      </c>
      <c r="B11164" t="s">
        <v>55</v>
      </c>
      <c r="C11164" s="1">
        <f>HYPERLINK("https://cao.dolgi.msk.ru/account/1011335951/", 1011335951)</f>
        <v>1011335951</v>
      </c>
      <c r="D11164">
        <v>64</v>
      </c>
    </row>
    <row r="11165" spans="1:4" hidden="1" x14ac:dyDescent="0.3">
      <c r="A11165" t="s">
        <v>846</v>
      </c>
      <c r="B11165" t="s">
        <v>56</v>
      </c>
      <c r="C11165" s="1">
        <f>HYPERLINK("https://cao.dolgi.msk.ru/account/1011336129/", 1011336129)</f>
        <v>1011336129</v>
      </c>
      <c r="D11165">
        <v>-1783.19</v>
      </c>
    </row>
    <row r="11166" spans="1:4" hidden="1" x14ac:dyDescent="0.3">
      <c r="A11166" t="s">
        <v>846</v>
      </c>
      <c r="B11166" t="s">
        <v>87</v>
      </c>
      <c r="C11166" s="1">
        <f>HYPERLINK("https://cao.dolgi.msk.ru/account/1011335871/", 1011335871)</f>
        <v>1011335871</v>
      </c>
      <c r="D11166">
        <v>0</v>
      </c>
    </row>
    <row r="11167" spans="1:4" hidden="1" x14ac:dyDescent="0.3">
      <c r="A11167" t="s">
        <v>846</v>
      </c>
      <c r="B11167" t="s">
        <v>88</v>
      </c>
      <c r="C11167" s="1">
        <f>HYPERLINK("https://cao.dolgi.msk.ru/account/1011335855/", 1011335855)</f>
        <v>1011335855</v>
      </c>
      <c r="D11167">
        <v>-7238.35</v>
      </c>
    </row>
    <row r="11168" spans="1:4" hidden="1" x14ac:dyDescent="0.3">
      <c r="A11168" t="s">
        <v>846</v>
      </c>
      <c r="B11168" t="s">
        <v>89</v>
      </c>
      <c r="C11168" s="1">
        <f>HYPERLINK("https://cao.dolgi.msk.ru/account/1011336399/", 1011336399)</f>
        <v>1011336399</v>
      </c>
      <c r="D11168">
        <v>0</v>
      </c>
    </row>
    <row r="11169" spans="1:4" hidden="1" x14ac:dyDescent="0.3">
      <c r="A11169" t="s">
        <v>846</v>
      </c>
      <c r="B11169" t="s">
        <v>90</v>
      </c>
      <c r="C11169" s="1">
        <f>HYPERLINK("https://cao.dolgi.msk.ru/account/1011336284/", 1011336284)</f>
        <v>1011336284</v>
      </c>
      <c r="D11169">
        <v>0</v>
      </c>
    </row>
    <row r="11170" spans="1:4" x14ac:dyDescent="0.3">
      <c r="A11170" t="s">
        <v>846</v>
      </c>
      <c r="B11170" t="s">
        <v>96</v>
      </c>
      <c r="C11170" s="1">
        <f>HYPERLINK("https://cao.dolgi.msk.ru/account/1011336428/", 1011336428)</f>
        <v>1011336428</v>
      </c>
      <c r="D11170">
        <v>17549.04</v>
      </c>
    </row>
    <row r="11171" spans="1:4" hidden="1" x14ac:dyDescent="0.3">
      <c r="A11171" t="s">
        <v>846</v>
      </c>
      <c r="B11171" t="s">
        <v>97</v>
      </c>
      <c r="C11171" s="1">
        <f>HYPERLINK("https://cao.dolgi.msk.ru/account/1011335791/", 1011335791)</f>
        <v>1011335791</v>
      </c>
      <c r="D11171">
        <v>0</v>
      </c>
    </row>
    <row r="11172" spans="1:4" hidden="1" x14ac:dyDescent="0.3">
      <c r="A11172" t="s">
        <v>846</v>
      </c>
      <c r="B11172" t="s">
        <v>98</v>
      </c>
      <c r="C11172" s="1">
        <f>HYPERLINK("https://cao.dolgi.msk.ru/account/1011335812/", 1011335812)</f>
        <v>1011335812</v>
      </c>
      <c r="D11172">
        <v>-145.24</v>
      </c>
    </row>
    <row r="11173" spans="1:4" hidden="1" x14ac:dyDescent="0.3">
      <c r="A11173" t="s">
        <v>846</v>
      </c>
      <c r="B11173" t="s">
        <v>98</v>
      </c>
      <c r="C11173" s="1">
        <f>HYPERLINK("https://cao.dolgi.msk.ru/account/1011336196/", 1011336196)</f>
        <v>1011336196</v>
      </c>
      <c r="D11173">
        <v>-722.66</v>
      </c>
    </row>
    <row r="11174" spans="1:4" hidden="1" x14ac:dyDescent="0.3">
      <c r="A11174" t="s">
        <v>846</v>
      </c>
      <c r="B11174" t="s">
        <v>58</v>
      </c>
      <c r="C11174" s="1">
        <f>HYPERLINK("https://cao.dolgi.msk.ru/account/1011336217/", 1011336217)</f>
        <v>1011336217</v>
      </c>
      <c r="D11174">
        <v>-3910.56</v>
      </c>
    </row>
    <row r="11175" spans="1:4" hidden="1" x14ac:dyDescent="0.3">
      <c r="A11175" t="s">
        <v>846</v>
      </c>
      <c r="B11175" t="s">
        <v>59</v>
      </c>
      <c r="C11175" s="1">
        <f>HYPERLINK("https://cao.dolgi.msk.ru/account/1011335775/", 1011335775)</f>
        <v>1011335775</v>
      </c>
      <c r="D11175">
        <v>0</v>
      </c>
    </row>
    <row r="11176" spans="1:4" hidden="1" x14ac:dyDescent="0.3">
      <c r="A11176" t="s">
        <v>846</v>
      </c>
      <c r="B11176" t="s">
        <v>60</v>
      </c>
      <c r="C11176" s="1">
        <f>HYPERLINK("https://cao.dolgi.msk.ru/account/1011336305/", 1011336305)</f>
        <v>1011336305</v>
      </c>
      <c r="D11176">
        <v>0</v>
      </c>
    </row>
    <row r="11177" spans="1:4" hidden="1" x14ac:dyDescent="0.3">
      <c r="A11177" t="s">
        <v>846</v>
      </c>
      <c r="B11177" t="s">
        <v>61</v>
      </c>
      <c r="C11177" s="1">
        <f>HYPERLINK("https://cao.dolgi.msk.ru/account/1011336401/", 1011336401)</f>
        <v>1011336401</v>
      </c>
      <c r="D11177">
        <v>0</v>
      </c>
    </row>
    <row r="11178" spans="1:4" hidden="1" x14ac:dyDescent="0.3">
      <c r="A11178" t="s">
        <v>846</v>
      </c>
      <c r="B11178" t="s">
        <v>62</v>
      </c>
      <c r="C11178" s="1">
        <f>HYPERLINK("https://cao.dolgi.msk.ru/account/1011336022/", 1011336022)</f>
        <v>1011336022</v>
      </c>
      <c r="D11178">
        <v>0</v>
      </c>
    </row>
    <row r="11179" spans="1:4" hidden="1" x14ac:dyDescent="0.3">
      <c r="A11179" t="s">
        <v>846</v>
      </c>
      <c r="B11179" t="s">
        <v>62</v>
      </c>
      <c r="C11179" s="1">
        <f>HYPERLINK("https://cao.dolgi.msk.ru/account/1011336225/", 1011336225)</f>
        <v>1011336225</v>
      </c>
      <c r="D11179">
        <v>0</v>
      </c>
    </row>
    <row r="11180" spans="1:4" hidden="1" x14ac:dyDescent="0.3">
      <c r="A11180" t="s">
        <v>846</v>
      </c>
      <c r="B11180" t="s">
        <v>63</v>
      </c>
      <c r="C11180" s="1">
        <f>HYPERLINK("https://cao.dolgi.msk.ru/account/1011336233/", 1011336233)</f>
        <v>1011336233</v>
      </c>
      <c r="D11180">
        <v>0</v>
      </c>
    </row>
    <row r="11181" spans="1:4" hidden="1" x14ac:dyDescent="0.3">
      <c r="A11181" t="s">
        <v>847</v>
      </c>
      <c r="B11181" t="s">
        <v>6</v>
      </c>
      <c r="C11181" s="1">
        <f>HYPERLINK("https://cao.dolgi.msk.ru/account/1011336532/", 1011336532)</f>
        <v>1011336532</v>
      </c>
      <c r="D11181">
        <v>-5921.52</v>
      </c>
    </row>
    <row r="11182" spans="1:4" hidden="1" x14ac:dyDescent="0.3">
      <c r="A11182" t="s">
        <v>847</v>
      </c>
      <c r="B11182" t="s">
        <v>28</v>
      </c>
      <c r="C11182" s="1">
        <f>HYPERLINK("https://cao.dolgi.msk.ru/account/1011336671/", 1011336671)</f>
        <v>1011336671</v>
      </c>
      <c r="D11182">
        <v>0</v>
      </c>
    </row>
    <row r="11183" spans="1:4" x14ac:dyDescent="0.3">
      <c r="A11183" t="s">
        <v>847</v>
      </c>
      <c r="B11183" t="s">
        <v>35</v>
      </c>
      <c r="C11183" s="1">
        <f>HYPERLINK("https://cao.dolgi.msk.ru/account/1011336524/", 1011336524)</f>
        <v>1011336524</v>
      </c>
      <c r="D11183">
        <v>11166.93</v>
      </c>
    </row>
    <row r="11184" spans="1:4" hidden="1" x14ac:dyDescent="0.3">
      <c r="A11184" t="s">
        <v>847</v>
      </c>
      <c r="B11184" t="s">
        <v>35</v>
      </c>
      <c r="C11184" s="1">
        <f>HYPERLINK("https://cao.dolgi.msk.ru/account/1011336612/", 1011336612)</f>
        <v>1011336612</v>
      </c>
      <c r="D11184">
        <v>-4470.1000000000004</v>
      </c>
    </row>
    <row r="11185" spans="1:4" hidden="1" x14ac:dyDescent="0.3">
      <c r="A11185" t="s">
        <v>847</v>
      </c>
      <c r="B11185" t="s">
        <v>35</v>
      </c>
      <c r="C11185" s="1">
        <f>HYPERLINK("https://cao.dolgi.msk.ru/account/1011336655/", 1011336655)</f>
        <v>1011336655</v>
      </c>
      <c r="D11185">
        <v>0</v>
      </c>
    </row>
    <row r="11186" spans="1:4" hidden="1" x14ac:dyDescent="0.3">
      <c r="A11186" t="s">
        <v>847</v>
      </c>
      <c r="B11186" t="s">
        <v>5</v>
      </c>
      <c r="C11186" s="1">
        <f>HYPERLINK("https://cao.dolgi.msk.ru/account/1011336831/", 1011336831)</f>
        <v>1011336831</v>
      </c>
      <c r="D11186">
        <v>0</v>
      </c>
    </row>
    <row r="11187" spans="1:4" hidden="1" x14ac:dyDescent="0.3">
      <c r="A11187" t="s">
        <v>847</v>
      </c>
      <c r="B11187" t="s">
        <v>7</v>
      </c>
      <c r="C11187" s="1">
        <f>HYPERLINK("https://cao.dolgi.msk.ru/account/1011336735/", 1011336735)</f>
        <v>1011336735</v>
      </c>
      <c r="D11187">
        <v>0</v>
      </c>
    </row>
    <row r="11188" spans="1:4" hidden="1" x14ac:dyDescent="0.3">
      <c r="A11188" t="s">
        <v>847</v>
      </c>
      <c r="B11188" t="s">
        <v>8</v>
      </c>
      <c r="C11188" s="1">
        <f>HYPERLINK("https://cao.dolgi.msk.ru/account/1011336719/", 1011336719)</f>
        <v>1011336719</v>
      </c>
      <c r="D11188">
        <v>-17774</v>
      </c>
    </row>
    <row r="11189" spans="1:4" x14ac:dyDescent="0.3">
      <c r="A11189" t="s">
        <v>847</v>
      </c>
      <c r="B11189" t="s">
        <v>31</v>
      </c>
      <c r="C11189" s="1">
        <f>HYPERLINK("https://cao.dolgi.msk.ru/account/1011336583/", 1011336583)</f>
        <v>1011336583</v>
      </c>
      <c r="D11189">
        <v>18850.560000000001</v>
      </c>
    </row>
    <row r="11190" spans="1:4" hidden="1" x14ac:dyDescent="0.3">
      <c r="A11190" t="s">
        <v>847</v>
      </c>
      <c r="B11190" t="s">
        <v>9</v>
      </c>
      <c r="C11190" s="1">
        <f>HYPERLINK("https://cao.dolgi.msk.ru/account/1011336794/", 1011336794)</f>
        <v>1011336794</v>
      </c>
      <c r="D11190">
        <v>-7934.36</v>
      </c>
    </row>
    <row r="11191" spans="1:4" x14ac:dyDescent="0.3">
      <c r="A11191" t="s">
        <v>847</v>
      </c>
      <c r="B11191" t="s">
        <v>10</v>
      </c>
      <c r="C11191" s="1">
        <f>HYPERLINK("https://cao.dolgi.msk.ru/account/1011336559/", 1011336559)</f>
        <v>1011336559</v>
      </c>
      <c r="D11191">
        <v>3939.96</v>
      </c>
    </row>
    <row r="11192" spans="1:4" hidden="1" x14ac:dyDescent="0.3">
      <c r="A11192" t="s">
        <v>847</v>
      </c>
      <c r="B11192" t="s">
        <v>11</v>
      </c>
      <c r="C11192" s="1">
        <f>HYPERLINK("https://cao.dolgi.msk.ru/account/1011336591/", 1011336591)</f>
        <v>1011336591</v>
      </c>
      <c r="D11192">
        <v>0</v>
      </c>
    </row>
    <row r="11193" spans="1:4" hidden="1" x14ac:dyDescent="0.3">
      <c r="A11193" t="s">
        <v>847</v>
      </c>
      <c r="B11193" t="s">
        <v>12</v>
      </c>
      <c r="C11193" s="1">
        <f>HYPERLINK("https://cao.dolgi.msk.ru/account/1011336452/", 1011336452)</f>
        <v>1011336452</v>
      </c>
      <c r="D11193">
        <v>0</v>
      </c>
    </row>
    <row r="11194" spans="1:4" hidden="1" x14ac:dyDescent="0.3">
      <c r="A11194" t="s">
        <v>847</v>
      </c>
      <c r="B11194" t="s">
        <v>23</v>
      </c>
      <c r="C11194" s="1">
        <f>HYPERLINK("https://cao.dolgi.msk.ru/account/1011336807/", 1011336807)</f>
        <v>1011336807</v>
      </c>
      <c r="D11194">
        <v>0</v>
      </c>
    </row>
    <row r="11195" spans="1:4" hidden="1" x14ac:dyDescent="0.3">
      <c r="A11195" t="s">
        <v>847</v>
      </c>
      <c r="B11195" t="s">
        <v>13</v>
      </c>
      <c r="C11195" s="1">
        <f>HYPERLINK("https://cao.dolgi.msk.ru/account/1011336436/", 1011336436)</f>
        <v>1011336436</v>
      </c>
      <c r="D11195">
        <v>0</v>
      </c>
    </row>
    <row r="11196" spans="1:4" hidden="1" x14ac:dyDescent="0.3">
      <c r="A11196" t="s">
        <v>847</v>
      </c>
      <c r="B11196" t="s">
        <v>14</v>
      </c>
      <c r="C11196" s="1">
        <f>HYPERLINK("https://cao.dolgi.msk.ru/account/1011336698/", 1011336698)</f>
        <v>1011336698</v>
      </c>
      <c r="D11196">
        <v>0</v>
      </c>
    </row>
    <row r="11197" spans="1:4" x14ac:dyDescent="0.3">
      <c r="A11197" t="s">
        <v>847</v>
      </c>
      <c r="B11197" t="s">
        <v>16</v>
      </c>
      <c r="C11197" s="1">
        <f>HYPERLINK("https://cao.dolgi.msk.ru/account/1011336567/", 1011336567)</f>
        <v>1011336567</v>
      </c>
      <c r="D11197">
        <v>10516.27</v>
      </c>
    </row>
    <row r="11198" spans="1:4" hidden="1" x14ac:dyDescent="0.3">
      <c r="A11198" t="s">
        <v>847</v>
      </c>
      <c r="B11198" t="s">
        <v>19</v>
      </c>
      <c r="C11198" s="1">
        <f>HYPERLINK("https://cao.dolgi.msk.ru/account/1011336604/", 1011336604)</f>
        <v>1011336604</v>
      </c>
      <c r="D11198">
        <v>0</v>
      </c>
    </row>
    <row r="11199" spans="1:4" x14ac:dyDescent="0.3">
      <c r="A11199" t="s">
        <v>847</v>
      </c>
      <c r="B11199" t="s">
        <v>20</v>
      </c>
      <c r="C11199" s="1">
        <f>HYPERLINK("https://cao.dolgi.msk.ru/account/1011336639/", 1011336639)</f>
        <v>1011336639</v>
      </c>
      <c r="D11199">
        <v>9600.2199999999993</v>
      </c>
    </row>
    <row r="11200" spans="1:4" hidden="1" x14ac:dyDescent="0.3">
      <c r="A11200" t="s">
        <v>847</v>
      </c>
      <c r="B11200" t="s">
        <v>21</v>
      </c>
      <c r="C11200" s="1">
        <f>HYPERLINK("https://cao.dolgi.msk.ru/account/1011336663/", 1011336663)</f>
        <v>1011336663</v>
      </c>
      <c r="D11200">
        <v>0</v>
      </c>
    </row>
    <row r="11201" spans="1:4" hidden="1" x14ac:dyDescent="0.3">
      <c r="A11201" t="s">
        <v>847</v>
      </c>
      <c r="B11201" t="s">
        <v>22</v>
      </c>
      <c r="C11201" s="1">
        <f>HYPERLINK("https://cao.dolgi.msk.ru/account/1011336815/", 1011336815)</f>
        <v>1011336815</v>
      </c>
      <c r="D11201">
        <v>-7628.99</v>
      </c>
    </row>
    <row r="11202" spans="1:4" x14ac:dyDescent="0.3">
      <c r="A11202" t="s">
        <v>847</v>
      </c>
      <c r="B11202" t="s">
        <v>24</v>
      </c>
      <c r="C11202" s="1">
        <f>HYPERLINK("https://cao.dolgi.msk.ru/account/1011336487/", 1011336487)</f>
        <v>1011336487</v>
      </c>
      <c r="D11202">
        <v>9743.2199999999993</v>
      </c>
    </row>
    <row r="11203" spans="1:4" x14ac:dyDescent="0.3">
      <c r="A11203" t="s">
        <v>847</v>
      </c>
      <c r="B11203" t="s">
        <v>24</v>
      </c>
      <c r="C11203" s="1">
        <f>HYPERLINK("https://cao.dolgi.msk.ru/account/1011336516/", 1011336516)</f>
        <v>1011336516</v>
      </c>
      <c r="D11203">
        <v>106280.8</v>
      </c>
    </row>
    <row r="11204" spans="1:4" x14ac:dyDescent="0.3">
      <c r="A11204" t="s">
        <v>847</v>
      </c>
      <c r="B11204" t="s">
        <v>24</v>
      </c>
      <c r="C11204" s="1">
        <f>HYPERLINK("https://cao.dolgi.msk.ru/account/1011336727/", 1011336727)</f>
        <v>1011336727</v>
      </c>
      <c r="D11204">
        <v>7228.66</v>
      </c>
    </row>
    <row r="11205" spans="1:4" x14ac:dyDescent="0.3">
      <c r="A11205" t="s">
        <v>847</v>
      </c>
      <c r="B11205" t="s">
        <v>24</v>
      </c>
      <c r="C11205" s="1">
        <f>HYPERLINK("https://cao.dolgi.msk.ru/account/1011336786/", 1011336786)</f>
        <v>1011336786</v>
      </c>
      <c r="D11205">
        <v>4368.16</v>
      </c>
    </row>
    <row r="11206" spans="1:4" x14ac:dyDescent="0.3">
      <c r="A11206" t="s">
        <v>847</v>
      </c>
      <c r="B11206" t="s">
        <v>25</v>
      </c>
      <c r="C11206" s="1">
        <f>HYPERLINK("https://cao.dolgi.msk.ru/account/1011336743/", 1011336743)</f>
        <v>1011336743</v>
      </c>
      <c r="D11206">
        <v>2987.32</v>
      </c>
    </row>
    <row r="11207" spans="1:4" hidden="1" x14ac:dyDescent="0.3">
      <c r="A11207" t="s">
        <v>847</v>
      </c>
      <c r="B11207" t="s">
        <v>25</v>
      </c>
      <c r="C11207" s="1">
        <f>HYPERLINK("https://cao.dolgi.msk.ru/account/1011336866/", 1011336866)</f>
        <v>1011336866</v>
      </c>
      <c r="D11207">
        <v>0</v>
      </c>
    </row>
    <row r="11208" spans="1:4" x14ac:dyDescent="0.3">
      <c r="A11208" t="s">
        <v>847</v>
      </c>
      <c r="B11208" t="s">
        <v>26</v>
      </c>
      <c r="C11208" s="1">
        <f>HYPERLINK("https://cao.dolgi.msk.ru/account/1011336823/", 1011336823)</f>
        <v>1011336823</v>
      </c>
      <c r="D11208">
        <v>4864.68</v>
      </c>
    </row>
    <row r="11209" spans="1:4" x14ac:dyDescent="0.3">
      <c r="A11209" t="s">
        <v>847</v>
      </c>
      <c r="B11209" t="s">
        <v>27</v>
      </c>
      <c r="C11209" s="1">
        <f>HYPERLINK("https://cao.dolgi.msk.ru/account/1011336575/", 1011336575)</f>
        <v>1011336575</v>
      </c>
      <c r="D11209">
        <v>25614.34</v>
      </c>
    </row>
    <row r="11210" spans="1:4" x14ac:dyDescent="0.3">
      <c r="A11210" t="s">
        <v>847</v>
      </c>
      <c r="B11210" t="s">
        <v>29</v>
      </c>
      <c r="C11210" s="1">
        <f>HYPERLINK("https://cao.dolgi.msk.ru/account/1011336751/", 1011336751)</f>
        <v>1011336751</v>
      </c>
      <c r="D11210">
        <v>32630.07</v>
      </c>
    </row>
    <row r="11211" spans="1:4" hidden="1" x14ac:dyDescent="0.3">
      <c r="A11211" t="s">
        <v>847</v>
      </c>
      <c r="B11211" t="s">
        <v>38</v>
      </c>
      <c r="C11211" s="1">
        <f>HYPERLINK("https://cao.dolgi.msk.ru/account/1011336778/", 1011336778)</f>
        <v>1011336778</v>
      </c>
      <c r="D11211">
        <v>0</v>
      </c>
    </row>
    <row r="11212" spans="1:4" hidden="1" x14ac:dyDescent="0.3">
      <c r="A11212" t="s">
        <v>847</v>
      </c>
      <c r="B11212" t="s">
        <v>39</v>
      </c>
      <c r="C11212" s="1">
        <f>HYPERLINK("https://cao.dolgi.msk.ru/account/1011336508/", 1011336508)</f>
        <v>1011336508</v>
      </c>
      <c r="D11212">
        <v>0</v>
      </c>
    </row>
    <row r="11213" spans="1:4" x14ac:dyDescent="0.3">
      <c r="A11213" t="s">
        <v>847</v>
      </c>
      <c r="B11213" t="s">
        <v>40</v>
      </c>
      <c r="C11213" s="1">
        <f>HYPERLINK("https://cao.dolgi.msk.ru/account/1011336495/", 1011336495)</f>
        <v>1011336495</v>
      </c>
      <c r="D11213">
        <v>15168.4</v>
      </c>
    </row>
    <row r="11214" spans="1:4" hidden="1" x14ac:dyDescent="0.3">
      <c r="A11214" t="s">
        <v>847</v>
      </c>
      <c r="B11214" t="s">
        <v>40</v>
      </c>
      <c r="C11214" s="1">
        <f>HYPERLINK("https://cao.dolgi.msk.ru/account/1011336647/", 1011336647)</f>
        <v>1011336647</v>
      </c>
      <c r="D11214">
        <v>0</v>
      </c>
    </row>
    <row r="11215" spans="1:4" hidden="1" x14ac:dyDescent="0.3">
      <c r="A11215" t="s">
        <v>847</v>
      </c>
      <c r="B11215" t="s">
        <v>41</v>
      </c>
      <c r="C11215" s="1">
        <f>HYPERLINK("https://cao.dolgi.msk.ru/account/1011336479/", 1011336479)</f>
        <v>1011336479</v>
      </c>
      <c r="D11215">
        <v>-8804</v>
      </c>
    </row>
    <row r="11216" spans="1:4" hidden="1" x14ac:dyDescent="0.3">
      <c r="A11216" t="s">
        <v>847</v>
      </c>
      <c r="B11216" t="s">
        <v>51</v>
      </c>
      <c r="C11216" s="1">
        <f>HYPERLINK("https://cao.dolgi.msk.ru/account/1011336858/", 1011336858)</f>
        <v>1011336858</v>
      </c>
      <c r="D11216">
        <v>0</v>
      </c>
    </row>
    <row r="11217" spans="1:4" hidden="1" x14ac:dyDescent="0.3">
      <c r="A11217" t="s">
        <v>848</v>
      </c>
      <c r="B11217" t="s">
        <v>6</v>
      </c>
      <c r="C11217" s="1">
        <f>HYPERLINK("https://cao.dolgi.msk.ru/account/1011405251/", 1011405251)</f>
        <v>1011405251</v>
      </c>
      <c r="D11217">
        <v>-3858.22</v>
      </c>
    </row>
    <row r="11218" spans="1:4" hidden="1" x14ac:dyDescent="0.3">
      <c r="A11218" t="s">
        <v>848</v>
      </c>
      <c r="B11218" t="s">
        <v>28</v>
      </c>
      <c r="C11218" s="1">
        <f>HYPERLINK("https://cao.dolgi.msk.ru/account/1011405315/", 1011405315)</f>
        <v>1011405315</v>
      </c>
      <c r="D11218">
        <v>0</v>
      </c>
    </row>
    <row r="11219" spans="1:4" hidden="1" x14ac:dyDescent="0.3">
      <c r="A11219" t="s">
        <v>848</v>
      </c>
      <c r="B11219" t="s">
        <v>35</v>
      </c>
      <c r="C11219" s="1">
        <f>HYPERLINK("https://cao.dolgi.msk.ru/account/1011405323/", 1011405323)</f>
        <v>1011405323</v>
      </c>
      <c r="D11219">
        <v>0</v>
      </c>
    </row>
    <row r="11220" spans="1:4" hidden="1" x14ac:dyDescent="0.3">
      <c r="A11220" t="s">
        <v>848</v>
      </c>
      <c r="B11220" t="s">
        <v>5</v>
      </c>
      <c r="C11220" s="1">
        <f>HYPERLINK("https://cao.dolgi.msk.ru/account/1011405649/", 1011405649)</f>
        <v>1011405649</v>
      </c>
      <c r="D11220">
        <v>0</v>
      </c>
    </row>
    <row r="11221" spans="1:4" hidden="1" x14ac:dyDescent="0.3">
      <c r="A11221" t="s">
        <v>848</v>
      </c>
      <c r="B11221" t="s">
        <v>7</v>
      </c>
      <c r="C11221" s="1">
        <f>HYPERLINK("https://cao.dolgi.msk.ru/account/1011405032/", 1011405032)</f>
        <v>1011405032</v>
      </c>
      <c r="D11221">
        <v>0</v>
      </c>
    </row>
    <row r="11222" spans="1:4" hidden="1" x14ac:dyDescent="0.3">
      <c r="A11222" t="s">
        <v>848</v>
      </c>
      <c r="B11222" t="s">
        <v>8</v>
      </c>
      <c r="C11222" s="1">
        <f>HYPERLINK("https://cao.dolgi.msk.ru/account/1011404996/", 1011404996)</f>
        <v>1011404996</v>
      </c>
      <c r="D11222">
        <v>0</v>
      </c>
    </row>
    <row r="11223" spans="1:4" x14ac:dyDescent="0.3">
      <c r="A11223" t="s">
        <v>848</v>
      </c>
      <c r="B11223" t="s">
        <v>31</v>
      </c>
      <c r="C11223" s="1">
        <f>HYPERLINK("https://cao.dolgi.msk.ru/account/1011405358/", 1011405358)</f>
        <v>1011405358</v>
      </c>
      <c r="D11223">
        <v>28251.16</v>
      </c>
    </row>
    <row r="11224" spans="1:4" x14ac:dyDescent="0.3">
      <c r="A11224" t="s">
        <v>848</v>
      </c>
      <c r="B11224" t="s">
        <v>9</v>
      </c>
      <c r="C11224" s="1">
        <f>HYPERLINK("https://cao.dolgi.msk.ru/account/1011404881/", 1011404881)</f>
        <v>1011404881</v>
      </c>
      <c r="D11224">
        <v>6911.75</v>
      </c>
    </row>
    <row r="11225" spans="1:4" hidden="1" x14ac:dyDescent="0.3">
      <c r="A11225" t="s">
        <v>848</v>
      </c>
      <c r="B11225" t="s">
        <v>10</v>
      </c>
      <c r="C11225" s="1">
        <f>HYPERLINK("https://cao.dolgi.msk.ru/account/1011405366/", 1011405366)</f>
        <v>1011405366</v>
      </c>
      <c r="D11225">
        <v>-4577.82</v>
      </c>
    </row>
    <row r="11226" spans="1:4" x14ac:dyDescent="0.3">
      <c r="A11226" t="s">
        <v>848</v>
      </c>
      <c r="B11226" t="s">
        <v>11</v>
      </c>
      <c r="C11226" s="1">
        <f>HYPERLINK("https://cao.dolgi.msk.ru/account/1011405008/", 1011405008)</f>
        <v>1011405008</v>
      </c>
      <c r="D11226">
        <v>5491.52</v>
      </c>
    </row>
    <row r="11227" spans="1:4" hidden="1" x14ac:dyDescent="0.3">
      <c r="A11227" t="s">
        <v>848</v>
      </c>
      <c r="B11227" t="s">
        <v>12</v>
      </c>
      <c r="C11227" s="1">
        <f>HYPERLINK("https://cao.dolgi.msk.ru/account/1011405374/", 1011405374)</f>
        <v>1011405374</v>
      </c>
      <c r="D11227">
        <v>0</v>
      </c>
    </row>
    <row r="11228" spans="1:4" hidden="1" x14ac:dyDescent="0.3">
      <c r="A11228" t="s">
        <v>848</v>
      </c>
      <c r="B11228" t="s">
        <v>23</v>
      </c>
      <c r="C11228" s="1">
        <f>HYPERLINK("https://cao.dolgi.msk.ru/account/1011405438/", 1011405438)</f>
        <v>1011405438</v>
      </c>
      <c r="D11228">
        <v>-40.53</v>
      </c>
    </row>
    <row r="11229" spans="1:4" x14ac:dyDescent="0.3">
      <c r="A11229" t="s">
        <v>848</v>
      </c>
      <c r="B11229" t="s">
        <v>13</v>
      </c>
      <c r="C11229" s="1">
        <f>HYPERLINK("https://cao.dolgi.msk.ru/account/1011405104/", 1011405104)</f>
        <v>1011405104</v>
      </c>
      <c r="D11229">
        <v>94581.62</v>
      </c>
    </row>
    <row r="11230" spans="1:4" x14ac:dyDescent="0.3">
      <c r="A11230" t="s">
        <v>848</v>
      </c>
      <c r="B11230" t="s">
        <v>14</v>
      </c>
      <c r="C11230" s="1">
        <f>HYPERLINK("https://cao.dolgi.msk.ru/account/1011404937/", 1011404937)</f>
        <v>1011404937</v>
      </c>
      <c r="D11230">
        <v>2259.96</v>
      </c>
    </row>
    <row r="11231" spans="1:4" x14ac:dyDescent="0.3">
      <c r="A11231" t="s">
        <v>848</v>
      </c>
      <c r="B11231" t="s">
        <v>16</v>
      </c>
      <c r="C11231" s="1">
        <f>HYPERLINK("https://cao.dolgi.msk.ru/account/1011405067/", 1011405067)</f>
        <v>1011405067</v>
      </c>
      <c r="D11231">
        <v>19282.810000000001</v>
      </c>
    </row>
    <row r="11232" spans="1:4" hidden="1" x14ac:dyDescent="0.3">
      <c r="A11232" t="s">
        <v>848</v>
      </c>
      <c r="B11232" t="s">
        <v>17</v>
      </c>
      <c r="C11232" s="1">
        <f>HYPERLINK("https://cao.dolgi.msk.ru/account/1011405542/", 1011405542)</f>
        <v>1011405542</v>
      </c>
      <c r="D11232">
        <v>-794.52</v>
      </c>
    </row>
    <row r="11233" spans="1:4" hidden="1" x14ac:dyDescent="0.3">
      <c r="A11233" t="s">
        <v>848</v>
      </c>
      <c r="B11233" t="s">
        <v>18</v>
      </c>
      <c r="C11233" s="1">
        <f>HYPERLINK("https://cao.dolgi.msk.ru/account/1011405059/", 1011405059)</f>
        <v>1011405059</v>
      </c>
      <c r="D11233">
        <v>0</v>
      </c>
    </row>
    <row r="11234" spans="1:4" hidden="1" x14ac:dyDescent="0.3">
      <c r="A11234" t="s">
        <v>848</v>
      </c>
      <c r="B11234" t="s">
        <v>19</v>
      </c>
      <c r="C11234" s="1">
        <f>HYPERLINK("https://cao.dolgi.msk.ru/account/1011405534/", 1011405534)</f>
        <v>1011405534</v>
      </c>
      <c r="D11234">
        <v>0</v>
      </c>
    </row>
    <row r="11235" spans="1:4" x14ac:dyDescent="0.3">
      <c r="A11235" t="s">
        <v>848</v>
      </c>
      <c r="B11235" t="s">
        <v>20</v>
      </c>
      <c r="C11235" s="1">
        <f>HYPERLINK("https://cao.dolgi.msk.ru/account/1011405016/", 1011405016)</f>
        <v>1011405016</v>
      </c>
      <c r="D11235">
        <v>4330.05</v>
      </c>
    </row>
    <row r="11236" spans="1:4" hidden="1" x14ac:dyDescent="0.3">
      <c r="A11236" t="s">
        <v>848</v>
      </c>
      <c r="B11236" t="s">
        <v>21</v>
      </c>
      <c r="C11236" s="1">
        <f>HYPERLINK("https://cao.dolgi.msk.ru/account/1011404865/", 1011404865)</f>
        <v>1011404865</v>
      </c>
      <c r="D11236">
        <v>-3084.89</v>
      </c>
    </row>
    <row r="11237" spans="1:4" hidden="1" x14ac:dyDescent="0.3">
      <c r="A11237" t="s">
        <v>848</v>
      </c>
      <c r="B11237" t="s">
        <v>22</v>
      </c>
      <c r="C11237" s="1">
        <f>HYPERLINK("https://cao.dolgi.msk.ru/account/1011405331/", 1011405331)</f>
        <v>1011405331</v>
      </c>
      <c r="D11237">
        <v>-233.6</v>
      </c>
    </row>
    <row r="11238" spans="1:4" hidden="1" x14ac:dyDescent="0.3">
      <c r="A11238" t="s">
        <v>848</v>
      </c>
      <c r="B11238" t="s">
        <v>24</v>
      </c>
      <c r="C11238" s="1">
        <f>HYPERLINK("https://cao.dolgi.msk.ru/account/1011405446/", 1011405446)</f>
        <v>1011405446</v>
      </c>
      <c r="D11238">
        <v>0</v>
      </c>
    </row>
    <row r="11239" spans="1:4" hidden="1" x14ac:dyDescent="0.3">
      <c r="A11239" t="s">
        <v>848</v>
      </c>
      <c r="B11239" t="s">
        <v>25</v>
      </c>
      <c r="C11239" s="1">
        <f>HYPERLINK("https://cao.dolgi.msk.ru/account/1011405139/", 1011405139)</f>
        <v>1011405139</v>
      </c>
      <c r="D11239">
        <v>0</v>
      </c>
    </row>
    <row r="11240" spans="1:4" hidden="1" x14ac:dyDescent="0.3">
      <c r="A11240" t="s">
        <v>848</v>
      </c>
      <c r="B11240" t="s">
        <v>26</v>
      </c>
      <c r="C11240" s="1">
        <f>HYPERLINK("https://cao.dolgi.msk.ru/account/1011405075/", 1011405075)</f>
        <v>1011405075</v>
      </c>
      <c r="D11240">
        <v>-12128.73</v>
      </c>
    </row>
    <row r="11241" spans="1:4" hidden="1" x14ac:dyDescent="0.3">
      <c r="A11241" t="s">
        <v>848</v>
      </c>
      <c r="B11241" t="s">
        <v>27</v>
      </c>
      <c r="C11241" s="1">
        <f>HYPERLINK("https://cao.dolgi.msk.ru/account/1011405286/", 1011405286)</f>
        <v>1011405286</v>
      </c>
      <c r="D11241">
        <v>-4466.99</v>
      </c>
    </row>
    <row r="11242" spans="1:4" hidden="1" x14ac:dyDescent="0.3">
      <c r="A11242" t="s">
        <v>848</v>
      </c>
      <c r="B11242" t="s">
        <v>29</v>
      </c>
      <c r="C11242" s="1">
        <f>HYPERLINK("https://cao.dolgi.msk.ru/account/1011404873/", 1011404873)</f>
        <v>1011404873</v>
      </c>
      <c r="D11242">
        <v>-52690.39</v>
      </c>
    </row>
    <row r="11243" spans="1:4" x14ac:dyDescent="0.3">
      <c r="A11243" t="s">
        <v>848</v>
      </c>
      <c r="B11243" t="s">
        <v>38</v>
      </c>
      <c r="C11243" s="1">
        <f>HYPERLINK("https://cao.dolgi.msk.ru/account/1011405163/", 1011405163)</f>
        <v>1011405163</v>
      </c>
      <c r="D11243">
        <v>5809.48</v>
      </c>
    </row>
    <row r="11244" spans="1:4" hidden="1" x14ac:dyDescent="0.3">
      <c r="A11244" t="s">
        <v>848</v>
      </c>
      <c r="B11244" t="s">
        <v>39</v>
      </c>
      <c r="C11244" s="1">
        <f>HYPERLINK("https://cao.dolgi.msk.ru/account/1011405083/", 1011405083)</f>
        <v>1011405083</v>
      </c>
      <c r="D11244">
        <v>0</v>
      </c>
    </row>
    <row r="11245" spans="1:4" x14ac:dyDescent="0.3">
      <c r="A11245" t="s">
        <v>848</v>
      </c>
      <c r="B11245" t="s">
        <v>40</v>
      </c>
      <c r="C11245" s="1">
        <f>HYPERLINK("https://cao.dolgi.msk.ru/account/1011405489/", 1011405489)</f>
        <v>1011405489</v>
      </c>
      <c r="D11245">
        <v>6319.66</v>
      </c>
    </row>
    <row r="11246" spans="1:4" hidden="1" x14ac:dyDescent="0.3">
      <c r="A11246" t="s">
        <v>848</v>
      </c>
      <c r="B11246" t="s">
        <v>41</v>
      </c>
      <c r="C11246" s="1">
        <f>HYPERLINK("https://cao.dolgi.msk.ru/account/1011405569/", 1011405569)</f>
        <v>1011405569</v>
      </c>
      <c r="D11246">
        <v>0</v>
      </c>
    </row>
    <row r="11247" spans="1:4" x14ac:dyDescent="0.3">
      <c r="A11247" t="s">
        <v>848</v>
      </c>
      <c r="B11247" t="s">
        <v>51</v>
      </c>
      <c r="C11247" s="1">
        <f>HYPERLINK("https://cao.dolgi.msk.ru/account/1011405243/", 1011405243)</f>
        <v>1011405243</v>
      </c>
      <c r="D11247">
        <v>2871.25</v>
      </c>
    </row>
    <row r="11248" spans="1:4" hidden="1" x14ac:dyDescent="0.3">
      <c r="A11248" t="s">
        <v>848</v>
      </c>
      <c r="B11248" t="s">
        <v>52</v>
      </c>
      <c r="C11248" s="1">
        <f>HYPERLINK("https://cao.dolgi.msk.ru/account/1011404961/", 1011404961)</f>
        <v>1011404961</v>
      </c>
      <c r="D11248">
        <v>0</v>
      </c>
    </row>
    <row r="11249" spans="1:4" hidden="1" x14ac:dyDescent="0.3">
      <c r="A11249" t="s">
        <v>848</v>
      </c>
      <c r="B11249" t="s">
        <v>53</v>
      </c>
      <c r="C11249" s="1">
        <f>HYPERLINK("https://cao.dolgi.msk.ru/account/1011405307/", 1011405307)</f>
        <v>1011405307</v>
      </c>
      <c r="D11249">
        <v>0</v>
      </c>
    </row>
    <row r="11250" spans="1:4" hidden="1" x14ac:dyDescent="0.3">
      <c r="A11250" t="s">
        <v>848</v>
      </c>
      <c r="B11250" t="s">
        <v>54</v>
      </c>
      <c r="C11250" s="1">
        <f>HYPERLINK("https://cao.dolgi.msk.ru/account/1011404988/", 1011404988)</f>
        <v>1011404988</v>
      </c>
      <c r="D11250">
        <v>-1079.69</v>
      </c>
    </row>
    <row r="11251" spans="1:4" hidden="1" x14ac:dyDescent="0.3">
      <c r="A11251" t="s">
        <v>848</v>
      </c>
      <c r="B11251" t="s">
        <v>55</v>
      </c>
      <c r="C11251" s="1">
        <f>HYPERLINK("https://cao.dolgi.msk.ru/account/1011404953/", 1011404953)</f>
        <v>1011404953</v>
      </c>
      <c r="D11251">
        <v>-3237.99</v>
      </c>
    </row>
    <row r="11252" spans="1:4" hidden="1" x14ac:dyDescent="0.3">
      <c r="A11252" t="s">
        <v>848</v>
      </c>
      <c r="B11252" t="s">
        <v>55</v>
      </c>
      <c r="C11252" s="1">
        <f>HYPERLINK("https://cao.dolgi.msk.ru/account/1011405526/", 1011405526)</f>
        <v>1011405526</v>
      </c>
      <c r="D11252">
        <v>0</v>
      </c>
    </row>
    <row r="11253" spans="1:4" hidden="1" x14ac:dyDescent="0.3">
      <c r="A11253" t="s">
        <v>848</v>
      </c>
      <c r="B11253" t="s">
        <v>56</v>
      </c>
      <c r="C11253" s="1">
        <f>HYPERLINK("https://cao.dolgi.msk.ru/account/1011405155/", 1011405155)</f>
        <v>1011405155</v>
      </c>
      <c r="D11253">
        <v>0</v>
      </c>
    </row>
    <row r="11254" spans="1:4" hidden="1" x14ac:dyDescent="0.3">
      <c r="A11254" t="s">
        <v>848</v>
      </c>
      <c r="B11254" t="s">
        <v>87</v>
      </c>
      <c r="C11254" s="1">
        <f>HYPERLINK("https://cao.dolgi.msk.ru/account/1011405024/", 1011405024)</f>
        <v>1011405024</v>
      </c>
      <c r="D11254">
        <v>0</v>
      </c>
    </row>
    <row r="11255" spans="1:4" hidden="1" x14ac:dyDescent="0.3">
      <c r="A11255" t="s">
        <v>848</v>
      </c>
      <c r="B11255" t="s">
        <v>88</v>
      </c>
      <c r="C11255" s="1">
        <f>HYPERLINK("https://cao.dolgi.msk.ru/account/1011405171/", 1011405171)</f>
        <v>1011405171</v>
      </c>
      <c r="D11255">
        <v>0</v>
      </c>
    </row>
    <row r="11256" spans="1:4" hidden="1" x14ac:dyDescent="0.3">
      <c r="A11256" t="s">
        <v>848</v>
      </c>
      <c r="B11256" t="s">
        <v>89</v>
      </c>
      <c r="C11256" s="1">
        <f>HYPERLINK("https://cao.dolgi.msk.ru/account/1011404902/", 1011404902)</f>
        <v>1011404902</v>
      </c>
      <c r="D11256">
        <v>-2953.82</v>
      </c>
    </row>
    <row r="11257" spans="1:4" hidden="1" x14ac:dyDescent="0.3">
      <c r="A11257" t="s">
        <v>848</v>
      </c>
      <c r="B11257" t="s">
        <v>90</v>
      </c>
      <c r="C11257" s="1">
        <f>HYPERLINK("https://cao.dolgi.msk.ru/account/1011405091/", 1011405091)</f>
        <v>1011405091</v>
      </c>
      <c r="D11257">
        <v>0</v>
      </c>
    </row>
    <row r="11258" spans="1:4" x14ac:dyDescent="0.3">
      <c r="A11258" t="s">
        <v>848</v>
      </c>
      <c r="B11258" t="s">
        <v>96</v>
      </c>
      <c r="C11258" s="1">
        <f>HYPERLINK("https://cao.dolgi.msk.ru/account/1011405382/", 1011405382)</f>
        <v>1011405382</v>
      </c>
      <c r="D11258">
        <v>10677.34</v>
      </c>
    </row>
    <row r="11259" spans="1:4" x14ac:dyDescent="0.3">
      <c r="A11259" t="s">
        <v>848</v>
      </c>
      <c r="B11259" t="s">
        <v>97</v>
      </c>
      <c r="C11259" s="1">
        <f>HYPERLINK("https://cao.dolgi.msk.ru/account/1011404929/", 1011404929)</f>
        <v>1011404929</v>
      </c>
      <c r="D11259">
        <v>2638.26</v>
      </c>
    </row>
    <row r="11260" spans="1:4" hidden="1" x14ac:dyDescent="0.3">
      <c r="A11260" t="s">
        <v>848</v>
      </c>
      <c r="B11260" t="s">
        <v>98</v>
      </c>
      <c r="C11260" s="1">
        <f>HYPERLINK("https://cao.dolgi.msk.ru/account/1011405112/", 1011405112)</f>
        <v>1011405112</v>
      </c>
      <c r="D11260">
        <v>0</v>
      </c>
    </row>
    <row r="11261" spans="1:4" hidden="1" x14ac:dyDescent="0.3">
      <c r="A11261" t="s">
        <v>848</v>
      </c>
      <c r="B11261" t="s">
        <v>58</v>
      </c>
      <c r="C11261" s="1">
        <f>HYPERLINK("https://cao.dolgi.msk.ru/account/1011405497/", 1011405497)</f>
        <v>1011405497</v>
      </c>
      <c r="D11261">
        <v>-5277.72</v>
      </c>
    </row>
    <row r="11262" spans="1:4" hidden="1" x14ac:dyDescent="0.3">
      <c r="A11262" t="s">
        <v>848</v>
      </c>
      <c r="B11262" t="s">
        <v>59</v>
      </c>
      <c r="C11262" s="1">
        <f>HYPERLINK("https://cao.dolgi.msk.ru/account/1011405454/", 1011405454)</f>
        <v>1011405454</v>
      </c>
      <c r="D11262">
        <v>0</v>
      </c>
    </row>
    <row r="11263" spans="1:4" hidden="1" x14ac:dyDescent="0.3">
      <c r="A11263" t="s">
        <v>848</v>
      </c>
      <c r="B11263" t="s">
        <v>60</v>
      </c>
      <c r="C11263" s="1">
        <f>HYPERLINK("https://cao.dolgi.msk.ru/account/1011405577/", 1011405577)</f>
        <v>1011405577</v>
      </c>
      <c r="D11263">
        <v>-3579.57</v>
      </c>
    </row>
    <row r="11264" spans="1:4" hidden="1" x14ac:dyDescent="0.3">
      <c r="A11264" t="s">
        <v>848</v>
      </c>
      <c r="B11264" t="s">
        <v>61</v>
      </c>
      <c r="C11264" s="1">
        <f>HYPERLINK("https://cao.dolgi.msk.ru/account/1011405278/", 1011405278)</f>
        <v>1011405278</v>
      </c>
      <c r="D11264">
        <v>-6227.99</v>
      </c>
    </row>
    <row r="11265" spans="1:4" hidden="1" x14ac:dyDescent="0.3">
      <c r="A11265" t="s">
        <v>848</v>
      </c>
      <c r="B11265" t="s">
        <v>62</v>
      </c>
      <c r="C11265" s="1">
        <f>HYPERLINK("https://cao.dolgi.msk.ru/account/1011405622/", 1011405622)</f>
        <v>1011405622</v>
      </c>
      <c r="D11265">
        <v>0</v>
      </c>
    </row>
    <row r="11266" spans="1:4" hidden="1" x14ac:dyDescent="0.3">
      <c r="A11266" t="s">
        <v>848</v>
      </c>
      <c r="B11266" t="s">
        <v>63</v>
      </c>
      <c r="C11266" s="1">
        <f>HYPERLINK("https://cao.dolgi.msk.ru/account/1011405403/", 1011405403)</f>
        <v>1011405403</v>
      </c>
      <c r="D11266">
        <v>-61.45</v>
      </c>
    </row>
    <row r="11267" spans="1:4" x14ac:dyDescent="0.3">
      <c r="A11267" t="s">
        <v>848</v>
      </c>
      <c r="B11267" t="s">
        <v>64</v>
      </c>
      <c r="C11267" s="1">
        <f>HYPERLINK("https://cao.dolgi.msk.ru/account/1011405219/", 1011405219)</f>
        <v>1011405219</v>
      </c>
      <c r="D11267">
        <v>4341.75</v>
      </c>
    </row>
    <row r="11268" spans="1:4" hidden="1" x14ac:dyDescent="0.3">
      <c r="A11268" t="s">
        <v>848</v>
      </c>
      <c r="B11268" t="s">
        <v>65</v>
      </c>
      <c r="C11268" s="1">
        <f>HYPERLINK("https://cao.dolgi.msk.ru/account/1011405147/", 1011405147)</f>
        <v>1011405147</v>
      </c>
      <c r="D11268">
        <v>-11763.28</v>
      </c>
    </row>
    <row r="11269" spans="1:4" hidden="1" x14ac:dyDescent="0.3">
      <c r="A11269" t="s">
        <v>848</v>
      </c>
      <c r="B11269" t="s">
        <v>66</v>
      </c>
      <c r="C11269" s="1">
        <f>HYPERLINK("https://cao.dolgi.msk.ru/account/1011404945/", 1011404945)</f>
        <v>1011404945</v>
      </c>
      <c r="D11269">
        <v>-364.81</v>
      </c>
    </row>
    <row r="11270" spans="1:4" hidden="1" x14ac:dyDescent="0.3">
      <c r="A11270" t="s">
        <v>848</v>
      </c>
      <c r="B11270" t="s">
        <v>67</v>
      </c>
      <c r="C11270" s="1">
        <f>HYPERLINK("https://cao.dolgi.msk.ru/account/1011405585/", 1011405585)</f>
        <v>1011405585</v>
      </c>
      <c r="D11270">
        <v>0</v>
      </c>
    </row>
    <row r="11271" spans="1:4" hidden="1" x14ac:dyDescent="0.3">
      <c r="A11271" t="s">
        <v>848</v>
      </c>
      <c r="B11271" t="s">
        <v>68</v>
      </c>
      <c r="C11271" s="1">
        <f>HYPERLINK("https://cao.dolgi.msk.ru/account/1011405657/", 1011405657)</f>
        <v>1011405657</v>
      </c>
      <c r="D11271">
        <v>0</v>
      </c>
    </row>
    <row r="11272" spans="1:4" hidden="1" x14ac:dyDescent="0.3">
      <c r="A11272" t="s">
        <v>848</v>
      </c>
      <c r="B11272" t="s">
        <v>69</v>
      </c>
      <c r="C11272" s="1">
        <f>HYPERLINK("https://cao.dolgi.msk.ru/account/1011405614/", 1011405614)</f>
        <v>1011405614</v>
      </c>
      <c r="D11272">
        <v>0</v>
      </c>
    </row>
    <row r="11273" spans="1:4" hidden="1" x14ac:dyDescent="0.3">
      <c r="A11273" t="s">
        <v>848</v>
      </c>
      <c r="B11273" t="s">
        <v>70</v>
      </c>
      <c r="C11273" s="1">
        <f>HYPERLINK("https://cao.dolgi.msk.ru/account/1011405227/", 1011405227)</f>
        <v>1011405227</v>
      </c>
      <c r="D11273">
        <v>-3933.32</v>
      </c>
    </row>
    <row r="11274" spans="1:4" hidden="1" x14ac:dyDescent="0.3">
      <c r="A11274" t="s">
        <v>848</v>
      </c>
      <c r="B11274" t="s">
        <v>259</v>
      </c>
      <c r="C11274" s="1">
        <f>HYPERLINK("https://cao.dolgi.msk.ru/account/1011405235/", 1011405235)</f>
        <v>1011405235</v>
      </c>
      <c r="D11274">
        <v>0</v>
      </c>
    </row>
    <row r="11275" spans="1:4" hidden="1" x14ac:dyDescent="0.3">
      <c r="A11275" t="s">
        <v>848</v>
      </c>
      <c r="B11275" t="s">
        <v>100</v>
      </c>
      <c r="C11275" s="1">
        <f>HYPERLINK("https://cao.dolgi.msk.ru/account/1011405593/", 1011405593)</f>
        <v>1011405593</v>
      </c>
      <c r="D11275">
        <v>0</v>
      </c>
    </row>
    <row r="11276" spans="1:4" hidden="1" x14ac:dyDescent="0.3">
      <c r="A11276" t="s">
        <v>848</v>
      </c>
      <c r="B11276" t="s">
        <v>72</v>
      </c>
      <c r="C11276" s="1">
        <f>HYPERLINK("https://cao.dolgi.msk.ru/account/1011405294/", 1011405294)</f>
        <v>1011405294</v>
      </c>
      <c r="D11276">
        <v>0</v>
      </c>
    </row>
    <row r="11277" spans="1:4" x14ac:dyDescent="0.3">
      <c r="A11277" t="s">
        <v>848</v>
      </c>
      <c r="B11277" t="s">
        <v>73</v>
      </c>
      <c r="C11277" s="1">
        <f>HYPERLINK("https://cao.dolgi.msk.ru/account/1011405462/", 1011405462)</f>
        <v>1011405462</v>
      </c>
      <c r="D11277">
        <v>7817.12</v>
      </c>
    </row>
    <row r="11278" spans="1:4" hidden="1" x14ac:dyDescent="0.3">
      <c r="A11278" t="s">
        <v>848</v>
      </c>
      <c r="B11278" t="s">
        <v>74</v>
      </c>
      <c r="C11278" s="1">
        <f>HYPERLINK("https://cao.dolgi.msk.ru/account/1011523522/", 1011523522)</f>
        <v>1011523522</v>
      </c>
      <c r="D11278">
        <v>0</v>
      </c>
    </row>
    <row r="11279" spans="1:4" hidden="1" x14ac:dyDescent="0.3">
      <c r="A11279" t="s">
        <v>848</v>
      </c>
      <c r="B11279" t="s">
        <v>75</v>
      </c>
      <c r="C11279" s="1">
        <f>HYPERLINK("https://cao.dolgi.msk.ru/account/1011405518/", 1011405518)</f>
        <v>1011405518</v>
      </c>
      <c r="D11279">
        <v>0</v>
      </c>
    </row>
    <row r="11280" spans="1:4" hidden="1" x14ac:dyDescent="0.3">
      <c r="A11280" t="s">
        <v>848</v>
      </c>
      <c r="B11280" t="s">
        <v>76</v>
      </c>
      <c r="C11280" s="1">
        <f>HYPERLINK("https://cao.dolgi.msk.ru/account/1011405606/", 1011405606)</f>
        <v>1011405606</v>
      </c>
      <c r="D11280">
        <v>0</v>
      </c>
    </row>
    <row r="11281" spans="1:4" hidden="1" x14ac:dyDescent="0.3">
      <c r="A11281" t="s">
        <v>848</v>
      </c>
      <c r="B11281" t="s">
        <v>77</v>
      </c>
      <c r="C11281" s="1">
        <f>HYPERLINK("https://cao.dolgi.msk.ru/account/1011405198/", 1011405198)</f>
        <v>1011405198</v>
      </c>
      <c r="D11281">
        <v>-30145.98</v>
      </c>
    </row>
    <row r="11282" spans="1:4" hidden="1" x14ac:dyDescent="0.3">
      <c r="A11282" t="s">
        <v>849</v>
      </c>
      <c r="B11282" t="s">
        <v>6</v>
      </c>
      <c r="C11282" s="1">
        <f>HYPERLINK("https://cao.dolgi.msk.ru/account/1011438168/", 1011438168)</f>
        <v>1011438168</v>
      </c>
      <c r="D11282">
        <v>-4146.47</v>
      </c>
    </row>
    <row r="11283" spans="1:4" hidden="1" x14ac:dyDescent="0.3">
      <c r="A11283" t="s">
        <v>849</v>
      </c>
      <c r="B11283" t="s">
        <v>6</v>
      </c>
      <c r="C11283" s="1">
        <f>HYPERLINK("https://cao.dolgi.msk.ru/account/1011438416/", 1011438416)</f>
        <v>1011438416</v>
      </c>
      <c r="D11283">
        <v>0</v>
      </c>
    </row>
    <row r="11284" spans="1:4" hidden="1" x14ac:dyDescent="0.3">
      <c r="A11284" t="s">
        <v>849</v>
      </c>
      <c r="B11284" t="s">
        <v>28</v>
      </c>
      <c r="C11284" s="1">
        <f>HYPERLINK("https://cao.dolgi.msk.ru/account/1011438256/", 1011438256)</f>
        <v>1011438256</v>
      </c>
      <c r="D11284">
        <v>0</v>
      </c>
    </row>
    <row r="11285" spans="1:4" hidden="1" x14ac:dyDescent="0.3">
      <c r="A11285" t="s">
        <v>849</v>
      </c>
      <c r="B11285" t="s">
        <v>35</v>
      </c>
      <c r="C11285" s="1">
        <f>HYPERLINK("https://cao.dolgi.msk.ru/account/1011438328/", 1011438328)</f>
        <v>1011438328</v>
      </c>
      <c r="D11285">
        <v>0</v>
      </c>
    </row>
    <row r="11286" spans="1:4" hidden="1" x14ac:dyDescent="0.3">
      <c r="A11286" t="s">
        <v>849</v>
      </c>
      <c r="B11286" t="s">
        <v>5</v>
      </c>
      <c r="C11286" s="1">
        <f>HYPERLINK("https://cao.dolgi.msk.ru/account/1011438117/", 1011438117)</f>
        <v>1011438117</v>
      </c>
      <c r="D11286">
        <v>-8405.73</v>
      </c>
    </row>
    <row r="11287" spans="1:4" hidden="1" x14ac:dyDescent="0.3">
      <c r="A11287" t="s">
        <v>849</v>
      </c>
      <c r="B11287" t="s">
        <v>7</v>
      </c>
      <c r="C11287" s="1">
        <f>HYPERLINK("https://cao.dolgi.msk.ru/account/1011438029/", 1011438029)</f>
        <v>1011438029</v>
      </c>
      <c r="D11287">
        <v>0</v>
      </c>
    </row>
    <row r="11288" spans="1:4" hidden="1" x14ac:dyDescent="0.3">
      <c r="A11288" t="s">
        <v>849</v>
      </c>
      <c r="B11288" t="s">
        <v>8</v>
      </c>
      <c r="C11288" s="1">
        <f>HYPERLINK("https://cao.dolgi.msk.ru/account/1011438088/", 1011438088)</f>
        <v>1011438088</v>
      </c>
      <c r="D11288">
        <v>-4630</v>
      </c>
    </row>
    <row r="11289" spans="1:4" x14ac:dyDescent="0.3">
      <c r="A11289" t="s">
        <v>849</v>
      </c>
      <c r="B11289" t="s">
        <v>31</v>
      </c>
      <c r="C11289" s="1">
        <f>HYPERLINK("https://cao.dolgi.msk.ru/account/1011438221/", 1011438221)</f>
        <v>1011438221</v>
      </c>
      <c r="D11289">
        <v>38822.519999999997</v>
      </c>
    </row>
    <row r="11290" spans="1:4" hidden="1" x14ac:dyDescent="0.3">
      <c r="A11290" t="s">
        <v>849</v>
      </c>
      <c r="B11290" t="s">
        <v>9</v>
      </c>
      <c r="C11290" s="1">
        <f>HYPERLINK("https://cao.dolgi.msk.ru/account/1011438192/", 1011438192)</f>
        <v>1011438192</v>
      </c>
      <c r="D11290">
        <v>0</v>
      </c>
    </row>
    <row r="11291" spans="1:4" hidden="1" x14ac:dyDescent="0.3">
      <c r="A11291" t="s">
        <v>849</v>
      </c>
      <c r="B11291" t="s">
        <v>10</v>
      </c>
      <c r="C11291" s="1">
        <f>HYPERLINK("https://cao.dolgi.msk.ru/account/1011438459/", 1011438459)</f>
        <v>1011438459</v>
      </c>
      <c r="D11291">
        <v>0</v>
      </c>
    </row>
    <row r="11292" spans="1:4" hidden="1" x14ac:dyDescent="0.3">
      <c r="A11292" t="s">
        <v>849</v>
      </c>
      <c r="B11292" t="s">
        <v>11</v>
      </c>
      <c r="C11292" s="1">
        <f>HYPERLINK("https://cao.dolgi.msk.ru/account/1011438264/", 1011438264)</f>
        <v>1011438264</v>
      </c>
      <c r="D11292">
        <v>-5870.28</v>
      </c>
    </row>
    <row r="11293" spans="1:4" hidden="1" x14ac:dyDescent="0.3">
      <c r="A11293" t="s">
        <v>849</v>
      </c>
      <c r="B11293" t="s">
        <v>12</v>
      </c>
      <c r="C11293" s="1">
        <f>HYPERLINK("https://cao.dolgi.msk.ru/account/1011438248/", 1011438248)</f>
        <v>1011438248</v>
      </c>
      <c r="D11293">
        <v>-9221.25</v>
      </c>
    </row>
    <row r="11294" spans="1:4" hidden="1" x14ac:dyDescent="0.3">
      <c r="A11294" t="s">
        <v>849</v>
      </c>
      <c r="B11294" t="s">
        <v>23</v>
      </c>
      <c r="C11294" s="1">
        <f>HYPERLINK("https://cao.dolgi.msk.ru/account/1011437886/", 1011437886)</f>
        <v>1011437886</v>
      </c>
      <c r="D11294">
        <v>0</v>
      </c>
    </row>
    <row r="11295" spans="1:4" hidden="1" x14ac:dyDescent="0.3">
      <c r="A11295" t="s">
        <v>849</v>
      </c>
      <c r="B11295" t="s">
        <v>13</v>
      </c>
      <c r="C11295" s="1">
        <f>HYPERLINK("https://cao.dolgi.msk.ru/account/1011437915/", 1011437915)</f>
        <v>1011437915</v>
      </c>
      <c r="D11295">
        <v>0</v>
      </c>
    </row>
    <row r="11296" spans="1:4" hidden="1" x14ac:dyDescent="0.3">
      <c r="A11296" t="s">
        <v>849</v>
      </c>
      <c r="B11296" t="s">
        <v>14</v>
      </c>
      <c r="C11296" s="1">
        <f>HYPERLINK("https://cao.dolgi.msk.ru/account/1011438096/", 1011438096)</f>
        <v>1011438096</v>
      </c>
      <c r="D11296">
        <v>-106.88</v>
      </c>
    </row>
    <row r="11297" spans="1:4" x14ac:dyDescent="0.3">
      <c r="A11297" t="s">
        <v>849</v>
      </c>
      <c r="B11297" t="s">
        <v>16</v>
      </c>
      <c r="C11297" s="1">
        <f>HYPERLINK("https://cao.dolgi.msk.ru/account/1011438176/", 1011438176)</f>
        <v>1011438176</v>
      </c>
      <c r="D11297">
        <v>9140.1200000000008</v>
      </c>
    </row>
    <row r="11298" spans="1:4" hidden="1" x14ac:dyDescent="0.3">
      <c r="A11298" t="s">
        <v>849</v>
      </c>
      <c r="B11298" t="s">
        <v>17</v>
      </c>
      <c r="C11298" s="1">
        <f>HYPERLINK("https://cao.dolgi.msk.ru/account/1011438467/", 1011438467)</f>
        <v>1011438467</v>
      </c>
      <c r="D11298">
        <v>-4643.68</v>
      </c>
    </row>
    <row r="11299" spans="1:4" x14ac:dyDescent="0.3">
      <c r="A11299" t="s">
        <v>849</v>
      </c>
      <c r="B11299" t="s">
        <v>18</v>
      </c>
      <c r="C11299" s="1">
        <f>HYPERLINK("https://cao.dolgi.msk.ru/account/1011438301/", 1011438301)</f>
        <v>1011438301</v>
      </c>
      <c r="D11299">
        <v>11398.23</v>
      </c>
    </row>
    <row r="11300" spans="1:4" hidden="1" x14ac:dyDescent="0.3">
      <c r="A11300" t="s">
        <v>849</v>
      </c>
      <c r="B11300" t="s">
        <v>19</v>
      </c>
      <c r="C11300" s="1">
        <f>HYPERLINK("https://cao.dolgi.msk.ru/account/1011438205/", 1011438205)</f>
        <v>1011438205</v>
      </c>
      <c r="D11300">
        <v>-2389.89</v>
      </c>
    </row>
    <row r="11301" spans="1:4" hidden="1" x14ac:dyDescent="0.3">
      <c r="A11301" t="s">
        <v>849</v>
      </c>
      <c r="B11301" t="s">
        <v>20</v>
      </c>
      <c r="C11301" s="1">
        <f>HYPERLINK("https://cao.dolgi.msk.ru/account/1011438475/", 1011438475)</f>
        <v>1011438475</v>
      </c>
      <c r="D11301">
        <v>-9596.73</v>
      </c>
    </row>
    <row r="11302" spans="1:4" hidden="1" x14ac:dyDescent="0.3">
      <c r="A11302" t="s">
        <v>849</v>
      </c>
      <c r="B11302" t="s">
        <v>21</v>
      </c>
      <c r="C11302" s="1">
        <f>HYPERLINK("https://cao.dolgi.msk.ru/account/1011438379/", 1011438379)</f>
        <v>1011438379</v>
      </c>
      <c r="D11302">
        <v>0</v>
      </c>
    </row>
    <row r="11303" spans="1:4" hidden="1" x14ac:dyDescent="0.3">
      <c r="A11303" t="s">
        <v>849</v>
      </c>
      <c r="B11303" t="s">
        <v>22</v>
      </c>
      <c r="C11303" s="1">
        <f>HYPERLINK("https://cao.dolgi.msk.ru/account/1011438424/", 1011438424)</f>
        <v>1011438424</v>
      </c>
      <c r="D11303">
        <v>-8093.79</v>
      </c>
    </row>
    <row r="11304" spans="1:4" hidden="1" x14ac:dyDescent="0.3">
      <c r="A11304" t="s">
        <v>849</v>
      </c>
      <c r="B11304" t="s">
        <v>24</v>
      </c>
      <c r="C11304" s="1">
        <f>HYPERLINK("https://cao.dolgi.msk.ru/account/1011438109/", 1011438109)</f>
        <v>1011438109</v>
      </c>
      <c r="D11304">
        <v>0</v>
      </c>
    </row>
    <row r="11305" spans="1:4" hidden="1" x14ac:dyDescent="0.3">
      <c r="A11305" t="s">
        <v>849</v>
      </c>
      <c r="B11305" t="s">
        <v>25</v>
      </c>
      <c r="C11305" s="1">
        <f>HYPERLINK("https://cao.dolgi.msk.ru/account/1011438352/", 1011438352)</f>
        <v>1011438352</v>
      </c>
      <c r="D11305">
        <v>0</v>
      </c>
    </row>
    <row r="11306" spans="1:4" hidden="1" x14ac:dyDescent="0.3">
      <c r="A11306" t="s">
        <v>849</v>
      </c>
      <c r="B11306" t="s">
        <v>26</v>
      </c>
      <c r="C11306" s="1">
        <f>HYPERLINK("https://cao.dolgi.msk.ru/account/1011438504/", 1011438504)</f>
        <v>1011438504</v>
      </c>
      <c r="D11306">
        <v>0</v>
      </c>
    </row>
    <row r="11307" spans="1:4" hidden="1" x14ac:dyDescent="0.3">
      <c r="A11307" t="s">
        <v>849</v>
      </c>
      <c r="B11307" t="s">
        <v>27</v>
      </c>
      <c r="C11307" s="1">
        <f>HYPERLINK("https://cao.dolgi.msk.ru/account/1011438336/", 1011438336)</f>
        <v>1011438336</v>
      </c>
      <c r="D11307">
        <v>0</v>
      </c>
    </row>
    <row r="11308" spans="1:4" hidden="1" x14ac:dyDescent="0.3">
      <c r="A11308" t="s">
        <v>849</v>
      </c>
      <c r="B11308" t="s">
        <v>29</v>
      </c>
      <c r="C11308" s="1">
        <f>HYPERLINK("https://cao.dolgi.msk.ru/account/1011438432/", 1011438432)</f>
        <v>1011438432</v>
      </c>
      <c r="D11308">
        <v>-6293.93</v>
      </c>
    </row>
    <row r="11309" spans="1:4" hidden="1" x14ac:dyDescent="0.3">
      <c r="A11309" t="s">
        <v>849</v>
      </c>
      <c r="B11309" t="s">
        <v>38</v>
      </c>
      <c r="C11309" s="1">
        <f>HYPERLINK("https://cao.dolgi.msk.ru/account/1011438133/", 1011438133)</f>
        <v>1011438133</v>
      </c>
      <c r="D11309">
        <v>0</v>
      </c>
    </row>
    <row r="11310" spans="1:4" hidden="1" x14ac:dyDescent="0.3">
      <c r="A11310" t="s">
        <v>849</v>
      </c>
      <c r="B11310" t="s">
        <v>39</v>
      </c>
      <c r="C11310" s="1">
        <f>HYPERLINK("https://cao.dolgi.msk.ru/account/1011438184/", 1011438184)</f>
        <v>1011438184</v>
      </c>
      <c r="D11310">
        <v>0</v>
      </c>
    </row>
    <row r="11311" spans="1:4" hidden="1" x14ac:dyDescent="0.3">
      <c r="A11311" t="s">
        <v>849</v>
      </c>
      <c r="B11311" t="s">
        <v>51</v>
      </c>
      <c r="C11311" s="1">
        <f>HYPERLINK("https://cao.dolgi.msk.ru/account/1011438344/", 1011438344)</f>
        <v>1011438344</v>
      </c>
      <c r="D11311">
        <v>0</v>
      </c>
    </row>
    <row r="11312" spans="1:4" hidden="1" x14ac:dyDescent="0.3">
      <c r="A11312" t="s">
        <v>849</v>
      </c>
      <c r="B11312" t="s">
        <v>52</v>
      </c>
      <c r="C11312" s="1">
        <f>HYPERLINK("https://cao.dolgi.msk.ru/account/1011437894/", 1011437894)</f>
        <v>1011437894</v>
      </c>
      <c r="D11312">
        <v>-3634.34</v>
      </c>
    </row>
    <row r="11313" spans="1:4" hidden="1" x14ac:dyDescent="0.3">
      <c r="A11313" t="s">
        <v>849</v>
      </c>
      <c r="B11313" t="s">
        <v>53</v>
      </c>
      <c r="C11313" s="1">
        <f>HYPERLINK("https://cao.dolgi.msk.ru/account/1011437923/", 1011437923)</f>
        <v>1011437923</v>
      </c>
      <c r="D11313">
        <v>0</v>
      </c>
    </row>
    <row r="11314" spans="1:4" hidden="1" x14ac:dyDescent="0.3">
      <c r="A11314" t="s">
        <v>849</v>
      </c>
      <c r="B11314" t="s">
        <v>53</v>
      </c>
      <c r="C11314" s="1">
        <f>HYPERLINK("https://cao.dolgi.msk.ru/account/1011438299/", 1011438299)</f>
        <v>1011438299</v>
      </c>
      <c r="D11314">
        <v>0</v>
      </c>
    </row>
    <row r="11315" spans="1:4" hidden="1" x14ac:dyDescent="0.3">
      <c r="A11315" t="s">
        <v>849</v>
      </c>
      <c r="B11315" t="s">
        <v>54</v>
      </c>
      <c r="C11315" s="1">
        <f>HYPERLINK("https://cao.dolgi.msk.ru/account/1011438387/", 1011438387)</f>
        <v>1011438387</v>
      </c>
      <c r="D11315">
        <v>0</v>
      </c>
    </row>
    <row r="11316" spans="1:4" x14ac:dyDescent="0.3">
      <c r="A11316" t="s">
        <v>849</v>
      </c>
      <c r="B11316" t="s">
        <v>55</v>
      </c>
      <c r="C11316" s="1">
        <f>HYPERLINK("https://cao.dolgi.msk.ru/account/1011438045/", 1011438045)</f>
        <v>1011438045</v>
      </c>
      <c r="D11316">
        <v>5489.59</v>
      </c>
    </row>
    <row r="11317" spans="1:4" hidden="1" x14ac:dyDescent="0.3">
      <c r="A11317" t="s">
        <v>849</v>
      </c>
      <c r="B11317" t="s">
        <v>56</v>
      </c>
      <c r="C11317" s="1">
        <f>HYPERLINK("https://cao.dolgi.msk.ru/account/1011437931/", 1011437931)</f>
        <v>1011437931</v>
      </c>
      <c r="D11317">
        <v>0</v>
      </c>
    </row>
    <row r="11318" spans="1:4" hidden="1" x14ac:dyDescent="0.3">
      <c r="A11318" t="s">
        <v>849</v>
      </c>
      <c r="B11318" t="s">
        <v>87</v>
      </c>
      <c r="C11318" s="1">
        <f>HYPERLINK("https://cao.dolgi.msk.ru/account/1011438491/", 1011438491)</f>
        <v>1011438491</v>
      </c>
      <c r="D11318">
        <v>0</v>
      </c>
    </row>
    <row r="11319" spans="1:4" hidden="1" x14ac:dyDescent="0.3">
      <c r="A11319" t="s">
        <v>849</v>
      </c>
      <c r="B11319" t="s">
        <v>88</v>
      </c>
      <c r="C11319" s="1">
        <f>HYPERLINK("https://cao.dolgi.msk.ru/account/1011437907/", 1011437907)</f>
        <v>1011437907</v>
      </c>
      <c r="D11319">
        <v>-6382.4</v>
      </c>
    </row>
    <row r="11320" spans="1:4" hidden="1" x14ac:dyDescent="0.3">
      <c r="A11320" t="s">
        <v>849</v>
      </c>
      <c r="B11320" t="s">
        <v>89</v>
      </c>
      <c r="C11320" s="1">
        <f>HYPERLINK("https://cao.dolgi.msk.ru/account/1011438037/", 1011438037)</f>
        <v>1011438037</v>
      </c>
      <c r="D11320">
        <v>0</v>
      </c>
    </row>
    <row r="11321" spans="1:4" hidden="1" x14ac:dyDescent="0.3">
      <c r="A11321" t="s">
        <v>849</v>
      </c>
      <c r="B11321" t="s">
        <v>90</v>
      </c>
      <c r="C11321" s="1">
        <f>HYPERLINK("https://cao.dolgi.msk.ru/account/1011437974/", 1011437974)</f>
        <v>1011437974</v>
      </c>
      <c r="D11321">
        <v>0</v>
      </c>
    </row>
    <row r="11322" spans="1:4" hidden="1" x14ac:dyDescent="0.3">
      <c r="A11322" t="s">
        <v>849</v>
      </c>
      <c r="B11322" t="s">
        <v>96</v>
      </c>
      <c r="C11322" s="1">
        <f>HYPERLINK("https://cao.dolgi.msk.ru/account/1011438125/", 1011438125)</f>
        <v>1011438125</v>
      </c>
      <c r="D11322">
        <v>-10912.55</v>
      </c>
    </row>
    <row r="11323" spans="1:4" hidden="1" x14ac:dyDescent="0.3">
      <c r="A11323" t="s">
        <v>849</v>
      </c>
      <c r="B11323" t="s">
        <v>97</v>
      </c>
      <c r="C11323" s="1">
        <f>HYPERLINK("https://cao.dolgi.msk.ru/account/1011437958/", 1011437958)</f>
        <v>1011437958</v>
      </c>
      <c r="D11323">
        <v>-27.27</v>
      </c>
    </row>
    <row r="11324" spans="1:4" x14ac:dyDescent="0.3">
      <c r="A11324" t="s">
        <v>849</v>
      </c>
      <c r="B11324" t="s">
        <v>98</v>
      </c>
      <c r="C11324" s="1">
        <f>HYPERLINK("https://cao.dolgi.msk.ru/account/1011438061/", 1011438061)</f>
        <v>1011438061</v>
      </c>
      <c r="D11324">
        <v>13572.6</v>
      </c>
    </row>
    <row r="11325" spans="1:4" hidden="1" x14ac:dyDescent="0.3">
      <c r="A11325" t="s">
        <v>849</v>
      </c>
      <c r="B11325" t="s">
        <v>58</v>
      </c>
      <c r="C11325" s="1">
        <f>HYPERLINK("https://cao.dolgi.msk.ru/account/1011438213/", 1011438213)</f>
        <v>1011438213</v>
      </c>
      <c r="D11325">
        <v>0</v>
      </c>
    </row>
    <row r="11326" spans="1:4" hidden="1" x14ac:dyDescent="0.3">
      <c r="A11326" t="s">
        <v>849</v>
      </c>
      <c r="B11326" t="s">
        <v>59</v>
      </c>
      <c r="C11326" s="1">
        <f>HYPERLINK("https://cao.dolgi.msk.ru/account/1011437966/", 1011437966)</f>
        <v>1011437966</v>
      </c>
      <c r="D11326">
        <v>0</v>
      </c>
    </row>
    <row r="11327" spans="1:4" hidden="1" x14ac:dyDescent="0.3">
      <c r="A11327" t="s">
        <v>849</v>
      </c>
      <c r="B11327" t="s">
        <v>60</v>
      </c>
      <c r="C11327" s="1">
        <f>HYPERLINK("https://cao.dolgi.msk.ru/account/1011438053/", 1011438053)</f>
        <v>1011438053</v>
      </c>
      <c r="D11327">
        <v>0</v>
      </c>
    </row>
    <row r="11328" spans="1:4" hidden="1" x14ac:dyDescent="0.3">
      <c r="A11328" t="s">
        <v>849</v>
      </c>
      <c r="B11328" t="s">
        <v>61</v>
      </c>
      <c r="C11328" s="1">
        <f>HYPERLINK("https://cao.dolgi.msk.ru/account/1011437982/", 1011437982)</f>
        <v>1011437982</v>
      </c>
      <c r="D11328">
        <v>0</v>
      </c>
    </row>
    <row r="11329" spans="1:4" hidden="1" x14ac:dyDescent="0.3">
      <c r="A11329" t="s">
        <v>849</v>
      </c>
      <c r="B11329" t="s">
        <v>62</v>
      </c>
      <c r="C11329" s="1">
        <f>HYPERLINK("https://cao.dolgi.msk.ru/account/1011438512/", 1011438512)</f>
        <v>1011438512</v>
      </c>
      <c r="D11329">
        <v>-39.71</v>
      </c>
    </row>
    <row r="11330" spans="1:4" x14ac:dyDescent="0.3">
      <c r="A11330" t="s">
        <v>849</v>
      </c>
      <c r="B11330" t="s">
        <v>63</v>
      </c>
      <c r="C11330" s="1">
        <f>HYPERLINK("https://cao.dolgi.msk.ru/account/1011438408/", 1011438408)</f>
        <v>1011438408</v>
      </c>
      <c r="D11330">
        <v>9049.9599999999991</v>
      </c>
    </row>
    <row r="11331" spans="1:4" hidden="1" x14ac:dyDescent="0.3">
      <c r="A11331" t="s">
        <v>849</v>
      </c>
      <c r="B11331" t="s">
        <v>64</v>
      </c>
      <c r="C11331" s="1">
        <f>HYPERLINK("https://cao.dolgi.msk.ru/account/1011438272/", 1011438272)</f>
        <v>1011438272</v>
      </c>
      <c r="D11331">
        <v>0</v>
      </c>
    </row>
    <row r="11332" spans="1:4" x14ac:dyDescent="0.3">
      <c r="A11332" t="s">
        <v>849</v>
      </c>
      <c r="B11332" t="s">
        <v>65</v>
      </c>
      <c r="C11332" s="1">
        <f>HYPERLINK("https://cao.dolgi.msk.ru/account/1011438395/", 1011438395)</f>
        <v>1011438395</v>
      </c>
      <c r="D11332">
        <v>5085.6000000000004</v>
      </c>
    </row>
    <row r="11333" spans="1:4" hidden="1" x14ac:dyDescent="0.3">
      <c r="A11333" t="s">
        <v>849</v>
      </c>
      <c r="B11333" t="s">
        <v>66</v>
      </c>
      <c r="C11333" s="1">
        <f>HYPERLINK("https://cao.dolgi.msk.ru/account/1011438002/", 1011438002)</f>
        <v>1011438002</v>
      </c>
      <c r="D11333">
        <v>0</v>
      </c>
    </row>
    <row r="11334" spans="1:4" hidden="1" x14ac:dyDescent="0.3">
      <c r="A11334" t="s">
        <v>849</v>
      </c>
      <c r="B11334" t="s">
        <v>67</v>
      </c>
      <c r="C11334" s="1">
        <f>HYPERLINK("https://cao.dolgi.msk.ru/account/1011438141/", 1011438141)</f>
        <v>1011438141</v>
      </c>
      <c r="D11334">
        <v>0</v>
      </c>
    </row>
    <row r="11335" spans="1:4" hidden="1" x14ac:dyDescent="0.3">
      <c r="A11335" t="s">
        <v>850</v>
      </c>
      <c r="B11335" t="s">
        <v>5</v>
      </c>
      <c r="C11335" s="1">
        <f>HYPERLINK("https://cao.dolgi.msk.ru/account/1011438555/", 1011438555)</f>
        <v>1011438555</v>
      </c>
      <c r="D11335">
        <v>0</v>
      </c>
    </row>
    <row r="11336" spans="1:4" hidden="1" x14ac:dyDescent="0.3">
      <c r="A11336" t="s">
        <v>850</v>
      </c>
      <c r="B11336" t="s">
        <v>5</v>
      </c>
      <c r="C11336" s="1">
        <f>HYPERLINK("https://cao.dolgi.msk.ru/account/1011438571/", 1011438571)</f>
        <v>1011438571</v>
      </c>
      <c r="D11336">
        <v>0</v>
      </c>
    </row>
    <row r="11337" spans="1:4" x14ac:dyDescent="0.3">
      <c r="A11337" t="s">
        <v>850</v>
      </c>
      <c r="B11337" t="s">
        <v>5</v>
      </c>
      <c r="C11337" s="1">
        <f>HYPERLINK("https://cao.dolgi.msk.ru/account/1011438694/", 1011438694)</f>
        <v>1011438694</v>
      </c>
      <c r="D11337">
        <v>7574.79</v>
      </c>
    </row>
    <row r="11338" spans="1:4" x14ac:dyDescent="0.3">
      <c r="A11338" t="s">
        <v>850</v>
      </c>
      <c r="B11338" t="s">
        <v>5</v>
      </c>
      <c r="C11338" s="1">
        <f>HYPERLINK("https://cao.dolgi.msk.ru/account/1011438758/", 1011438758)</f>
        <v>1011438758</v>
      </c>
      <c r="D11338">
        <v>7444.37</v>
      </c>
    </row>
    <row r="11339" spans="1:4" hidden="1" x14ac:dyDescent="0.3">
      <c r="A11339" t="s">
        <v>850</v>
      </c>
      <c r="B11339" t="s">
        <v>8</v>
      </c>
      <c r="C11339" s="1">
        <f>HYPERLINK("https://cao.dolgi.msk.ru/account/1011438707/", 1011438707)</f>
        <v>1011438707</v>
      </c>
      <c r="D11339">
        <v>0</v>
      </c>
    </row>
    <row r="11340" spans="1:4" hidden="1" x14ac:dyDescent="0.3">
      <c r="A11340" t="s">
        <v>850</v>
      </c>
      <c r="B11340" t="s">
        <v>31</v>
      </c>
      <c r="C11340" s="1">
        <f>HYPERLINK("https://cao.dolgi.msk.ru/account/1011438619/", 1011438619)</f>
        <v>1011438619</v>
      </c>
      <c r="D11340">
        <v>-2263.4499999999998</v>
      </c>
    </row>
    <row r="11341" spans="1:4" x14ac:dyDescent="0.3">
      <c r="A11341" t="s">
        <v>850</v>
      </c>
      <c r="B11341" t="s">
        <v>9</v>
      </c>
      <c r="C11341" s="1">
        <f>HYPERLINK("https://cao.dolgi.msk.ru/account/1011438731/", 1011438731)</f>
        <v>1011438731</v>
      </c>
      <c r="D11341">
        <v>20515.23</v>
      </c>
    </row>
    <row r="11342" spans="1:4" hidden="1" x14ac:dyDescent="0.3">
      <c r="A11342" t="s">
        <v>850</v>
      </c>
      <c r="B11342" t="s">
        <v>10</v>
      </c>
      <c r="C11342" s="1">
        <f>HYPERLINK("https://cao.dolgi.msk.ru/account/1011438563/", 1011438563)</f>
        <v>1011438563</v>
      </c>
      <c r="D11342">
        <v>0</v>
      </c>
    </row>
    <row r="11343" spans="1:4" hidden="1" x14ac:dyDescent="0.3">
      <c r="A11343" t="s">
        <v>850</v>
      </c>
      <c r="B11343" t="s">
        <v>10</v>
      </c>
      <c r="C11343" s="1">
        <f>HYPERLINK("https://cao.dolgi.msk.ru/account/1011438686/", 1011438686)</f>
        <v>1011438686</v>
      </c>
      <c r="D11343">
        <v>-1974.12</v>
      </c>
    </row>
    <row r="11344" spans="1:4" hidden="1" x14ac:dyDescent="0.3">
      <c r="A11344" t="s">
        <v>850</v>
      </c>
      <c r="B11344" t="s">
        <v>10</v>
      </c>
      <c r="C11344" s="1">
        <f>HYPERLINK("https://cao.dolgi.msk.ru/account/1011438715/", 1011438715)</f>
        <v>1011438715</v>
      </c>
      <c r="D11344">
        <v>0</v>
      </c>
    </row>
    <row r="11345" spans="1:4" hidden="1" x14ac:dyDescent="0.3">
      <c r="A11345" t="s">
        <v>850</v>
      </c>
      <c r="B11345" t="s">
        <v>10</v>
      </c>
      <c r="C11345" s="1">
        <f>HYPERLINK("https://cao.dolgi.msk.ru/account/1011438723/", 1011438723)</f>
        <v>1011438723</v>
      </c>
      <c r="D11345">
        <v>0</v>
      </c>
    </row>
    <row r="11346" spans="1:4" hidden="1" x14ac:dyDescent="0.3">
      <c r="A11346" t="s">
        <v>850</v>
      </c>
      <c r="B11346" t="s">
        <v>10</v>
      </c>
      <c r="C11346" s="1">
        <f>HYPERLINK("https://cao.dolgi.msk.ru/account/1011507696/", 1011507696)</f>
        <v>1011507696</v>
      </c>
      <c r="D11346">
        <v>-7079.86</v>
      </c>
    </row>
    <row r="11347" spans="1:4" hidden="1" x14ac:dyDescent="0.3">
      <c r="A11347" t="s">
        <v>850</v>
      </c>
      <c r="B11347" t="s">
        <v>11</v>
      </c>
      <c r="C11347" s="1">
        <f>HYPERLINK("https://cao.dolgi.msk.ru/account/1011438627/", 1011438627)</f>
        <v>1011438627</v>
      </c>
      <c r="D11347">
        <v>-17490</v>
      </c>
    </row>
    <row r="11348" spans="1:4" hidden="1" x14ac:dyDescent="0.3">
      <c r="A11348" t="s">
        <v>850</v>
      </c>
      <c r="B11348" t="s">
        <v>12</v>
      </c>
      <c r="C11348" s="1">
        <f>HYPERLINK("https://cao.dolgi.msk.ru/account/1011438678/", 1011438678)</f>
        <v>1011438678</v>
      </c>
      <c r="D11348">
        <v>0</v>
      </c>
    </row>
    <row r="11349" spans="1:4" hidden="1" x14ac:dyDescent="0.3">
      <c r="A11349" t="s">
        <v>850</v>
      </c>
      <c r="B11349" t="s">
        <v>23</v>
      </c>
      <c r="C11349" s="1">
        <f>HYPERLINK("https://cao.dolgi.msk.ru/account/1011438643/", 1011438643)</f>
        <v>1011438643</v>
      </c>
      <c r="D11349">
        <v>-23281.49</v>
      </c>
    </row>
    <row r="11350" spans="1:4" hidden="1" x14ac:dyDescent="0.3">
      <c r="A11350" t="s">
        <v>850</v>
      </c>
      <c r="B11350" t="s">
        <v>13</v>
      </c>
      <c r="C11350" s="1">
        <f>HYPERLINK("https://cao.dolgi.msk.ru/account/1011438651/", 1011438651)</f>
        <v>1011438651</v>
      </c>
      <c r="D11350">
        <v>-388.91</v>
      </c>
    </row>
    <row r="11351" spans="1:4" hidden="1" x14ac:dyDescent="0.3">
      <c r="A11351" t="s">
        <v>850</v>
      </c>
      <c r="B11351" t="s">
        <v>14</v>
      </c>
      <c r="C11351" s="1">
        <f>HYPERLINK("https://cao.dolgi.msk.ru/account/1011438635/", 1011438635)</f>
        <v>1011438635</v>
      </c>
      <c r="D11351">
        <v>0</v>
      </c>
    </row>
    <row r="11352" spans="1:4" x14ac:dyDescent="0.3">
      <c r="A11352" t="s">
        <v>850</v>
      </c>
      <c r="B11352" t="s">
        <v>16</v>
      </c>
      <c r="C11352" s="1">
        <f>HYPERLINK("https://cao.dolgi.msk.ru/account/1011438539/", 1011438539)</f>
        <v>1011438539</v>
      </c>
      <c r="D11352">
        <v>12315.36</v>
      </c>
    </row>
    <row r="11353" spans="1:4" x14ac:dyDescent="0.3">
      <c r="A11353" t="s">
        <v>850</v>
      </c>
      <c r="B11353" t="s">
        <v>17</v>
      </c>
      <c r="C11353" s="1">
        <f>HYPERLINK("https://cao.dolgi.msk.ru/account/1011438547/", 1011438547)</f>
        <v>1011438547</v>
      </c>
      <c r="D11353">
        <v>32441.69</v>
      </c>
    </row>
    <row r="11354" spans="1:4" hidden="1" x14ac:dyDescent="0.3">
      <c r="A11354" t="s">
        <v>851</v>
      </c>
      <c r="B11354" t="s">
        <v>6</v>
      </c>
      <c r="C11354" s="1">
        <f>HYPERLINK("https://cao.dolgi.msk.ru/account/1010435248/", 1010435248)</f>
        <v>1010435248</v>
      </c>
      <c r="D11354">
        <v>-1529.77</v>
      </c>
    </row>
    <row r="11355" spans="1:4" hidden="1" x14ac:dyDescent="0.3">
      <c r="A11355" t="s">
        <v>851</v>
      </c>
      <c r="B11355" t="s">
        <v>28</v>
      </c>
      <c r="C11355" s="1">
        <f>HYPERLINK("https://cao.dolgi.msk.ru/account/1010435256/", 1010435256)</f>
        <v>1010435256</v>
      </c>
      <c r="D11355">
        <v>0</v>
      </c>
    </row>
    <row r="11356" spans="1:4" hidden="1" x14ac:dyDescent="0.3">
      <c r="A11356" t="s">
        <v>851</v>
      </c>
      <c r="B11356" t="s">
        <v>35</v>
      </c>
      <c r="C11356" s="1">
        <f>HYPERLINK("https://cao.dolgi.msk.ru/account/1010435264/", 1010435264)</f>
        <v>1010435264</v>
      </c>
      <c r="D11356">
        <v>0</v>
      </c>
    </row>
    <row r="11357" spans="1:4" hidden="1" x14ac:dyDescent="0.3">
      <c r="A11357" t="s">
        <v>851</v>
      </c>
      <c r="B11357" t="s">
        <v>5</v>
      </c>
      <c r="C11357" s="1">
        <f>HYPERLINK("https://cao.dolgi.msk.ru/account/1010435272/", 1010435272)</f>
        <v>1010435272</v>
      </c>
      <c r="D11357">
        <v>0</v>
      </c>
    </row>
    <row r="11358" spans="1:4" hidden="1" x14ac:dyDescent="0.3">
      <c r="A11358" t="s">
        <v>851</v>
      </c>
      <c r="B11358" t="s">
        <v>7</v>
      </c>
      <c r="C11358" s="1">
        <f>HYPERLINK("https://cao.dolgi.msk.ru/account/1010435299/", 1010435299)</f>
        <v>1010435299</v>
      </c>
      <c r="D11358">
        <v>-32.270000000000003</v>
      </c>
    </row>
    <row r="11359" spans="1:4" hidden="1" x14ac:dyDescent="0.3">
      <c r="A11359" t="s">
        <v>851</v>
      </c>
      <c r="B11359" t="s">
        <v>8</v>
      </c>
      <c r="C11359" s="1">
        <f>HYPERLINK("https://cao.dolgi.msk.ru/account/1010435301/", 1010435301)</f>
        <v>1010435301</v>
      </c>
      <c r="D11359">
        <v>0</v>
      </c>
    </row>
    <row r="11360" spans="1:4" hidden="1" x14ac:dyDescent="0.3">
      <c r="A11360" t="s">
        <v>851</v>
      </c>
      <c r="B11360" t="s">
        <v>31</v>
      </c>
      <c r="C11360" s="1">
        <f>HYPERLINK("https://cao.dolgi.msk.ru/account/1010435328/", 1010435328)</f>
        <v>1010435328</v>
      </c>
      <c r="D11360">
        <v>0</v>
      </c>
    </row>
    <row r="11361" spans="1:4" hidden="1" x14ac:dyDescent="0.3">
      <c r="A11361" t="s">
        <v>851</v>
      </c>
      <c r="B11361" t="s">
        <v>9</v>
      </c>
      <c r="C11361" s="1">
        <f>HYPERLINK("https://cao.dolgi.msk.ru/account/1010435336/", 1010435336)</f>
        <v>1010435336</v>
      </c>
      <c r="D11361">
        <v>-3399.68</v>
      </c>
    </row>
    <row r="11362" spans="1:4" hidden="1" x14ac:dyDescent="0.3">
      <c r="A11362" t="s">
        <v>851</v>
      </c>
      <c r="B11362" t="s">
        <v>10</v>
      </c>
      <c r="C11362" s="1">
        <f>HYPERLINK("https://cao.dolgi.msk.ru/account/1010435344/", 1010435344)</f>
        <v>1010435344</v>
      </c>
      <c r="D11362">
        <v>0</v>
      </c>
    </row>
    <row r="11363" spans="1:4" hidden="1" x14ac:dyDescent="0.3">
      <c r="A11363" t="s">
        <v>851</v>
      </c>
      <c r="B11363" t="s">
        <v>11</v>
      </c>
      <c r="C11363" s="1">
        <f>HYPERLINK("https://cao.dolgi.msk.ru/account/1010435352/", 1010435352)</f>
        <v>1010435352</v>
      </c>
      <c r="D11363">
        <v>0</v>
      </c>
    </row>
    <row r="11364" spans="1:4" hidden="1" x14ac:dyDescent="0.3">
      <c r="A11364" t="s">
        <v>851</v>
      </c>
      <c r="B11364" t="s">
        <v>12</v>
      </c>
      <c r="C11364" s="1">
        <f>HYPERLINK("https://cao.dolgi.msk.ru/account/1010435379/", 1010435379)</f>
        <v>1010435379</v>
      </c>
      <c r="D11364">
        <v>0</v>
      </c>
    </row>
    <row r="11365" spans="1:4" hidden="1" x14ac:dyDescent="0.3">
      <c r="A11365" t="s">
        <v>851</v>
      </c>
      <c r="B11365" t="s">
        <v>23</v>
      </c>
      <c r="C11365" s="1">
        <f>HYPERLINK("https://cao.dolgi.msk.ru/account/1010435387/", 1010435387)</f>
        <v>1010435387</v>
      </c>
      <c r="D11365">
        <v>0</v>
      </c>
    </row>
    <row r="11366" spans="1:4" hidden="1" x14ac:dyDescent="0.3">
      <c r="A11366" t="s">
        <v>851</v>
      </c>
      <c r="B11366" t="s">
        <v>13</v>
      </c>
      <c r="C11366" s="1">
        <f>HYPERLINK("https://cao.dolgi.msk.ru/account/1010435395/", 1010435395)</f>
        <v>1010435395</v>
      </c>
      <c r="D11366">
        <v>-8053.8</v>
      </c>
    </row>
    <row r="11367" spans="1:4" hidden="1" x14ac:dyDescent="0.3">
      <c r="A11367" t="s">
        <v>851</v>
      </c>
      <c r="B11367" t="s">
        <v>14</v>
      </c>
      <c r="C11367" s="1">
        <f>HYPERLINK("https://cao.dolgi.msk.ru/account/1010435408/", 1010435408)</f>
        <v>1010435408</v>
      </c>
      <c r="D11367">
        <v>0</v>
      </c>
    </row>
    <row r="11368" spans="1:4" hidden="1" x14ac:dyDescent="0.3">
      <c r="A11368" t="s">
        <v>851</v>
      </c>
      <c r="B11368" t="s">
        <v>16</v>
      </c>
      <c r="C11368" s="1">
        <f>HYPERLINK("https://cao.dolgi.msk.ru/account/1010435416/", 1010435416)</f>
        <v>1010435416</v>
      </c>
      <c r="D11368">
        <v>-5333.37</v>
      </c>
    </row>
    <row r="11369" spans="1:4" hidden="1" x14ac:dyDescent="0.3">
      <c r="A11369" t="s">
        <v>851</v>
      </c>
      <c r="B11369" t="s">
        <v>17</v>
      </c>
      <c r="C11369" s="1">
        <f>HYPERLINK("https://cao.dolgi.msk.ru/account/1010435424/", 1010435424)</f>
        <v>1010435424</v>
      </c>
      <c r="D11369">
        <v>0</v>
      </c>
    </row>
    <row r="11370" spans="1:4" hidden="1" x14ac:dyDescent="0.3">
      <c r="A11370" t="s">
        <v>851</v>
      </c>
      <c r="B11370" t="s">
        <v>18</v>
      </c>
      <c r="C11370" s="1">
        <f>HYPERLINK("https://cao.dolgi.msk.ru/account/1010435432/", 1010435432)</f>
        <v>1010435432</v>
      </c>
      <c r="D11370">
        <v>0</v>
      </c>
    </row>
    <row r="11371" spans="1:4" hidden="1" x14ac:dyDescent="0.3">
      <c r="A11371" t="s">
        <v>851</v>
      </c>
      <c r="B11371" t="s">
        <v>19</v>
      </c>
      <c r="C11371" s="1">
        <f>HYPERLINK("https://cao.dolgi.msk.ru/account/1010435459/", 1010435459)</f>
        <v>1010435459</v>
      </c>
      <c r="D11371">
        <v>0</v>
      </c>
    </row>
    <row r="11372" spans="1:4" hidden="1" x14ac:dyDescent="0.3">
      <c r="A11372" t="s">
        <v>851</v>
      </c>
      <c r="B11372" t="s">
        <v>19</v>
      </c>
      <c r="C11372" s="1">
        <f>HYPERLINK("https://cao.dolgi.msk.ru/account/1011049293/", 1011049293)</f>
        <v>1011049293</v>
      </c>
      <c r="D11372">
        <v>-1057.22</v>
      </c>
    </row>
    <row r="11373" spans="1:4" hidden="1" x14ac:dyDescent="0.3">
      <c r="A11373" t="s">
        <v>851</v>
      </c>
      <c r="B11373" t="s">
        <v>20</v>
      </c>
      <c r="C11373" s="1">
        <f>HYPERLINK("https://cao.dolgi.msk.ru/account/1011514909/", 1011514909)</f>
        <v>1011514909</v>
      </c>
      <c r="D11373">
        <v>0</v>
      </c>
    </row>
    <row r="11374" spans="1:4" hidden="1" x14ac:dyDescent="0.3">
      <c r="A11374" t="s">
        <v>851</v>
      </c>
      <c r="B11374" t="s">
        <v>21</v>
      </c>
      <c r="C11374" s="1">
        <f>HYPERLINK("https://cao.dolgi.msk.ru/account/1010435475/", 1010435475)</f>
        <v>1010435475</v>
      </c>
      <c r="D11374">
        <v>0</v>
      </c>
    </row>
    <row r="11375" spans="1:4" hidden="1" x14ac:dyDescent="0.3">
      <c r="A11375" t="s">
        <v>851</v>
      </c>
      <c r="B11375" t="s">
        <v>22</v>
      </c>
      <c r="C11375" s="1">
        <f>HYPERLINK("https://cao.dolgi.msk.ru/account/1010435483/", 1010435483)</f>
        <v>1010435483</v>
      </c>
      <c r="D11375">
        <v>0</v>
      </c>
    </row>
    <row r="11376" spans="1:4" hidden="1" x14ac:dyDescent="0.3">
      <c r="A11376" t="s">
        <v>851</v>
      </c>
      <c r="B11376" t="s">
        <v>24</v>
      </c>
      <c r="C11376" s="1">
        <f>HYPERLINK("https://cao.dolgi.msk.ru/account/1010435491/", 1010435491)</f>
        <v>1010435491</v>
      </c>
      <c r="D11376">
        <v>0</v>
      </c>
    </row>
    <row r="11377" spans="1:4" hidden="1" x14ac:dyDescent="0.3">
      <c r="A11377" t="s">
        <v>851</v>
      </c>
      <c r="B11377" t="s">
        <v>25</v>
      </c>
      <c r="C11377" s="1">
        <f>HYPERLINK("https://cao.dolgi.msk.ru/account/1010435504/", 1010435504)</f>
        <v>1010435504</v>
      </c>
      <c r="D11377">
        <v>0</v>
      </c>
    </row>
    <row r="11378" spans="1:4" x14ac:dyDescent="0.3">
      <c r="A11378" t="s">
        <v>851</v>
      </c>
      <c r="B11378" t="s">
        <v>26</v>
      </c>
      <c r="C11378" s="1">
        <f>HYPERLINK("https://cao.dolgi.msk.ru/account/1010435512/", 1010435512)</f>
        <v>1010435512</v>
      </c>
      <c r="D11378">
        <v>4300.75</v>
      </c>
    </row>
    <row r="11379" spans="1:4" x14ac:dyDescent="0.3">
      <c r="A11379" t="s">
        <v>851</v>
      </c>
      <c r="B11379" t="s">
        <v>27</v>
      </c>
      <c r="C11379" s="1">
        <f>HYPERLINK("https://cao.dolgi.msk.ru/account/1010435539/", 1010435539)</f>
        <v>1010435539</v>
      </c>
      <c r="D11379">
        <v>11029.78</v>
      </c>
    </row>
    <row r="11380" spans="1:4" x14ac:dyDescent="0.3">
      <c r="A11380" t="s">
        <v>851</v>
      </c>
      <c r="B11380" t="s">
        <v>29</v>
      </c>
      <c r="C11380" s="1">
        <f>HYPERLINK("https://cao.dolgi.msk.ru/account/1010435547/", 1010435547)</f>
        <v>1010435547</v>
      </c>
      <c r="D11380">
        <v>30016.16</v>
      </c>
    </row>
    <row r="11381" spans="1:4" hidden="1" x14ac:dyDescent="0.3">
      <c r="A11381" t="s">
        <v>851</v>
      </c>
      <c r="B11381" t="s">
        <v>38</v>
      </c>
      <c r="C11381" s="1">
        <f>HYPERLINK("https://cao.dolgi.msk.ru/account/1010435555/", 1010435555)</f>
        <v>1010435555</v>
      </c>
      <c r="D11381">
        <v>-2307.41</v>
      </c>
    </row>
    <row r="11382" spans="1:4" hidden="1" x14ac:dyDescent="0.3">
      <c r="A11382" t="s">
        <v>851</v>
      </c>
      <c r="B11382" t="s">
        <v>39</v>
      </c>
      <c r="C11382" s="1">
        <f>HYPERLINK("https://cao.dolgi.msk.ru/account/1010435563/", 1010435563)</f>
        <v>1010435563</v>
      </c>
      <c r="D11382">
        <v>-18338.5</v>
      </c>
    </row>
    <row r="11383" spans="1:4" hidden="1" x14ac:dyDescent="0.3">
      <c r="A11383" t="s">
        <v>851</v>
      </c>
      <c r="B11383" t="s">
        <v>40</v>
      </c>
      <c r="C11383" s="1">
        <f>HYPERLINK("https://cao.dolgi.msk.ru/account/1010435571/", 1010435571)</f>
        <v>1010435571</v>
      </c>
      <c r="D11383">
        <v>0</v>
      </c>
    </row>
    <row r="11384" spans="1:4" hidden="1" x14ac:dyDescent="0.3">
      <c r="A11384" t="s">
        <v>851</v>
      </c>
      <c r="B11384" t="s">
        <v>41</v>
      </c>
      <c r="C11384" s="1">
        <f>HYPERLINK("https://cao.dolgi.msk.ru/account/1010435598/", 1010435598)</f>
        <v>1010435598</v>
      </c>
      <c r="D11384">
        <v>0</v>
      </c>
    </row>
    <row r="11385" spans="1:4" hidden="1" x14ac:dyDescent="0.3">
      <c r="A11385" t="s">
        <v>851</v>
      </c>
      <c r="B11385" t="s">
        <v>51</v>
      </c>
      <c r="C11385" s="1">
        <f>HYPERLINK("https://cao.dolgi.msk.ru/account/1010435619/", 1010435619)</f>
        <v>1010435619</v>
      </c>
      <c r="D11385">
        <v>-164.02</v>
      </c>
    </row>
    <row r="11386" spans="1:4" hidden="1" x14ac:dyDescent="0.3">
      <c r="A11386" t="s">
        <v>851</v>
      </c>
      <c r="B11386" t="s">
        <v>52</v>
      </c>
      <c r="C11386" s="1">
        <f>HYPERLINK("https://cao.dolgi.msk.ru/account/1010435627/", 1010435627)</f>
        <v>1010435627</v>
      </c>
      <c r="D11386">
        <v>0</v>
      </c>
    </row>
    <row r="11387" spans="1:4" hidden="1" x14ac:dyDescent="0.3">
      <c r="A11387" t="s">
        <v>851</v>
      </c>
      <c r="B11387" t="s">
        <v>53</v>
      </c>
      <c r="C11387" s="1">
        <f>HYPERLINK("https://cao.dolgi.msk.ru/account/1010435635/", 1010435635)</f>
        <v>1010435635</v>
      </c>
      <c r="D11387">
        <v>-1293.79</v>
      </c>
    </row>
    <row r="11388" spans="1:4" hidden="1" x14ac:dyDescent="0.3">
      <c r="A11388" t="s">
        <v>851</v>
      </c>
      <c r="B11388" t="s">
        <v>54</v>
      </c>
      <c r="C11388" s="1">
        <f>HYPERLINK("https://cao.dolgi.msk.ru/account/1010435643/", 1010435643)</f>
        <v>1010435643</v>
      </c>
      <c r="D11388">
        <v>-34.22</v>
      </c>
    </row>
    <row r="11389" spans="1:4" hidden="1" x14ac:dyDescent="0.3">
      <c r="A11389" t="s">
        <v>851</v>
      </c>
      <c r="B11389" t="s">
        <v>55</v>
      </c>
      <c r="C11389" s="1">
        <f>HYPERLINK("https://cao.dolgi.msk.ru/account/1010435651/", 1010435651)</f>
        <v>1010435651</v>
      </c>
      <c r="D11389">
        <v>0</v>
      </c>
    </row>
    <row r="11390" spans="1:4" hidden="1" x14ac:dyDescent="0.3">
      <c r="A11390" t="s">
        <v>851</v>
      </c>
      <c r="B11390" t="s">
        <v>56</v>
      </c>
      <c r="C11390" s="1">
        <f>HYPERLINK("https://cao.dolgi.msk.ru/account/1010435678/", 1010435678)</f>
        <v>1010435678</v>
      </c>
      <c r="D11390">
        <v>0</v>
      </c>
    </row>
    <row r="11391" spans="1:4" hidden="1" x14ac:dyDescent="0.3">
      <c r="A11391" t="s">
        <v>851</v>
      </c>
      <c r="B11391" t="s">
        <v>87</v>
      </c>
      <c r="C11391" s="1">
        <f>HYPERLINK("https://cao.dolgi.msk.ru/account/1010435686/", 1010435686)</f>
        <v>1010435686</v>
      </c>
      <c r="D11391">
        <v>-0.59</v>
      </c>
    </row>
    <row r="11392" spans="1:4" hidden="1" x14ac:dyDescent="0.3">
      <c r="A11392" t="s">
        <v>851</v>
      </c>
      <c r="B11392" t="s">
        <v>88</v>
      </c>
      <c r="C11392" s="1">
        <f>HYPERLINK("https://cao.dolgi.msk.ru/account/1010435694/", 1010435694)</f>
        <v>1010435694</v>
      </c>
      <c r="D11392">
        <v>-61</v>
      </c>
    </row>
    <row r="11393" spans="1:4" x14ac:dyDescent="0.3">
      <c r="A11393" t="s">
        <v>851</v>
      </c>
      <c r="B11393" t="s">
        <v>89</v>
      </c>
      <c r="C11393" s="1">
        <f>HYPERLINK("https://cao.dolgi.msk.ru/account/1010435707/", 1010435707)</f>
        <v>1010435707</v>
      </c>
      <c r="D11393">
        <v>6975.26</v>
      </c>
    </row>
    <row r="11394" spans="1:4" hidden="1" x14ac:dyDescent="0.3">
      <c r="A11394" t="s">
        <v>851</v>
      </c>
      <c r="B11394" t="s">
        <v>90</v>
      </c>
      <c r="C11394" s="1">
        <f>HYPERLINK("https://cao.dolgi.msk.ru/account/1010435715/", 1010435715)</f>
        <v>1010435715</v>
      </c>
      <c r="D11394">
        <v>0</v>
      </c>
    </row>
    <row r="11395" spans="1:4" hidden="1" x14ac:dyDescent="0.3">
      <c r="A11395" t="s">
        <v>851</v>
      </c>
      <c r="B11395" t="s">
        <v>96</v>
      </c>
      <c r="C11395" s="1">
        <f>HYPERLINK("https://cao.dolgi.msk.ru/account/1010435723/", 1010435723)</f>
        <v>1010435723</v>
      </c>
      <c r="D11395">
        <v>-40.15</v>
      </c>
    </row>
    <row r="11396" spans="1:4" hidden="1" x14ac:dyDescent="0.3">
      <c r="A11396" t="s">
        <v>851</v>
      </c>
      <c r="B11396" t="s">
        <v>97</v>
      </c>
      <c r="C11396" s="1">
        <f>HYPERLINK("https://cao.dolgi.msk.ru/account/1010435731/", 1010435731)</f>
        <v>1010435731</v>
      </c>
      <c r="D11396">
        <v>0</v>
      </c>
    </row>
    <row r="11397" spans="1:4" hidden="1" x14ac:dyDescent="0.3">
      <c r="A11397" t="s">
        <v>851</v>
      </c>
      <c r="B11397" t="s">
        <v>98</v>
      </c>
      <c r="C11397" s="1">
        <f>HYPERLINK("https://cao.dolgi.msk.ru/account/1010435758/", 1010435758)</f>
        <v>1010435758</v>
      </c>
      <c r="D11397">
        <v>-739.74</v>
      </c>
    </row>
    <row r="11398" spans="1:4" x14ac:dyDescent="0.3">
      <c r="A11398" t="s">
        <v>851</v>
      </c>
      <c r="B11398" t="s">
        <v>58</v>
      </c>
      <c r="C11398" s="1">
        <f>HYPERLINK("https://cao.dolgi.msk.ru/account/1010435766/", 1010435766)</f>
        <v>1010435766</v>
      </c>
      <c r="D11398">
        <v>48</v>
      </c>
    </row>
    <row r="11399" spans="1:4" hidden="1" x14ac:dyDescent="0.3">
      <c r="A11399" t="s">
        <v>851</v>
      </c>
      <c r="B11399" t="s">
        <v>59</v>
      </c>
      <c r="C11399" s="1">
        <f>HYPERLINK("https://cao.dolgi.msk.ru/account/1010435774/", 1010435774)</f>
        <v>1010435774</v>
      </c>
      <c r="D11399">
        <v>-7020.98</v>
      </c>
    </row>
    <row r="11400" spans="1:4" hidden="1" x14ac:dyDescent="0.3">
      <c r="A11400" t="s">
        <v>851</v>
      </c>
      <c r="B11400" t="s">
        <v>60</v>
      </c>
      <c r="C11400" s="1">
        <f>HYPERLINK("https://cao.dolgi.msk.ru/account/1010435782/", 1010435782)</f>
        <v>1010435782</v>
      </c>
      <c r="D11400">
        <v>-6212.04</v>
      </c>
    </row>
    <row r="11401" spans="1:4" hidden="1" x14ac:dyDescent="0.3">
      <c r="A11401" t="s">
        <v>851</v>
      </c>
      <c r="B11401" t="s">
        <v>61</v>
      </c>
      <c r="C11401" s="1">
        <f>HYPERLINK("https://cao.dolgi.msk.ru/account/1010435803/", 1010435803)</f>
        <v>1010435803</v>
      </c>
      <c r="D11401">
        <v>-344.04</v>
      </c>
    </row>
    <row r="11402" spans="1:4" hidden="1" x14ac:dyDescent="0.3">
      <c r="A11402" t="s">
        <v>851</v>
      </c>
      <c r="B11402" t="s">
        <v>62</v>
      </c>
      <c r="C11402" s="1">
        <f>HYPERLINK("https://cao.dolgi.msk.ru/account/1010435811/", 1010435811)</f>
        <v>1010435811</v>
      </c>
      <c r="D11402">
        <v>0</v>
      </c>
    </row>
    <row r="11403" spans="1:4" hidden="1" x14ac:dyDescent="0.3">
      <c r="A11403" t="s">
        <v>851</v>
      </c>
      <c r="B11403" t="s">
        <v>63</v>
      </c>
      <c r="C11403" s="1">
        <f>HYPERLINK("https://cao.dolgi.msk.ru/account/1010435838/", 1010435838)</f>
        <v>1010435838</v>
      </c>
      <c r="D11403">
        <v>-12189.88</v>
      </c>
    </row>
    <row r="11404" spans="1:4" x14ac:dyDescent="0.3">
      <c r="A11404" t="s">
        <v>851</v>
      </c>
      <c r="B11404" t="s">
        <v>64</v>
      </c>
      <c r="C11404" s="1">
        <f>HYPERLINK("https://cao.dolgi.msk.ru/account/1010435846/", 1010435846)</f>
        <v>1010435846</v>
      </c>
      <c r="D11404">
        <v>5407.59</v>
      </c>
    </row>
    <row r="11405" spans="1:4" hidden="1" x14ac:dyDescent="0.3">
      <c r="A11405" t="s">
        <v>851</v>
      </c>
      <c r="B11405" t="s">
        <v>65</v>
      </c>
      <c r="C11405" s="1">
        <f>HYPERLINK("https://cao.dolgi.msk.ru/account/1010435854/", 1010435854)</f>
        <v>1010435854</v>
      </c>
      <c r="D11405">
        <v>-1054.74</v>
      </c>
    </row>
    <row r="11406" spans="1:4" hidden="1" x14ac:dyDescent="0.3">
      <c r="A11406" t="s">
        <v>851</v>
      </c>
      <c r="B11406" t="s">
        <v>66</v>
      </c>
      <c r="C11406" s="1">
        <f>HYPERLINK("https://cao.dolgi.msk.ru/account/1010435862/", 1010435862)</f>
        <v>1010435862</v>
      </c>
      <c r="D11406">
        <v>-64</v>
      </c>
    </row>
    <row r="11407" spans="1:4" hidden="1" x14ac:dyDescent="0.3">
      <c r="A11407" t="s">
        <v>851</v>
      </c>
      <c r="B11407" t="s">
        <v>67</v>
      </c>
      <c r="C11407" s="1">
        <f>HYPERLINK("https://cao.dolgi.msk.ru/account/1010435889/", 1010435889)</f>
        <v>1010435889</v>
      </c>
      <c r="D11407">
        <v>-64</v>
      </c>
    </row>
    <row r="11408" spans="1:4" hidden="1" x14ac:dyDescent="0.3">
      <c r="A11408" t="s">
        <v>851</v>
      </c>
      <c r="B11408" t="s">
        <v>68</v>
      </c>
      <c r="C11408" s="1">
        <f>HYPERLINK("https://cao.dolgi.msk.ru/account/1010435897/", 1010435897)</f>
        <v>1010435897</v>
      </c>
      <c r="D11408">
        <v>0</v>
      </c>
    </row>
    <row r="11409" spans="1:4" hidden="1" x14ac:dyDescent="0.3">
      <c r="A11409" t="s">
        <v>851</v>
      </c>
      <c r="B11409" t="s">
        <v>69</v>
      </c>
      <c r="C11409" s="1">
        <f>HYPERLINK("https://cao.dolgi.msk.ru/account/1010435918/", 1010435918)</f>
        <v>1010435918</v>
      </c>
      <c r="D11409">
        <v>-153.57</v>
      </c>
    </row>
    <row r="11410" spans="1:4" hidden="1" x14ac:dyDescent="0.3">
      <c r="A11410" t="s">
        <v>851</v>
      </c>
      <c r="B11410" t="s">
        <v>70</v>
      </c>
      <c r="C11410" s="1">
        <f>HYPERLINK("https://cao.dolgi.msk.ru/account/1010435926/", 1010435926)</f>
        <v>1010435926</v>
      </c>
      <c r="D11410">
        <v>-64</v>
      </c>
    </row>
    <row r="11411" spans="1:4" hidden="1" x14ac:dyDescent="0.3">
      <c r="A11411" t="s">
        <v>851</v>
      </c>
      <c r="B11411" t="s">
        <v>259</v>
      </c>
      <c r="C11411" s="1">
        <f>HYPERLINK("https://cao.dolgi.msk.ru/account/1010435934/", 1010435934)</f>
        <v>1010435934</v>
      </c>
      <c r="D11411">
        <v>-4448</v>
      </c>
    </row>
    <row r="11412" spans="1:4" x14ac:dyDescent="0.3">
      <c r="A11412" t="s">
        <v>851</v>
      </c>
      <c r="B11412" t="s">
        <v>100</v>
      </c>
      <c r="C11412" s="1">
        <f>HYPERLINK("https://cao.dolgi.msk.ru/account/1010435942/", 1010435942)</f>
        <v>1010435942</v>
      </c>
      <c r="D11412">
        <v>155.26</v>
      </c>
    </row>
    <row r="11413" spans="1:4" hidden="1" x14ac:dyDescent="0.3">
      <c r="A11413" t="s">
        <v>851</v>
      </c>
      <c r="B11413" t="s">
        <v>72</v>
      </c>
      <c r="C11413" s="1">
        <f>HYPERLINK("https://cao.dolgi.msk.ru/account/1010435969/", 1010435969)</f>
        <v>1010435969</v>
      </c>
      <c r="D11413">
        <v>-64</v>
      </c>
    </row>
    <row r="11414" spans="1:4" hidden="1" x14ac:dyDescent="0.3">
      <c r="A11414" t="s">
        <v>851</v>
      </c>
      <c r="B11414" t="s">
        <v>73</v>
      </c>
      <c r="C11414" s="1">
        <f>HYPERLINK("https://cao.dolgi.msk.ru/account/1010435977/", 1010435977)</f>
        <v>1010435977</v>
      </c>
      <c r="D11414">
        <v>-1202.24</v>
      </c>
    </row>
    <row r="11415" spans="1:4" x14ac:dyDescent="0.3">
      <c r="A11415" t="s">
        <v>851</v>
      </c>
      <c r="B11415" t="s">
        <v>74</v>
      </c>
      <c r="C11415" s="1">
        <f>HYPERLINK("https://cao.dolgi.msk.ru/account/1010435985/", 1010435985)</f>
        <v>1010435985</v>
      </c>
      <c r="D11415">
        <v>3745.95</v>
      </c>
    </row>
    <row r="11416" spans="1:4" hidden="1" x14ac:dyDescent="0.3">
      <c r="A11416" t="s">
        <v>851</v>
      </c>
      <c r="B11416" t="s">
        <v>74</v>
      </c>
      <c r="C11416" s="1">
        <f>HYPERLINK("https://cao.dolgi.msk.ru/account/1011065795/", 1011065795)</f>
        <v>1011065795</v>
      </c>
      <c r="D11416">
        <v>0</v>
      </c>
    </row>
    <row r="11417" spans="1:4" hidden="1" x14ac:dyDescent="0.3">
      <c r="A11417" t="s">
        <v>851</v>
      </c>
      <c r="B11417" t="s">
        <v>75</v>
      </c>
      <c r="C11417" s="1">
        <f>HYPERLINK("https://cao.dolgi.msk.ru/account/1010435993/", 1010435993)</f>
        <v>1010435993</v>
      </c>
      <c r="D11417">
        <v>-12129.91</v>
      </c>
    </row>
    <row r="11418" spans="1:4" hidden="1" x14ac:dyDescent="0.3">
      <c r="A11418" t="s">
        <v>851</v>
      </c>
      <c r="B11418" t="s">
        <v>76</v>
      </c>
      <c r="C11418" s="1">
        <f>HYPERLINK("https://cao.dolgi.msk.ru/account/1010436005/", 1010436005)</f>
        <v>1010436005</v>
      </c>
      <c r="D11418">
        <v>-64</v>
      </c>
    </row>
    <row r="11419" spans="1:4" hidden="1" x14ac:dyDescent="0.3">
      <c r="A11419" t="s">
        <v>851</v>
      </c>
      <c r="B11419" t="s">
        <v>77</v>
      </c>
      <c r="C11419" s="1">
        <f>HYPERLINK("https://cao.dolgi.msk.ru/account/1010436013/", 1010436013)</f>
        <v>1010436013</v>
      </c>
      <c r="D11419">
        <v>-86.97</v>
      </c>
    </row>
    <row r="11420" spans="1:4" hidden="1" x14ac:dyDescent="0.3">
      <c r="A11420" t="s">
        <v>851</v>
      </c>
      <c r="B11420" t="s">
        <v>78</v>
      </c>
      <c r="C11420" s="1">
        <f>HYPERLINK("https://cao.dolgi.msk.ru/account/1010436021/", 1010436021)</f>
        <v>1010436021</v>
      </c>
      <c r="D11420">
        <v>-64</v>
      </c>
    </row>
    <row r="11421" spans="1:4" hidden="1" x14ac:dyDescent="0.3">
      <c r="A11421" t="s">
        <v>851</v>
      </c>
      <c r="B11421" t="s">
        <v>78</v>
      </c>
      <c r="C11421" s="1">
        <f>HYPERLINK("https://cao.dolgi.msk.ru/account/1019024875/", 1019024875)</f>
        <v>1019024875</v>
      </c>
      <c r="D11421">
        <v>0</v>
      </c>
    </row>
    <row r="11422" spans="1:4" hidden="1" x14ac:dyDescent="0.3">
      <c r="A11422" t="s">
        <v>851</v>
      </c>
      <c r="B11422" t="s">
        <v>79</v>
      </c>
      <c r="C11422" s="1">
        <f>HYPERLINK("https://cao.dolgi.msk.ru/account/1010436048/", 1010436048)</f>
        <v>1010436048</v>
      </c>
      <c r="D11422">
        <v>0</v>
      </c>
    </row>
    <row r="11423" spans="1:4" hidden="1" x14ac:dyDescent="0.3">
      <c r="A11423" t="s">
        <v>851</v>
      </c>
      <c r="B11423" t="s">
        <v>80</v>
      </c>
      <c r="C11423" s="1">
        <f>HYPERLINK("https://cao.dolgi.msk.ru/account/1010436056/", 1010436056)</f>
        <v>1010436056</v>
      </c>
      <c r="D11423">
        <v>-64</v>
      </c>
    </row>
    <row r="11424" spans="1:4" hidden="1" x14ac:dyDescent="0.3">
      <c r="A11424" t="s">
        <v>851</v>
      </c>
      <c r="B11424" t="s">
        <v>81</v>
      </c>
      <c r="C11424" s="1">
        <f>HYPERLINK("https://cao.dolgi.msk.ru/account/1010436064/", 1010436064)</f>
        <v>1010436064</v>
      </c>
      <c r="D11424">
        <v>-64</v>
      </c>
    </row>
    <row r="11425" spans="1:4" hidden="1" x14ac:dyDescent="0.3">
      <c r="A11425" t="s">
        <v>851</v>
      </c>
      <c r="B11425" t="s">
        <v>101</v>
      </c>
      <c r="C11425" s="1">
        <f>HYPERLINK("https://cao.dolgi.msk.ru/account/1010436072/", 1010436072)</f>
        <v>1010436072</v>
      </c>
      <c r="D11425">
        <v>0</v>
      </c>
    </row>
    <row r="11426" spans="1:4" hidden="1" x14ac:dyDescent="0.3">
      <c r="A11426" t="s">
        <v>851</v>
      </c>
      <c r="B11426" t="s">
        <v>82</v>
      </c>
      <c r="C11426" s="1">
        <f>HYPERLINK("https://cao.dolgi.msk.ru/account/1010436099/", 1010436099)</f>
        <v>1010436099</v>
      </c>
      <c r="D11426">
        <v>-64</v>
      </c>
    </row>
    <row r="11427" spans="1:4" x14ac:dyDescent="0.3">
      <c r="A11427" t="s">
        <v>851</v>
      </c>
      <c r="B11427" t="s">
        <v>83</v>
      </c>
      <c r="C11427" s="1">
        <f>HYPERLINK("https://cao.dolgi.msk.ru/account/1010436101/", 1010436101)</f>
        <v>1010436101</v>
      </c>
      <c r="D11427">
        <v>12162.65</v>
      </c>
    </row>
    <row r="11428" spans="1:4" hidden="1" x14ac:dyDescent="0.3">
      <c r="A11428" t="s">
        <v>851</v>
      </c>
      <c r="B11428" t="s">
        <v>84</v>
      </c>
      <c r="C11428" s="1">
        <f>HYPERLINK("https://cao.dolgi.msk.ru/account/1010436128/", 1010436128)</f>
        <v>1010436128</v>
      </c>
      <c r="D11428">
        <v>-143.65</v>
      </c>
    </row>
    <row r="11429" spans="1:4" hidden="1" x14ac:dyDescent="0.3">
      <c r="A11429" t="s">
        <v>851</v>
      </c>
      <c r="B11429" t="s">
        <v>85</v>
      </c>
      <c r="C11429" s="1">
        <f>HYPERLINK("https://cao.dolgi.msk.ru/account/1010436136/", 1010436136)</f>
        <v>1010436136</v>
      </c>
      <c r="D11429">
        <v>-64</v>
      </c>
    </row>
    <row r="11430" spans="1:4" hidden="1" x14ac:dyDescent="0.3">
      <c r="A11430" t="s">
        <v>851</v>
      </c>
      <c r="B11430" t="s">
        <v>102</v>
      </c>
      <c r="C11430" s="1">
        <f>HYPERLINK("https://cao.dolgi.msk.ru/account/1010436144/", 1010436144)</f>
        <v>1010436144</v>
      </c>
      <c r="D11430">
        <v>-86.42</v>
      </c>
    </row>
    <row r="11431" spans="1:4" hidden="1" x14ac:dyDescent="0.3">
      <c r="A11431" t="s">
        <v>851</v>
      </c>
      <c r="B11431" t="s">
        <v>103</v>
      </c>
      <c r="C11431" s="1">
        <f>HYPERLINK("https://cao.dolgi.msk.ru/account/1010436152/", 1010436152)</f>
        <v>1010436152</v>
      </c>
      <c r="D11431">
        <v>-64</v>
      </c>
    </row>
    <row r="11432" spans="1:4" hidden="1" x14ac:dyDescent="0.3">
      <c r="A11432" t="s">
        <v>851</v>
      </c>
      <c r="B11432" t="s">
        <v>104</v>
      </c>
      <c r="C11432" s="1">
        <f>HYPERLINK("https://cao.dolgi.msk.ru/account/1010436179/", 1010436179)</f>
        <v>1010436179</v>
      </c>
      <c r="D11432">
        <v>-64</v>
      </c>
    </row>
    <row r="11433" spans="1:4" hidden="1" x14ac:dyDescent="0.3">
      <c r="A11433" t="s">
        <v>851</v>
      </c>
      <c r="B11433" t="s">
        <v>105</v>
      </c>
      <c r="C11433" s="1">
        <f>HYPERLINK("https://cao.dolgi.msk.ru/account/1010436187/", 1010436187)</f>
        <v>1010436187</v>
      </c>
      <c r="D11433">
        <v>-6227.36</v>
      </c>
    </row>
    <row r="11434" spans="1:4" hidden="1" x14ac:dyDescent="0.3">
      <c r="A11434" t="s">
        <v>851</v>
      </c>
      <c r="B11434" t="s">
        <v>106</v>
      </c>
      <c r="C11434" s="1">
        <f>HYPERLINK("https://cao.dolgi.msk.ru/account/1010436195/", 1010436195)</f>
        <v>1010436195</v>
      </c>
      <c r="D11434">
        <v>-5392.71</v>
      </c>
    </row>
    <row r="11435" spans="1:4" hidden="1" x14ac:dyDescent="0.3">
      <c r="A11435" t="s">
        <v>851</v>
      </c>
      <c r="B11435" t="s">
        <v>107</v>
      </c>
      <c r="C11435" s="1">
        <f>HYPERLINK("https://cao.dolgi.msk.ru/account/1010436208/", 1010436208)</f>
        <v>1010436208</v>
      </c>
      <c r="D11435">
        <v>-64</v>
      </c>
    </row>
    <row r="11436" spans="1:4" hidden="1" x14ac:dyDescent="0.3">
      <c r="A11436" t="s">
        <v>851</v>
      </c>
      <c r="B11436" t="s">
        <v>108</v>
      </c>
      <c r="C11436" s="1">
        <f>HYPERLINK("https://cao.dolgi.msk.ru/account/1010436216/", 1010436216)</f>
        <v>1010436216</v>
      </c>
      <c r="D11436">
        <v>-9224.58</v>
      </c>
    </row>
    <row r="11437" spans="1:4" hidden="1" x14ac:dyDescent="0.3">
      <c r="A11437" t="s">
        <v>851</v>
      </c>
      <c r="B11437" t="s">
        <v>109</v>
      </c>
      <c r="C11437" s="1">
        <f>HYPERLINK("https://cao.dolgi.msk.ru/account/1010436224/", 1010436224)</f>
        <v>1010436224</v>
      </c>
      <c r="D11437">
        <v>-151.83000000000001</v>
      </c>
    </row>
    <row r="11438" spans="1:4" hidden="1" x14ac:dyDescent="0.3">
      <c r="A11438" t="s">
        <v>851</v>
      </c>
      <c r="B11438" t="s">
        <v>110</v>
      </c>
      <c r="C11438" s="1">
        <f>HYPERLINK("https://cao.dolgi.msk.ru/account/1010436232/", 1010436232)</f>
        <v>1010436232</v>
      </c>
      <c r="D11438">
        <v>-116.74</v>
      </c>
    </row>
    <row r="11439" spans="1:4" hidden="1" x14ac:dyDescent="0.3">
      <c r="A11439" t="s">
        <v>851</v>
      </c>
      <c r="B11439" t="s">
        <v>111</v>
      </c>
      <c r="C11439" s="1">
        <f>HYPERLINK("https://cao.dolgi.msk.ru/account/1010436259/", 1010436259)</f>
        <v>1010436259</v>
      </c>
      <c r="D11439">
        <v>-169.02</v>
      </c>
    </row>
    <row r="11440" spans="1:4" hidden="1" x14ac:dyDescent="0.3">
      <c r="A11440" t="s">
        <v>851</v>
      </c>
      <c r="B11440" t="s">
        <v>112</v>
      </c>
      <c r="C11440" s="1">
        <f>HYPERLINK("https://cao.dolgi.msk.ru/account/1010436267/", 1010436267)</f>
        <v>1010436267</v>
      </c>
      <c r="D11440">
        <v>-141.88</v>
      </c>
    </row>
    <row r="11441" spans="1:4" hidden="1" x14ac:dyDescent="0.3">
      <c r="A11441" t="s">
        <v>851</v>
      </c>
      <c r="B11441" t="s">
        <v>113</v>
      </c>
      <c r="C11441" s="1">
        <f>HYPERLINK("https://cao.dolgi.msk.ru/account/1010436275/", 1010436275)</f>
        <v>1010436275</v>
      </c>
      <c r="D11441">
        <v>-64.010000000000005</v>
      </c>
    </row>
    <row r="11442" spans="1:4" hidden="1" x14ac:dyDescent="0.3">
      <c r="A11442" t="s">
        <v>851</v>
      </c>
      <c r="B11442" t="s">
        <v>114</v>
      </c>
      <c r="C11442" s="1">
        <f>HYPERLINK("https://cao.dolgi.msk.ru/account/1010436283/", 1010436283)</f>
        <v>1010436283</v>
      </c>
      <c r="D11442">
        <v>-5992.18</v>
      </c>
    </row>
    <row r="11443" spans="1:4" hidden="1" x14ac:dyDescent="0.3">
      <c r="A11443" t="s">
        <v>851</v>
      </c>
      <c r="B11443" t="s">
        <v>115</v>
      </c>
      <c r="C11443" s="1">
        <f>HYPERLINK("https://cao.dolgi.msk.ru/account/1010436291/", 1010436291)</f>
        <v>1010436291</v>
      </c>
      <c r="D11443">
        <v>-64</v>
      </c>
    </row>
    <row r="11444" spans="1:4" hidden="1" x14ac:dyDescent="0.3">
      <c r="A11444" t="s">
        <v>851</v>
      </c>
      <c r="B11444" t="s">
        <v>116</v>
      </c>
      <c r="C11444" s="1">
        <f>HYPERLINK("https://cao.dolgi.msk.ru/account/1010436304/", 1010436304)</f>
        <v>1010436304</v>
      </c>
      <c r="D11444">
        <v>0</v>
      </c>
    </row>
    <row r="11445" spans="1:4" hidden="1" x14ac:dyDescent="0.3">
      <c r="A11445" t="s">
        <v>851</v>
      </c>
      <c r="B11445" t="s">
        <v>266</v>
      </c>
      <c r="C11445" s="1">
        <f>HYPERLINK("https://cao.dolgi.msk.ru/account/1010436312/", 1010436312)</f>
        <v>1010436312</v>
      </c>
      <c r="D11445">
        <v>-580.1</v>
      </c>
    </row>
    <row r="11446" spans="1:4" hidden="1" x14ac:dyDescent="0.3">
      <c r="A11446" t="s">
        <v>851</v>
      </c>
      <c r="B11446" t="s">
        <v>117</v>
      </c>
      <c r="C11446" s="1">
        <f>HYPERLINK("https://cao.dolgi.msk.ru/account/1010436339/", 1010436339)</f>
        <v>1010436339</v>
      </c>
      <c r="D11446">
        <v>-64</v>
      </c>
    </row>
    <row r="11447" spans="1:4" hidden="1" x14ac:dyDescent="0.3">
      <c r="A11447" t="s">
        <v>851</v>
      </c>
      <c r="B11447" t="s">
        <v>118</v>
      </c>
      <c r="C11447" s="1">
        <f>HYPERLINK("https://cao.dolgi.msk.ru/account/1010436347/", 1010436347)</f>
        <v>1010436347</v>
      </c>
      <c r="D11447">
        <v>-6709.82</v>
      </c>
    </row>
    <row r="11448" spans="1:4" hidden="1" x14ac:dyDescent="0.3">
      <c r="A11448" t="s">
        <v>851</v>
      </c>
      <c r="B11448" t="s">
        <v>119</v>
      </c>
      <c r="C11448" s="1">
        <f>HYPERLINK("https://cao.dolgi.msk.ru/account/1010436355/", 1010436355)</f>
        <v>1010436355</v>
      </c>
      <c r="D11448">
        <v>-64</v>
      </c>
    </row>
    <row r="11449" spans="1:4" hidden="1" x14ac:dyDescent="0.3">
      <c r="A11449" t="s">
        <v>851</v>
      </c>
      <c r="B11449" t="s">
        <v>120</v>
      </c>
      <c r="C11449" s="1">
        <f>HYPERLINK("https://cao.dolgi.msk.ru/account/1010436363/", 1010436363)</f>
        <v>1010436363</v>
      </c>
      <c r="D11449">
        <v>-874.75</v>
      </c>
    </row>
    <row r="11450" spans="1:4" hidden="1" x14ac:dyDescent="0.3">
      <c r="A11450" t="s">
        <v>851</v>
      </c>
      <c r="B11450" t="s">
        <v>121</v>
      </c>
      <c r="C11450" s="1">
        <f>HYPERLINK("https://cao.dolgi.msk.ru/account/1010436371/", 1010436371)</f>
        <v>1010436371</v>
      </c>
      <c r="D11450">
        <v>-6278.01</v>
      </c>
    </row>
    <row r="11451" spans="1:4" hidden="1" x14ac:dyDescent="0.3">
      <c r="A11451" t="s">
        <v>851</v>
      </c>
      <c r="B11451" t="s">
        <v>122</v>
      </c>
      <c r="C11451" s="1">
        <f>HYPERLINK("https://cao.dolgi.msk.ru/account/1010436398/", 1010436398)</f>
        <v>1010436398</v>
      </c>
      <c r="D11451">
        <v>-64</v>
      </c>
    </row>
    <row r="11452" spans="1:4" x14ac:dyDescent="0.3">
      <c r="A11452" t="s">
        <v>851</v>
      </c>
      <c r="B11452" t="s">
        <v>123</v>
      </c>
      <c r="C11452" s="1">
        <f>HYPERLINK("https://cao.dolgi.msk.ru/account/1010436419/", 1010436419)</f>
        <v>1010436419</v>
      </c>
      <c r="D11452">
        <v>6732.65</v>
      </c>
    </row>
    <row r="11453" spans="1:4" hidden="1" x14ac:dyDescent="0.3">
      <c r="A11453" t="s">
        <v>851</v>
      </c>
      <c r="B11453" t="s">
        <v>124</v>
      </c>
      <c r="C11453" s="1">
        <f>HYPERLINK("https://cao.dolgi.msk.ru/account/1011515741/", 1011515741)</f>
        <v>1011515741</v>
      </c>
      <c r="D11453">
        <v>-181.68</v>
      </c>
    </row>
    <row r="11454" spans="1:4" hidden="1" x14ac:dyDescent="0.3">
      <c r="A11454" t="s">
        <v>851</v>
      </c>
      <c r="B11454" t="s">
        <v>125</v>
      </c>
      <c r="C11454" s="1">
        <f>HYPERLINK("https://cao.dolgi.msk.ru/account/1010436435/", 1010436435)</f>
        <v>1010436435</v>
      </c>
      <c r="D11454">
        <v>-4202.24</v>
      </c>
    </row>
    <row r="11455" spans="1:4" hidden="1" x14ac:dyDescent="0.3">
      <c r="A11455" t="s">
        <v>851</v>
      </c>
      <c r="B11455" t="s">
        <v>126</v>
      </c>
      <c r="C11455" s="1">
        <f>HYPERLINK("https://cao.dolgi.msk.ru/account/1010436443/", 1010436443)</f>
        <v>1010436443</v>
      </c>
      <c r="D11455">
        <v>-92.08</v>
      </c>
    </row>
    <row r="11456" spans="1:4" hidden="1" x14ac:dyDescent="0.3">
      <c r="A11456" t="s">
        <v>851</v>
      </c>
      <c r="B11456" t="s">
        <v>127</v>
      </c>
      <c r="C11456" s="1">
        <f>HYPERLINK("https://cao.dolgi.msk.ru/account/1010436451/", 1010436451)</f>
        <v>1010436451</v>
      </c>
      <c r="D11456">
        <v>-110.02</v>
      </c>
    </row>
    <row r="11457" spans="1:4" hidden="1" x14ac:dyDescent="0.3">
      <c r="A11457" t="s">
        <v>851</v>
      </c>
      <c r="B11457" t="s">
        <v>262</v>
      </c>
      <c r="C11457" s="1">
        <f>HYPERLINK("https://cao.dolgi.msk.ru/account/1010839744/", 1010839744)</f>
        <v>1010839744</v>
      </c>
      <c r="D11457">
        <v>-64</v>
      </c>
    </row>
    <row r="11458" spans="1:4" hidden="1" x14ac:dyDescent="0.3">
      <c r="A11458" t="s">
        <v>851</v>
      </c>
      <c r="B11458" t="s">
        <v>128</v>
      </c>
      <c r="C11458" s="1">
        <f>HYPERLINK("https://cao.dolgi.msk.ru/account/1010436486/", 1010436486)</f>
        <v>1010436486</v>
      </c>
      <c r="D11458">
        <v>-64</v>
      </c>
    </row>
    <row r="11459" spans="1:4" hidden="1" x14ac:dyDescent="0.3">
      <c r="A11459" t="s">
        <v>851</v>
      </c>
      <c r="B11459" t="s">
        <v>129</v>
      </c>
      <c r="C11459" s="1">
        <f>HYPERLINK("https://cao.dolgi.msk.ru/account/1010437008/", 1010437008)</f>
        <v>1010437008</v>
      </c>
      <c r="D11459">
        <v>-6997.96</v>
      </c>
    </row>
    <row r="11460" spans="1:4" hidden="1" x14ac:dyDescent="0.3">
      <c r="A11460" t="s">
        <v>851</v>
      </c>
      <c r="B11460" t="s">
        <v>130</v>
      </c>
      <c r="C11460" s="1">
        <f>HYPERLINK("https://cao.dolgi.msk.ru/account/1010436507/", 1010436507)</f>
        <v>1010436507</v>
      </c>
      <c r="D11460">
        <v>-61376.77</v>
      </c>
    </row>
    <row r="11461" spans="1:4" x14ac:dyDescent="0.3">
      <c r="A11461" t="s">
        <v>851</v>
      </c>
      <c r="B11461" t="s">
        <v>131</v>
      </c>
      <c r="C11461" s="1">
        <f>HYPERLINK("https://cao.dolgi.msk.ru/account/1010436515/", 1010436515)</f>
        <v>1010436515</v>
      </c>
      <c r="D11461">
        <v>7675.16</v>
      </c>
    </row>
    <row r="11462" spans="1:4" x14ac:dyDescent="0.3">
      <c r="A11462" t="s">
        <v>851</v>
      </c>
      <c r="B11462" t="s">
        <v>132</v>
      </c>
      <c r="C11462" s="1">
        <f>HYPERLINK("https://cao.dolgi.msk.ru/account/1010436523/", 1010436523)</f>
        <v>1010436523</v>
      </c>
      <c r="D11462">
        <v>82.87</v>
      </c>
    </row>
    <row r="11463" spans="1:4" hidden="1" x14ac:dyDescent="0.3">
      <c r="A11463" t="s">
        <v>851</v>
      </c>
      <c r="B11463" t="s">
        <v>133</v>
      </c>
      <c r="C11463" s="1">
        <f>HYPERLINK("https://cao.dolgi.msk.ru/account/1010436531/", 1010436531)</f>
        <v>1010436531</v>
      </c>
      <c r="D11463">
        <v>-274.60000000000002</v>
      </c>
    </row>
    <row r="11464" spans="1:4" hidden="1" x14ac:dyDescent="0.3">
      <c r="A11464" t="s">
        <v>851</v>
      </c>
      <c r="B11464" t="s">
        <v>134</v>
      </c>
      <c r="C11464" s="1">
        <f>HYPERLINK("https://cao.dolgi.msk.ru/account/1010436558/", 1010436558)</f>
        <v>1010436558</v>
      </c>
      <c r="D11464">
        <v>-7504.05</v>
      </c>
    </row>
    <row r="11465" spans="1:4" hidden="1" x14ac:dyDescent="0.3">
      <c r="A11465" t="s">
        <v>851</v>
      </c>
      <c r="B11465" t="s">
        <v>135</v>
      </c>
      <c r="C11465" s="1">
        <f>HYPERLINK("https://cao.dolgi.msk.ru/account/1010436566/", 1010436566)</f>
        <v>1010436566</v>
      </c>
      <c r="D11465">
        <v>-98.22</v>
      </c>
    </row>
    <row r="11466" spans="1:4" hidden="1" x14ac:dyDescent="0.3">
      <c r="A11466" t="s">
        <v>851</v>
      </c>
      <c r="B11466" t="s">
        <v>264</v>
      </c>
      <c r="C11466" s="1">
        <f>HYPERLINK("https://cao.dolgi.msk.ru/account/1010436574/", 1010436574)</f>
        <v>1010436574</v>
      </c>
      <c r="D11466">
        <v>-64</v>
      </c>
    </row>
    <row r="11467" spans="1:4" hidden="1" x14ac:dyDescent="0.3">
      <c r="A11467" t="s">
        <v>851</v>
      </c>
      <c r="B11467" t="s">
        <v>136</v>
      </c>
      <c r="C11467" s="1">
        <f>HYPERLINK("https://cao.dolgi.msk.ru/account/1010436996/", 1010436996)</f>
        <v>1010436996</v>
      </c>
      <c r="D11467">
        <v>-64</v>
      </c>
    </row>
    <row r="11468" spans="1:4" hidden="1" x14ac:dyDescent="0.3">
      <c r="A11468" t="s">
        <v>851</v>
      </c>
      <c r="B11468" t="s">
        <v>137</v>
      </c>
      <c r="C11468" s="1">
        <f>HYPERLINK("https://cao.dolgi.msk.ru/account/1010436582/", 1010436582)</f>
        <v>1010436582</v>
      </c>
      <c r="D11468">
        <v>-64</v>
      </c>
    </row>
    <row r="11469" spans="1:4" hidden="1" x14ac:dyDescent="0.3">
      <c r="A11469" t="s">
        <v>851</v>
      </c>
      <c r="B11469" t="s">
        <v>138</v>
      </c>
      <c r="C11469" s="1">
        <f>HYPERLINK("https://cao.dolgi.msk.ru/account/1010436603/", 1010436603)</f>
        <v>1010436603</v>
      </c>
      <c r="D11469">
        <v>-294</v>
      </c>
    </row>
    <row r="11470" spans="1:4" hidden="1" x14ac:dyDescent="0.3">
      <c r="A11470" t="s">
        <v>851</v>
      </c>
      <c r="B11470" t="s">
        <v>139</v>
      </c>
      <c r="C11470" s="1">
        <f>HYPERLINK("https://cao.dolgi.msk.ru/account/1010436611/", 1010436611)</f>
        <v>1010436611</v>
      </c>
      <c r="D11470">
        <v>-64</v>
      </c>
    </row>
    <row r="11471" spans="1:4" hidden="1" x14ac:dyDescent="0.3">
      <c r="A11471" t="s">
        <v>851</v>
      </c>
      <c r="B11471" t="s">
        <v>140</v>
      </c>
      <c r="C11471" s="1">
        <f>HYPERLINK("https://cao.dolgi.msk.ru/account/1010436638/", 1010436638)</f>
        <v>1010436638</v>
      </c>
      <c r="D11471">
        <v>-230</v>
      </c>
    </row>
    <row r="11472" spans="1:4" hidden="1" x14ac:dyDescent="0.3">
      <c r="A11472" t="s">
        <v>851</v>
      </c>
      <c r="B11472" t="s">
        <v>141</v>
      </c>
      <c r="C11472" s="1">
        <f>HYPERLINK("https://cao.dolgi.msk.ru/account/1010436646/", 1010436646)</f>
        <v>1010436646</v>
      </c>
      <c r="D11472">
        <v>-102.24</v>
      </c>
    </row>
    <row r="11473" spans="1:4" hidden="1" x14ac:dyDescent="0.3">
      <c r="A11473" t="s">
        <v>851</v>
      </c>
      <c r="B11473" t="s">
        <v>142</v>
      </c>
      <c r="C11473" s="1">
        <f>HYPERLINK("https://cao.dolgi.msk.ru/account/1010436654/", 1010436654)</f>
        <v>1010436654</v>
      </c>
      <c r="D11473">
        <v>-64</v>
      </c>
    </row>
    <row r="11474" spans="1:4" hidden="1" x14ac:dyDescent="0.3">
      <c r="A11474" t="s">
        <v>851</v>
      </c>
      <c r="B11474" t="s">
        <v>143</v>
      </c>
      <c r="C11474" s="1">
        <f>HYPERLINK("https://cao.dolgi.msk.ru/account/1010436662/", 1010436662)</f>
        <v>1010436662</v>
      </c>
      <c r="D11474">
        <v>-64</v>
      </c>
    </row>
    <row r="11475" spans="1:4" hidden="1" x14ac:dyDescent="0.3">
      <c r="A11475" t="s">
        <v>851</v>
      </c>
      <c r="B11475" t="s">
        <v>144</v>
      </c>
      <c r="C11475" s="1">
        <f>HYPERLINK("https://cao.dolgi.msk.ru/account/1010436689/", 1010436689)</f>
        <v>1010436689</v>
      </c>
      <c r="D11475">
        <v>-64</v>
      </c>
    </row>
    <row r="11476" spans="1:4" x14ac:dyDescent="0.3">
      <c r="A11476" t="s">
        <v>851</v>
      </c>
      <c r="B11476" t="s">
        <v>145</v>
      </c>
      <c r="C11476" s="1">
        <f>HYPERLINK("https://cao.dolgi.msk.ru/account/1010436697/", 1010436697)</f>
        <v>1010436697</v>
      </c>
      <c r="D11476">
        <v>10172.219999999999</v>
      </c>
    </row>
    <row r="11477" spans="1:4" x14ac:dyDescent="0.3">
      <c r="A11477" t="s">
        <v>851</v>
      </c>
      <c r="B11477" t="s">
        <v>146</v>
      </c>
      <c r="C11477" s="1">
        <f>HYPERLINK("https://cao.dolgi.msk.ru/account/1010436718/", 1010436718)</f>
        <v>1010436718</v>
      </c>
      <c r="D11477">
        <v>753.07</v>
      </c>
    </row>
    <row r="11478" spans="1:4" hidden="1" x14ac:dyDescent="0.3">
      <c r="A11478" t="s">
        <v>851</v>
      </c>
      <c r="B11478" t="s">
        <v>147</v>
      </c>
      <c r="C11478" s="1">
        <f>HYPERLINK("https://cao.dolgi.msk.ru/account/1011534109/", 1011534109)</f>
        <v>1011534109</v>
      </c>
      <c r="D11478">
        <v>-192.84</v>
      </c>
    </row>
    <row r="11479" spans="1:4" hidden="1" x14ac:dyDescent="0.3">
      <c r="A11479" t="s">
        <v>851</v>
      </c>
      <c r="B11479" t="s">
        <v>148</v>
      </c>
      <c r="C11479" s="1">
        <f>HYPERLINK("https://cao.dolgi.msk.ru/account/1010436734/", 1010436734)</f>
        <v>1010436734</v>
      </c>
      <c r="D11479">
        <v>0</v>
      </c>
    </row>
    <row r="11480" spans="1:4" x14ac:dyDescent="0.3">
      <c r="A11480" t="s">
        <v>851</v>
      </c>
      <c r="B11480" t="s">
        <v>149</v>
      </c>
      <c r="C11480" s="1">
        <f>HYPERLINK("https://cao.dolgi.msk.ru/account/1010436742/", 1010436742)</f>
        <v>1010436742</v>
      </c>
      <c r="D11480">
        <v>78.459999999999994</v>
      </c>
    </row>
    <row r="11481" spans="1:4" hidden="1" x14ac:dyDescent="0.3">
      <c r="A11481" t="s">
        <v>851</v>
      </c>
      <c r="B11481" t="s">
        <v>150</v>
      </c>
      <c r="C11481" s="1">
        <f>HYPERLINK("https://cao.dolgi.msk.ru/account/1010436769/", 1010436769)</f>
        <v>1010436769</v>
      </c>
      <c r="D11481">
        <v>-64</v>
      </c>
    </row>
    <row r="11482" spans="1:4" hidden="1" x14ac:dyDescent="0.3">
      <c r="A11482" t="s">
        <v>851</v>
      </c>
      <c r="B11482" t="s">
        <v>151</v>
      </c>
      <c r="C11482" s="1">
        <f>HYPERLINK("https://cao.dolgi.msk.ru/account/1010436777/", 1010436777)</f>
        <v>1010436777</v>
      </c>
      <c r="D11482">
        <v>-42323.67</v>
      </c>
    </row>
    <row r="11483" spans="1:4" hidden="1" x14ac:dyDescent="0.3">
      <c r="A11483" t="s">
        <v>851</v>
      </c>
      <c r="B11483" t="s">
        <v>152</v>
      </c>
      <c r="C11483" s="1">
        <f>HYPERLINK("https://cao.dolgi.msk.ru/account/1010436785/", 1010436785)</f>
        <v>1010436785</v>
      </c>
      <c r="D11483">
        <v>-2870.97</v>
      </c>
    </row>
    <row r="11484" spans="1:4" hidden="1" x14ac:dyDescent="0.3">
      <c r="A11484" t="s">
        <v>851</v>
      </c>
      <c r="B11484" t="s">
        <v>153</v>
      </c>
      <c r="C11484" s="1">
        <f>HYPERLINK("https://cao.dolgi.msk.ru/account/1010436793/", 1010436793)</f>
        <v>1010436793</v>
      </c>
      <c r="D11484">
        <v>-64</v>
      </c>
    </row>
    <row r="11485" spans="1:4" hidden="1" x14ac:dyDescent="0.3">
      <c r="A11485" t="s">
        <v>851</v>
      </c>
      <c r="B11485" t="s">
        <v>154</v>
      </c>
      <c r="C11485" s="1">
        <f>HYPERLINK("https://cao.dolgi.msk.ru/account/1010436806/", 1010436806)</f>
        <v>1010436806</v>
      </c>
      <c r="D11485">
        <v>-64</v>
      </c>
    </row>
    <row r="11486" spans="1:4" hidden="1" x14ac:dyDescent="0.3">
      <c r="A11486" t="s">
        <v>851</v>
      </c>
      <c r="B11486" t="s">
        <v>155</v>
      </c>
      <c r="C11486" s="1">
        <f>HYPERLINK("https://cao.dolgi.msk.ru/account/1010436814/", 1010436814)</f>
        <v>1010436814</v>
      </c>
      <c r="D11486">
        <v>-64</v>
      </c>
    </row>
    <row r="11487" spans="1:4" hidden="1" x14ac:dyDescent="0.3">
      <c r="A11487" t="s">
        <v>851</v>
      </c>
      <c r="B11487" t="s">
        <v>156</v>
      </c>
      <c r="C11487" s="1">
        <f>HYPERLINK("https://cao.dolgi.msk.ru/account/1010436822/", 1010436822)</f>
        <v>1010436822</v>
      </c>
      <c r="D11487">
        <v>-64</v>
      </c>
    </row>
    <row r="11488" spans="1:4" hidden="1" x14ac:dyDescent="0.3">
      <c r="A11488" t="s">
        <v>851</v>
      </c>
      <c r="B11488" t="s">
        <v>157</v>
      </c>
      <c r="C11488" s="1">
        <f>HYPERLINK("https://cao.dolgi.msk.ru/account/1010436849/", 1010436849)</f>
        <v>1010436849</v>
      </c>
      <c r="D11488">
        <v>-64</v>
      </c>
    </row>
    <row r="11489" spans="1:4" hidden="1" x14ac:dyDescent="0.3">
      <c r="A11489" t="s">
        <v>851</v>
      </c>
      <c r="B11489" t="s">
        <v>158</v>
      </c>
      <c r="C11489" s="1">
        <f>HYPERLINK("https://cao.dolgi.msk.ru/account/1010436857/", 1010436857)</f>
        <v>1010436857</v>
      </c>
      <c r="D11489">
        <v>-68.14</v>
      </c>
    </row>
    <row r="11490" spans="1:4" hidden="1" x14ac:dyDescent="0.3">
      <c r="A11490" t="s">
        <v>851</v>
      </c>
      <c r="B11490" t="s">
        <v>159</v>
      </c>
      <c r="C11490" s="1">
        <f>HYPERLINK("https://cao.dolgi.msk.ru/account/1010436865/", 1010436865)</f>
        <v>1010436865</v>
      </c>
      <c r="D11490">
        <v>-13354.23</v>
      </c>
    </row>
    <row r="11491" spans="1:4" hidden="1" x14ac:dyDescent="0.3">
      <c r="A11491" t="s">
        <v>851</v>
      </c>
      <c r="B11491" t="s">
        <v>161</v>
      </c>
      <c r="C11491" s="1">
        <f>HYPERLINK("https://cao.dolgi.msk.ru/account/1010436881/", 1010436881)</f>
        <v>1010436881</v>
      </c>
      <c r="D11491">
        <v>-1958.62</v>
      </c>
    </row>
    <row r="11492" spans="1:4" hidden="1" x14ac:dyDescent="0.3">
      <c r="A11492" t="s">
        <v>851</v>
      </c>
      <c r="B11492" t="s">
        <v>162</v>
      </c>
      <c r="C11492" s="1">
        <f>HYPERLINK("https://cao.dolgi.msk.ru/account/1010436902/", 1010436902)</f>
        <v>1010436902</v>
      </c>
      <c r="D11492">
        <v>0</v>
      </c>
    </row>
    <row r="11493" spans="1:4" hidden="1" x14ac:dyDescent="0.3">
      <c r="A11493" t="s">
        <v>851</v>
      </c>
      <c r="B11493" t="s">
        <v>163</v>
      </c>
      <c r="C11493" s="1">
        <f>HYPERLINK("https://cao.dolgi.msk.ru/account/1010436929/", 1010436929)</f>
        <v>1010436929</v>
      </c>
      <c r="D11493">
        <v>-64</v>
      </c>
    </row>
    <row r="11494" spans="1:4" hidden="1" x14ac:dyDescent="0.3">
      <c r="A11494" t="s">
        <v>851</v>
      </c>
      <c r="B11494" t="s">
        <v>164</v>
      </c>
      <c r="C11494" s="1">
        <f>HYPERLINK("https://cao.dolgi.msk.ru/account/1010436937/", 1010436937)</f>
        <v>1010436937</v>
      </c>
      <c r="D11494">
        <v>-7562.76</v>
      </c>
    </row>
    <row r="11495" spans="1:4" hidden="1" x14ac:dyDescent="0.3">
      <c r="A11495" t="s">
        <v>851</v>
      </c>
      <c r="B11495" t="s">
        <v>165</v>
      </c>
      <c r="C11495" s="1">
        <f>HYPERLINK("https://cao.dolgi.msk.ru/account/1010436945/", 1010436945)</f>
        <v>1010436945</v>
      </c>
      <c r="D11495">
        <v>0</v>
      </c>
    </row>
    <row r="11496" spans="1:4" hidden="1" x14ac:dyDescent="0.3">
      <c r="A11496" t="s">
        <v>851</v>
      </c>
      <c r="B11496" t="s">
        <v>166</v>
      </c>
      <c r="C11496" s="1">
        <f>HYPERLINK("https://cao.dolgi.msk.ru/account/1010436953/", 1010436953)</f>
        <v>1010436953</v>
      </c>
      <c r="D11496">
        <v>-666.14</v>
      </c>
    </row>
    <row r="11497" spans="1:4" hidden="1" x14ac:dyDescent="0.3">
      <c r="A11497" t="s">
        <v>851</v>
      </c>
      <c r="B11497" t="s">
        <v>167</v>
      </c>
      <c r="C11497" s="1">
        <f>HYPERLINK("https://cao.dolgi.msk.ru/account/1010436961/", 1010436961)</f>
        <v>1010436961</v>
      </c>
      <c r="D11497">
        <v>-1563.87</v>
      </c>
    </row>
    <row r="11498" spans="1:4" hidden="1" x14ac:dyDescent="0.3">
      <c r="A11498" t="s">
        <v>851</v>
      </c>
      <c r="B11498" t="s">
        <v>168</v>
      </c>
      <c r="C11498" s="1">
        <f>HYPERLINK("https://cao.dolgi.msk.ru/account/1010436988/", 1010436988)</f>
        <v>1010436988</v>
      </c>
      <c r="D11498">
        <v>-9.56</v>
      </c>
    </row>
    <row r="11499" spans="1:4" hidden="1" x14ac:dyDescent="0.3">
      <c r="A11499" t="s">
        <v>851</v>
      </c>
      <c r="B11499" t="s">
        <v>169</v>
      </c>
      <c r="C11499" s="1">
        <f>HYPERLINK("https://cao.dolgi.msk.ru/account/1010437534/", 1010437534)</f>
        <v>1010437534</v>
      </c>
      <c r="D11499">
        <v>-64</v>
      </c>
    </row>
    <row r="11500" spans="1:4" hidden="1" x14ac:dyDescent="0.3">
      <c r="A11500" t="s">
        <v>851</v>
      </c>
      <c r="B11500" t="s">
        <v>170</v>
      </c>
      <c r="C11500" s="1">
        <f>HYPERLINK("https://cao.dolgi.msk.ru/account/1010437542/", 1010437542)</f>
        <v>1010437542</v>
      </c>
      <c r="D11500">
        <v>-64</v>
      </c>
    </row>
    <row r="11501" spans="1:4" hidden="1" x14ac:dyDescent="0.3">
      <c r="A11501" t="s">
        <v>851</v>
      </c>
      <c r="B11501" t="s">
        <v>171</v>
      </c>
      <c r="C11501" s="1">
        <f>HYPERLINK("https://cao.dolgi.msk.ru/account/1010437569/", 1010437569)</f>
        <v>1010437569</v>
      </c>
      <c r="D11501">
        <v>-357</v>
      </c>
    </row>
    <row r="11502" spans="1:4" hidden="1" x14ac:dyDescent="0.3">
      <c r="A11502" t="s">
        <v>851</v>
      </c>
      <c r="B11502" t="s">
        <v>172</v>
      </c>
      <c r="C11502" s="1">
        <f>HYPERLINK("https://cao.dolgi.msk.ru/account/1010437577/", 1010437577)</f>
        <v>1010437577</v>
      </c>
      <c r="D11502">
        <v>-26806.89</v>
      </c>
    </row>
    <row r="11503" spans="1:4" hidden="1" x14ac:dyDescent="0.3">
      <c r="A11503" t="s">
        <v>851</v>
      </c>
      <c r="B11503" t="s">
        <v>173</v>
      </c>
      <c r="C11503" s="1">
        <f>HYPERLINK("https://cao.dolgi.msk.ru/account/1010437024/", 1010437024)</f>
        <v>1010437024</v>
      </c>
      <c r="D11503">
        <v>-64</v>
      </c>
    </row>
    <row r="11504" spans="1:4" hidden="1" x14ac:dyDescent="0.3">
      <c r="A11504" t="s">
        <v>851</v>
      </c>
      <c r="B11504" t="s">
        <v>174</v>
      </c>
      <c r="C11504" s="1">
        <f>HYPERLINK("https://cao.dolgi.msk.ru/account/1010437032/", 1010437032)</f>
        <v>1010437032</v>
      </c>
      <c r="D11504">
        <v>-4576.96</v>
      </c>
    </row>
    <row r="11505" spans="1:4" x14ac:dyDescent="0.3">
      <c r="A11505" t="s">
        <v>851</v>
      </c>
      <c r="B11505" t="s">
        <v>175</v>
      </c>
      <c r="C11505" s="1">
        <f>HYPERLINK("https://cao.dolgi.msk.ru/account/1010839904/", 1010839904)</f>
        <v>1010839904</v>
      </c>
      <c r="D11505">
        <v>44907.7</v>
      </c>
    </row>
    <row r="11506" spans="1:4" hidden="1" x14ac:dyDescent="0.3">
      <c r="A11506" t="s">
        <v>851</v>
      </c>
      <c r="B11506" t="s">
        <v>176</v>
      </c>
      <c r="C11506" s="1">
        <f>HYPERLINK("https://cao.dolgi.msk.ru/account/1010437059/", 1010437059)</f>
        <v>1010437059</v>
      </c>
      <c r="D11506">
        <v>-147.88999999999999</v>
      </c>
    </row>
    <row r="11507" spans="1:4" hidden="1" x14ac:dyDescent="0.3">
      <c r="A11507" t="s">
        <v>851</v>
      </c>
      <c r="B11507" t="s">
        <v>177</v>
      </c>
      <c r="C11507" s="1">
        <f>HYPERLINK("https://cao.dolgi.msk.ru/account/1010437067/", 1010437067)</f>
        <v>1010437067</v>
      </c>
      <c r="D11507">
        <v>-120.78</v>
      </c>
    </row>
    <row r="11508" spans="1:4" hidden="1" x14ac:dyDescent="0.3">
      <c r="A11508" t="s">
        <v>851</v>
      </c>
      <c r="B11508" t="s">
        <v>178</v>
      </c>
      <c r="C11508" s="1">
        <f>HYPERLINK("https://cao.dolgi.msk.ru/account/1010437075/", 1010437075)</f>
        <v>1010437075</v>
      </c>
      <c r="D11508">
        <v>-64</v>
      </c>
    </row>
    <row r="11509" spans="1:4" x14ac:dyDescent="0.3">
      <c r="A11509" t="s">
        <v>851</v>
      </c>
      <c r="B11509" t="s">
        <v>179</v>
      </c>
      <c r="C11509" s="1">
        <f>HYPERLINK("https://cao.dolgi.msk.ru/account/1010437083/", 1010437083)</f>
        <v>1010437083</v>
      </c>
      <c r="D11509">
        <v>5950.49</v>
      </c>
    </row>
    <row r="11510" spans="1:4" hidden="1" x14ac:dyDescent="0.3">
      <c r="A11510" t="s">
        <v>851</v>
      </c>
      <c r="B11510" t="s">
        <v>273</v>
      </c>
      <c r="C11510" s="1">
        <f>HYPERLINK("https://cao.dolgi.msk.ru/account/1010437091/", 1010437091)</f>
        <v>1010437091</v>
      </c>
      <c r="D11510">
        <v>0</v>
      </c>
    </row>
    <row r="11511" spans="1:4" hidden="1" x14ac:dyDescent="0.3">
      <c r="A11511" t="s">
        <v>851</v>
      </c>
      <c r="B11511" t="s">
        <v>180</v>
      </c>
      <c r="C11511" s="1">
        <f>HYPERLINK("https://cao.dolgi.msk.ru/account/1010437104/", 1010437104)</f>
        <v>1010437104</v>
      </c>
      <c r="D11511">
        <v>-15.47</v>
      </c>
    </row>
    <row r="11512" spans="1:4" hidden="1" x14ac:dyDescent="0.3">
      <c r="A11512" t="s">
        <v>851</v>
      </c>
      <c r="B11512" t="s">
        <v>181</v>
      </c>
      <c r="C11512" s="1">
        <f>HYPERLINK("https://cao.dolgi.msk.ru/account/1010437112/", 1010437112)</f>
        <v>1010437112</v>
      </c>
      <c r="D11512">
        <v>0</v>
      </c>
    </row>
    <row r="11513" spans="1:4" hidden="1" x14ac:dyDescent="0.3">
      <c r="A11513" t="s">
        <v>851</v>
      </c>
      <c r="B11513" t="s">
        <v>182</v>
      </c>
      <c r="C11513" s="1">
        <f>HYPERLINK("https://cao.dolgi.msk.ru/account/1010437139/", 1010437139)</f>
        <v>1010437139</v>
      </c>
      <c r="D11513">
        <v>0</v>
      </c>
    </row>
    <row r="11514" spans="1:4" hidden="1" x14ac:dyDescent="0.3">
      <c r="A11514" t="s">
        <v>851</v>
      </c>
      <c r="B11514" t="s">
        <v>183</v>
      </c>
      <c r="C11514" s="1">
        <f>HYPERLINK("https://cao.dolgi.msk.ru/account/1010437147/", 1010437147)</f>
        <v>1010437147</v>
      </c>
      <c r="D11514">
        <v>-64</v>
      </c>
    </row>
    <row r="11515" spans="1:4" hidden="1" x14ac:dyDescent="0.3">
      <c r="A11515" t="s">
        <v>851</v>
      </c>
      <c r="B11515" t="s">
        <v>184</v>
      </c>
      <c r="C11515" s="1">
        <f>HYPERLINK("https://cao.dolgi.msk.ru/account/1010437155/", 1010437155)</f>
        <v>1010437155</v>
      </c>
      <c r="D11515">
        <v>-103.83</v>
      </c>
    </row>
    <row r="11516" spans="1:4" hidden="1" x14ac:dyDescent="0.3">
      <c r="A11516" t="s">
        <v>851</v>
      </c>
      <c r="B11516" t="s">
        <v>185</v>
      </c>
      <c r="C11516" s="1">
        <f>HYPERLINK("https://cao.dolgi.msk.ru/account/1010437163/", 1010437163)</f>
        <v>1010437163</v>
      </c>
      <c r="D11516">
        <v>-64</v>
      </c>
    </row>
    <row r="11517" spans="1:4" hidden="1" x14ac:dyDescent="0.3">
      <c r="A11517" t="s">
        <v>851</v>
      </c>
      <c r="B11517" t="s">
        <v>274</v>
      </c>
      <c r="C11517" s="1">
        <f>HYPERLINK("https://cao.dolgi.msk.ru/account/1010437171/", 1010437171)</f>
        <v>1010437171</v>
      </c>
      <c r="D11517">
        <v>-64</v>
      </c>
    </row>
    <row r="11518" spans="1:4" hidden="1" x14ac:dyDescent="0.3">
      <c r="A11518" t="s">
        <v>851</v>
      </c>
      <c r="B11518" t="s">
        <v>186</v>
      </c>
      <c r="C11518" s="1">
        <f>HYPERLINK("https://cao.dolgi.msk.ru/account/1010437198/", 1010437198)</f>
        <v>1010437198</v>
      </c>
      <c r="D11518">
        <v>-64</v>
      </c>
    </row>
    <row r="11519" spans="1:4" hidden="1" x14ac:dyDescent="0.3">
      <c r="A11519" t="s">
        <v>851</v>
      </c>
      <c r="B11519" t="s">
        <v>187</v>
      </c>
      <c r="C11519" s="1">
        <f>HYPERLINK("https://cao.dolgi.msk.ru/account/1010437219/", 1010437219)</f>
        <v>1010437219</v>
      </c>
      <c r="D11519">
        <v>-19986.46</v>
      </c>
    </row>
    <row r="11520" spans="1:4" x14ac:dyDescent="0.3">
      <c r="A11520" t="s">
        <v>851</v>
      </c>
      <c r="B11520" t="s">
        <v>188</v>
      </c>
      <c r="C11520" s="1">
        <f>HYPERLINK("https://cao.dolgi.msk.ru/account/1010437227/", 1010437227)</f>
        <v>1010437227</v>
      </c>
      <c r="D11520">
        <v>10636.85</v>
      </c>
    </row>
    <row r="11521" spans="1:4" hidden="1" x14ac:dyDescent="0.3">
      <c r="A11521" t="s">
        <v>851</v>
      </c>
      <c r="B11521" t="s">
        <v>189</v>
      </c>
      <c r="C11521" s="1">
        <f>HYPERLINK("https://cao.dolgi.msk.ru/account/1010437235/", 1010437235)</f>
        <v>1010437235</v>
      </c>
      <c r="D11521">
        <v>0</v>
      </c>
    </row>
    <row r="11522" spans="1:4" x14ac:dyDescent="0.3">
      <c r="A11522" t="s">
        <v>851</v>
      </c>
      <c r="B11522" t="s">
        <v>190</v>
      </c>
      <c r="C11522" s="1">
        <f>HYPERLINK("https://cao.dolgi.msk.ru/account/1010437243/", 1010437243)</f>
        <v>1010437243</v>
      </c>
      <c r="D11522">
        <v>18306.02</v>
      </c>
    </row>
    <row r="11523" spans="1:4" hidden="1" x14ac:dyDescent="0.3">
      <c r="A11523" t="s">
        <v>851</v>
      </c>
      <c r="B11523" t="s">
        <v>191</v>
      </c>
      <c r="C11523" s="1">
        <f>HYPERLINK("https://cao.dolgi.msk.ru/account/1010437251/", 1010437251)</f>
        <v>1010437251</v>
      </c>
      <c r="D11523">
        <v>-64</v>
      </c>
    </row>
    <row r="11524" spans="1:4" hidden="1" x14ac:dyDescent="0.3">
      <c r="A11524" t="s">
        <v>851</v>
      </c>
      <c r="B11524" t="s">
        <v>192</v>
      </c>
      <c r="C11524" s="1">
        <f>HYPERLINK("https://cao.dolgi.msk.ru/account/1010437278/", 1010437278)</f>
        <v>1010437278</v>
      </c>
      <c r="D11524">
        <v>-14020.17</v>
      </c>
    </row>
    <row r="11525" spans="1:4" hidden="1" x14ac:dyDescent="0.3">
      <c r="A11525" t="s">
        <v>851</v>
      </c>
      <c r="B11525" t="s">
        <v>325</v>
      </c>
      <c r="C11525" s="1">
        <f>HYPERLINK("https://cao.dolgi.msk.ru/account/1010437286/", 1010437286)</f>
        <v>1010437286</v>
      </c>
      <c r="D11525">
        <v>-64</v>
      </c>
    </row>
    <row r="11526" spans="1:4" x14ac:dyDescent="0.3">
      <c r="A11526" t="s">
        <v>851</v>
      </c>
      <c r="B11526" t="s">
        <v>193</v>
      </c>
      <c r="C11526" s="1">
        <f>HYPERLINK("https://cao.dolgi.msk.ru/account/1010839912/", 1010839912)</f>
        <v>1010839912</v>
      </c>
      <c r="D11526">
        <v>5303.44</v>
      </c>
    </row>
    <row r="11527" spans="1:4" hidden="1" x14ac:dyDescent="0.3">
      <c r="A11527" t="s">
        <v>851</v>
      </c>
      <c r="B11527" t="s">
        <v>194</v>
      </c>
      <c r="C11527" s="1">
        <f>HYPERLINK("https://cao.dolgi.msk.ru/account/1010437294/", 1010437294)</f>
        <v>1010437294</v>
      </c>
      <c r="D11527">
        <v>-2952.44</v>
      </c>
    </row>
    <row r="11528" spans="1:4" x14ac:dyDescent="0.3">
      <c r="A11528" t="s">
        <v>851</v>
      </c>
      <c r="B11528" t="s">
        <v>195</v>
      </c>
      <c r="C11528" s="1">
        <f>HYPERLINK("https://cao.dolgi.msk.ru/account/1010437307/", 1010437307)</f>
        <v>1010437307</v>
      </c>
      <c r="D11528">
        <v>13741.39</v>
      </c>
    </row>
    <row r="11529" spans="1:4" hidden="1" x14ac:dyDescent="0.3">
      <c r="A11529" t="s">
        <v>851</v>
      </c>
      <c r="B11529" t="s">
        <v>196</v>
      </c>
      <c r="C11529" s="1">
        <f>HYPERLINK("https://cao.dolgi.msk.ru/account/1010437315/", 1010437315)</f>
        <v>1010437315</v>
      </c>
      <c r="D11529">
        <v>-64</v>
      </c>
    </row>
    <row r="11530" spans="1:4" hidden="1" x14ac:dyDescent="0.3">
      <c r="A11530" t="s">
        <v>851</v>
      </c>
      <c r="B11530" t="s">
        <v>197</v>
      </c>
      <c r="C11530" s="1">
        <f>HYPERLINK("https://cao.dolgi.msk.ru/account/1010437323/", 1010437323)</f>
        <v>1010437323</v>
      </c>
      <c r="D11530">
        <v>-6535.62</v>
      </c>
    </row>
    <row r="11531" spans="1:4" hidden="1" x14ac:dyDescent="0.3">
      <c r="A11531" t="s">
        <v>851</v>
      </c>
      <c r="B11531" t="s">
        <v>198</v>
      </c>
      <c r="C11531" s="1">
        <f>HYPERLINK("https://cao.dolgi.msk.ru/account/1010437331/", 1010437331)</f>
        <v>1010437331</v>
      </c>
      <c r="D11531">
        <v>-6485.56</v>
      </c>
    </row>
    <row r="11532" spans="1:4" hidden="1" x14ac:dyDescent="0.3">
      <c r="A11532" t="s">
        <v>851</v>
      </c>
      <c r="B11532" t="s">
        <v>199</v>
      </c>
      <c r="C11532" s="1">
        <f>HYPERLINK("https://cao.dolgi.msk.ru/account/1010437358/", 1010437358)</f>
        <v>1010437358</v>
      </c>
      <c r="D11532">
        <v>-64</v>
      </c>
    </row>
    <row r="11533" spans="1:4" hidden="1" x14ac:dyDescent="0.3">
      <c r="A11533" t="s">
        <v>851</v>
      </c>
      <c r="B11533" t="s">
        <v>200</v>
      </c>
      <c r="C11533" s="1">
        <f>HYPERLINK("https://cao.dolgi.msk.ru/account/1010437366/", 1010437366)</f>
        <v>1010437366</v>
      </c>
      <c r="D11533">
        <v>-64</v>
      </c>
    </row>
    <row r="11534" spans="1:4" hidden="1" x14ac:dyDescent="0.3">
      <c r="A11534" t="s">
        <v>851</v>
      </c>
      <c r="B11534" t="s">
        <v>201</v>
      </c>
      <c r="C11534" s="1">
        <f>HYPERLINK("https://cao.dolgi.msk.ru/account/1010437585/", 1010437585)</f>
        <v>1010437585</v>
      </c>
      <c r="D11534">
        <v>-38.31</v>
      </c>
    </row>
    <row r="11535" spans="1:4" hidden="1" x14ac:dyDescent="0.3">
      <c r="A11535" t="s">
        <v>851</v>
      </c>
      <c r="B11535" t="s">
        <v>201</v>
      </c>
      <c r="C11535" s="1">
        <f>HYPERLINK("https://cao.dolgi.msk.ru/account/1010437593/", 1010437593)</f>
        <v>1010437593</v>
      </c>
      <c r="D11535">
        <v>-3513.08</v>
      </c>
    </row>
    <row r="11536" spans="1:4" hidden="1" x14ac:dyDescent="0.3">
      <c r="A11536" t="s">
        <v>851</v>
      </c>
      <c r="B11536" t="s">
        <v>202</v>
      </c>
      <c r="C11536" s="1">
        <f>HYPERLINK("https://cao.dolgi.msk.ru/account/1010437374/", 1010437374)</f>
        <v>1010437374</v>
      </c>
      <c r="D11536">
        <v>0</v>
      </c>
    </row>
    <row r="11537" spans="1:4" hidden="1" x14ac:dyDescent="0.3">
      <c r="A11537" t="s">
        <v>851</v>
      </c>
      <c r="B11537" t="s">
        <v>203</v>
      </c>
      <c r="C11537" s="1">
        <f>HYPERLINK("https://cao.dolgi.msk.ru/account/1010437382/", 1010437382)</f>
        <v>1010437382</v>
      </c>
      <c r="D11537">
        <v>-64</v>
      </c>
    </row>
    <row r="11538" spans="1:4" hidden="1" x14ac:dyDescent="0.3">
      <c r="A11538" t="s">
        <v>851</v>
      </c>
      <c r="B11538" t="s">
        <v>326</v>
      </c>
      <c r="C11538" s="1">
        <f>HYPERLINK("https://cao.dolgi.msk.ru/account/1010437403/", 1010437403)</f>
        <v>1010437403</v>
      </c>
      <c r="D11538">
        <v>-5900.15</v>
      </c>
    </row>
    <row r="11539" spans="1:4" x14ac:dyDescent="0.3">
      <c r="A11539" t="s">
        <v>851</v>
      </c>
      <c r="B11539" t="s">
        <v>204</v>
      </c>
      <c r="C11539" s="1">
        <f>HYPERLINK("https://cao.dolgi.msk.ru/account/1010437411/", 1010437411)</f>
        <v>1010437411</v>
      </c>
      <c r="D11539">
        <v>166772.26999999999</v>
      </c>
    </row>
    <row r="11540" spans="1:4" hidden="1" x14ac:dyDescent="0.3">
      <c r="A11540" t="s">
        <v>851</v>
      </c>
      <c r="B11540" t="s">
        <v>205</v>
      </c>
      <c r="C11540" s="1">
        <f>HYPERLINK("https://cao.dolgi.msk.ru/account/1010437438/", 1010437438)</f>
        <v>1010437438</v>
      </c>
      <c r="D11540">
        <v>-64</v>
      </c>
    </row>
    <row r="11541" spans="1:4" hidden="1" x14ac:dyDescent="0.3">
      <c r="A11541" t="s">
        <v>851</v>
      </c>
      <c r="B11541" t="s">
        <v>206</v>
      </c>
      <c r="C11541" s="1">
        <f>HYPERLINK("https://cao.dolgi.msk.ru/account/1010437446/", 1010437446)</f>
        <v>1010437446</v>
      </c>
      <c r="D11541">
        <v>-108.84</v>
      </c>
    </row>
    <row r="11542" spans="1:4" hidden="1" x14ac:dyDescent="0.3">
      <c r="A11542" t="s">
        <v>851</v>
      </c>
      <c r="B11542" t="s">
        <v>207</v>
      </c>
      <c r="C11542" s="1">
        <f>HYPERLINK("https://cao.dolgi.msk.ru/account/1010437454/", 1010437454)</f>
        <v>1010437454</v>
      </c>
      <c r="D11542">
        <v>-4296.6899999999996</v>
      </c>
    </row>
    <row r="11543" spans="1:4" x14ac:dyDescent="0.3">
      <c r="A11543" t="s">
        <v>851</v>
      </c>
      <c r="B11543" t="s">
        <v>208</v>
      </c>
      <c r="C11543" s="1">
        <f>HYPERLINK("https://cao.dolgi.msk.ru/account/1010437462/", 1010437462)</f>
        <v>1010437462</v>
      </c>
      <c r="D11543">
        <v>6535.67</v>
      </c>
    </row>
    <row r="11544" spans="1:4" x14ac:dyDescent="0.3">
      <c r="A11544" t="s">
        <v>851</v>
      </c>
      <c r="B11544" t="s">
        <v>327</v>
      </c>
      <c r="C11544" s="1">
        <f>HYPERLINK("https://cao.dolgi.msk.ru/account/1010437489/", 1010437489)</f>
        <v>1010437489</v>
      </c>
      <c r="D11544">
        <v>14.74</v>
      </c>
    </row>
    <row r="11545" spans="1:4" hidden="1" x14ac:dyDescent="0.3">
      <c r="A11545" t="s">
        <v>851</v>
      </c>
      <c r="B11545" t="s">
        <v>210</v>
      </c>
      <c r="C11545" s="1">
        <f>HYPERLINK("https://cao.dolgi.msk.ru/account/1010437518/", 1010437518)</f>
        <v>1010437518</v>
      </c>
      <c r="D11545">
        <v>-64</v>
      </c>
    </row>
    <row r="11546" spans="1:4" hidden="1" x14ac:dyDescent="0.3">
      <c r="A11546" t="s">
        <v>851</v>
      </c>
      <c r="B11546" t="s">
        <v>211</v>
      </c>
      <c r="C11546" s="1">
        <f>HYPERLINK("https://cao.dolgi.msk.ru/account/1010437526/", 1010437526)</f>
        <v>1010437526</v>
      </c>
      <c r="D11546">
        <v>-13031.39</v>
      </c>
    </row>
    <row r="11547" spans="1:4" hidden="1" x14ac:dyDescent="0.3">
      <c r="A11547" t="s">
        <v>852</v>
      </c>
      <c r="B11547" t="s">
        <v>35</v>
      </c>
      <c r="C11547" s="1">
        <f>HYPERLINK("https://cao.dolgi.msk.ru/account/1011478696/", 1011478696)</f>
        <v>1011478696</v>
      </c>
      <c r="D11547">
        <v>0</v>
      </c>
    </row>
    <row r="11548" spans="1:4" hidden="1" x14ac:dyDescent="0.3">
      <c r="A11548" t="s">
        <v>852</v>
      </c>
      <c r="B11548" t="s">
        <v>5</v>
      </c>
      <c r="C11548" s="1">
        <f>HYPERLINK("https://cao.dolgi.msk.ru/account/1011478661/", 1011478661)</f>
        <v>1011478661</v>
      </c>
      <c r="D11548">
        <v>0</v>
      </c>
    </row>
    <row r="11549" spans="1:4" hidden="1" x14ac:dyDescent="0.3">
      <c r="A11549" t="s">
        <v>852</v>
      </c>
      <c r="B11549" t="s">
        <v>7</v>
      </c>
      <c r="C11549" s="1">
        <f>HYPERLINK("https://cao.dolgi.msk.ru/account/1011478813/", 1011478813)</f>
        <v>1011478813</v>
      </c>
      <c r="D11549">
        <v>0</v>
      </c>
    </row>
    <row r="11550" spans="1:4" hidden="1" x14ac:dyDescent="0.3">
      <c r="A11550" t="s">
        <v>852</v>
      </c>
      <c r="B11550" t="s">
        <v>7</v>
      </c>
      <c r="C11550" s="1">
        <f>HYPERLINK("https://cao.dolgi.msk.ru/account/1011478928/", 1011478928)</f>
        <v>1011478928</v>
      </c>
      <c r="D11550">
        <v>0</v>
      </c>
    </row>
    <row r="11551" spans="1:4" hidden="1" x14ac:dyDescent="0.3">
      <c r="A11551" t="s">
        <v>852</v>
      </c>
      <c r="B11551" t="s">
        <v>8</v>
      </c>
      <c r="C11551" s="1">
        <f>HYPERLINK("https://cao.dolgi.msk.ru/account/1011478979/", 1011478979)</f>
        <v>1011478979</v>
      </c>
      <c r="D11551">
        <v>-92.03</v>
      </c>
    </row>
    <row r="11552" spans="1:4" hidden="1" x14ac:dyDescent="0.3">
      <c r="A11552" t="s">
        <v>852</v>
      </c>
      <c r="B11552" t="s">
        <v>31</v>
      </c>
      <c r="C11552" s="1">
        <f>HYPERLINK("https://cao.dolgi.msk.ru/account/1011478864/", 1011478864)</f>
        <v>1011478864</v>
      </c>
      <c r="D11552">
        <v>0</v>
      </c>
    </row>
    <row r="11553" spans="1:4" hidden="1" x14ac:dyDescent="0.3">
      <c r="A11553" t="s">
        <v>852</v>
      </c>
      <c r="B11553" t="s">
        <v>9</v>
      </c>
      <c r="C11553" s="1">
        <f>HYPERLINK("https://cao.dolgi.msk.ru/account/1011478872/", 1011478872)</f>
        <v>1011478872</v>
      </c>
      <c r="D11553">
        <v>0</v>
      </c>
    </row>
    <row r="11554" spans="1:4" x14ac:dyDescent="0.3">
      <c r="A11554" t="s">
        <v>852</v>
      </c>
      <c r="B11554" t="s">
        <v>10</v>
      </c>
      <c r="C11554" s="1">
        <f>HYPERLINK("https://cao.dolgi.msk.ru/account/1011478901/", 1011478901)</f>
        <v>1011478901</v>
      </c>
      <c r="D11554">
        <v>74.95</v>
      </c>
    </row>
    <row r="11555" spans="1:4" hidden="1" x14ac:dyDescent="0.3">
      <c r="A11555" t="s">
        <v>852</v>
      </c>
      <c r="B11555" t="s">
        <v>11</v>
      </c>
      <c r="C11555" s="1">
        <f>HYPERLINK("https://cao.dolgi.msk.ru/account/1011478936/", 1011478936)</f>
        <v>1011478936</v>
      </c>
      <c r="D11555">
        <v>0</v>
      </c>
    </row>
    <row r="11556" spans="1:4" x14ac:dyDescent="0.3">
      <c r="A11556" t="s">
        <v>852</v>
      </c>
      <c r="B11556" t="s">
        <v>12</v>
      </c>
      <c r="C11556" s="1">
        <f>HYPERLINK("https://cao.dolgi.msk.ru/account/1011478784/", 1011478784)</f>
        <v>1011478784</v>
      </c>
      <c r="D11556">
        <v>14090.11</v>
      </c>
    </row>
    <row r="11557" spans="1:4" hidden="1" x14ac:dyDescent="0.3">
      <c r="A11557" t="s">
        <v>852</v>
      </c>
      <c r="B11557" t="s">
        <v>23</v>
      </c>
      <c r="C11557" s="1">
        <f>HYPERLINK("https://cao.dolgi.msk.ru/account/1011478776/", 1011478776)</f>
        <v>1011478776</v>
      </c>
      <c r="D11557">
        <v>0</v>
      </c>
    </row>
    <row r="11558" spans="1:4" hidden="1" x14ac:dyDescent="0.3">
      <c r="A11558" t="s">
        <v>852</v>
      </c>
      <c r="B11558" t="s">
        <v>13</v>
      </c>
      <c r="C11558" s="1">
        <f>HYPERLINK("https://cao.dolgi.msk.ru/account/1011478725/", 1011478725)</f>
        <v>1011478725</v>
      </c>
      <c r="D11558">
        <v>0</v>
      </c>
    </row>
    <row r="11559" spans="1:4" hidden="1" x14ac:dyDescent="0.3">
      <c r="A11559" t="s">
        <v>852</v>
      </c>
      <c r="B11559" t="s">
        <v>14</v>
      </c>
      <c r="C11559" s="1">
        <f>HYPERLINK("https://cao.dolgi.msk.ru/account/1011478792/", 1011478792)</f>
        <v>1011478792</v>
      </c>
      <c r="D11559">
        <v>-7413.23</v>
      </c>
    </row>
    <row r="11560" spans="1:4" hidden="1" x14ac:dyDescent="0.3">
      <c r="A11560" t="s">
        <v>852</v>
      </c>
      <c r="B11560" t="s">
        <v>16</v>
      </c>
      <c r="C11560" s="1">
        <f>HYPERLINK("https://cao.dolgi.msk.ru/account/1011478688/", 1011478688)</f>
        <v>1011478688</v>
      </c>
      <c r="D11560">
        <v>0</v>
      </c>
    </row>
    <row r="11561" spans="1:4" hidden="1" x14ac:dyDescent="0.3">
      <c r="A11561" t="s">
        <v>852</v>
      </c>
      <c r="B11561" t="s">
        <v>17</v>
      </c>
      <c r="C11561" s="1">
        <f>HYPERLINK("https://cao.dolgi.msk.ru/account/1011478821/", 1011478821)</f>
        <v>1011478821</v>
      </c>
      <c r="D11561">
        <v>0</v>
      </c>
    </row>
    <row r="11562" spans="1:4" hidden="1" x14ac:dyDescent="0.3">
      <c r="A11562" t="s">
        <v>852</v>
      </c>
      <c r="B11562" t="s">
        <v>17</v>
      </c>
      <c r="C11562" s="1">
        <f>HYPERLINK("https://cao.dolgi.msk.ru/account/1011478899/", 1011478899)</f>
        <v>1011478899</v>
      </c>
      <c r="D11562">
        <v>0</v>
      </c>
    </row>
    <row r="11563" spans="1:4" x14ac:dyDescent="0.3">
      <c r="A11563" t="s">
        <v>852</v>
      </c>
      <c r="B11563" t="s">
        <v>18</v>
      </c>
      <c r="C11563" s="1">
        <f>HYPERLINK("https://cao.dolgi.msk.ru/account/1011478805/", 1011478805)</f>
        <v>1011478805</v>
      </c>
      <c r="D11563">
        <v>69186.600000000006</v>
      </c>
    </row>
    <row r="11564" spans="1:4" hidden="1" x14ac:dyDescent="0.3">
      <c r="A11564" t="s">
        <v>852</v>
      </c>
      <c r="B11564" t="s">
        <v>19</v>
      </c>
      <c r="C11564" s="1">
        <f>HYPERLINK("https://cao.dolgi.msk.ru/account/1011478856/", 1011478856)</f>
        <v>1011478856</v>
      </c>
      <c r="D11564">
        <v>0</v>
      </c>
    </row>
    <row r="11565" spans="1:4" hidden="1" x14ac:dyDescent="0.3">
      <c r="A11565" t="s">
        <v>852</v>
      </c>
      <c r="B11565" t="s">
        <v>20</v>
      </c>
      <c r="C11565" s="1">
        <f>HYPERLINK("https://cao.dolgi.msk.ru/account/1011478717/", 1011478717)</f>
        <v>1011478717</v>
      </c>
      <c r="D11565">
        <v>-3721.85</v>
      </c>
    </row>
    <row r="11566" spans="1:4" hidden="1" x14ac:dyDescent="0.3">
      <c r="A11566" t="s">
        <v>852</v>
      </c>
      <c r="B11566" t="s">
        <v>20</v>
      </c>
      <c r="C11566" s="1">
        <f>HYPERLINK("https://cao.dolgi.msk.ru/account/1011478733/", 1011478733)</f>
        <v>1011478733</v>
      </c>
      <c r="D11566">
        <v>-4.91</v>
      </c>
    </row>
    <row r="11567" spans="1:4" hidden="1" x14ac:dyDescent="0.3">
      <c r="A11567" t="s">
        <v>852</v>
      </c>
      <c r="B11567" t="s">
        <v>21</v>
      </c>
      <c r="C11567" s="1">
        <f>HYPERLINK("https://cao.dolgi.msk.ru/account/1011478709/", 1011478709)</f>
        <v>1011478709</v>
      </c>
      <c r="D11567">
        <v>-5725.91</v>
      </c>
    </row>
    <row r="11568" spans="1:4" hidden="1" x14ac:dyDescent="0.3">
      <c r="A11568" t="s">
        <v>852</v>
      </c>
      <c r="B11568" t="s">
        <v>21</v>
      </c>
      <c r="C11568" s="1">
        <f>HYPERLINK("https://cao.dolgi.msk.ru/account/1011478741/", 1011478741)</f>
        <v>1011478741</v>
      </c>
      <c r="D11568">
        <v>0</v>
      </c>
    </row>
    <row r="11569" spans="1:4" hidden="1" x14ac:dyDescent="0.3">
      <c r="A11569" t="s">
        <v>852</v>
      </c>
      <c r="B11569" t="s">
        <v>22</v>
      </c>
      <c r="C11569" s="1">
        <f>HYPERLINK("https://cao.dolgi.msk.ru/account/1011478952/", 1011478952)</f>
        <v>1011478952</v>
      </c>
      <c r="D11569">
        <v>0</v>
      </c>
    </row>
    <row r="11570" spans="1:4" hidden="1" x14ac:dyDescent="0.3">
      <c r="A11570" t="s">
        <v>852</v>
      </c>
      <c r="B11570" t="s">
        <v>24</v>
      </c>
      <c r="C11570" s="1">
        <f>HYPERLINK("https://cao.dolgi.msk.ru/account/1011478768/", 1011478768)</f>
        <v>1011478768</v>
      </c>
      <c r="D11570">
        <v>-49306.62</v>
      </c>
    </row>
    <row r="11571" spans="1:4" hidden="1" x14ac:dyDescent="0.3">
      <c r="A11571" t="s">
        <v>852</v>
      </c>
      <c r="B11571" t="s">
        <v>25</v>
      </c>
      <c r="C11571" s="1">
        <f>HYPERLINK("https://cao.dolgi.msk.ru/account/1011478944/", 1011478944)</f>
        <v>1011478944</v>
      </c>
      <c r="D11571">
        <v>0</v>
      </c>
    </row>
    <row r="11572" spans="1:4" hidden="1" x14ac:dyDescent="0.3">
      <c r="A11572" t="s">
        <v>852</v>
      </c>
      <c r="B11572" t="s">
        <v>26</v>
      </c>
      <c r="C11572" s="1">
        <f>HYPERLINK("https://cao.dolgi.msk.ru/account/1011478848/", 1011478848)</f>
        <v>1011478848</v>
      </c>
      <c r="D11572">
        <v>0</v>
      </c>
    </row>
    <row r="11573" spans="1:4" hidden="1" x14ac:dyDescent="0.3">
      <c r="A11573" t="s">
        <v>853</v>
      </c>
      <c r="B11573" t="s">
        <v>38</v>
      </c>
      <c r="C11573" s="1">
        <f>HYPERLINK("https://cao.dolgi.msk.ru/account/1010423298/", 1010423298)</f>
        <v>1010423298</v>
      </c>
      <c r="D11573">
        <v>0</v>
      </c>
    </row>
    <row r="11574" spans="1:4" hidden="1" x14ac:dyDescent="0.3">
      <c r="A11574" t="s">
        <v>853</v>
      </c>
      <c r="B11574" t="s">
        <v>39</v>
      </c>
      <c r="C11574" s="1">
        <f>HYPERLINK("https://cao.dolgi.msk.ru/account/1010423116/", 1010423116)</f>
        <v>1010423116</v>
      </c>
      <c r="D11574">
        <v>0</v>
      </c>
    </row>
    <row r="11575" spans="1:4" hidden="1" x14ac:dyDescent="0.3">
      <c r="A11575" t="s">
        <v>853</v>
      </c>
      <c r="B11575" t="s">
        <v>40</v>
      </c>
      <c r="C11575" s="1">
        <f>HYPERLINK("https://cao.dolgi.msk.ru/account/1011530132/", 1011530132)</f>
        <v>1011530132</v>
      </c>
      <c r="D11575">
        <v>-3603.29</v>
      </c>
    </row>
    <row r="11576" spans="1:4" x14ac:dyDescent="0.3">
      <c r="A11576" t="s">
        <v>853</v>
      </c>
      <c r="B11576" t="s">
        <v>41</v>
      </c>
      <c r="C11576" s="1">
        <f>HYPERLINK("https://cao.dolgi.msk.ru/account/1010423247/", 1010423247)</f>
        <v>1010423247</v>
      </c>
      <c r="D11576">
        <v>39489.519999999997</v>
      </c>
    </row>
    <row r="11577" spans="1:4" hidden="1" x14ac:dyDescent="0.3">
      <c r="A11577" t="s">
        <v>854</v>
      </c>
      <c r="B11577" t="s">
        <v>6</v>
      </c>
      <c r="C11577" s="1">
        <f>HYPERLINK("https://cao.dolgi.msk.ru/account/1011202884/", 1011202884)</f>
        <v>1011202884</v>
      </c>
      <c r="D11577">
        <v>0</v>
      </c>
    </row>
    <row r="11578" spans="1:4" hidden="1" x14ac:dyDescent="0.3">
      <c r="A11578" t="s">
        <v>854</v>
      </c>
      <c r="B11578" t="s">
        <v>28</v>
      </c>
      <c r="C11578" s="1">
        <f>HYPERLINK("https://cao.dolgi.msk.ru/account/1011202665/", 1011202665)</f>
        <v>1011202665</v>
      </c>
      <c r="D11578">
        <v>-9000.14</v>
      </c>
    </row>
    <row r="11579" spans="1:4" hidden="1" x14ac:dyDescent="0.3">
      <c r="A11579" t="s">
        <v>854</v>
      </c>
      <c r="B11579" t="s">
        <v>35</v>
      </c>
      <c r="C11579" s="1">
        <f>HYPERLINK("https://cao.dolgi.msk.ru/account/1011202876/", 1011202876)</f>
        <v>1011202876</v>
      </c>
      <c r="D11579">
        <v>0</v>
      </c>
    </row>
    <row r="11580" spans="1:4" hidden="1" x14ac:dyDescent="0.3">
      <c r="A11580" t="s">
        <v>854</v>
      </c>
      <c r="B11580" t="s">
        <v>5</v>
      </c>
      <c r="C11580" s="1">
        <f>HYPERLINK("https://cao.dolgi.msk.ru/account/1011202796/", 1011202796)</f>
        <v>1011202796</v>
      </c>
      <c r="D11580">
        <v>0</v>
      </c>
    </row>
    <row r="11581" spans="1:4" hidden="1" x14ac:dyDescent="0.3">
      <c r="A11581" t="s">
        <v>854</v>
      </c>
      <c r="B11581" t="s">
        <v>7</v>
      </c>
      <c r="C11581" s="1">
        <f>HYPERLINK("https://cao.dolgi.msk.ru/account/1011202673/", 1011202673)</f>
        <v>1011202673</v>
      </c>
      <c r="D11581">
        <v>-34.619999999999997</v>
      </c>
    </row>
    <row r="11582" spans="1:4" hidden="1" x14ac:dyDescent="0.3">
      <c r="A11582" t="s">
        <v>854</v>
      </c>
      <c r="B11582" t="s">
        <v>7</v>
      </c>
      <c r="C11582" s="1">
        <f>HYPERLINK("https://cao.dolgi.msk.ru/account/1011202817/", 1011202817)</f>
        <v>1011202817</v>
      </c>
      <c r="D11582">
        <v>0</v>
      </c>
    </row>
    <row r="11583" spans="1:4" hidden="1" x14ac:dyDescent="0.3">
      <c r="A11583" t="s">
        <v>854</v>
      </c>
      <c r="B11583" t="s">
        <v>8</v>
      </c>
      <c r="C11583" s="1">
        <f>HYPERLINK("https://cao.dolgi.msk.ru/account/1011202825/", 1011202825)</f>
        <v>1011202825</v>
      </c>
      <c r="D11583">
        <v>-1299.58</v>
      </c>
    </row>
    <row r="11584" spans="1:4" x14ac:dyDescent="0.3">
      <c r="A11584" t="s">
        <v>854</v>
      </c>
      <c r="B11584" t="s">
        <v>31</v>
      </c>
      <c r="C11584" s="1">
        <f>HYPERLINK("https://cao.dolgi.msk.ru/account/1011202745/", 1011202745)</f>
        <v>1011202745</v>
      </c>
      <c r="D11584">
        <v>6749.12</v>
      </c>
    </row>
    <row r="11585" spans="1:4" hidden="1" x14ac:dyDescent="0.3">
      <c r="A11585" t="s">
        <v>854</v>
      </c>
      <c r="B11585" t="s">
        <v>9</v>
      </c>
      <c r="C11585" s="1">
        <f>HYPERLINK("https://cao.dolgi.msk.ru/account/1011202833/", 1011202833)</f>
        <v>1011202833</v>
      </c>
      <c r="D11585">
        <v>-6.77</v>
      </c>
    </row>
    <row r="11586" spans="1:4" hidden="1" x14ac:dyDescent="0.3">
      <c r="A11586" t="s">
        <v>854</v>
      </c>
      <c r="B11586" t="s">
        <v>10</v>
      </c>
      <c r="C11586" s="1">
        <f>HYPERLINK("https://cao.dolgi.msk.ru/account/1011202868/", 1011202868)</f>
        <v>1011202868</v>
      </c>
      <c r="D11586">
        <v>0</v>
      </c>
    </row>
    <row r="11587" spans="1:4" hidden="1" x14ac:dyDescent="0.3">
      <c r="A11587" t="s">
        <v>854</v>
      </c>
      <c r="B11587" t="s">
        <v>11</v>
      </c>
      <c r="C11587" s="1">
        <f>HYPERLINK("https://cao.dolgi.msk.ru/account/1011202761/", 1011202761)</f>
        <v>1011202761</v>
      </c>
      <c r="D11587">
        <v>-10341.64</v>
      </c>
    </row>
    <row r="11588" spans="1:4" x14ac:dyDescent="0.3">
      <c r="A11588" t="s">
        <v>854</v>
      </c>
      <c r="B11588" t="s">
        <v>12</v>
      </c>
      <c r="C11588" s="1">
        <f>HYPERLINK("https://cao.dolgi.msk.ru/account/1011202681/", 1011202681)</f>
        <v>1011202681</v>
      </c>
      <c r="D11588">
        <v>9397.23</v>
      </c>
    </row>
    <row r="11589" spans="1:4" hidden="1" x14ac:dyDescent="0.3">
      <c r="A11589" t="s">
        <v>854</v>
      </c>
      <c r="B11589" t="s">
        <v>23</v>
      </c>
      <c r="C11589" s="1">
        <f>HYPERLINK("https://cao.dolgi.msk.ru/account/1011202702/", 1011202702)</f>
        <v>1011202702</v>
      </c>
      <c r="D11589">
        <v>0</v>
      </c>
    </row>
    <row r="11590" spans="1:4" hidden="1" x14ac:dyDescent="0.3">
      <c r="A11590" t="s">
        <v>854</v>
      </c>
      <c r="B11590" t="s">
        <v>13</v>
      </c>
      <c r="C11590" s="1">
        <f>HYPERLINK("https://cao.dolgi.msk.ru/account/1011202729/", 1011202729)</f>
        <v>1011202729</v>
      </c>
      <c r="D11590">
        <v>0</v>
      </c>
    </row>
    <row r="11591" spans="1:4" x14ac:dyDescent="0.3">
      <c r="A11591" t="s">
        <v>854</v>
      </c>
      <c r="B11591" t="s">
        <v>14</v>
      </c>
      <c r="C11591" s="1">
        <f>HYPERLINK("https://cao.dolgi.msk.ru/account/1011202737/", 1011202737)</f>
        <v>1011202737</v>
      </c>
      <c r="D11591">
        <v>1514.49</v>
      </c>
    </row>
    <row r="11592" spans="1:4" x14ac:dyDescent="0.3">
      <c r="A11592" t="s">
        <v>854</v>
      </c>
      <c r="B11592" t="s">
        <v>14</v>
      </c>
      <c r="C11592" s="1">
        <f>HYPERLINK("https://cao.dolgi.msk.ru/account/1011202788/", 1011202788)</f>
        <v>1011202788</v>
      </c>
      <c r="D11592">
        <v>7913.82</v>
      </c>
    </row>
    <row r="11593" spans="1:4" hidden="1" x14ac:dyDescent="0.3">
      <c r="A11593" t="s">
        <v>854</v>
      </c>
      <c r="B11593" t="s">
        <v>14</v>
      </c>
      <c r="C11593" s="1">
        <f>HYPERLINK("https://cao.dolgi.msk.ru/account/1011202809/", 1011202809)</f>
        <v>1011202809</v>
      </c>
      <c r="D11593">
        <v>0</v>
      </c>
    </row>
    <row r="11594" spans="1:4" hidden="1" x14ac:dyDescent="0.3">
      <c r="A11594" t="s">
        <v>854</v>
      </c>
      <c r="B11594" t="s">
        <v>16</v>
      </c>
      <c r="C11594" s="1">
        <f>HYPERLINK("https://cao.dolgi.msk.ru/account/1011202753/", 1011202753)</f>
        <v>1011202753</v>
      </c>
      <c r="D11594">
        <v>0</v>
      </c>
    </row>
    <row r="11595" spans="1:4" hidden="1" x14ac:dyDescent="0.3">
      <c r="A11595" t="s">
        <v>854</v>
      </c>
      <c r="B11595" t="s">
        <v>17</v>
      </c>
      <c r="C11595" s="1">
        <f>HYPERLINK("https://cao.dolgi.msk.ru/account/1011202841/", 1011202841)</f>
        <v>1011202841</v>
      </c>
      <c r="D11595">
        <v>0</v>
      </c>
    </row>
    <row r="11596" spans="1:4" hidden="1" x14ac:dyDescent="0.3">
      <c r="A11596" t="s">
        <v>855</v>
      </c>
      <c r="B11596" t="s">
        <v>6</v>
      </c>
      <c r="C11596" s="1">
        <f>HYPERLINK("https://cao.dolgi.msk.ru/account/1011088532/", 1011088532)</f>
        <v>1011088532</v>
      </c>
      <c r="D11596">
        <v>0</v>
      </c>
    </row>
    <row r="11597" spans="1:4" hidden="1" x14ac:dyDescent="0.3">
      <c r="A11597" t="s">
        <v>855</v>
      </c>
      <c r="B11597" t="s">
        <v>799</v>
      </c>
      <c r="C11597" s="1">
        <f>HYPERLINK("https://cao.dolgi.msk.ru/account/1011088727/", 1011088727)</f>
        <v>1011088727</v>
      </c>
      <c r="D11597">
        <v>0</v>
      </c>
    </row>
    <row r="11598" spans="1:4" hidden="1" x14ac:dyDescent="0.3">
      <c r="A11598" t="s">
        <v>855</v>
      </c>
      <c r="B11598" t="s">
        <v>28</v>
      </c>
      <c r="C11598" s="1">
        <f>HYPERLINK("https://cao.dolgi.msk.ru/account/1011088372/", 1011088372)</f>
        <v>1011088372</v>
      </c>
      <c r="D11598">
        <v>0</v>
      </c>
    </row>
    <row r="11599" spans="1:4" hidden="1" x14ac:dyDescent="0.3">
      <c r="A11599" t="s">
        <v>855</v>
      </c>
      <c r="B11599" t="s">
        <v>606</v>
      </c>
      <c r="C11599" s="1">
        <f>HYPERLINK("https://cao.dolgi.msk.ru/account/1011088735/", 1011088735)</f>
        <v>1011088735</v>
      </c>
      <c r="D11599">
        <v>-1943.35</v>
      </c>
    </row>
    <row r="11600" spans="1:4" hidden="1" x14ac:dyDescent="0.3">
      <c r="A11600" t="s">
        <v>855</v>
      </c>
      <c r="B11600" t="s">
        <v>35</v>
      </c>
      <c r="C11600" s="1">
        <f>HYPERLINK("https://cao.dolgi.msk.ru/account/1011088428/", 1011088428)</f>
        <v>1011088428</v>
      </c>
      <c r="D11600">
        <v>0</v>
      </c>
    </row>
    <row r="11601" spans="1:4" hidden="1" x14ac:dyDescent="0.3">
      <c r="A11601" t="s">
        <v>855</v>
      </c>
      <c r="B11601" t="s">
        <v>739</v>
      </c>
      <c r="C11601" s="1">
        <f>HYPERLINK("https://cao.dolgi.msk.ru/account/1011088364/", 1011088364)</f>
        <v>1011088364</v>
      </c>
      <c r="D11601">
        <v>-5683.97</v>
      </c>
    </row>
    <row r="11602" spans="1:4" hidden="1" x14ac:dyDescent="0.3">
      <c r="A11602" t="s">
        <v>855</v>
      </c>
      <c r="B11602" t="s">
        <v>5</v>
      </c>
      <c r="C11602" s="1">
        <f>HYPERLINK("https://cao.dolgi.msk.ru/account/1011088559/", 1011088559)</f>
        <v>1011088559</v>
      </c>
      <c r="D11602">
        <v>-1935.87</v>
      </c>
    </row>
    <row r="11603" spans="1:4" hidden="1" x14ac:dyDescent="0.3">
      <c r="A11603" t="s">
        <v>855</v>
      </c>
      <c r="B11603" t="s">
        <v>740</v>
      </c>
      <c r="C11603" s="1">
        <f>HYPERLINK("https://cao.dolgi.msk.ru/account/1011088743/", 1011088743)</f>
        <v>1011088743</v>
      </c>
      <c r="D11603">
        <v>0</v>
      </c>
    </row>
    <row r="11604" spans="1:4" hidden="1" x14ac:dyDescent="0.3">
      <c r="A11604" t="s">
        <v>855</v>
      </c>
      <c r="B11604" t="s">
        <v>7</v>
      </c>
      <c r="C11604" s="1">
        <f>HYPERLINK("https://cao.dolgi.msk.ru/account/1011088655/", 1011088655)</f>
        <v>1011088655</v>
      </c>
      <c r="D11604">
        <v>0</v>
      </c>
    </row>
    <row r="11605" spans="1:4" hidden="1" x14ac:dyDescent="0.3">
      <c r="A11605" t="s">
        <v>855</v>
      </c>
      <c r="B11605" t="s">
        <v>342</v>
      </c>
      <c r="C11605" s="1">
        <f>HYPERLINK("https://cao.dolgi.msk.ru/account/1011088786/", 1011088786)</f>
        <v>1011088786</v>
      </c>
      <c r="D11605">
        <v>0</v>
      </c>
    </row>
    <row r="11606" spans="1:4" hidden="1" x14ac:dyDescent="0.3">
      <c r="A11606" t="s">
        <v>855</v>
      </c>
      <c r="B11606" t="s">
        <v>8</v>
      </c>
      <c r="C11606" s="1">
        <f>HYPERLINK("https://cao.dolgi.msk.ru/account/1011088487/", 1011088487)</f>
        <v>1011088487</v>
      </c>
      <c r="D11606">
        <v>0</v>
      </c>
    </row>
    <row r="11607" spans="1:4" hidden="1" x14ac:dyDescent="0.3">
      <c r="A11607" t="s">
        <v>855</v>
      </c>
      <c r="B11607" t="s">
        <v>31</v>
      </c>
      <c r="C11607" s="1">
        <f>HYPERLINK("https://cao.dolgi.msk.ru/account/1011088663/", 1011088663)</f>
        <v>1011088663</v>
      </c>
      <c r="D11607">
        <v>-6194.12</v>
      </c>
    </row>
    <row r="11608" spans="1:4" hidden="1" x14ac:dyDescent="0.3">
      <c r="A11608" t="s">
        <v>855</v>
      </c>
      <c r="B11608" t="s">
        <v>9</v>
      </c>
      <c r="C11608" s="1">
        <f>HYPERLINK("https://cao.dolgi.msk.ru/account/1011088495/", 1011088495)</f>
        <v>1011088495</v>
      </c>
      <c r="D11608">
        <v>0</v>
      </c>
    </row>
    <row r="11609" spans="1:4" hidden="1" x14ac:dyDescent="0.3">
      <c r="A11609" t="s">
        <v>855</v>
      </c>
      <c r="B11609" t="s">
        <v>10</v>
      </c>
      <c r="C11609" s="1">
        <f>HYPERLINK("https://cao.dolgi.msk.ru/account/1011088671/", 1011088671)</f>
        <v>1011088671</v>
      </c>
      <c r="D11609">
        <v>-4231.87</v>
      </c>
    </row>
    <row r="11610" spans="1:4" hidden="1" x14ac:dyDescent="0.3">
      <c r="A11610" t="s">
        <v>855</v>
      </c>
      <c r="B11610" t="s">
        <v>11</v>
      </c>
      <c r="C11610" s="1">
        <f>HYPERLINK("https://cao.dolgi.msk.ru/account/1011088436/", 1011088436)</f>
        <v>1011088436</v>
      </c>
      <c r="D11610">
        <v>-69.010000000000005</v>
      </c>
    </row>
    <row r="11611" spans="1:4" hidden="1" x14ac:dyDescent="0.3">
      <c r="A11611" t="s">
        <v>855</v>
      </c>
      <c r="B11611" t="s">
        <v>12</v>
      </c>
      <c r="C11611" s="1">
        <f>HYPERLINK("https://cao.dolgi.msk.ru/account/1011088778/", 1011088778)</f>
        <v>1011088778</v>
      </c>
      <c r="D11611">
        <v>0</v>
      </c>
    </row>
    <row r="11612" spans="1:4" hidden="1" x14ac:dyDescent="0.3">
      <c r="A11612" t="s">
        <v>855</v>
      </c>
      <c r="B11612" t="s">
        <v>23</v>
      </c>
      <c r="C11612" s="1">
        <f>HYPERLINK("https://cao.dolgi.msk.ru/account/1011088567/", 1011088567)</f>
        <v>1011088567</v>
      </c>
      <c r="D11612">
        <v>0</v>
      </c>
    </row>
    <row r="11613" spans="1:4" hidden="1" x14ac:dyDescent="0.3">
      <c r="A11613" t="s">
        <v>855</v>
      </c>
      <c r="B11613" t="s">
        <v>13</v>
      </c>
      <c r="C11613" s="1">
        <f>HYPERLINK("https://cao.dolgi.msk.ru/account/1011088321/", 1011088321)</f>
        <v>1011088321</v>
      </c>
      <c r="D11613">
        <v>0</v>
      </c>
    </row>
    <row r="11614" spans="1:4" hidden="1" x14ac:dyDescent="0.3">
      <c r="A11614" t="s">
        <v>855</v>
      </c>
      <c r="B11614" t="s">
        <v>14</v>
      </c>
      <c r="C11614" s="1">
        <f>HYPERLINK("https://cao.dolgi.msk.ru/account/1011088698/", 1011088698)</f>
        <v>1011088698</v>
      </c>
      <c r="D11614">
        <v>0</v>
      </c>
    </row>
    <row r="11615" spans="1:4" hidden="1" x14ac:dyDescent="0.3">
      <c r="A11615" t="s">
        <v>855</v>
      </c>
      <c r="B11615" t="s">
        <v>16</v>
      </c>
      <c r="C11615" s="1">
        <f>HYPERLINK("https://cao.dolgi.msk.ru/account/1011088444/", 1011088444)</f>
        <v>1011088444</v>
      </c>
      <c r="D11615">
        <v>0</v>
      </c>
    </row>
    <row r="11616" spans="1:4" hidden="1" x14ac:dyDescent="0.3">
      <c r="A11616" t="s">
        <v>855</v>
      </c>
      <c r="B11616" t="s">
        <v>17</v>
      </c>
      <c r="C11616" s="1">
        <f>HYPERLINK("https://cao.dolgi.msk.ru/account/1011088348/", 1011088348)</f>
        <v>1011088348</v>
      </c>
      <c r="D11616">
        <v>-56.84</v>
      </c>
    </row>
    <row r="11617" spans="1:4" hidden="1" x14ac:dyDescent="0.3">
      <c r="A11617" t="s">
        <v>855</v>
      </c>
      <c r="B11617" t="s">
        <v>18</v>
      </c>
      <c r="C11617" s="1">
        <f>HYPERLINK("https://cao.dolgi.msk.ru/account/1011088399/", 1011088399)</f>
        <v>1011088399</v>
      </c>
      <c r="D11617">
        <v>0</v>
      </c>
    </row>
    <row r="11618" spans="1:4" hidden="1" x14ac:dyDescent="0.3">
      <c r="A11618" t="s">
        <v>855</v>
      </c>
      <c r="B11618" t="s">
        <v>19</v>
      </c>
      <c r="C11618" s="1">
        <f>HYPERLINK("https://cao.dolgi.msk.ru/account/1011088508/", 1011088508)</f>
        <v>1011088508</v>
      </c>
      <c r="D11618">
        <v>0</v>
      </c>
    </row>
    <row r="11619" spans="1:4" x14ac:dyDescent="0.3">
      <c r="A11619" t="s">
        <v>855</v>
      </c>
      <c r="B11619" t="s">
        <v>20</v>
      </c>
      <c r="C11619" s="1">
        <f>HYPERLINK("https://cao.dolgi.msk.ru/account/1011088612/", 1011088612)</f>
        <v>1011088612</v>
      </c>
      <c r="D11619">
        <v>2348.6</v>
      </c>
    </row>
    <row r="11620" spans="1:4" hidden="1" x14ac:dyDescent="0.3">
      <c r="A11620" t="s">
        <v>855</v>
      </c>
      <c r="B11620" t="s">
        <v>21</v>
      </c>
      <c r="C11620" s="1">
        <f>HYPERLINK("https://cao.dolgi.msk.ru/account/1011088719/", 1011088719)</f>
        <v>1011088719</v>
      </c>
      <c r="D11620">
        <v>0</v>
      </c>
    </row>
    <row r="11621" spans="1:4" hidden="1" x14ac:dyDescent="0.3">
      <c r="A11621" t="s">
        <v>855</v>
      </c>
      <c r="B11621" t="s">
        <v>22</v>
      </c>
      <c r="C11621" s="1">
        <f>HYPERLINK("https://cao.dolgi.msk.ru/account/1011088639/", 1011088639)</f>
        <v>1011088639</v>
      </c>
      <c r="D11621">
        <v>0</v>
      </c>
    </row>
    <row r="11622" spans="1:4" hidden="1" x14ac:dyDescent="0.3">
      <c r="A11622" t="s">
        <v>855</v>
      </c>
      <c r="B11622" t="s">
        <v>24</v>
      </c>
      <c r="C11622" s="1">
        <f>HYPERLINK("https://cao.dolgi.msk.ru/account/1011088401/", 1011088401)</f>
        <v>1011088401</v>
      </c>
      <c r="D11622">
        <v>0</v>
      </c>
    </row>
    <row r="11623" spans="1:4" x14ac:dyDescent="0.3">
      <c r="A11623" t="s">
        <v>855</v>
      </c>
      <c r="B11623" t="s">
        <v>25</v>
      </c>
      <c r="C11623" s="1">
        <f>HYPERLINK("https://cao.dolgi.msk.ru/account/1011088647/", 1011088647)</f>
        <v>1011088647</v>
      </c>
      <c r="D11623">
        <v>21483</v>
      </c>
    </row>
    <row r="11624" spans="1:4" hidden="1" x14ac:dyDescent="0.3">
      <c r="A11624" t="s">
        <v>855</v>
      </c>
      <c r="B11624" t="s">
        <v>26</v>
      </c>
      <c r="C11624" s="1">
        <f>HYPERLINK("https://cao.dolgi.msk.ru/account/1011088575/", 1011088575)</f>
        <v>1011088575</v>
      </c>
      <c r="D11624">
        <v>0</v>
      </c>
    </row>
    <row r="11625" spans="1:4" hidden="1" x14ac:dyDescent="0.3">
      <c r="A11625" t="s">
        <v>855</v>
      </c>
      <c r="B11625" t="s">
        <v>27</v>
      </c>
      <c r="C11625" s="1">
        <f>HYPERLINK("https://cao.dolgi.msk.ru/account/1011088516/", 1011088516)</f>
        <v>1011088516</v>
      </c>
      <c r="D11625">
        <v>-6778.63</v>
      </c>
    </row>
    <row r="11626" spans="1:4" hidden="1" x14ac:dyDescent="0.3">
      <c r="A11626" t="s">
        <v>855</v>
      </c>
      <c r="B11626" t="s">
        <v>29</v>
      </c>
      <c r="C11626" s="1">
        <f>HYPERLINK("https://cao.dolgi.msk.ru/account/1011088751/", 1011088751)</f>
        <v>1011088751</v>
      </c>
      <c r="D11626">
        <v>-7479.69</v>
      </c>
    </row>
    <row r="11627" spans="1:4" hidden="1" x14ac:dyDescent="0.3">
      <c r="A11627" t="s">
        <v>855</v>
      </c>
      <c r="B11627" t="s">
        <v>38</v>
      </c>
      <c r="C11627" s="1">
        <f>HYPERLINK("https://cao.dolgi.msk.ru/account/1011088583/", 1011088583)</f>
        <v>1011088583</v>
      </c>
      <c r="D11627">
        <v>0</v>
      </c>
    </row>
    <row r="11628" spans="1:4" hidden="1" x14ac:dyDescent="0.3">
      <c r="A11628" t="s">
        <v>855</v>
      </c>
      <c r="B11628" t="s">
        <v>39</v>
      </c>
      <c r="C11628" s="1">
        <f>HYPERLINK("https://cao.dolgi.msk.ru/account/1011088524/", 1011088524)</f>
        <v>1011088524</v>
      </c>
      <c r="D11628">
        <v>-10677.18</v>
      </c>
    </row>
    <row r="11629" spans="1:4" hidden="1" x14ac:dyDescent="0.3">
      <c r="A11629" t="s">
        <v>855</v>
      </c>
      <c r="B11629" t="s">
        <v>40</v>
      </c>
      <c r="C11629" s="1">
        <f>HYPERLINK("https://cao.dolgi.msk.ru/account/1011088591/", 1011088591)</f>
        <v>1011088591</v>
      </c>
      <c r="D11629">
        <v>0</v>
      </c>
    </row>
    <row r="11630" spans="1:4" hidden="1" x14ac:dyDescent="0.3">
      <c r="A11630" t="s">
        <v>855</v>
      </c>
      <c r="B11630" t="s">
        <v>41</v>
      </c>
      <c r="C11630" s="1">
        <f>HYPERLINK("https://cao.dolgi.msk.ru/account/1011088356/", 1011088356)</f>
        <v>1011088356</v>
      </c>
      <c r="D11630">
        <v>0</v>
      </c>
    </row>
    <row r="11631" spans="1:4" hidden="1" x14ac:dyDescent="0.3">
      <c r="A11631" t="s">
        <v>856</v>
      </c>
      <c r="B11631" t="s">
        <v>6</v>
      </c>
      <c r="C11631" s="1">
        <f>HYPERLINK("https://cao.dolgi.msk.ru/account/1011376569/", 1011376569)</f>
        <v>1011376569</v>
      </c>
      <c r="D11631">
        <v>0</v>
      </c>
    </row>
    <row r="11632" spans="1:4" x14ac:dyDescent="0.3">
      <c r="A11632" t="s">
        <v>856</v>
      </c>
      <c r="B11632" t="s">
        <v>28</v>
      </c>
      <c r="C11632" s="1">
        <f>HYPERLINK("https://cao.dolgi.msk.ru/account/1011376809/", 1011376809)</f>
        <v>1011376809</v>
      </c>
      <c r="D11632">
        <v>12905.02</v>
      </c>
    </row>
    <row r="11633" spans="1:4" hidden="1" x14ac:dyDescent="0.3">
      <c r="A11633" t="s">
        <v>856</v>
      </c>
      <c r="B11633" t="s">
        <v>35</v>
      </c>
      <c r="C11633" s="1">
        <f>HYPERLINK("https://cao.dolgi.msk.ru/account/1011376817/", 1011376817)</f>
        <v>1011376817</v>
      </c>
      <c r="D11633">
        <v>0</v>
      </c>
    </row>
    <row r="11634" spans="1:4" hidden="1" x14ac:dyDescent="0.3">
      <c r="A11634" t="s">
        <v>856</v>
      </c>
      <c r="B11634" t="s">
        <v>5</v>
      </c>
      <c r="C11634" s="1">
        <f>HYPERLINK("https://cao.dolgi.msk.ru/account/1011376956/", 1011376956)</f>
        <v>1011376956</v>
      </c>
      <c r="D11634">
        <v>0</v>
      </c>
    </row>
    <row r="11635" spans="1:4" hidden="1" x14ac:dyDescent="0.3">
      <c r="A11635" t="s">
        <v>856</v>
      </c>
      <c r="B11635" t="s">
        <v>7</v>
      </c>
      <c r="C11635" s="1">
        <f>HYPERLINK("https://cao.dolgi.msk.ru/account/1011376622/", 1011376622)</f>
        <v>1011376622</v>
      </c>
      <c r="D11635">
        <v>-7437.58</v>
      </c>
    </row>
    <row r="11636" spans="1:4" hidden="1" x14ac:dyDescent="0.3">
      <c r="A11636" t="s">
        <v>856</v>
      </c>
      <c r="B11636" t="s">
        <v>8</v>
      </c>
      <c r="C11636" s="1">
        <f>HYPERLINK("https://cao.dolgi.msk.ru/account/1011376964/", 1011376964)</f>
        <v>1011376964</v>
      </c>
      <c r="D11636">
        <v>-7654.6</v>
      </c>
    </row>
    <row r="11637" spans="1:4" hidden="1" x14ac:dyDescent="0.3">
      <c r="A11637" t="s">
        <v>856</v>
      </c>
      <c r="B11637" t="s">
        <v>31</v>
      </c>
      <c r="C11637" s="1">
        <f>HYPERLINK("https://cao.dolgi.msk.ru/account/1011376585/", 1011376585)</f>
        <v>1011376585</v>
      </c>
      <c r="D11637">
        <v>0</v>
      </c>
    </row>
    <row r="11638" spans="1:4" hidden="1" x14ac:dyDescent="0.3">
      <c r="A11638" t="s">
        <v>856</v>
      </c>
      <c r="B11638" t="s">
        <v>9</v>
      </c>
      <c r="C11638" s="1">
        <f>HYPERLINK("https://cao.dolgi.msk.ru/account/1011376825/", 1011376825)</f>
        <v>1011376825</v>
      </c>
      <c r="D11638">
        <v>-8100.37</v>
      </c>
    </row>
    <row r="11639" spans="1:4" hidden="1" x14ac:dyDescent="0.3">
      <c r="A11639" t="s">
        <v>856</v>
      </c>
      <c r="B11639" t="s">
        <v>10</v>
      </c>
      <c r="C11639" s="1">
        <f>HYPERLINK("https://cao.dolgi.msk.ru/account/1011376753/", 1011376753)</f>
        <v>1011376753</v>
      </c>
      <c r="D11639">
        <v>-3849.55</v>
      </c>
    </row>
    <row r="11640" spans="1:4" hidden="1" x14ac:dyDescent="0.3">
      <c r="A11640" t="s">
        <v>856</v>
      </c>
      <c r="B11640" t="s">
        <v>11</v>
      </c>
      <c r="C11640" s="1">
        <f>HYPERLINK("https://cao.dolgi.msk.ru/account/1011376673/", 1011376673)</f>
        <v>1011376673</v>
      </c>
      <c r="D11640">
        <v>-20027.11</v>
      </c>
    </row>
    <row r="11641" spans="1:4" x14ac:dyDescent="0.3">
      <c r="A11641" t="s">
        <v>856</v>
      </c>
      <c r="B11641" t="s">
        <v>12</v>
      </c>
      <c r="C11641" s="1">
        <f>HYPERLINK("https://cao.dolgi.msk.ru/account/1011376905/", 1011376905)</f>
        <v>1011376905</v>
      </c>
      <c r="D11641">
        <v>21000.400000000001</v>
      </c>
    </row>
    <row r="11642" spans="1:4" x14ac:dyDescent="0.3">
      <c r="A11642" t="s">
        <v>856</v>
      </c>
      <c r="B11642" t="s">
        <v>12</v>
      </c>
      <c r="C11642" s="1">
        <f>HYPERLINK("https://cao.dolgi.msk.ru/account/1011377035/", 1011377035)</f>
        <v>1011377035</v>
      </c>
      <c r="D11642">
        <v>17068.63</v>
      </c>
    </row>
    <row r="11643" spans="1:4" hidden="1" x14ac:dyDescent="0.3">
      <c r="A11643" t="s">
        <v>856</v>
      </c>
      <c r="B11643" t="s">
        <v>23</v>
      </c>
      <c r="C11643" s="1">
        <f>HYPERLINK("https://cao.dolgi.msk.ru/account/1011376649/", 1011376649)</f>
        <v>1011376649</v>
      </c>
      <c r="D11643">
        <v>0</v>
      </c>
    </row>
    <row r="11644" spans="1:4" hidden="1" x14ac:dyDescent="0.3">
      <c r="A11644" t="s">
        <v>856</v>
      </c>
      <c r="B11644" t="s">
        <v>13</v>
      </c>
      <c r="C11644" s="1">
        <f>HYPERLINK("https://cao.dolgi.msk.ru/account/1011376972/", 1011376972)</f>
        <v>1011376972</v>
      </c>
      <c r="D11644">
        <v>-9542.48</v>
      </c>
    </row>
    <row r="11645" spans="1:4" hidden="1" x14ac:dyDescent="0.3">
      <c r="A11645" t="s">
        <v>856</v>
      </c>
      <c r="B11645" t="s">
        <v>14</v>
      </c>
      <c r="C11645" s="1">
        <f>HYPERLINK("https://cao.dolgi.msk.ru/account/1011376593/", 1011376593)</f>
        <v>1011376593</v>
      </c>
      <c r="D11645">
        <v>0</v>
      </c>
    </row>
    <row r="11646" spans="1:4" hidden="1" x14ac:dyDescent="0.3">
      <c r="A11646" t="s">
        <v>856</v>
      </c>
      <c r="B11646" t="s">
        <v>14</v>
      </c>
      <c r="C11646" s="1">
        <f>HYPERLINK("https://cao.dolgi.msk.ru/account/1011376657/", 1011376657)</f>
        <v>1011376657</v>
      </c>
      <c r="D11646">
        <v>0</v>
      </c>
    </row>
    <row r="11647" spans="1:4" hidden="1" x14ac:dyDescent="0.3">
      <c r="A11647" t="s">
        <v>856</v>
      </c>
      <c r="B11647" t="s">
        <v>14</v>
      </c>
      <c r="C11647" s="1">
        <f>HYPERLINK("https://cao.dolgi.msk.ru/account/1011376681/", 1011376681)</f>
        <v>1011376681</v>
      </c>
      <c r="D11647">
        <v>0</v>
      </c>
    </row>
    <row r="11648" spans="1:4" hidden="1" x14ac:dyDescent="0.3">
      <c r="A11648" t="s">
        <v>856</v>
      </c>
      <c r="B11648" t="s">
        <v>14</v>
      </c>
      <c r="C11648" s="1">
        <f>HYPERLINK("https://cao.dolgi.msk.ru/account/1011376702/", 1011376702)</f>
        <v>1011376702</v>
      </c>
      <c r="D11648">
        <v>0</v>
      </c>
    </row>
    <row r="11649" spans="1:4" hidden="1" x14ac:dyDescent="0.3">
      <c r="A11649" t="s">
        <v>856</v>
      </c>
      <c r="B11649" t="s">
        <v>16</v>
      </c>
      <c r="C11649" s="1">
        <f>HYPERLINK("https://cao.dolgi.msk.ru/account/1011377043/", 1011377043)</f>
        <v>1011377043</v>
      </c>
      <c r="D11649">
        <v>-9093.3799999999992</v>
      </c>
    </row>
    <row r="11650" spans="1:4" hidden="1" x14ac:dyDescent="0.3">
      <c r="A11650" t="s">
        <v>856</v>
      </c>
      <c r="B11650" t="s">
        <v>17</v>
      </c>
      <c r="C11650" s="1">
        <f>HYPERLINK("https://cao.dolgi.msk.ru/account/1011376999/", 1011376999)</f>
        <v>1011376999</v>
      </c>
      <c r="D11650">
        <v>0</v>
      </c>
    </row>
    <row r="11651" spans="1:4" x14ac:dyDescent="0.3">
      <c r="A11651" t="s">
        <v>856</v>
      </c>
      <c r="B11651" t="s">
        <v>18</v>
      </c>
      <c r="C11651" s="1">
        <f>HYPERLINK("https://cao.dolgi.msk.ru/account/1011376833/", 1011376833)</f>
        <v>1011376833</v>
      </c>
      <c r="D11651">
        <v>7810.04</v>
      </c>
    </row>
    <row r="11652" spans="1:4" hidden="1" x14ac:dyDescent="0.3">
      <c r="A11652" t="s">
        <v>856</v>
      </c>
      <c r="B11652" t="s">
        <v>19</v>
      </c>
      <c r="C11652" s="1">
        <f>HYPERLINK("https://cao.dolgi.msk.ru/account/1011376761/", 1011376761)</f>
        <v>1011376761</v>
      </c>
      <c r="D11652">
        <v>-3926.79</v>
      </c>
    </row>
    <row r="11653" spans="1:4" x14ac:dyDescent="0.3">
      <c r="A11653" t="s">
        <v>856</v>
      </c>
      <c r="B11653" t="s">
        <v>20</v>
      </c>
      <c r="C11653" s="1">
        <f>HYPERLINK("https://cao.dolgi.msk.ru/account/1011376606/", 1011376606)</f>
        <v>1011376606</v>
      </c>
      <c r="D11653">
        <v>100.64</v>
      </c>
    </row>
    <row r="11654" spans="1:4" hidden="1" x14ac:dyDescent="0.3">
      <c r="A11654" t="s">
        <v>856</v>
      </c>
      <c r="B11654" t="s">
        <v>21</v>
      </c>
      <c r="C11654" s="1">
        <f>HYPERLINK("https://cao.dolgi.msk.ru/account/1011376841/", 1011376841)</f>
        <v>1011376841</v>
      </c>
      <c r="D11654">
        <v>-10323.9</v>
      </c>
    </row>
    <row r="11655" spans="1:4" hidden="1" x14ac:dyDescent="0.3">
      <c r="A11655" t="s">
        <v>856</v>
      </c>
      <c r="B11655" t="s">
        <v>22</v>
      </c>
      <c r="C11655" s="1">
        <f>HYPERLINK("https://cao.dolgi.msk.ru/account/1011376614/", 1011376614)</f>
        <v>1011376614</v>
      </c>
      <c r="D11655">
        <v>-117.96</v>
      </c>
    </row>
    <row r="11656" spans="1:4" hidden="1" x14ac:dyDescent="0.3">
      <c r="A11656" t="s">
        <v>856</v>
      </c>
      <c r="B11656" t="s">
        <v>24</v>
      </c>
      <c r="C11656" s="1">
        <f>HYPERLINK("https://cao.dolgi.msk.ru/account/1011376913/", 1011376913)</f>
        <v>1011376913</v>
      </c>
      <c r="D11656">
        <v>0</v>
      </c>
    </row>
    <row r="11657" spans="1:4" hidden="1" x14ac:dyDescent="0.3">
      <c r="A11657" t="s">
        <v>856</v>
      </c>
      <c r="B11657" t="s">
        <v>25</v>
      </c>
      <c r="C11657" s="1">
        <f>HYPERLINK("https://cao.dolgi.msk.ru/account/1011376868/", 1011376868)</f>
        <v>1011376868</v>
      </c>
      <c r="D11657">
        <v>-3124.52</v>
      </c>
    </row>
    <row r="11658" spans="1:4" hidden="1" x14ac:dyDescent="0.3">
      <c r="A11658" t="s">
        <v>856</v>
      </c>
      <c r="B11658" t="s">
        <v>25</v>
      </c>
      <c r="C11658" s="1">
        <f>HYPERLINK("https://cao.dolgi.msk.ru/account/1011377051/", 1011377051)</f>
        <v>1011377051</v>
      </c>
      <c r="D11658">
        <v>-2601.96</v>
      </c>
    </row>
    <row r="11659" spans="1:4" x14ac:dyDescent="0.3">
      <c r="A11659" t="s">
        <v>856</v>
      </c>
      <c r="B11659" t="s">
        <v>25</v>
      </c>
      <c r="C11659" s="1">
        <f>HYPERLINK("https://cao.dolgi.msk.ru/account/1011502369/", 1011502369)</f>
        <v>1011502369</v>
      </c>
      <c r="D11659">
        <v>14451.12</v>
      </c>
    </row>
    <row r="11660" spans="1:4" x14ac:dyDescent="0.3">
      <c r="A11660" t="s">
        <v>856</v>
      </c>
      <c r="B11660" t="s">
        <v>25</v>
      </c>
      <c r="C11660" s="1">
        <f>HYPERLINK("https://cao.dolgi.msk.ru/account/1011510887/", 1011510887)</f>
        <v>1011510887</v>
      </c>
      <c r="D11660">
        <v>1652.66</v>
      </c>
    </row>
    <row r="11661" spans="1:4" hidden="1" x14ac:dyDescent="0.3">
      <c r="A11661" t="s">
        <v>856</v>
      </c>
      <c r="B11661" t="s">
        <v>26</v>
      </c>
      <c r="C11661" s="1">
        <f>HYPERLINK("https://cao.dolgi.msk.ru/account/1011376876/", 1011376876)</f>
        <v>1011376876</v>
      </c>
      <c r="D11661">
        <v>-11063.16</v>
      </c>
    </row>
    <row r="11662" spans="1:4" hidden="1" x14ac:dyDescent="0.3">
      <c r="A11662" t="s">
        <v>856</v>
      </c>
      <c r="B11662" t="s">
        <v>27</v>
      </c>
      <c r="C11662" s="1">
        <f>HYPERLINK("https://cao.dolgi.msk.ru/account/1011376788/", 1011376788)</f>
        <v>1011376788</v>
      </c>
      <c r="D11662">
        <v>-7175.45</v>
      </c>
    </row>
    <row r="11663" spans="1:4" hidden="1" x14ac:dyDescent="0.3">
      <c r="A11663" t="s">
        <v>856</v>
      </c>
      <c r="B11663" t="s">
        <v>29</v>
      </c>
      <c r="C11663" s="1">
        <f>HYPERLINK("https://cao.dolgi.msk.ru/account/1011376729/", 1011376729)</f>
        <v>1011376729</v>
      </c>
      <c r="D11663">
        <v>0</v>
      </c>
    </row>
    <row r="11664" spans="1:4" x14ac:dyDescent="0.3">
      <c r="A11664" t="s">
        <v>856</v>
      </c>
      <c r="B11664" t="s">
        <v>38</v>
      </c>
      <c r="C11664" s="1">
        <f>HYPERLINK("https://cao.dolgi.msk.ru/account/1011376737/", 1011376737)</f>
        <v>1011376737</v>
      </c>
      <c r="D11664">
        <v>12584.41</v>
      </c>
    </row>
    <row r="11665" spans="1:4" hidden="1" x14ac:dyDescent="0.3">
      <c r="A11665" t="s">
        <v>856</v>
      </c>
      <c r="B11665" t="s">
        <v>40</v>
      </c>
      <c r="C11665" s="1">
        <f>HYPERLINK("https://cao.dolgi.msk.ru/account/1011377086/", 1011377086)</f>
        <v>1011377086</v>
      </c>
      <c r="D11665">
        <v>-261.55</v>
      </c>
    </row>
    <row r="11666" spans="1:4" hidden="1" x14ac:dyDescent="0.3">
      <c r="A11666" t="s">
        <v>856</v>
      </c>
      <c r="B11666" t="s">
        <v>41</v>
      </c>
      <c r="C11666" s="1">
        <f>HYPERLINK("https://cao.dolgi.msk.ru/account/1011376884/", 1011376884)</f>
        <v>1011376884</v>
      </c>
      <c r="D11666">
        <v>0</v>
      </c>
    </row>
    <row r="11667" spans="1:4" hidden="1" x14ac:dyDescent="0.3">
      <c r="A11667" t="s">
        <v>856</v>
      </c>
      <c r="B11667" t="s">
        <v>51</v>
      </c>
      <c r="C11667" s="1">
        <f>HYPERLINK("https://cao.dolgi.msk.ru/account/1011534176/", 1011534176)</f>
        <v>1011534176</v>
      </c>
      <c r="D11667">
        <v>0</v>
      </c>
    </row>
    <row r="11668" spans="1:4" hidden="1" x14ac:dyDescent="0.3">
      <c r="A11668" t="s">
        <v>856</v>
      </c>
      <c r="B11668" t="s">
        <v>52</v>
      </c>
      <c r="C11668" s="1">
        <f>HYPERLINK("https://cao.dolgi.msk.ru/account/1011376665/", 1011376665)</f>
        <v>1011376665</v>
      </c>
      <c r="D11668">
        <v>0</v>
      </c>
    </row>
    <row r="11669" spans="1:4" hidden="1" x14ac:dyDescent="0.3">
      <c r="A11669" t="s">
        <v>856</v>
      </c>
      <c r="B11669" t="s">
        <v>52</v>
      </c>
      <c r="C11669" s="1">
        <f>HYPERLINK("https://cao.dolgi.msk.ru/account/1011377094/", 1011377094)</f>
        <v>1011377094</v>
      </c>
      <c r="D11669">
        <v>0</v>
      </c>
    </row>
    <row r="11670" spans="1:4" hidden="1" x14ac:dyDescent="0.3">
      <c r="A11670" t="s">
        <v>856</v>
      </c>
      <c r="B11670" t="s">
        <v>53</v>
      </c>
      <c r="C11670" s="1">
        <f>HYPERLINK("https://cao.dolgi.msk.ru/account/1011376745/", 1011376745)</f>
        <v>1011376745</v>
      </c>
      <c r="D11670">
        <v>0</v>
      </c>
    </row>
    <row r="11671" spans="1:4" hidden="1" x14ac:dyDescent="0.3">
      <c r="A11671" t="s">
        <v>856</v>
      </c>
      <c r="B11671" t="s">
        <v>54</v>
      </c>
      <c r="C11671" s="1">
        <f>HYPERLINK("https://cao.dolgi.msk.ru/account/1011376892/", 1011376892)</f>
        <v>1011376892</v>
      </c>
      <c r="D11671">
        <v>0</v>
      </c>
    </row>
    <row r="11672" spans="1:4" hidden="1" x14ac:dyDescent="0.3">
      <c r="A11672" t="s">
        <v>856</v>
      </c>
      <c r="B11672" t="s">
        <v>55</v>
      </c>
      <c r="C11672" s="1">
        <f>HYPERLINK("https://cao.dolgi.msk.ru/account/1011377019/", 1011377019)</f>
        <v>1011377019</v>
      </c>
      <c r="D11672">
        <v>-9139.4</v>
      </c>
    </row>
    <row r="11673" spans="1:4" hidden="1" x14ac:dyDescent="0.3">
      <c r="A11673" t="s">
        <v>856</v>
      </c>
      <c r="B11673" t="s">
        <v>56</v>
      </c>
      <c r="C11673" s="1">
        <f>HYPERLINK("https://cao.dolgi.msk.ru/account/1011376948/", 1011376948)</f>
        <v>1011376948</v>
      </c>
      <c r="D11673">
        <v>-9907.2999999999993</v>
      </c>
    </row>
    <row r="11674" spans="1:4" x14ac:dyDescent="0.3">
      <c r="A11674" t="s">
        <v>857</v>
      </c>
      <c r="B11674" t="s">
        <v>28</v>
      </c>
      <c r="C11674" s="1">
        <f>HYPERLINK("https://cao.dolgi.msk.ru/account/1011405673/", 1011405673)</f>
        <v>1011405673</v>
      </c>
      <c r="D11674">
        <v>10562.62</v>
      </c>
    </row>
    <row r="11675" spans="1:4" hidden="1" x14ac:dyDescent="0.3">
      <c r="A11675" t="s">
        <v>857</v>
      </c>
      <c r="B11675" t="s">
        <v>28</v>
      </c>
      <c r="C11675" s="1">
        <f>HYPERLINK("https://cao.dolgi.msk.ru/account/1011405681/", 1011405681)</f>
        <v>1011405681</v>
      </c>
      <c r="D11675">
        <v>0</v>
      </c>
    </row>
    <row r="11676" spans="1:4" x14ac:dyDescent="0.3">
      <c r="A11676" t="s">
        <v>857</v>
      </c>
      <c r="B11676" t="s">
        <v>28</v>
      </c>
      <c r="C11676" s="1">
        <f>HYPERLINK("https://cao.dolgi.msk.ru/account/1011405702/", 1011405702)</f>
        <v>1011405702</v>
      </c>
      <c r="D11676">
        <v>14908.84</v>
      </c>
    </row>
    <row r="11677" spans="1:4" x14ac:dyDescent="0.3">
      <c r="A11677" t="s">
        <v>857</v>
      </c>
      <c r="B11677" t="s">
        <v>28</v>
      </c>
      <c r="C11677" s="1">
        <f>HYPERLINK("https://cao.dolgi.msk.ru/account/1011405745/", 1011405745)</f>
        <v>1011405745</v>
      </c>
      <c r="D11677">
        <v>31221.74</v>
      </c>
    </row>
    <row r="11678" spans="1:4" x14ac:dyDescent="0.3">
      <c r="A11678" t="s">
        <v>857</v>
      </c>
      <c r="B11678" t="s">
        <v>35</v>
      </c>
      <c r="C11678" s="1">
        <f>HYPERLINK("https://cao.dolgi.msk.ru/account/1011405753/", 1011405753)</f>
        <v>1011405753</v>
      </c>
      <c r="D11678">
        <v>39752.67</v>
      </c>
    </row>
    <row r="11679" spans="1:4" x14ac:dyDescent="0.3">
      <c r="A11679" t="s">
        <v>857</v>
      </c>
      <c r="B11679" t="s">
        <v>5</v>
      </c>
      <c r="C11679" s="1">
        <f>HYPERLINK("https://cao.dolgi.msk.ru/account/1011405729/", 1011405729)</f>
        <v>1011405729</v>
      </c>
      <c r="D11679">
        <v>236818.78</v>
      </c>
    </row>
    <row r="11680" spans="1:4" hidden="1" x14ac:dyDescent="0.3">
      <c r="A11680" t="s">
        <v>857</v>
      </c>
      <c r="B11680" t="s">
        <v>7</v>
      </c>
      <c r="C11680" s="1">
        <f>HYPERLINK("https://cao.dolgi.msk.ru/account/1011405737/", 1011405737)</f>
        <v>1011405737</v>
      </c>
      <c r="D11680">
        <v>0</v>
      </c>
    </row>
    <row r="11681" spans="1:4" hidden="1" x14ac:dyDescent="0.3">
      <c r="A11681" t="s">
        <v>857</v>
      </c>
      <c r="B11681" t="s">
        <v>8</v>
      </c>
      <c r="C11681" s="1">
        <f>HYPERLINK("https://cao.dolgi.msk.ru/account/1011405665/", 1011405665)</f>
        <v>1011405665</v>
      </c>
      <c r="D11681">
        <v>0</v>
      </c>
    </row>
    <row r="11682" spans="1:4" x14ac:dyDescent="0.3">
      <c r="A11682" t="s">
        <v>858</v>
      </c>
      <c r="B11682" t="s">
        <v>6</v>
      </c>
      <c r="C11682" s="1">
        <f>HYPERLINK("https://cao.dolgi.msk.ru/account/1011382627/", 1011382627)</f>
        <v>1011382627</v>
      </c>
      <c r="D11682">
        <v>9882.91</v>
      </c>
    </row>
    <row r="11683" spans="1:4" hidden="1" x14ac:dyDescent="0.3">
      <c r="A11683" t="s">
        <v>858</v>
      </c>
      <c r="B11683" t="s">
        <v>28</v>
      </c>
      <c r="C11683" s="1">
        <f>HYPERLINK("https://cao.dolgi.msk.ru/account/1011382643/", 1011382643)</f>
        <v>1011382643</v>
      </c>
      <c r="D11683">
        <v>0</v>
      </c>
    </row>
    <row r="11684" spans="1:4" hidden="1" x14ac:dyDescent="0.3">
      <c r="A11684" t="s">
        <v>858</v>
      </c>
      <c r="B11684" t="s">
        <v>35</v>
      </c>
      <c r="C11684" s="1">
        <f>HYPERLINK("https://cao.dolgi.msk.ru/account/1011382723/", 1011382723)</f>
        <v>1011382723</v>
      </c>
      <c r="D11684">
        <v>-1730.69</v>
      </c>
    </row>
    <row r="11685" spans="1:4" hidden="1" x14ac:dyDescent="0.3">
      <c r="A11685" t="s">
        <v>858</v>
      </c>
      <c r="B11685" t="s">
        <v>5</v>
      </c>
      <c r="C11685" s="1">
        <f>HYPERLINK("https://cao.dolgi.msk.ru/account/1011382563/", 1011382563)</f>
        <v>1011382563</v>
      </c>
      <c r="D11685">
        <v>-5877.37</v>
      </c>
    </row>
    <row r="11686" spans="1:4" hidden="1" x14ac:dyDescent="0.3">
      <c r="A11686" t="s">
        <v>858</v>
      </c>
      <c r="B11686" t="s">
        <v>7</v>
      </c>
      <c r="C11686" s="1">
        <f>HYPERLINK("https://cao.dolgi.msk.ru/account/1011382651/", 1011382651)</f>
        <v>1011382651</v>
      </c>
      <c r="D11686">
        <v>0</v>
      </c>
    </row>
    <row r="11687" spans="1:4" hidden="1" x14ac:dyDescent="0.3">
      <c r="A11687" t="s">
        <v>858</v>
      </c>
      <c r="B11687" t="s">
        <v>8</v>
      </c>
      <c r="C11687" s="1">
        <f>HYPERLINK("https://cao.dolgi.msk.ru/account/1011382678/", 1011382678)</f>
        <v>1011382678</v>
      </c>
      <c r="D11687">
        <v>0</v>
      </c>
    </row>
    <row r="11688" spans="1:4" x14ac:dyDescent="0.3">
      <c r="A11688" t="s">
        <v>858</v>
      </c>
      <c r="B11688" t="s">
        <v>31</v>
      </c>
      <c r="C11688" s="1">
        <f>HYPERLINK("https://cao.dolgi.msk.ru/account/1011382598/", 1011382598)</f>
        <v>1011382598</v>
      </c>
      <c r="D11688">
        <v>17776.05</v>
      </c>
    </row>
    <row r="11689" spans="1:4" hidden="1" x14ac:dyDescent="0.3">
      <c r="A11689" t="s">
        <v>858</v>
      </c>
      <c r="B11689" t="s">
        <v>31</v>
      </c>
      <c r="C11689" s="1">
        <f>HYPERLINK("https://cao.dolgi.msk.ru/account/1011382731/", 1011382731)</f>
        <v>1011382731</v>
      </c>
      <c r="D11689">
        <v>0</v>
      </c>
    </row>
    <row r="11690" spans="1:4" hidden="1" x14ac:dyDescent="0.3">
      <c r="A11690" t="s">
        <v>858</v>
      </c>
      <c r="B11690" t="s">
        <v>9</v>
      </c>
      <c r="C11690" s="1">
        <f>HYPERLINK("https://cao.dolgi.msk.ru/account/1011382686/", 1011382686)</f>
        <v>1011382686</v>
      </c>
      <c r="D11690">
        <v>0</v>
      </c>
    </row>
    <row r="11691" spans="1:4" hidden="1" x14ac:dyDescent="0.3">
      <c r="A11691" t="s">
        <v>858</v>
      </c>
      <c r="B11691" t="s">
        <v>10</v>
      </c>
      <c r="C11691" s="1">
        <f>HYPERLINK("https://cao.dolgi.msk.ru/account/1011382707/", 1011382707)</f>
        <v>1011382707</v>
      </c>
      <c r="D11691">
        <v>-162.1</v>
      </c>
    </row>
    <row r="11692" spans="1:4" hidden="1" x14ac:dyDescent="0.3">
      <c r="A11692" t="s">
        <v>858</v>
      </c>
      <c r="B11692" t="s">
        <v>11</v>
      </c>
      <c r="C11692" s="1">
        <f>HYPERLINK("https://cao.dolgi.msk.ru/account/1011382619/", 1011382619)</f>
        <v>1011382619</v>
      </c>
      <c r="D11692">
        <v>-3628.94</v>
      </c>
    </row>
    <row r="11693" spans="1:4" x14ac:dyDescent="0.3">
      <c r="A11693" t="s">
        <v>858</v>
      </c>
      <c r="B11693" t="s">
        <v>12</v>
      </c>
      <c r="C11693" s="1">
        <f>HYPERLINK("https://cao.dolgi.msk.ru/account/1011382635/", 1011382635)</f>
        <v>1011382635</v>
      </c>
      <c r="D11693">
        <v>21362.85</v>
      </c>
    </row>
    <row r="11694" spans="1:4" hidden="1" x14ac:dyDescent="0.3">
      <c r="A11694" t="s">
        <v>858</v>
      </c>
      <c r="B11694" t="s">
        <v>23</v>
      </c>
      <c r="C11694" s="1">
        <f>HYPERLINK("https://cao.dolgi.msk.ru/account/1011382715/", 1011382715)</f>
        <v>1011382715</v>
      </c>
      <c r="D11694">
        <v>0</v>
      </c>
    </row>
    <row r="11695" spans="1:4" x14ac:dyDescent="0.3">
      <c r="A11695" t="s">
        <v>858</v>
      </c>
      <c r="B11695" t="s">
        <v>13</v>
      </c>
      <c r="C11695" s="1">
        <f>HYPERLINK("https://cao.dolgi.msk.ru/account/1011382758/", 1011382758)</f>
        <v>1011382758</v>
      </c>
      <c r="D11695">
        <v>20157.7</v>
      </c>
    </row>
    <row r="11696" spans="1:4" x14ac:dyDescent="0.3">
      <c r="A11696" t="s">
        <v>858</v>
      </c>
      <c r="B11696" t="s">
        <v>14</v>
      </c>
      <c r="C11696" s="1">
        <f>HYPERLINK("https://cao.dolgi.msk.ru/account/1011382694/", 1011382694)</f>
        <v>1011382694</v>
      </c>
      <c r="D11696">
        <v>12163.75</v>
      </c>
    </row>
    <row r="11697" spans="1:4" x14ac:dyDescent="0.3">
      <c r="A11697" t="s">
        <v>858</v>
      </c>
      <c r="B11697" t="s">
        <v>16</v>
      </c>
      <c r="C11697" s="1">
        <f>HYPERLINK("https://cao.dolgi.msk.ru/account/1011382571/", 1011382571)</f>
        <v>1011382571</v>
      </c>
      <c r="D11697">
        <v>14262.58</v>
      </c>
    </row>
    <row r="11698" spans="1:4" hidden="1" x14ac:dyDescent="0.3">
      <c r="A11698" t="s">
        <v>859</v>
      </c>
      <c r="B11698" t="s">
        <v>6</v>
      </c>
      <c r="C11698" s="1">
        <f>HYPERLINK("https://cao.dolgi.msk.ru/account/1011345498/", 1011345498)</f>
        <v>1011345498</v>
      </c>
      <c r="D11698">
        <v>0</v>
      </c>
    </row>
    <row r="11699" spans="1:4" hidden="1" x14ac:dyDescent="0.3">
      <c r="A11699" t="s">
        <v>859</v>
      </c>
      <c r="B11699" t="s">
        <v>28</v>
      </c>
      <c r="C11699" s="1">
        <f>HYPERLINK("https://cao.dolgi.msk.ru/account/1011345586/", 1011345586)</f>
        <v>1011345586</v>
      </c>
      <c r="D11699">
        <v>-33854.949999999997</v>
      </c>
    </row>
    <row r="11700" spans="1:4" x14ac:dyDescent="0.3">
      <c r="A11700" t="s">
        <v>859</v>
      </c>
      <c r="B11700" t="s">
        <v>35</v>
      </c>
      <c r="C11700" s="1">
        <f>HYPERLINK("https://cao.dolgi.msk.ru/account/1011345439/", 1011345439)</f>
        <v>1011345439</v>
      </c>
      <c r="D11700">
        <v>9157.27</v>
      </c>
    </row>
    <row r="11701" spans="1:4" x14ac:dyDescent="0.3">
      <c r="A11701" t="s">
        <v>859</v>
      </c>
      <c r="B11701" t="s">
        <v>5</v>
      </c>
      <c r="C11701" s="1">
        <f>HYPERLINK("https://cao.dolgi.msk.ru/account/1011345332/", 1011345332)</f>
        <v>1011345332</v>
      </c>
      <c r="D11701">
        <v>10961.06</v>
      </c>
    </row>
    <row r="11702" spans="1:4" hidden="1" x14ac:dyDescent="0.3">
      <c r="A11702" t="s">
        <v>859</v>
      </c>
      <c r="B11702" t="s">
        <v>7</v>
      </c>
      <c r="C11702" s="1">
        <f>HYPERLINK("https://cao.dolgi.msk.ru/account/1011345359/", 1011345359)</f>
        <v>1011345359</v>
      </c>
      <c r="D11702">
        <v>-859.36</v>
      </c>
    </row>
    <row r="11703" spans="1:4" x14ac:dyDescent="0.3">
      <c r="A11703" t="s">
        <v>859</v>
      </c>
      <c r="B11703" t="s">
        <v>8</v>
      </c>
      <c r="C11703" s="1">
        <f>HYPERLINK("https://cao.dolgi.msk.ru/account/1011345375/", 1011345375)</f>
        <v>1011345375</v>
      </c>
      <c r="D11703">
        <v>6447.07</v>
      </c>
    </row>
    <row r="11704" spans="1:4" hidden="1" x14ac:dyDescent="0.3">
      <c r="A11704" t="s">
        <v>859</v>
      </c>
      <c r="B11704" t="s">
        <v>31</v>
      </c>
      <c r="C11704" s="1">
        <f>HYPERLINK("https://cao.dolgi.msk.ru/account/1011345519/", 1011345519)</f>
        <v>1011345519</v>
      </c>
      <c r="D11704">
        <v>0</v>
      </c>
    </row>
    <row r="11705" spans="1:4" hidden="1" x14ac:dyDescent="0.3">
      <c r="A11705" t="s">
        <v>859</v>
      </c>
      <c r="B11705" t="s">
        <v>9</v>
      </c>
      <c r="C11705" s="1">
        <f>HYPERLINK("https://cao.dolgi.msk.ru/account/1011345471/", 1011345471)</f>
        <v>1011345471</v>
      </c>
      <c r="D11705">
        <v>-6780.29</v>
      </c>
    </row>
    <row r="11706" spans="1:4" hidden="1" x14ac:dyDescent="0.3">
      <c r="A11706" t="s">
        <v>859</v>
      </c>
      <c r="B11706" t="s">
        <v>10</v>
      </c>
      <c r="C11706" s="1">
        <f>HYPERLINK("https://cao.dolgi.msk.ru/account/1011345594/", 1011345594)</f>
        <v>1011345594</v>
      </c>
      <c r="D11706">
        <v>0</v>
      </c>
    </row>
    <row r="11707" spans="1:4" hidden="1" x14ac:dyDescent="0.3">
      <c r="A11707" t="s">
        <v>859</v>
      </c>
      <c r="B11707" t="s">
        <v>11</v>
      </c>
      <c r="C11707" s="1">
        <f>HYPERLINK("https://cao.dolgi.msk.ru/account/1011345607/", 1011345607)</f>
        <v>1011345607</v>
      </c>
      <c r="D11707">
        <v>0</v>
      </c>
    </row>
    <row r="11708" spans="1:4" hidden="1" x14ac:dyDescent="0.3">
      <c r="A11708" t="s">
        <v>859</v>
      </c>
      <c r="B11708" t="s">
        <v>12</v>
      </c>
      <c r="C11708" s="1">
        <f>HYPERLINK("https://cao.dolgi.msk.ru/account/1011345455/", 1011345455)</f>
        <v>1011345455</v>
      </c>
      <c r="D11708">
        <v>0</v>
      </c>
    </row>
    <row r="11709" spans="1:4" hidden="1" x14ac:dyDescent="0.3">
      <c r="A11709" t="s">
        <v>859</v>
      </c>
      <c r="B11709" t="s">
        <v>23</v>
      </c>
      <c r="C11709" s="1">
        <f>HYPERLINK("https://cao.dolgi.msk.ru/account/1011345543/", 1011345543)</f>
        <v>1011345543</v>
      </c>
      <c r="D11709">
        <v>-43.36</v>
      </c>
    </row>
    <row r="11710" spans="1:4" hidden="1" x14ac:dyDescent="0.3">
      <c r="A11710" t="s">
        <v>859</v>
      </c>
      <c r="B11710" t="s">
        <v>13</v>
      </c>
      <c r="C11710" s="1">
        <f>HYPERLINK("https://cao.dolgi.msk.ru/account/1011345404/", 1011345404)</f>
        <v>1011345404</v>
      </c>
      <c r="D11710">
        <v>-8532.14</v>
      </c>
    </row>
    <row r="11711" spans="1:4" hidden="1" x14ac:dyDescent="0.3">
      <c r="A11711" t="s">
        <v>859</v>
      </c>
      <c r="B11711" t="s">
        <v>14</v>
      </c>
      <c r="C11711" s="1">
        <f>HYPERLINK("https://cao.dolgi.msk.ru/account/1011345391/", 1011345391)</f>
        <v>1011345391</v>
      </c>
      <c r="D11711">
        <v>0</v>
      </c>
    </row>
    <row r="11712" spans="1:4" hidden="1" x14ac:dyDescent="0.3">
      <c r="A11712" t="s">
        <v>859</v>
      </c>
      <c r="B11712" t="s">
        <v>16</v>
      </c>
      <c r="C11712" s="1">
        <f>HYPERLINK("https://cao.dolgi.msk.ru/account/1011345463/", 1011345463)</f>
        <v>1011345463</v>
      </c>
      <c r="D11712">
        <v>-6847.19</v>
      </c>
    </row>
    <row r="11713" spans="1:4" hidden="1" x14ac:dyDescent="0.3">
      <c r="A11713" t="s">
        <v>859</v>
      </c>
      <c r="B11713" t="s">
        <v>17</v>
      </c>
      <c r="C11713" s="1">
        <f>HYPERLINK("https://cao.dolgi.msk.ru/account/1011345383/", 1011345383)</f>
        <v>1011345383</v>
      </c>
      <c r="D11713">
        <v>0</v>
      </c>
    </row>
    <row r="11714" spans="1:4" x14ac:dyDescent="0.3">
      <c r="A11714" t="s">
        <v>859</v>
      </c>
      <c r="B11714" t="s">
        <v>18</v>
      </c>
      <c r="C11714" s="1">
        <f>HYPERLINK("https://cao.dolgi.msk.ru/account/1011345535/", 1011345535)</f>
        <v>1011345535</v>
      </c>
      <c r="D11714">
        <v>6250.2</v>
      </c>
    </row>
    <row r="11715" spans="1:4" x14ac:dyDescent="0.3">
      <c r="A11715" t="s">
        <v>859</v>
      </c>
      <c r="B11715" t="s">
        <v>19</v>
      </c>
      <c r="C11715" s="1">
        <f>HYPERLINK("https://cao.dolgi.msk.ru/account/1011345551/", 1011345551)</f>
        <v>1011345551</v>
      </c>
      <c r="D11715">
        <v>20157.77</v>
      </c>
    </row>
    <row r="11716" spans="1:4" hidden="1" x14ac:dyDescent="0.3">
      <c r="A11716" t="s">
        <v>859</v>
      </c>
      <c r="B11716" t="s">
        <v>20</v>
      </c>
      <c r="C11716" s="1">
        <f>HYPERLINK("https://cao.dolgi.msk.ru/account/1011345447/", 1011345447)</f>
        <v>1011345447</v>
      </c>
      <c r="D11716">
        <v>-10099.120000000001</v>
      </c>
    </row>
    <row r="11717" spans="1:4" hidden="1" x14ac:dyDescent="0.3">
      <c r="A11717" t="s">
        <v>859</v>
      </c>
      <c r="B11717" t="s">
        <v>21</v>
      </c>
      <c r="C11717" s="1">
        <f>HYPERLINK("https://cao.dolgi.msk.ru/account/1011345578/", 1011345578)</f>
        <v>1011345578</v>
      </c>
      <c r="D11717">
        <v>0</v>
      </c>
    </row>
    <row r="11718" spans="1:4" hidden="1" x14ac:dyDescent="0.3">
      <c r="A11718" t="s">
        <v>859</v>
      </c>
      <c r="B11718" t="s">
        <v>22</v>
      </c>
      <c r="C11718" s="1">
        <f>HYPERLINK("https://cao.dolgi.msk.ru/account/1011345527/", 1011345527)</f>
        <v>1011345527</v>
      </c>
      <c r="D11718">
        <v>0</v>
      </c>
    </row>
    <row r="11719" spans="1:4" x14ac:dyDescent="0.3">
      <c r="A11719" t="s">
        <v>859</v>
      </c>
      <c r="B11719" t="s">
        <v>24</v>
      </c>
      <c r="C11719" s="1">
        <f>HYPERLINK("https://cao.dolgi.msk.ru/account/1011345615/", 1011345615)</f>
        <v>1011345615</v>
      </c>
      <c r="D11719">
        <v>9114.48</v>
      </c>
    </row>
    <row r="11720" spans="1:4" hidden="1" x14ac:dyDescent="0.3">
      <c r="A11720" t="s">
        <v>859</v>
      </c>
      <c r="B11720" t="s">
        <v>25</v>
      </c>
      <c r="C11720" s="1">
        <f>HYPERLINK("https://cao.dolgi.msk.ru/account/1011345367/", 1011345367)</f>
        <v>1011345367</v>
      </c>
      <c r="D11720">
        <v>-121.59</v>
      </c>
    </row>
    <row r="11721" spans="1:4" hidden="1" x14ac:dyDescent="0.3">
      <c r="A11721" t="s">
        <v>859</v>
      </c>
      <c r="B11721" t="s">
        <v>26</v>
      </c>
      <c r="C11721" s="1">
        <f>HYPERLINK("https://cao.dolgi.msk.ru/account/1011345412/", 1011345412)</f>
        <v>1011345412</v>
      </c>
      <c r="D11721">
        <v>-839.13</v>
      </c>
    </row>
    <row r="11722" spans="1:4" x14ac:dyDescent="0.3">
      <c r="A11722" t="s">
        <v>859</v>
      </c>
      <c r="B11722" t="s">
        <v>27</v>
      </c>
      <c r="C11722" s="1">
        <f>HYPERLINK("https://cao.dolgi.msk.ru/account/1011345324/", 1011345324)</f>
        <v>1011345324</v>
      </c>
      <c r="D11722">
        <v>34555.65</v>
      </c>
    </row>
    <row r="11723" spans="1:4" hidden="1" x14ac:dyDescent="0.3">
      <c r="A11723" t="s">
        <v>860</v>
      </c>
      <c r="B11723" t="s">
        <v>6</v>
      </c>
      <c r="C11723" s="1">
        <f>HYPERLINK("https://cao.dolgi.msk.ru/account/1011380488/", 1011380488)</f>
        <v>1011380488</v>
      </c>
      <c r="D11723">
        <v>-1285.69</v>
      </c>
    </row>
    <row r="11724" spans="1:4" hidden="1" x14ac:dyDescent="0.3">
      <c r="A11724" t="s">
        <v>860</v>
      </c>
      <c r="B11724" t="s">
        <v>28</v>
      </c>
      <c r="C11724" s="1">
        <f>HYPERLINK("https://cao.dolgi.msk.ru/account/1011380517/", 1011380517)</f>
        <v>1011380517</v>
      </c>
      <c r="D11724">
        <v>0</v>
      </c>
    </row>
    <row r="11725" spans="1:4" hidden="1" x14ac:dyDescent="0.3">
      <c r="A11725" t="s">
        <v>860</v>
      </c>
      <c r="B11725" t="s">
        <v>35</v>
      </c>
      <c r="C11725" s="1">
        <f>HYPERLINK("https://cao.dolgi.msk.ru/account/1011380445/", 1011380445)</f>
        <v>1011380445</v>
      </c>
      <c r="D11725">
        <v>-1144.78</v>
      </c>
    </row>
    <row r="11726" spans="1:4" hidden="1" x14ac:dyDescent="0.3">
      <c r="A11726" t="s">
        <v>860</v>
      </c>
      <c r="B11726" t="s">
        <v>5</v>
      </c>
      <c r="C11726" s="1">
        <f>HYPERLINK("https://cao.dolgi.msk.ru/account/1011380509/", 1011380509)</f>
        <v>1011380509</v>
      </c>
      <c r="D11726">
        <v>-10318.64</v>
      </c>
    </row>
    <row r="11727" spans="1:4" x14ac:dyDescent="0.3">
      <c r="A11727" t="s">
        <v>860</v>
      </c>
      <c r="B11727" t="s">
        <v>7</v>
      </c>
      <c r="C11727" s="1">
        <f>HYPERLINK("https://cao.dolgi.msk.ru/account/1011380461/", 1011380461)</f>
        <v>1011380461</v>
      </c>
      <c r="D11727">
        <v>11099.3</v>
      </c>
    </row>
    <row r="11728" spans="1:4" hidden="1" x14ac:dyDescent="0.3">
      <c r="A11728" t="s">
        <v>860</v>
      </c>
      <c r="B11728" t="s">
        <v>8</v>
      </c>
      <c r="C11728" s="1">
        <f>HYPERLINK("https://cao.dolgi.msk.ru/account/1011380453/", 1011380453)</f>
        <v>1011380453</v>
      </c>
      <c r="D11728">
        <v>-10360.67</v>
      </c>
    </row>
    <row r="11729" spans="1:4" hidden="1" x14ac:dyDescent="0.3">
      <c r="A11729" t="s">
        <v>860</v>
      </c>
      <c r="B11729" t="s">
        <v>31</v>
      </c>
      <c r="C11729" s="1">
        <f>HYPERLINK("https://cao.dolgi.msk.ru/account/1011380525/", 1011380525)</f>
        <v>1011380525</v>
      </c>
      <c r="D11729">
        <v>0</v>
      </c>
    </row>
    <row r="11730" spans="1:4" hidden="1" x14ac:dyDescent="0.3">
      <c r="A11730" t="s">
        <v>860</v>
      </c>
      <c r="B11730" t="s">
        <v>9</v>
      </c>
      <c r="C11730" s="1">
        <f>HYPERLINK("https://cao.dolgi.msk.ru/account/1011380496/", 1011380496)</f>
        <v>1011380496</v>
      </c>
      <c r="D11730">
        <v>-35.46</v>
      </c>
    </row>
    <row r="11731" spans="1:4" hidden="1" x14ac:dyDescent="0.3">
      <c r="A11731" t="s">
        <v>861</v>
      </c>
      <c r="B11731" t="s">
        <v>28</v>
      </c>
      <c r="C11731" s="1">
        <f>HYPERLINK("https://cao.dolgi.msk.ru/account/1011479023/", 1011479023)</f>
        <v>1011479023</v>
      </c>
      <c r="D11731">
        <v>-40.5</v>
      </c>
    </row>
    <row r="11732" spans="1:4" hidden="1" x14ac:dyDescent="0.3">
      <c r="A11732" t="s">
        <v>861</v>
      </c>
      <c r="B11732" t="s">
        <v>28</v>
      </c>
      <c r="C11732" s="1">
        <f>HYPERLINK("https://cao.dolgi.msk.ru/account/1011479146/", 1011479146)</f>
        <v>1011479146</v>
      </c>
      <c r="D11732">
        <v>-5488.08</v>
      </c>
    </row>
    <row r="11733" spans="1:4" hidden="1" x14ac:dyDescent="0.3">
      <c r="A11733" t="s">
        <v>861</v>
      </c>
      <c r="B11733" t="s">
        <v>35</v>
      </c>
      <c r="C11733" s="1">
        <f>HYPERLINK("https://cao.dolgi.msk.ru/account/1011479293/", 1011479293)</f>
        <v>1011479293</v>
      </c>
      <c r="D11733">
        <v>-209.06</v>
      </c>
    </row>
    <row r="11734" spans="1:4" x14ac:dyDescent="0.3">
      <c r="A11734" t="s">
        <v>861</v>
      </c>
      <c r="B11734" t="s">
        <v>5</v>
      </c>
      <c r="C11734" s="1">
        <f>HYPERLINK("https://cao.dolgi.msk.ru/account/1011478987/", 1011478987)</f>
        <v>1011478987</v>
      </c>
      <c r="D11734">
        <v>6159.03</v>
      </c>
    </row>
    <row r="11735" spans="1:4" hidden="1" x14ac:dyDescent="0.3">
      <c r="A11735" t="s">
        <v>861</v>
      </c>
      <c r="B11735" t="s">
        <v>7</v>
      </c>
      <c r="C11735" s="1">
        <f>HYPERLINK("https://cao.dolgi.msk.ru/account/1011479082/", 1011479082)</f>
        <v>1011479082</v>
      </c>
      <c r="D11735">
        <v>-4015.89</v>
      </c>
    </row>
    <row r="11736" spans="1:4" hidden="1" x14ac:dyDescent="0.3">
      <c r="A11736" t="s">
        <v>861</v>
      </c>
      <c r="B11736" t="s">
        <v>8</v>
      </c>
      <c r="C11736" s="1">
        <f>HYPERLINK("https://cao.dolgi.msk.ru/account/1011479154/", 1011479154)</f>
        <v>1011479154</v>
      </c>
      <c r="D11736">
        <v>-2608.87</v>
      </c>
    </row>
    <row r="11737" spans="1:4" hidden="1" x14ac:dyDescent="0.3">
      <c r="A11737" t="s">
        <v>861</v>
      </c>
      <c r="B11737" t="s">
        <v>8</v>
      </c>
      <c r="C11737" s="1">
        <f>HYPERLINK("https://cao.dolgi.msk.ru/account/1011479242/", 1011479242)</f>
        <v>1011479242</v>
      </c>
      <c r="D11737">
        <v>-4563.33</v>
      </c>
    </row>
    <row r="11738" spans="1:4" x14ac:dyDescent="0.3">
      <c r="A11738" t="s">
        <v>861</v>
      </c>
      <c r="B11738" t="s">
        <v>31</v>
      </c>
      <c r="C11738" s="1">
        <f>HYPERLINK("https://cao.dolgi.msk.ru/account/1011479162/", 1011479162)</f>
        <v>1011479162</v>
      </c>
      <c r="D11738">
        <v>706.09</v>
      </c>
    </row>
    <row r="11739" spans="1:4" x14ac:dyDescent="0.3">
      <c r="A11739" t="s">
        <v>861</v>
      </c>
      <c r="B11739" t="s">
        <v>9</v>
      </c>
      <c r="C11739" s="1">
        <f>HYPERLINK("https://cao.dolgi.msk.ru/account/1011479269/", 1011479269)</f>
        <v>1011479269</v>
      </c>
      <c r="D11739">
        <v>590.79999999999995</v>
      </c>
    </row>
    <row r="11740" spans="1:4" x14ac:dyDescent="0.3">
      <c r="A11740" t="s">
        <v>861</v>
      </c>
      <c r="B11740" t="s">
        <v>862</v>
      </c>
      <c r="C11740" s="1">
        <f>HYPERLINK("https://cao.dolgi.msk.ru/account/1011479234/", 1011479234)</f>
        <v>1011479234</v>
      </c>
      <c r="D11740">
        <v>753.83</v>
      </c>
    </row>
    <row r="11741" spans="1:4" x14ac:dyDescent="0.3">
      <c r="A11741" t="s">
        <v>861</v>
      </c>
      <c r="B11741" t="s">
        <v>10</v>
      </c>
      <c r="C11741" s="1">
        <f>HYPERLINK("https://cao.dolgi.msk.ru/account/1011479306/", 1011479306)</f>
        <v>1011479306</v>
      </c>
      <c r="D11741">
        <v>6038.6</v>
      </c>
    </row>
    <row r="11742" spans="1:4" x14ac:dyDescent="0.3">
      <c r="A11742" t="s">
        <v>861</v>
      </c>
      <c r="B11742" t="s">
        <v>11</v>
      </c>
      <c r="C11742" s="1">
        <f>HYPERLINK("https://cao.dolgi.msk.ru/account/1011479103/", 1011479103)</f>
        <v>1011479103</v>
      </c>
      <c r="D11742">
        <v>37324.94</v>
      </c>
    </row>
    <row r="11743" spans="1:4" hidden="1" x14ac:dyDescent="0.3">
      <c r="A11743" t="s">
        <v>861</v>
      </c>
      <c r="B11743" t="s">
        <v>13</v>
      </c>
      <c r="C11743" s="1">
        <f>HYPERLINK("https://cao.dolgi.msk.ru/account/1011479031/", 1011479031)</f>
        <v>1011479031</v>
      </c>
      <c r="D11743">
        <v>-5515.68</v>
      </c>
    </row>
    <row r="11744" spans="1:4" x14ac:dyDescent="0.3">
      <c r="A11744" t="s">
        <v>861</v>
      </c>
      <c r="B11744" t="s">
        <v>14</v>
      </c>
      <c r="C11744" s="1">
        <f>HYPERLINK("https://cao.dolgi.msk.ru/account/1011479058/", 1011479058)</f>
        <v>1011479058</v>
      </c>
      <c r="D11744">
        <v>9712.4699999999993</v>
      </c>
    </row>
    <row r="11745" spans="1:4" hidden="1" x14ac:dyDescent="0.3">
      <c r="A11745" t="s">
        <v>861</v>
      </c>
      <c r="B11745" t="s">
        <v>16</v>
      </c>
      <c r="C11745" s="1">
        <f>HYPERLINK("https://cao.dolgi.msk.ru/account/1011479111/", 1011479111)</f>
        <v>1011479111</v>
      </c>
      <c r="D11745">
        <v>-11129.38</v>
      </c>
    </row>
    <row r="11746" spans="1:4" hidden="1" x14ac:dyDescent="0.3">
      <c r="A11746" t="s">
        <v>861</v>
      </c>
      <c r="B11746" t="s">
        <v>17</v>
      </c>
      <c r="C11746" s="1">
        <f>HYPERLINK("https://cao.dolgi.msk.ru/account/1011479314/", 1011479314)</f>
        <v>1011479314</v>
      </c>
      <c r="D11746">
        <v>-1648.28</v>
      </c>
    </row>
    <row r="11747" spans="1:4" hidden="1" x14ac:dyDescent="0.3">
      <c r="A11747" t="s">
        <v>861</v>
      </c>
      <c r="B11747" t="s">
        <v>20</v>
      </c>
      <c r="C11747" s="1">
        <f>HYPERLINK("https://cao.dolgi.msk.ru/account/1011479138/", 1011479138)</f>
        <v>1011479138</v>
      </c>
      <c r="D11747">
        <v>-7334.15</v>
      </c>
    </row>
    <row r="11748" spans="1:4" x14ac:dyDescent="0.3">
      <c r="A11748" t="s">
        <v>861</v>
      </c>
      <c r="B11748" t="s">
        <v>20</v>
      </c>
      <c r="C11748" s="1">
        <f>HYPERLINK("https://cao.dolgi.msk.ru/account/1011479277/", 1011479277)</f>
        <v>1011479277</v>
      </c>
      <c r="D11748">
        <v>19965.87</v>
      </c>
    </row>
    <row r="11749" spans="1:4" x14ac:dyDescent="0.3">
      <c r="A11749" t="s">
        <v>861</v>
      </c>
      <c r="B11749" t="s">
        <v>20</v>
      </c>
      <c r="C11749" s="1">
        <f>HYPERLINK("https://cao.dolgi.msk.ru/account/1011479285/", 1011479285)</f>
        <v>1011479285</v>
      </c>
      <c r="D11749">
        <v>6865.11</v>
      </c>
    </row>
    <row r="11750" spans="1:4" hidden="1" x14ac:dyDescent="0.3">
      <c r="A11750" t="s">
        <v>861</v>
      </c>
      <c r="B11750" t="s">
        <v>21</v>
      </c>
      <c r="C11750" s="1">
        <f>HYPERLINK("https://cao.dolgi.msk.ru/account/1011478995/", 1011478995)</f>
        <v>1011478995</v>
      </c>
      <c r="D11750">
        <v>0</v>
      </c>
    </row>
    <row r="11751" spans="1:4" hidden="1" x14ac:dyDescent="0.3">
      <c r="A11751" t="s">
        <v>861</v>
      </c>
      <c r="B11751" t="s">
        <v>21</v>
      </c>
      <c r="C11751" s="1">
        <f>HYPERLINK("https://cao.dolgi.msk.ru/account/1011479015/", 1011479015)</f>
        <v>1011479015</v>
      </c>
      <c r="D11751">
        <v>-1395.48</v>
      </c>
    </row>
    <row r="11752" spans="1:4" x14ac:dyDescent="0.3">
      <c r="A11752" t="s">
        <v>861</v>
      </c>
      <c r="B11752" t="s">
        <v>21</v>
      </c>
      <c r="C11752" s="1">
        <f>HYPERLINK("https://cao.dolgi.msk.ru/account/1011479066/", 1011479066)</f>
        <v>1011479066</v>
      </c>
      <c r="D11752">
        <v>478.2</v>
      </c>
    </row>
    <row r="11753" spans="1:4" hidden="1" x14ac:dyDescent="0.3">
      <c r="A11753" t="s">
        <v>861</v>
      </c>
      <c r="B11753" t="s">
        <v>21</v>
      </c>
      <c r="C11753" s="1">
        <f>HYPERLINK("https://cao.dolgi.msk.ru/account/1011479074/", 1011479074)</f>
        <v>1011479074</v>
      </c>
      <c r="D11753">
        <v>-1324.23</v>
      </c>
    </row>
    <row r="11754" spans="1:4" x14ac:dyDescent="0.3">
      <c r="A11754" t="s">
        <v>861</v>
      </c>
      <c r="B11754" t="s">
        <v>21</v>
      </c>
      <c r="C11754" s="1">
        <f>HYPERLINK("https://cao.dolgi.msk.ru/account/1011479189/", 1011479189)</f>
        <v>1011479189</v>
      </c>
      <c r="D11754">
        <v>3646.59</v>
      </c>
    </row>
    <row r="11755" spans="1:4" x14ac:dyDescent="0.3">
      <c r="A11755" t="s">
        <v>861</v>
      </c>
      <c r="B11755" t="s">
        <v>21</v>
      </c>
      <c r="C11755" s="1">
        <f>HYPERLINK("https://cao.dolgi.msk.ru/account/1011479226/", 1011479226)</f>
        <v>1011479226</v>
      </c>
      <c r="D11755">
        <v>10116.49</v>
      </c>
    </row>
    <row r="11756" spans="1:4" hidden="1" x14ac:dyDescent="0.3">
      <c r="A11756" t="s">
        <v>861</v>
      </c>
      <c r="B11756" t="s">
        <v>22</v>
      </c>
      <c r="C11756" s="1">
        <f>HYPERLINK("https://cao.dolgi.msk.ru/account/1011479197/", 1011479197)</f>
        <v>1011479197</v>
      </c>
      <c r="D11756">
        <v>0</v>
      </c>
    </row>
    <row r="11757" spans="1:4" hidden="1" x14ac:dyDescent="0.3">
      <c r="A11757" t="s">
        <v>861</v>
      </c>
      <c r="B11757" t="s">
        <v>25</v>
      </c>
      <c r="C11757" s="1">
        <f>HYPERLINK("https://cao.dolgi.msk.ru/account/1011479007/", 1011479007)</f>
        <v>1011479007</v>
      </c>
      <c r="D11757">
        <v>-2708.15</v>
      </c>
    </row>
    <row r="11758" spans="1:4" x14ac:dyDescent="0.3">
      <c r="A11758" t="s">
        <v>861</v>
      </c>
      <c r="B11758" t="s">
        <v>25</v>
      </c>
      <c r="C11758" s="1">
        <f>HYPERLINK("https://cao.dolgi.msk.ru/account/1011479218/", 1011479218)</f>
        <v>1011479218</v>
      </c>
      <c r="D11758">
        <v>1458.11</v>
      </c>
    </row>
    <row r="11759" spans="1:4" x14ac:dyDescent="0.3">
      <c r="A11759" t="s">
        <v>863</v>
      </c>
      <c r="B11759" t="s">
        <v>6</v>
      </c>
      <c r="C11759" s="1">
        <f>HYPERLINK("https://cao.dolgi.msk.ru/account/1011202956/", 1011202956)</f>
        <v>1011202956</v>
      </c>
      <c r="D11759">
        <v>15485.66</v>
      </c>
    </row>
    <row r="11760" spans="1:4" hidden="1" x14ac:dyDescent="0.3">
      <c r="A11760" t="s">
        <v>863</v>
      </c>
      <c r="B11760" t="s">
        <v>28</v>
      </c>
      <c r="C11760" s="1">
        <f>HYPERLINK("https://cao.dolgi.msk.ru/account/1011202921/", 1011202921)</f>
        <v>1011202921</v>
      </c>
      <c r="D11760">
        <v>0</v>
      </c>
    </row>
    <row r="11761" spans="1:4" hidden="1" x14ac:dyDescent="0.3">
      <c r="A11761" t="s">
        <v>863</v>
      </c>
      <c r="B11761" t="s">
        <v>35</v>
      </c>
      <c r="C11761" s="1">
        <f>HYPERLINK("https://cao.dolgi.msk.ru/account/1011202964/", 1011202964)</f>
        <v>1011202964</v>
      </c>
      <c r="D11761">
        <v>-19427.96</v>
      </c>
    </row>
    <row r="11762" spans="1:4" hidden="1" x14ac:dyDescent="0.3">
      <c r="A11762" t="s">
        <v>863</v>
      </c>
      <c r="B11762" t="s">
        <v>5</v>
      </c>
      <c r="C11762" s="1">
        <f>HYPERLINK("https://cao.dolgi.msk.ru/account/1011202948/", 1011202948)</f>
        <v>1011202948</v>
      </c>
      <c r="D11762">
        <v>-8208.31</v>
      </c>
    </row>
    <row r="11763" spans="1:4" hidden="1" x14ac:dyDescent="0.3">
      <c r="A11763" t="s">
        <v>863</v>
      </c>
      <c r="B11763" t="s">
        <v>7</v>
      </c>
      <c r="C11763" s="1">
        <f>HYPERLINK("https://cao.dolgi.msk.ru/account/1011202913/", 1011202913)</f>
        <v>1011202913</v>
      </c>
      <c r="D11763">
        <v>-15620.44</v>
      </c>
    </row>
    <row r="11764" spans="1:4" hidden="1" x14ac:dyDescent="0.3">
      <c r="A11764" t="s">
        <v>863</v>
      </c>
      <c r="B11764" t="s">
        <v>8</v>
      </c>
      <c r="C11764" s="1">
        <f>HYPERLINK("https://cao.dolgi.msk.ru/account/1011202892/", 1011202892)</f>
        <v>1011202892</v>
      </c>
      <c r="D11764">
        <v>-16807.2</v>
      </c>
    </row>
    <row r="11765" spans="1:4" hidden="1" x14ac:dyDescent="0.3">
      <c r="A11765" t="s">
        <v>863</v>
      </c>
      <c r="B11765" t="s">
        <v>31</v>
      </c>
      <c r="C11765" s="1">
        <f>HYPERLINK("https://cao.dolgi.msk.ru/account/1011202972/", 1011202972)</f>
        <v>1011202972</v>
      </c>
      <c r="D11765">
        <v>-24029.919999999998</v>
      </c>
    </row>
    <row r="11766" spans="1:4" x14ac:dyDescent="0.3">
      <c r="A11766" t="s">
        <v>863</v>
      </c>
      <c r="B11766" t="s">
        <v>9</v>
      </c>
      <c r="C11766" s="1">
        <f>HYPERLINK("https://cao.dolgi.msk.ru/account/1011202905/", 1011202905)</f>
        <v>1011202905</v>
      </c>
      <c r="D11766">
        <v>11272.6</v>
      </c>
    </row>
    <row r="11767" spans="1:4" hidden="1" x14ac:dyDescent="0.3">
      <c r="A11767" t="s">
        <v>864</v>
      </c>
      <c r="B11767" t="s">
        <v>6</v>
      </c>
      <c r="C11767" s="1">
        <f>HYPERLINK("https://cao.dolgi.msk.ru/account/1011202999/", 1011202999)</f>
        <v>1011202999</v>
      </c>
      <c r="D11767">
        <v>0</v>
      </c>
    </row>
    <row r="11768" spans="1:4" hidden="1" x14ac:dyDescent="0.3">
      <c r="A11768" t="s">
        <v>864</v>
      </c>
      <c r="B11768" t="s">
        <v>28</v>
      </c>
      <c r="C11768" s="1">
        <f>HYPERLINK("https://cao.dolgi.msk.ru/account/1011203342/", 1011203342)</f>
        <v>1011203342</v>
      </c>
      <c r="D11768">
        <v>-4146.95</v>
      </c>
    </row>
    <row r="11769" spans="1:4" hidden="1" x14ac:dyDescent="0.3">
      <c r="A11769" t="s">
        <v>864</v>
      </c>
      <c r="B11769" t="s">
        <v>35</v>
      </c>
      <c r="C11769" s="1">
        <f>HYPERLINK("https://cao.dolgi.msk.ru/account/1011203414/", 1011203414)</f>
        <v>1011203414</v>
      </c>
      <c r="D11769">
        <v>0</v>
      </c>
    </row>
    <row r="11770" spans="1:4" hidden="1" x14ac:dyDescent="0.3">
      <c r="A11770" t="s">
        <v>864</v>
      </c>
      <c r="B11770" t="s">
        <v>5</v>
      </c>
      <c r="C11770" s="1">
        <f>HYPERLINK("https://cao.dolgi.msk.ru/account/1011203123/", 1011203123)</f>
        <v>1011203123</v>
      </c>
      <c r="D11770">
        <v>0</v>
      </c>
    </row>
    <row r="11771" spans="1:4" x14ac:dyDescent="0.3">
      <c r="A11771" t="s">
        <v>864</v>
      </c>
      <c r="B11771" t="s">
        <v>7</v>
      </c>
      <c r="C11771" s="1">
        <f>HYPERLINK("https://cao.dolgi.msk.ru/account/1011203051/", 1011203051)</f>
        <v>1011203051</v>
      </c>
      <c r="D11771">
        <v>5908.56</v>
      </c>
    </row>
    <row r="11772" spans="1:4" hidden="1" x14ac:dyDescent="0.3">
      <c r="A11772" t="s">
        <v>864</v>
      </c>
      <c r="B11772" t="s">
        <v>8</v>
      </c>
      <c r="C11772" s="1">
        <f>HYPERLINK("https://cao.dolgi.msk.ru/account/1011203297/", 1011203297)</f>
        <v>1011203297</v>
      </c>
      <c r="D11772">
        <v>-283.70999999999998</v>
      </c>
    </row>
    <row r="11773" spans="1:4" hidden="1" x14ac:dyDescent="0.3">
      <c r="A11773" t="s">
        <v>864</v>
      </c>
      <c r="B11773" t="s">
        <v>31</v>
      </c>
      <c r="C11773" s="1">
        <f>HYPERLINK("https://cao.dolgi.msk.ru/account/1011203289/", 1011203289)</f>
        <v>1011203289</v>
      </c>
      <c r="D11773">
        <v>0</v>
      </c>
    </row>
    <row r="11774" spans="1:4" hidden="1" x14ac:dyDescent="0.3">
      <c r="A11774" t="s">
        <v>864</v>
      </c>
      <c r="B11774" t="s">
        <v>9</v>
      </c>
      <c r="C11774" s="1">
        <f>HYPERLINK("https://cao.dolgi.msk.ru/account/1011203019/", 1011203019)</f>
        <v>1011203019</v>
      </c>
      <c r="D11774">
        <v>-13447.56</v>
      </c>
    </row>
    <row r="11775" spans="1:4" hidden="1" x14ac:dyDescent="0.3">
      <c r="A11775" t="s">
        <v>864</v>
      </c>
      <c r="B11775" t="s">
        <v>10</v>
      </c>
      <c r="C11775" s="1">
        <f>HYPERLINK("https://cao.dolgi.msk.ru/account/1011203246/", 1011203246)</f>
        <v>1011203246</v>
      </c>
      <c r="D11775">
        <v>-0.4</v>
      </c>
    </row>
    <row r="11776" spans="1:4" hidden="1" x14ac:dyDescent="0.3">
      <c r="A11776" t="s">
        <v>864</v>
      </c>
      <c r="B11776" t="s">
        <v>11</v>
      </c>
      <c r="C11776" s="1">
        <f>HYPERLINK("https://cao.dolgi.msk.ru/account/1011203131/", 1011203131)</f>
        <v>1011203131</v>
      </c>
      <c r="D11776">
        <v>0</v>
      </c>
    </row>
    <row r="11777" spans="1:4" hidden="1" x14ac:dyDescent="0.3">
      <c r="A11777" t="s">
        <v>864</v>
      </c>
      <c r="B11777" t="s">
        <v>12</v>
      </c>
      <c r="C11777" s="1">
        <f>HYPERLINK("https://cao.dolgi.msk.ru/account/1011203158/", 1011203158)</f>
        <v>1011203158</v>
      </c>
      <c r="D11777">
        <v>0</v>
      </c>
    </row>
    <row r="11778" spans="1:4" x14ac:dyDescent="0.3">
      <c r="A11778" t="s">
        <v>864</v>
      </c>
      <c r="B11778" t="s">
        <v>23</v>
      </c>
      <c r="C11778" s="1">
        <f>HYPERLINK("https://cao.dolgi.msk.ru/account/1011203166/", 1011203166)</f>
        <v>1011203166</v>
      </c>
      <c r="D11778">
        <v>34063.93</v>
      </c>
    </row>
    <row r="11779" spans="1:4" hidden="1" x14ac:dyDescent="0.3">
      <c r="A11779" t="s">
        <v>864</v>
      </c>
      <c r="B11779" t="s">
        <v>13</v>
      </c>
      <c r="C11779" s="1">
        <f>HYPERLINK("https://cao.dolgi.msk.ru/account/1011203174/", 1011203174)</f>
        <v>1011203174</v>
      </c>
      <c r="D11779">
        <v>0</v>
      </c>
    </row>
    <row r="11780" spans="1:4" hidden="1" x14ac:dyDescent="0.3">
      <c r="A11780" t="s">
        <v>864</v>
      </c>
      <c r="B11780" t="s">
        <v>14</v>
      </c>
      <c r="C11780" s="1">
        <f>HYPERLINK("https://cao.dolgi.msk.ru/account/1011203182/", 1011203182)</f>
        <v>1011203182</v>
      </c>
      <c r="D11780">
        <v>0</v>
      </c>
    </row>
    <row r="11781" spans="1:4" hidden="1" x14ac:dyDescent="0.3">
      <c r="A11781" t="s">
        <v>864</v>
      </c>
      <c r="B11781" t="s">
        <v>16</v>
      </c>
      <c r="C11781" s="1">
        <f>HYPERLINK("https://cao.dolgi.msk.ru/account/1011203369/", 1011203369)</f>
        <v>1011203369</v>
      </c>
      <c r="D11781">
        <v>-6479.52</v>
      </c>
    </row>
    <row r="11782" spans="1:4" hidden="1" x14ac:dyDescent="0.3">
      <c r="A11782" t="s">
        <v>864</v>
      </c>
      <c r="B11782" t="s">
        <v>17</v>
      </c>
      <c r="C11782" s="1">
        <f>HYPERLINK("https://cao.dolgi.msk.ru/account/1011203318/", 1011203318)</f>
        <v>1011203318</v>
      </c>
      <c r="D11782">
        <v>0</v>
      </c>
    </row>
    <row r="11783" spans="1:4" hidden="1" x14ac:dyDescent="0.3">
      <c r="A11783" t="s">
        <v>864</v>
      </c>
      <c r="B11783" t="s">
        <v>18</v>
      </c>
      <c r="C11783" s="1">
        <f>HYPERLINK("https://cao.dolgi.msk.ru/account/1011203203/", 1011203203)</f>
        <v>1011203203</v>
      </c>
      <c r="D11783">
        <v>0</v>
      </c>
    </row>
    <row r="11784" spans="1:4" hidden="1" x14ac:dyDescent="0.3">
      <c r="A11784" t="s">
        <v>864</v>
      </c>
      <c r="B11784" t="s">
        <v>19</v>
      </c>
      <c r="C11784" s="1">
        <f>HYPERLINK("https://cao.dolgi.msk.ru/account/1011203078/", 1011203078)</f>
        <v>1011203078</v>
      </c>
      <c r="D11784">
        <v>-7360.19</v>
      </c>
    </row>
    <row r="11785" spans="1:4" hidden="1" x14ac:dyDescent="0.3">
      <c r="A11785" t="s">
        <v>864</v>
      </c>
      <c r="B11785" t="s">
        <v>20</v>
      </c>
      <c r="C11785" s="1">
        <f>HYPERLINK("https://cao.dolgi.msk.ru/account/1011203422/", 1011203422)</f>
        <v>1011203422</v>
      </c>
      <c r="D11785">
        <v>0</v>
      </c>
    </row>
    <row r="11786" spans="1:4" hidden="1" x14ac:dyDescent="0.3">
      <c r="A11786" t="s">
        <v>864</v>
      </c>
      <c r="B11786" t="s">
        <v>21</v>
      </c>
      <c r="C11786" s="1">
        <f>HYPERLINK("https://cao.dolgi.msk.ru/account/1011203377/", 1011203377)</f>
        <v>1011203377</v>
      </c>
      <c r="D11786">
        <v>0</v>
      </c>
    </row>
    <row r="11787" spans="1:4" hidden="1" x14ac:dyDescent="0.3">
      <c r="A11787" t="s">
        <v>864</v>
      </c>
      <c r="B11787" t="s">
        <v>22</v>
      </c>
      <c r="C11787" s="1">
        <f>HYPERLINK("https://cao.dolgi.msk.ru/account/1011203238/", 1011203238)</f>
        <v>1011203238</v>
      </c>
      <c r="D11787">
        <v>-6912.12</v>
      </c>
    </row>
    <row r="11788" spans="1:4" x14ac:dyDescent="0.3">
      <c r="A11788" t="s">
        <v>864</v>
      </c>
      <c r="B11788" t="s">
        <v>24</v>
      </c>
      <c r="C11788" s="1">
        <f>HYPERLINK("https://cao.dolgi.msk.ru/account/1011203086/", 1011203086)</f>
        <v>1011203086</v>
      </c>
      <c r="D11788">
        <v>25764.32</v>
      </c>
    </row>
    <row r="11789" spans="1:4" hidden="1" x14ac:dyDescent="0.3">
      <c r="A11789" t="s">
        <v>864</v>
      </c>
      <c r="B11789" t="s">
        <v>25</v>
      </c>
      <c r="C11789" s="1">
        <f>HYPERLINK("https://cao.dolgi.msk.ru/account/1011203254/", 1011203254)</f>
        <v>1011203254</v>
      </c>
      <c r="D11789">
        <v>-3614.7</v>
      </c>
    </row>
    <row r="11790" spans="1:4" hidden="1" x14ac:dyDescent="0.3">
      <c r="A11790" t="s">
        <v>864</v>
      </c>
      <c r="B11790" t="s">
        <v>26</v>
      </c>
      <c r="C11790" s="1">
        <f>HYPERLINK("https://cao.dolgi.msk.ru/account/1011203027/", 1011203027)</f>
        <v>1011203027</v>
      </c>
      <c r="D11790">
        <v>0</v>
      </c>
    </row>
    <row r="11791" spans="1:4" hidden="1" x14ac:dyDescent="0.3">
      <c r="A11791" t="s">
        <v>864</v>
      </c>
      <c r="B11791" t="s">
        <v>27</v>
      </c>
      <c r="C11791" s="1">
        <f>HYPERLINK("https://cao.dolgi.msk.ru/account/1011203385/", 1011203385)</f>
        <v>1011203385</v>
      </c>
      <c r="D11791">
        <v>0</v>
      </c>
    </row>
    <row r="11792" spans="1:4" hidden="1" x14ac:dyDescent="0.3">
      <c r="A11792" t="s">
        <v>864</v>
      </c>
      <c r="B11792" t="s">
        <v>29</v>
      </c>
      <c r="C11792" s="1">
        <f>HYPERLINK("https://cao.dolgi.msk.ru/account/1011203211/", 1011203211)</f>
        <v>1011203211</v>
      </c>
      <c r="D11792">
        <v>-8075.76</v>
      </c>
    </row>
    <row r="11793" spans="1:4" hidden="1" x14ac:dyDescent="0.3">
      <c r="A11793" t="s">
        <v>864</v>
      </c>
      <c r="B11793" t="s">
        <v>38</v>
      </c>
      <c r="C11793" s="1">
        <f>HYPERLINK("https://cao.dolgi.msk.ru/account/1011203393/", 1011203393)</f>
        <v>1011203393</v>
      </c>
      <c r="D11793">
        <v>-4733.68</v>
      </c>
    </row>
    <row r="11794" spans="1:4" hidden="1" x14ac:dyDescent="0.3">
      <c r="A11794" t="s">
        <v>864</v>
      </c>
      <c r="B11794" t="s">
        <v>39</v>
      </c>
      <c r="C11794" s="1">
        <f>HYPERLINK("https://cao.dolgi.msk.ru/account/1011203043/", 1011203043)</f>
        <v>1011203043</v>
      </c>
      <c r="D11794">
        <v>-6698.16</v>
      </c>
    </row>
    <row r="11795" spans="1:4" hidden="1" x14ac:dyDescent="0.3">
      <c r="A11795" t="s">
        <v>864</v>
      </c>
      <c r="B11795" t="s">
        <v>40</v>
      </c>
      <c r="C11795" s="1">
        <f>HYPERLINK("https://cao.dolgi.msk.ru/account/1011203094/", 1011203094)</f>
        <v>1011203094</v>
      </c>
      <c r="D11795">
        <v>0</v>
      </c>
    </row>
    <row r="11796" spans="1:4" x14ac:dyDescent="0.3">
      <c r="A11796" t="s">
        <v>864</v>
      </c>
      <c r="B11796" t="s">
        <v>41</v>
      </c>
      <c r="C11796" s="1">
        <f>HYPERLINK("https://cao.dolgi.msk.ru/account/1011203107/", 1011203107)</f>
        <v>1011203107</v>
      </c>
      <c r="D11796">
        <v>32452.74</v>
      </c>
    </row>
    <row r="11797" spans="1:4" hidden="1" x14ac:dyDescent="0.3">
      <c r="A11797" t="s">
        <v>864</v>
      </c>
      <c r="B11797" t="s">
        <v>51</v>
      </c>
      <c r="C11797" s="1">
        <f>HYPERLINK("https://cao.dolgi.msk.ru/account/1011203115/", 1011203115)</f>
        <v>1011203115</v>
      </c>
      <c r="D11797">
        <v>0</v>
      </c>
    </row>
    <row r="11798" spans="1:4" hidden="1" x14ac:dyDescent="0.3">
      <c r="A11798" t="s">
        <v>864</v>
      </c>
      <c r="B11798" t="s">
        <v>52</v>
      </c>
      <c r="C11798" s="1">
        <f>HYPERLINK("https://cao.dolgi.msk.ru/account/1011203406/", 1011203406)</f>
        <v>1011203406</v>
      </c>
      <c r="D11798">
        <v>-6003.23</v>
      </c>
    </row>
    <row r="11799" spans="1:4" hidden="1" x14ac:dyDescent="0.3">
      <c r="A11799" t="s">
        <v>864</v>
      </c>
      <c r="B11799" t="s">
        <v>53</v>
      </c>
      <c r="C11799" s="1">
        <f>HYPERLINK("https://cao.dolgi.msk.ru/account/1011203035/", 1011203035)</f>
        <v>1011203035</v>
      </c>
      <c r="D11799">
        <v>0</v>
      </c>
    </row>
    <row r="11800" spans="1:4" x14ac:dyDescent="0.3">
      <c r="A11800" t="s">
        <v>864</v>
      </c>
      <c r="B11800" t="s">
        <v>54</v>
      </c>
      <c r="C11800" s="1">
        <f>HYPERLINK("https://cao.dolgi.msk.ru/account/1011203334/", 1011203334)</f>
        <v>1011203334</v>
      </c>
      <c r="D11800">
        <v>737.63</v>
      </c>
    </row>
    <row r="11801" spans="1:4" hidden="1" x14ac:dyDescent="0.3">
      <c r="A11801" t="s">
        <v>864</v>
      </c>
      <c r="B11801" t="s">
        <v>55</v>
      </c>
      <c r="C11801" s="1">
        <f>HYPERLINK("https://cao.dolgi.msk.ru/account/1011203262/", 1011203262)</f>
        <v>1011203262</v>
      </c>
      <c r="D11801">
        <v>-227.11</v>
      </c>
    </row>
    <row r="11802" spans="1:4" x14ac:dyDescent="0.3">
      <c r="A11802" t="s">
        <v>865</v>
      </c>
      <c r="B11802" t="s">
        <v>6</v>
      </c>
      <c r="C11802" s="1">
        <f>HYPERLINK("https://cao.dolgi.msk.ru/account/1011116011/", 1011116011)</f>
        <v>1011116011</v>
      </c>
      <c r="D11802">
        <v>2906.88</v>
      </c>
    </row>
    <row r="11803" spans="1:4" hidden="1" x14ac:dyDescent="0.3">
      <c r="A11803" t="s">
        <v>865</v>
      </c>
      <c r="B11803" t="s">
        <v>28</v>
      </c>
      <c r="C11803" s="1">
        <f>HYPERLINK("https://cao.dolgi.msk.ru/account/1011116038/", 1011116038)</f>
        <v>1011116038</v>
      </c>
      <c r="D11803">
        <v>-4790.58</v>
      </c>
    </row>
    <row r="11804" spans="1:4" hidden="1" x14ac:dyDescent="0.3">
      <c r="A11804" t="s">
        <v>865</v>
      </c>
      <c r="B11804" t="s">
        <v>35</v>
      </c>
      <c r="C11804" s="1">
        <f>HYPERLINK("https://cao.dolgi.msk.ru/account/1011115924/", 1011115924)</f>
        <v>1011115924</v>
      </c>
      <c r="D11804">
        <v>0</v>
      </c>
    </row>
    <row r="11805" spans="1:4" hidden="1" x14ac:dyDescent="0.3">
      <c r="A11805" t="s">
        <v>865</v>
      </c>
      <c r="B11805" t="s">
        <v>5</v>
      </c>
      <c r="C11805" s="1">
        <f>HYPERLINK("https://cao.dolgi.msk.ru/account/1011116046/", 1011116046)</f>
        <v>1011116046</v>
      </c>
      <c r="D11805">
        <v>0</v>
      </c>
    </row>
    <row r="11806" spans="1:4" hidden="1" x14ac:dyDescent="0.3">
      <c r="A11806" t="s">
        <v>865</v>
      </c>
      <c r="B11806" t="s">
        <v>7</v>
      </c>
      <c r="C11806" s="1">
        <f>HYPERLINK("https://cao.dolgi.msk.ru/account/1011116054/", 1011116054)</f>
        <v>1011116054</v>
      </c>
      <c r="D11806">
        <v>0</v>
      </c>
    </row>
    <row r="11807" spans="1:4" hidden="1" x14ac:dyDescent="0.3">
      <c r="A11807" t="s">
        <v>865</v>
      </c>
      <c r="B11807" t="s">
        <v>8</v>
      </c>
      <c r="C11807" s="1">
        <f>HYPERLINK("https://cao.dolgi.msk.ru/account/1011116134/", 1011116134)</f>
        <v>1011116134</v>
      </c>
      <c r="D11807">
        <v>0</v>
      </c>
    </row>
    <row r="11808" spans="1:4" hidden="1" x14ac:dyDescent="0.3">
      <c r="A11808" t="s">
        <v>865</v>
      </c>
      <c r="B11808" t="s">
        <v>31</v>
      </c>
      <c r="C11808" s="1">
        <f>HYPERLINK("https://cao.dolgi.msk.ru/account/1011116302/", 1011116302)</f>
        <v>1011116302</v>
      </c>
      <c r="D11808">
        <v>0</v>
      </c>
    </row>
    <row r="11809" spans="1:4" hidden="1" x14ac:dyDescent="0.3">
      <c r="A11809" t="s">
        <v>865</v>
      </c>
      <c r="B11809" t="s">
        <v>9</v>
      </c>
      <c r="C11809" s="1">
        <f>HYPERLINK("https://cao.dolgi.msk.ru/account/1011116062/", 1011116062)</f>
        <v>1011116062</v>
      </c>
      <c r="D11809">
        <v>0</v>
      </c>
    </row>
    <row r="11810" spans="1:4" x14ac:dyDescent="0.3">
      <c r="A11810" t="s">
        <v>865</v>
      </c>
      <c r="B11810" t="s">
        <v>10</v>
      </c>
      <c r="C11810" s="1">
        <f>HYPERLINK("https://cao.dolgi.msk.ru/account/1011115959/", 1011115959)</f>
        <v>1011115959</v>
      </c>
      <c r="D11810">
        <v>11667.13</v>
      </c>
    </row>
    <row r="11811" spans="1:4" hidden="1" x14ac:dyDescent="0.3">
      <c r="A11811" t="s">
        <v>865</v>
      </c>
      <c r="B11811" t="s">
        <v>11</v>
      </c>
      <c r="C11811" s="1">
        <f>HYPERLINK("https://cao.dolgi.msk.ru/account/1011116089/", 1011116089)</f>
        <v>1011116089</v>
      </c>
      <c r="D11811">
        <v>0</v>
      </c>
    </row>
    <row r="11812" spans="1:4" hidden="1" x14ac:dyDescent="0.3">
      <c r="A11812" t="s">
        <v>865</v>
      </c>
      <c r="B11812" t="s">
        <v>12</v>
      </c>
      <c r="C11812" s="1">
        <f>HYPERLINK("https://cao.dolgi.msk.ru/account/1011116193/", 1011116193)</f>
        <v>1011116193</v>
      </c>
      <c r="D11812">
        <v>0</v>
      </c>
    </row>
    <row r="11813" spans="1:4" hidden="1" x14ac:dyDescent="0.3">
      <c r="A11813" t="s">
        <v>865</v>
      </c>
      <c r="B11813" t="s">
        <v>23</v>
      </c>
      <c r="C11813" s="1">
        <f>HYPERLINK("https://cao.dolgi.msk.ru/account/1011116329/", 1011116329)</f>
        <v>1011116329</v>
      </c>
      <c r="D11813">
        <v>-3567.31</v>
      </c>
    </row>
    <row r="11814" spans="1:4" x14ac:dyDescent="0.3">
      <c r="A11814" t="s">
        <v>865</v>
      </c>
      <c r="B11814" t="s">
        <v>13</v>
      </c>
      <c r="C11814" s="1">
        <f>HYPERLINK("https://cao.dolgi.msk.ru/account/1011116206/", 1011116206)</f>
        <v>1011116206</v>
      </c>
      <c r="D11814">
        <v>10272.5</v>
      </c>
    </row>
    <row r="11815" spans="1:4" hidden="1" x14ac:dyDescent="0.3">
      <c r="A11815" t="s">
        <v>865</v>
      </c>
      <c r="B11815" t="s">
        <v>14</v>
      </c>
      <c r="C11815" s="1">
        <f>HYPERLINK("https://cao.dolgi.msk.ru/account/1011116097/", 1011116097)</f>
        <v>1011116097</v>
      </c>
      <c r="D11815">
        <v>-342.32</v>
      </c>
    </row>
    <row r="11816" spans="1:4" hidden="1" x14ac:dyDescent="0.3">
      <c r="A11816" t="s">
        <v>865</v>
      </c>
      <c r="B11816" t="s">
        <v>16</v>
      </c>
      <c r="C11816" s="1">
        <f>HYPERLINK("https://cao.dolgi.msk.ru/account/1011116273/", 1011116273)</f>
        <v>1011116273</v>
      </c>
      <c r="D11816">
        <v>0</v>
      </c>
    </row>
    <row r="11817" spans="1:4" hidden="1" x14ac:dyDescent="0.3">
      <c r="A11817" t="s">
        <v>865</v>
      </c>
      <c r="B11817" t="s">
        <v>17</v>
      </c>
      <c r="C11817" s="1">
        <f>HYPERLINK("https://cao.dolgi.msk.ru/account/1011116337/", 1011116337)</f>
        <v>1011116337</v>
      </c>
      <c r="D11817">
        <v>-3095.23</v>
      </c>
    </row>
    <row r="11818" spans="1:4" hidden="1" x14ac:dyDescent="0.3">
      <c r="A11818" t="s">
        <v>865</v>
      </c>
      <c r="B11818" t="s">
        <v>18</v>
      </c>
      <c r="C11818" s="1">
        <f>HYPERLINK("https://cao.dolgi.msk.ru/account/1011115967/", 1011115967)</f>
        <v>1011115967</v>
      </c>
      <c r="D11818">
        <v>-25023.67</v>
      </c>
    </row>
    <row r="11819" spans="1:4" hidden="1" x14ac:dyDescent="0.3">
      <c r="A11819" t="s">
        <v>865</v>
      </c>
      <c r="B11819" t="s">
        <v>19</v>
      </c>
      <c r="C11819" s="1">
        <f>HYPERLINK("https://cao.dolgi.msk.ru/account/1011116214/", 1011116214)</f>
        <v>1011116214</v>
      </c>
      <c r="D11819">
        <v>0</v>
      </c>
    </row>
    <row r="11820" spans="1:4" hidden="1" x14ac:dyDescent="0.3">
      <c r="A11820" t="s">
        <v>865</v>
      </c>
      <c r="B11820" t="s">
        <v>20</v>
      </c>
      <c r="C11820" s="1">
        <f>HYPERLINK("https://cao.dolgi.msk.ru/account/1011115975/", 1011115975)</f>
        <v>1011115975</v>
      </c>
      <c r="D11820">
        <v>-1287.0999999999999</v>
      </c>
    </row>
    <row r="11821" spans="1:4" hidden="1" x14ac:dyDescent="0.3">
      <c r="A11821" t="s">
        <v>865</v>
      </c>
      <c r="B11821" t="s">
        <v>21</v>
      </c>
      <c r="C11821" s="1">
        <f>HYPERLINK("https://cao.dolgi.msk.ru/account/1011115932/", 1011115932)</f>
        <v>1011115932</v>
      </c>
      <c r="D11821">
        <v>-4607.25</v>
      </c>
    </row>
    <row r="11822" spans="1:4" hidden="1" x14ac:dyDescent="0.3">
      <c r="A11822" t="s">
        <v>865</v>
      </c>
      <c r="B11822" t="s">
        <v>22</v>
      </c>
      <c r="C11822" s="1">
        <f>HYPERLINK("https://cao.dolgi.msk.ru/account/1011116249/", 1011116249)</f>
        <v>1011116249</v>
      </c>
      <c r="D11822">
        <v>0</v>
      </c>
    </row>
    <row r="11823" spans="1:4" hidden="1" x14ac:dyDescent="0.3">
      <c r="A11823" t="s">
        <v>865</v>
      </c>
      <c r="B11823" t="s">
        <v>24</v>
      </c>
      <c r="C11823" s="1">
        <f>HYPERLINK("https://cao.dolgi.msk.ru/account/1011116353/", 1011116353)</f>
        <v>1011116353</v>
      </c>
      <c r="D11823">
        <v>0</v>
      </c>
    </row>
    <row r="11824" spans="1:4" hidden="1" x14ac:dyDescent="0.3">
      <c r="A11824" t="s">
        <v>865</v>
      </c>
      <c r="B11824" t="s">
        <v>25</v>
      </c>
      <c r="C11824" s="1">
        <f>HYPERLINK("https://cao.dolgi.msk.ru/account/1011116281/", 1011116281)</f>
        <v>1011116281</v>
      </c>
      <c r="D11824">
        <v>-1276.92</v>
      </c>
    </row>
    <row r="11825" spans="1:4" hidden="1" x14ac:dyDescent="0.3">
      <c r="A11825" t="s">
        <v>865</v>
      </c>
      <c r="B11825" t="s">
        <v>26</v>
      </c>
      <c r="C11825" s="1">
        <f>HYPERLINK("https://cao.dolgi.msk.ru/account/1011115983/", 1011115983)</f>
        <v>1011115983</v>
      </c>
      <c r="D11825">
        <v>-24719.91</v>
      </c>
    </row>
    <row r="11826" spans="1:4" hidden="1" x14ac:dyDescent="0.3">
      <c r="A11826" t="s">
        <v>865</v>
      </c>
      <c r="B11826" t="s">
        <v>27</v>
      </c>
      <c r="C11826" s="1">
        <f>HYPERLINK("https://cao.dolgi.msk.ru/account/1011116142/", 1011116142)</f>
        <v>1011116142</v>
      </c>
      <c r="D11826">
        <v>0</v>
      </c>
    </row>
    <row r="11827" spans="1:4" hidden="1" x14ac:dyDescent="0.3">
      <c r="A11827" t="s">
        <v>865</v>
      </c>
      <c r="B11827" t="s">
        <v>29</v>
      </c>
      <c r="C11827" s="1">
        <f>HYPERLINK("https://cao.dolgi.msk.ru/account/1011116169/", 1011116169)</f>
        <v>1011116169</v>
      </c>
      <c r="D11827">
        <v>0</v>
      </c>
    </row>
    <row r="11828" spans="1:4" hidden="1" x14ac:dyDescent="0.3">
      <c r="A11828" t="s">
        <v>865</v>
      </c>
      <c r="B11828" t="s">
        <v>38</v>
      </c>
      <c r="C11828" s="1">
        <f>HYPERLINK("https://cao.dolgi.msk.ru/account/1011116257/", 1011116257)</f>
        <v>1011116257</v>
      </c>
      <c r="D11828">
        <v>-948.22</v>
      </c>
    </row>
    <row r="11829" spans="1:4" hidden="1" x14ac:dyDescent="0.3">
      <c r="A11829" t="s">
        <v>865</v>
      </c>
      <c r="B11829" t="s">
        <v>39</v>
      </c>
      <c r="C11829" s="1">
        <f>HYPERLINK("https://cao.dolgi.msk.ru/account/1011115991/", 1011115991)</f>
        <v>1011115991</v>
      </c>
      <c r="D11829">
        <v>0</v>
      </c>
    </row>
    <row r="11830" spans="1:4" hidden="1" x14ac:dyDescent="0.3">
      <c r="A11830" t="s">
        <v>865</v>
      </c>
      <c r="B11830" t="s">
        <v>40</v>
      </c>
      <c r="C11830" s="1">
        <f>HYPERLINK("https://cao.dolgi.msk.ru/account/1011116118/", 1011116118)</f>
        <v>1011116118</v>
      </c>
      <c r="D11830">
        <v>0</v>
      </c>
    </row>
    <row r="11831" spans="1:4" hidden="1" x14ac:dyDescent="0.3">
      <c r="A11831" t="s">
        <v>865</v>
      </c>
      <c r="B11831" t="s">
        <v>41</v>
      </c>
      <c r="C11831" s="1">
        <f>HYPERLINK("https://cao.dolgi.msk.ru/account/1011116345/", 1011116345)</f>
        <v>1011116345</v>
      </c>
      <c r="D11831">
        <v>0</v>
      </c>
    </row>
    <row r="11832" spans="1:4" hidden="1" x14ac:dyDescent="0.3">
      <c r="A11832" t="s">
        <v>865</v>
      </c>
      <c r="B11832" t="s">
        <v>51</v>
      </c>
      <c r="C11832" s="1">
        <f>HYPERLINK("https://cao.dolgi.msk.ru/account/1011116177/", 1011116177)</f>
        <v>1011116177</v>
      </c>
      <c r="D11832">
        <v>0</v>
      </c>
    </row>
    <row r="11833" spans="1:4" hidden="1" x14ac:dyDescent="0.3">
      <c r="A11833" t="s">
        <v>865</v>
      </c>
      <c r="B11833" t="s">
        <v>52</v>
      </c>
      <c r="C11833" s="1">
        <f>HYPERLINK("https://cao.dolgi.msk.ru/account/1011116003/", 1011116003)</f>
        <v>1011116003</v>
      </c>
      <c r="D11833">
        <v>0</v>
      </c>
    </row>
    <row r="11834" spans="1:4" hidden="1" x14ac:dyDescent="0.3">
      <c r="A11834" t="s">
        <v>865</v>
      </c>
      <c r="B11834" t="s">
        <v>53</v>
      </c>
      <c r="C11834" s="1">
        <f>HYPERLINK("https://cao.dolgi.msk.ru/account/1011116185/", 1011116185)</f>
        <v>1011116185</v>
      </c>
      <c r="D11834">
        <v>-50.1</v>
      </c>
    </row>
    <row r="11835" spans="1:4" hidden="1" x14ac:dyDescent="0.3">
      <c r="A11835" t="s">
        <v>865</v>
      </c>
      <c r="B11835" t="s">
        <v>54</v>
      </c>
      <c r="C11835" s="1">
        <f>HYPERLINK("https://cao.dolgi.msk.ru/account/1011116222/", 1011116222)</f>
        <v>1011116222</v>
      </c>
      <c r="D11835">
        <v>0</v>
      </c>
    </row>
    <row r="11836" spans="1:4" hidden="1" x14ac:dyDescent="0.3">
      <c r="A11836" t="s">
        <v>865</v>
      </c>
      <c r="B11836" t="s">
        <v>55</v>
      </c>
      <c r="C11836" s="1">
        <f>HYPERLINK("https://cao.dolgi.msk.ru/account/1011189413/", 1011189413)</f>
        <v>1011189413</v>
      </c>
      <c r="D11836">
        <v>0</v>
      </c>
    </row>
    <row r="11837" spans="1:4" x14ac:dyDescent="0.3">
      <c r="A11837" t="s">
        <v>865</v>
      </c>
      <c r="B11837" t="s">
        <v>56</v>
      </c>
      <c r="C11837" s="1">
        <f>HYPERLINK("https://cao.dolgi.msk.ru/account/1011116126/", 1011116126)</f>
        <v>1011116126</v>
      </c>
      <c r="D11837">
        <v>17432.04</v>
      </c>
    </row>
    <row r="11838" spans="1:4" hidden="1" x14ac:dyDescent="0.3">
      <c r="A11838" t="s">
        <v>866</v>
      </c>
      <c r="B11838" t="s">
        <v>35</v>
      </c>
      <c r="C11838" s="1">
        <f>HYPERLINK("https://cao.dolgi.msk.ru/account/1011438918/", 1011438918)</f>
        <v>1011438918</v>
      </c>
      <c r="D11838">
        <v>0</v>
      </c>
    </row>
    <row r="11839" spans="1:4" hidden="1" x14ac:dyDescent="0.3">
      <c r="A11839" t="s">
        <v>866</v>
      </c>
      <c r="B11839" t="s">
        <v>5</v>
      </c>
      <c r="C11839" s="1">
        <f>HYPERLINK("https://cao.dolgi.msk.ru/account/1011439021/", 1011439021)</f>
        <v>1011439021</v>
      </c>
      <c r="D11839">
        <v>-138.96</v>
      </c>
    </row>
    <row r="11840" spans="1:4" x14ac:dyDescent="0.3">
      <c r="A11840" t="s">
        <v>866</v>
      </c>
      <c r="B11840" t="s">
        <v>7</v>
      </c>
      <c r="C11840" s="1">
        <f>HYPERLINK("https://cao.dolgi.msk.ru/account/1011438985/", 1011438985)</f>
        <v>1011438985</v>
      </c>
      <c r="D11840">
        <v>3234.65</v>
      </c>
    </row>
    <row r="11841" spans="1:4" hidden="1" x14ac:dyDescent="0.3">
      <c r="A11841" t="s">
        <v>866</v>
      </c>
      <c r="B11841" t="s">
        <v>8</v>
      </c>
      <c r="C11841" s="1">
        <f>HYPERLINK("https://cao.dolgi.msk.ru/account/1011438766/", 1011438766)</f>
        <v>1011438766</v>
      </c>
      <c r="D11841">
        <v>0</v>
      </c>
    </row>
    <row r="11842" spans="1:4" hidden="1" x14ac:dyDescent="0.3">
      <c r="A11842" t="s">
        <v>866</v>
      </c>
      <c r="B11842" t="s">
        <v>31</v>
      </c>
      <c r="C11842" s="1">
        <f>HYPERLINK("https://cao.dolgi.msk.ru/account/1011438942/", 1011438942)</f>
        <v>1011438942</v>
      </c>
      <c r="D11842">
        <v>0</v>
      </c>
    </row>
    <row r="11843" spans="1:4" hidden="1" x14ac:dyDescent="0.3">
      <c r="A11843" t="s">
        <v>866</v>
      </c>
      <c r="B11843" t="s">
        <v>9</v>
      </c>
      <c r="C11843" s="1">
        <f>HYPERLINK("https://cao.dolgi.msk.ru/account/1011438811/", 1011438811)</f>
        <v>1011438811</v>
      </c>
      <c r="D11843">
        <v>-585.92999999999995</v>
      </c>
    </row>
    <row r="11844" spans="1:4" hidden="1" x14ac:dyDescent="0.3">
      <c r="A11844" t="s">
        <v>866</v>
      </c>
      <c r="B11844" t="s">
        <v>10</v>
      </c>
      <c r="C11844" s="1">
        <f>HYPERLINK("https://cao.dolgi.msk.ru/account/1011438926/", 1011438926)</f>
        <v>1011438926</v>
      </c>
      <c r="D11844">
        <v>-2297.46</v>
      </c>
    </row>
    <row r="11845" spans="1:4" hidden="1" x14ac:dyDescent="0.3">
      <c r="A11845" t="s">
        <v>866</v>
      </c>
      <c r="B11845" t="s">
        <v>11</v>
      </c>
      <c r="C11845" s="1">
        <f>HYPERLINK("https://cao.dolgi.msk.ru/account/1011438969/", 1011438969)</f>
        <v>1011438969</v>
      </c>
      <c r="D11845">
        <v>-5798.85</v>
      </c>
    </row>
    <row r="11846" spans="1:4" x14ac:dyDescent="0.3">
      <c r="A11846" t="s">
        <v>866</v>
      </c>
      <c r="B11846" t="s">
        <v>12</v>
      </c>
      <c r="C11846" s="1">
        <f>HYPERLINK("https://cao.dolgi.msk.ru/account/1011438862/", 1011438862)</f>
        <v>1011438862</v>
      </c>
      <c r="D11846">
        <v>9090.48</v>
      </c>
    </row>
    <row r="11847" spans="1:4" hidden="1" x14ac:dyDescent="0.3">
      <c r="A11847" t="s">
        <v>866</v>
      </c>
      <c r="B11847" t="s">
        <v>13</v>
      </c>
      <c r="C11847" s="1">
        <f>HYPERLINK("https://cao.dolgi.msk.ru/account/1011439013/", 1011439013)</f>
        <v>1011439013</v>
      </c>
      <c r="D11847">
        <v>-224.15</v>
      </c>
    </row>
    <row r="11848" spans="1:4" hidden="1" x14ac:dyDescent="0.3">
      <c r="A11848" t="s">
        <v>866</v>
      </c>
      <c r="B11848" t="s">
        <v>16</v>
      </c>
      <c r="C11848" s="1">
        <f>HYPERLINK("https://cao.dolgi.msk.ru/account/1011438846/", 1011438846)</f>
        <v>1011438846</v>
      </c>
      <c r="D11848">
        <v>0</v>
      </c>
    </row>
    <row r="11849" spans="1:4" hidden="1" x14ac:dyDescent="0.3">
      <c r="A11849" t="s">
        <v>866</v>
      </c>
      <c r="B11849" t="s">
        <v>17</v>
      </c>
      <c r="C11849" s="1">
        <f>HYPERLINK("https://cao.dolgi.msk.ru/account/1011438889/", 1011438889)</f>
        <v>1011438889</v>
      </c>
      <c r="D11849">
        <v>0</v>
      </c>
    </row>
    <row r="11850" spans="1:4" hidden="1" x14ac:dyDescent="0.3">
      <c r="A11850" t="s">
        <v>866</v>
      </c>
      <c r="B11850" t="s">
        <v>18</v>
      </c>
      <c r="C11850" s="1">
        <f>HYPERLINK("https://cao.dolgi.msk.ru/account/1011439005/", 1011439005)</f>
        <v>1011439005</v>
      </c>
      <c r="D11850">
        <v>0</v>
      </c>
    </row>
    <row r="11851" spans="1:4" hidden="1" x14ac:dyDescent="0.3">
      <c r="A11851" t="s">
        <v>866</v>
      </c>
      <c r="B11851" t="s">
        <v>19</v>
      </c>
      <c r="C11851" s="1">
        <f>HYPERLINK("https://cao.dolgi.msk.ru/account/1011438993/", 1011438993)</f>
        <v>1011438993</v>
      </c>
      <c r="D11851">
        <v>0</v>
      </c>
    </row>
    <row r="11852" spans="1:4" x14ac:dyDescent="0.3">
      <c r="A11852" t="s">
        <v>866</v>
      </c>
      <c r="B11852" t="s">
        <v>20</v>
      </c>
      <c r="C11852" s="1">
        <f>HYPERLINK("https://cao.dolgi.msk.ru/account/1011438897/", 1011438897)</f>
        <v>1011438897</v>
      </c>
      <c r="D11852">
        <v>6820.74</v>
      </c>
    </row>
    <row r="11853" spans="1:4" hidden="1" x14ac:dyDescent="0.3">
      <c r="A11853" t="s">
        <v>866</v>
      </c>
      <c r="B11853" t="s">
        <v>21</v>
      </c>
      <c r="C11853" s="1">
        <f>HYPERLINK("https://cao.dolgi.msk.ru/account/1011439048/", 1011439048)</f>
        <v>1011439048</v>
      </c>
      <c r="D11853">
        <v>0</v>
      </c>
    </row>
    <row r="11854" spans="1:4" hidden="1" x14ac:dyDescent="0.3">
      <c r="A11854" t="s">
        <v>866</v>
      </c>
      <c r="B11854" t="s">
        <v>22</v>
      </c>
      <c r="C11854" s="1">
        <f>HYPERLINK("https://cao.dolgi.msk.ru/account/1011438782/", 1011438782)</f>
        <v>1011438782</v>
      </c>
      <c r="D11854">
        <v>0</v>
      </c>
    </row>
    <row r="11855" spans="1:4" hidden="1" x14ac:dyDescent="0.3">
      <c r="A11855" t="s">
        <v>866</v>
      </c>
      <c r="B11855" t="s">
        <v>24</v>
      </c>
      <c r="C11855" s="1">
        <f>HYPERLINK("https://cao.dolgi.msk.ru/account/1011438854/", 1011438854)</f>
        <v>1011438854</v>
      </c>
      <c r="D11855">
        <v>0</v>
      </c>
    </row>
    <row r="11856" spans="1:4" hidden="1" x14ac:dyDescent="0.3">
      <c r="A11856" t="s">
        <v>866</v>
      </c>
      <c r="B11856" t="s">
        <v>25</v>
      </c>
      <c r="C11856" s="1">
        <f>HYPERLINK("https://cao.dolgi.msk.ru/account/1011438774/", 1011438774)</f>
        <v>1011438774</v>
      </c>
      <c r="D11856">
        <v>0</v>
      </c>
    </row>
    <row r="11857" spans="1:4" hidden="1" x14ac:dyDescent="0.3">
      <c r="A11857" t="s">
        <v>866</v>
      </c>
      <c r="B11857" t="s">
        <v>26</v>
      </c>
      <c r="C11857" s="1">
        <f>HYPERLINK("https://cao.dolgi.msk.ru/account/1011438838/", 1011438838)</f>
        <v>1011438838</v>
      </c>
      <c r="D11857">
        <v>-18076.63</v>
      </c>
    </row>
    <row r="11858" spans="1:4" hidden="1" x14ac:dyDescent="0.3">
      <c r="A11858" t="s">
        <v>866</v>
      </c>
      <c r="B11858" t="s">
        <v>27</v>
      </c>
      <c r="C11858" s="1">
        <f>HYPERLINK("https://cao.dolgi.msk.ru/account/1011438803/", 1011438803)</f>
        <v>1011438803</v>
      </c>
      <c r="D11858">
        <v>0</v>
      </c>
    </row>
    <row r="11859" spans="1:4" hidden="1" x14ac:dyDescent="0.3">
      <c r="A11859" t="s">
        <v>866</v>
      </c>
      <c r="B11859" t="s">
        <v>29</v>
      </c>
      <c r="C11859" s="1">
        <f>HYPERLINK("https://cao.dolgi.msk.ru/account/1011438977/", 1011438977)</f>
        <v>1011438977</v>
      </c>
      <c r="D11859">
        <v>-11213.06</v>
      </c>
    </row>
    <row r="11860" spans="1:4" hidden="1" x14ac:dyDescent="0.3">
      <c r="A11860" t="s">
        <v>866</v>
      </c>
      <c r="B11860" t="s">
        <v>38</v>
      </c>
      <c r="C11860" s="1">
        <f>HYPERLINK("https://cao.dolgi.msk.ru/account/1011438934/", 1011438934)</f>
        <v>1011438934</v>
      </c>
      <c r="D11860">
        <v>0</v>
      </c>
    </row>
    <row r="11861" spans="1:4" hidden="1" x14ac:dyDescent="0.3">
      <c r="A11861" t="s">
        <v>867</v>
      </c>
      <c r="B11861" t="s">
        <v>26</v>
      </c>
      <c r="C11861" s="1">
        <f>HYPERLINK("https://cao.dolgi.msk.ru/account/1011439304/", 1011439304)</f>
        <v>1011439304</v>
      </c>
      <c r="D11861">
        <v>0</v>
      </c>
    </row>
    <row r="11862" spans="1:4" hidden="1" x14ac:dyDescent="0.3">
      <c r="A11862" t="s">
        <v>867</v>
      </c>
      <c r="B11862" t="s">
        <v>27</v>
      </c>
      <c r="C11862" s="1">
        <f>HYPERLINK("https://cao.dolgi.msk.ru/account/1011439195/", 1011439195)</f>
        <v>1011439195</v>
      </c>
      <c r="D11862">
        <v>0</v>
      </c>
    </row>
    <row r="11863" spans="1:4" hidden="1" x14ac:dyDescent="0.3">
      <c r="A11863" t="s">
        <v>867</v>
      </c>
      <c r="B11863" t="s">
        <v>29</v>
      </c>
      <c r="C11863" s="1">
        <f>HYPERLINK("https://cao.dolgi.msk.ru/account/1011439179/", 1011439179)</f>
        <v>1011439179</v>
      </c>
      <c r="D11863">
        <v>0</v>
      </c>
    </row>
    <row r="11864" spans="1:4" hidden="1" x14ac:dyDescent="0.3">
      <c r="A11864" t="s">
        <v>867</v>
      </c>
      <c r="B11864" t="s">
        <v>38</v>
      </c>
      <c r="C11864" s="1">
        <f>HYPERLINK("https://cao.dolgi.msk.ru/account/1011439259/", 1011439259)</f>
        <v>1011439259</v>
      </c>
      <c r="D11864">
        <v>-3942.03</v>
      </c>
    </row>
    <row r="11865" spans="1:4" x14ac:dyDescent="0.3">
      <c r="A11865" t="s">
        <v>867</v>
      </c>
      <c r="B11865" t="s">
        <v>39</v>
      </c>
      <c r="C11865" s="1">
        <f>HYPERLINK("https://cao.dolgi.msk.ru/account/1011439064/", 1011439064)</f>
        <v>1011439064</v>
      </c>
      <c r="D11865">
        <v>57854.8</v>
      </c>
    </row>
    <row r="11866" spans="1:4" hidden="1" x14ac:dyDescent="0.3">
      <c r="A11866" t="s">
        <v>867</v>
      </c>
      <c r="B11866" t="s">
        <v>40</v>
      </c>
      <c r="C11866" s="1">
        <f>HYPERLINK("https://cao.dolgi.msk.ru/account/1011439128/", 1011439128)</f>
        <v>1011439128</v>
      </c>
      <c r="D11866">
        <v>0</v>
      </c>
    </row>
    <row r="11867" spans="1:4" hidden="1" x14ac:dyDescent="0.3">
      <c r="A11867" t="s">
        <v>867</v>
      </c>
      <c r="B11867" t="s">
        <v>41</v>
      </c>
      <c r="C11867" s="1">
        <f>HYPERLINK("https://cao.dolgi.msk.ru/account/1011439152/", 1011439152)</f>
        <v>1011439152</v>
      </c>
      <c r="D11867">
        <v>0</v>
      </c>
    </row>
    <row r="11868" spans="1:4" hidden="1" x14ac:dyDescent="0.3">
      <c r="A11868" t="s">
        <v>867</v>
      </c>
      <c r="B11868" t="s">
        <v>51</v>
      </c>
      <c r="C11868" s="1">
        <f>HYPERLINK("https://cao.dolgi.msk.ru/account/1011439224/", 1011439224)</f>
        <v>1011439224</v>
      </c>
      <c r="D11868">
        <v>-6971.5</v>
      </c>
    </row>
    <row r="11869" spans="1:4" hidden="1" x14ac:dyDescent="0.3">
      <c r="A11869" t="s">
        <v>867</v>
      </c>
      <c r="B11869" t="s">
        <v>52</v>
      </c>
      <c r="C11869" s="1">
        <f>HYPERLINK("https://cao.dolgi.msk.ru/account/1011439216/", 1011439216)</f>
        <v>1011439216</v>
      </c>
      <c r="D11869">
        <v>0</v>
      </c>
    </row>
    <row r="11870" spans="1:4" x14ac:dyDescent="0.3">
      <c r="A11870" t="s">
        <v>867</v>
      </c>
      <c r="B11870" t="s">
        <v>53</v>
      </c>
      <c r="C11870" s="1">
        <f>HYPERLINK("https://cao.dolgi.msk.ru/account/1011439267/", 1011439267)</f>
        <v>1011439267</v>
      </c>
      <c r="D11870">
        <v>7763.25</v>
      </c>
    </row>
    <row r="11871" spans="1:4" x14ac:dyDescent="0.3">
      <c r="A11871" t="s">
        <v>867</v>
      </c>
      <c r="B11871" t="s">
        <v>54</v>
      </c>
      <c r="C11871" s="1">
        <f>HYPERLINK("https://cao.dolgi.msk.ru/account/1011439275/", 1011439275)</f>
        <v>1011439275</v>
      </c>
      <c r="D11871">
        <v>25411.78</v>
      </c>
    </row>
    <row r="11872" spans="1:4" x14ac:dyDescent="0.3">
      <c r="A11872" t="s">
        <v>867</v>
      </c>
      <c r="B11872" t="s">
        <v>54</v>
      </c>
      <c r="C11872" s="1">
        <f>HYPERLINK("https://cao.dolgi.msk.ru/account/1011515039/", 1011515039)</f>
        <v>1011515039</v>
      </c>
      <c r="D11872">
        <v>4675.6000000000004</v>
      </c>
    </row>
    <row r="11873" spans="1:4" hidden="1" x14ac:dyDescent="0.3">
      <c r="A11873" t="s">
        <v>867</v>
      </c>
      <c r="B11873" t="s">
        <v>55</v>
      </c>
      <c r="C11873" s="1">
        <f>HYPERLINK("https://cao.dolgi.msk.ru/account/1011439232/", 1011439232)</f>
        <v>1011439232</v>
      </c>
      <c r="D11873">
        <v>0</v>
      </c>
    </row>
    <row r="11874" spans="1:4" x14ac:dyDescent="0.3">
      <c r="A11874" t="s">
        <v>867</v>
      </c>
      <c r="B11874" t="s">
        <v>56</v>
      </c>
      <c r="C11874" s="1">
        <f>HYPERLINK("https://cao.dolgi.msk.ru/account/1011439072/", 1011439072)</f>
        <v>1011439072</v>
      </c>
      <c r="D11874">
        <v>332173.94</v>
      </c>
    </row>
    <row r="11875" spans="1:4" hidden="1" x14ac:dyDescent="0.3">
      <c r="A11875" t="s">
        <v>867</v>
      </c>
      <c r="B11875" t="s">
        <v>87</v>
      </c>
      <c r="C11875" s="1">
        <f>HYPERLINK("https://cao.dolgi.msk.ru/account/1011439099/", 1011439099)</f>
        <v>1011439099</v>
      </c>
      <c r="D11875">
        <v>0</v>
      </c>
    </row>
    <row r="11876" spans="1:4" hidden="1" x14ac:dyDescent="0.3">
      <c r="A11876" t="s">
        <v>867</v>
      </c>
      <c r="B11876" t="s">
        <v>87</v>
      </c>
      <c r="C11876" s="1">
        <f>HYPERLINK("https://cao.dolgi.msk.ru/account/1011439101/", 1011439101)</f>
        <v>1011439101</v>
      </c>
      <c r="D11876">
        <v>0</v>
      </c>
    </row>
    <row r="11877" spans="1:4" x14ac:dyDescent="0.3">
      <c r="A11877" t="s">
        <v>867</v>
      </c>
      <c r="B11877" t="s">
        <v>88</v>
      </c>
      <c r="C11877" s="1">
        <f>HYPERLINK("https://cao.dolgi.msk.ru/account/1011439339/", 1011439339)</f>
        <v>1011439339</v>
      </c>
      <c r="D11877">
        <v>21289.07</v>
      </c>
    </row>
    <row r="11878" spans="1:4" hidden="1" x14ac:dyDescent="0.3">
      <c r="A11878" t="s">
        <v>867</v>
      </c>
      <c r="B11878" t="s">
        <v>89</v>
      </c>
      <c r="C11878" s="1">
        <f>HYPERLINK("https://cao.dolgi.msk.ru/account/1011439208/", 1011439208)</f>
        <v>1011439208</v>
      </c>
      <c r="D11878">
        <v>0</v>
      </c>
    </row>
    <row r="11879" spans="1:4" hidden="1" x14ac:dyDescent="0.3">
      <c r="A11879" t="s">
        <v>867</v>
      </c>
      <c r="B11879" t="s">
        <v>90</v>
      </c>
      <c r="C11879" s="1">
        <f>HYPERLINK("https://cao.dolgi.msk.ru/account/1011439056/", 1011439056)</f>
        <v>1011439056</v>
      </c>
      <c r="D11879">
        <v>0</v>
      </c>
    </row>
    <row r="11880" spans="1:4" x14ac:dyDescent="0.3">
      <c r="A11880" t="s">
        <v>867</v>
      </c>
      <c r="B11880" t="s">
        <v>90</v>
      </c>
      <c r="C11880" s="1">
        <f>HYPERLINK("https://cao.dolgi.msk.ru/account/1011439291/", 1011439291)</f>
        <v>1011439291</v>
      </c>
      <c r="D11880">
        <v>120515.38</v>
      </c>
    </row>
    <row r="11881" spans="1:4" x14ac:dyDescent="0.3">
      <c r="A11881" t="s">
        <v>867</v>
      </c>
      <c r="B11881" t="s">
        <v>96</v>
      </c>
      <c r="C11881" s="1">
        <f>HYPERLINK("https://cao.dolgi.msk.ru/account/1011439283/", 1011439283)</f>
        <v>1011439283</v>
      </c>
      <c r="D11881">
        <v>9707.64</v>
      </c>
    </row>
    <row r="11882" spans="1:4" hidden="1" x14ac:dyDescent="0.3">
      <c r="A11882" t="s">
        <v>867</v>
      </c>
      <c r="B11882" t="s">
        <v>97</v>
      </c>
      <c r="C11882" s="1">
        <f>HYPERLINK("https://cao.dolgi.msk.ru/account/1011439136/", 1011439136)</f>
        <v>1011439136</v>
      </c>
      <c r="D11882">
        <v>-15520.44</v>
      </c>
    </row>
    <row r="11883" spans="1:4" hidden="1" x14ac:dyDescent="0.3">
      <c r="A11883" t="s">
        <v>867</v>
      </c>
      <c r="B11883" t="s">
        <v>98</v>
      </c>
      <c r="C11883" s="1">
        <f>HYPERLINK("https://cao.dolgi.msk.ru/account/1011439144/", 1011439144)</f>
        <v>1011439144</v>
      </c>
      <c r="D11883">
        <v>0</v>
      </c>
    </row>
    <row r="11884" spans="1:4" x14ac:dyDescent="0.3">
      <c r="A11884" t="s">
        <v>867</v>
      </c>
      <c r="B11884" t="s">
        <v>98</v>
      </c>
      <c r="C11884" s="1">
        <f>HYPERLINK("https://cao.dolgi.msk.ru/account/1011439187/", 1011439187)</f>
        <v>1011439187</v>
      </c>
      <c r="D11884">
        <v>2357.69</v>
      </c>
    </row>
    <row r="11885" spans="1:4" hidden="1" x14ac:dyDescent="0.3">
      <c r="A11885" t="s">
        <v>867</v>
      </c>
      <c r="B11885" t="s">
        <v>98</v>
      </c>
      <c r="C11885" s="1">
        <f>HYPERLINK("https://cao.dolgi.msk.ru/account/1011439347/", 1011439347)</f>
        <v>1011439347</v>
      </c>
      <c r="D11885">
        <v>-313.58</v>
      </c>
    </row>
    <row r="11886" spans="1:4" hidden="1" x14ac:dyDescent="0.3">
      <c r="A11886" t="s">
        <v>868</v>
      </c>
      <c r="B11886" t="s">
        <v>6</v>
      </c>
      <c r="C11886" s="1">
        <f>HYPERLINK("https://cao.dolgi.msk.ru/account/1011439662/", 1011439662)</f>
        <v>1011439662</v>
      </c>
      <c r="D11886">
        <v>0</v>
      </c>
    </row>
    <row r="11887" spans="1:4" hidden="1" x14ac:dyDescent="0.3">
      <c r="A11887" t="s">
        <v>868</v>
      </c>
      <c r="B11887" t="s">
        <v>28</v>
      </c>
      <c r="C11887" s="1">
        <f>HYPERLINK("https://cao.dolgi.msk.ru/account/1011439486/", 1011439486)</f>
        <v>1011439486</v>
      </c>
      <c r="D11887">
        <v>-9199.9</v>
      </c>
    </row>
    <row r="11888" spans="1:4" hidden="1" x14ac:dyDescent="0.3">
      <c r="A11888" t="s">
        <v>868</v>
      </c>
      <c r="B11888" t="s">
        <v>28</v>
      </c>
      <c r="C11888" s="1">
        <f>HYPERLINK("https://cao.dolgi.msk.ru/account/1011439531/", 1011439531)</f>
        <v>1011439531</v>
      </c>
      <c r="D11888">
        <v>0</v>
      </c>
    </row>
    <row r="11889" spans="1:4" hidden="1" x14ac:dyDescent="0.3">
      <c r="A11889" t="s">
        <v>868</v>
      </c>
      <c r="B11889" t="s">
        <v>28</v>
      </c>
      <c r="C11889" s="1">
        <f>HYPERLINK("https://cao.dolgi.msk.ru/account/1011439566/", 1011439566)</f>
        <v>1011439566</v>
      </c>
      <c r="D11889">
        <v>0</v>
      </c>
    </row>
    <row r="11890" spans="1:4" hidden="1" x14ac:dyDescent="0.3">
      <c r="A11890" t="s">
        <v>868</v>
      </c>
      <c r="B11890" t="s">
        <v>28</v>
      </c>
      <c r="C11890" s="1">
        <f>HYPERLINK("https://cao.dolgi.msk.ru/account/1011439574/", 1011439574)</f>
        <v>1011439574</v>
      </c>
      <c r="D11890">
        <v>0</v>
      </c>
    </row>
    <row r="11891" spans="1:4" x14ac:dyDescent="0.3">
      <c r="A11891" t="s">
        <v>868</v>
      </c>
      <c r="B11891" t="s">
        <v>35</v>
      </c>
      <c r="C11891" s="1">
        <f>HYPERLINK("https://cao.dolgi.msk.ru/account/1011439494/", 1011439494)</f>
        <v>1011439494</v>
      </c>
      <c r="D11891">
        <v>13844.71</v>
      </c>
    </row>
    <row r="11892" spans="1:4" hidden="1" x14ac:dyDescent="0.3">
      <c r="A11892" t="s">
        <v>868</v>
      </c>
      <c r="B11892" t="s">
        <v>5</v>
      </c>
      <c r="C11892" s="1">
        <f>HYPERLINK("https://cao.dolgi.msk.ru/account/1011439443/", 1011439443)</f>
        <v>1011439443</v>
      </c>
      <c r="D11892">
        <v>-9898.2900000000009</v>
      </c>
    </row>
    <row r="11893" spans="1:4" hidden="1" x14ac:dyDescent="0.3">
      <c r="A11893" t="s">
        <v>868</v>
      </c>
      <c r="B11893" t="s">
        <v>7</v>
      </c>
      <c r="C11893" s="1">
        <f>HYPERLINK("https://cao.dolgi.msk.ru/account/1011439654/", 1011439654)</f>
        <v>1011439654</v>
      </c>
      <c r="D11893">
        <v>-11525.42</v>
      </c>
    </row>
    <row r="11894" spans="1:4" hidden="1" x14ac:dyDescent="0.3">
      <c r="A11894" t="s">
        <v>868</v>
      </c>
      <c r="B11894" t="s">
        <v>8</v>
      </c>
      <c r="C11894" s="1">
        <f>HYPERLINK("https://cao.dolgi.msk.ru/account/1011439582/", 1011439582)</f>
        <v>1011439582</v>
      </c>
      <c r="D11894">
        <v>0</v>
      </c>
    </row>
    <row r="11895" spans="1:4" hidden="1" x14ac:dyDescent="0.3">
      <c r="A11895" t="s">
        <v>868</v>
      </c>
      <c r="B11895" t="s">
        <v>31</v>
      </c>
      <c r="C11895" s="1">
        <f>HYPERLINK("https://cao.dolgi.msk.ru/account/1011439515/", 1011439515)</f>
        <v>1011439515</v>
      </c>
      <c r="D11895">
        <v>0</v>
      </c>
    </row>
    <row r="11896" spans="1:4" hidden="1" x14ac:dyDescent="0.3">
      <c r="A11896" t="s">
        <v>868</v>
      </c>
      <c r="B11896" t="s">
        <v>9</v>
      </c>
      <c r="C11896" s="1">
        <f>HYPERLINK("https://cao.dolgi.msk.ru/account/1011439646/", 1011439646)</f>
        <v>1011439646</v>
      </c>
      <c r="D11896">
        <v>0</v>
      </c>
    </row>
    <row r="11897" spans="1:4" x14ac:dyDescent="0.3">
      <c r="A11897" t="s">
        <v>868</v>
      </c>
      <c r="B11897" t="s">
        <v>10</v>
      </c>
      <c r="C11897" s="1">
        <f>HYPERLINK("https://cao.dolgi.msk.ru/account/1011439451/", 1011439451)</f>
        <v>1011439451</v>
      </c>
      <c r="D11897">
        <v>992.84</v>
      </c>
    </row>
    <row r="11898" spans="1:4" x14ac:dyDescent="0.3">
      <c r="A11898" t="s">
        <v>868</v>
      </c>
      <c r="B11898" t="s">
        <v>10</v>
      </c>
      <c r="C11898" s="1">
        <f>HYPERLINK("https://cao.dolgi.msk.ru/account/1011514757/", 1011514757)</f>
        <v>1011514757</v>
      </c>
      <c r="D11898">
        <v>2707.73</v>
      </c>
    </row>
    <row r="11899" spans="1:4" hidden="1" x14ac:dyDescent="0.3">
      <c r="A11899" t="s">
        <v>868</v>
      </c>
      <c r="B11899" t="s">
        <v>11</v>
      </c>
      <c r="C11899" s="1">
        <f>HYPERLINK("https://cao.dolgi.msk.ru/account/1011439611/", 1011439611)</f>
        <v>1011439611</v>
      </c>
      <c r="D11899">
        <v>-1265.7</v>
      </c>
    </row>
    <row r="11900" spans="1:4" hidden="1" x14ac:dyDescent="0.3">
      <c r="A11900" t="s">
        <v>868</v>
      </c>
      <c r="B11900" t="s">
        <v>12</v>
      </c>
      <c r="C11900" s="1">
        <f>HYPERLINK("https://cao.dolgi.msk.ru/account/1011439523/", 1011439523)</f>
        <v>1011439523</v>
      </c>
      <c r="D11900">
        <v>0</v>
      </c>
    </row>
    <row r="11901" spans="1:4" hidden="1" x14ac:dyDescent="0.3">
      <c r="A11901" t="s">
        <v>868</v>
      </c>
      <c r="B11901" t="s">
        <v>23</v>
      </c>
      <c r="C11901" s="1">
        <f>HYPERLINK("https://cao.dolgi.msk.ru/account/1011439355/", 1011439355)</f>
        <v>1011439355</v>
      </c>
      <c r="D11901">
        <v>-1265.72</v>
      </c>
    </row>
    <row r="11902" spans="1:4" x14ac:dyDescent="0.3">
      <c r="A11902" t="s">
        <v>868</v>
      </c>
      <c r="B11902" t="s">
        <v>13</v>
      </c>
      <c r="C11902" s="1">
        <f>HYPERLINK("https://cao.dolgi.msk.ru/account/1011439478/", 1011439478)</f>
        <v>1011439478</v>
      </c>
      <c r="D11902">
        <v>22181.18</v>
      </c>
    </row>
    <row r="11903" spans="1:4" hidden="1" x14ac:dyDescent="0.3">
      <c r="A11903" t="s">
        <v>868</v>
      </c>
      <c r="B11903" t="s">
        <v>14</v>
      </c>
      <c r="C11903" s="1">
        <f>HYPERLINK("https://cao.dolgi.msk.ru/account/1011439427/", 1011439427)</f>
        <v>1011439427</v>
      </c>
      <c r="D11903">
        <v>0</v>
      </c>
    </row>
    <row r="11904" spans="1:4" hidden="1" x14ac:dyDescent="0.3">
      <c r="A11904" t="s">
        <v>868</v>
      </c>
      <c r="B11904" t="s">
        <v>16</v>
      </c>
      <c r="C11904" s="1">
        <f>HYPERLINK("https://cao.dolgi.msk.ru/account/1011439558/", 1011439558)</f>
        <v>1011439558</v>
      </c>
      <c r="D11904">
        <v>-11160.14</v>
      </c>
    </row>
    <row r="11905" spans="1:4" hidden="1" x14ac:dyDescent="0.3">
      <c r="A11905" t="s">
        <v>868</v>
      </c>
      <c r="B11905" t="s">
        <v>17</v>
      </c>
      <c r="C11905" s="1">
        <f>HYPERLINK("https://cao.dolgi.msk.ru/account/1011531936/", 1011531936)</f>
        <v>1011531936</v>
      </c>
      <c r="D11905">
        <v>-12018.57</v>
      </c>
    </row>
    <row r="11906" spans="1:4" hidden="1" x14ac:dyDescent="0.3">
      <c r="A11906" t="s">
        <v>868</v>
      </c>
      <c r="B11906" t="s">
        <v>39</v>
      </c>
      <c r="C11906" s="1">
        <f>HYPERLINK("https://cao.dolgi.msk.ru/account/1011439363/", 1011439363)</f>
        <v>1011439363</v>
      </c>
      <c r="D11906">
        <v>-5404.99</v>
      </c>
    </row>
    <row r="11907" spans="1:4" x14ac:dyDescent="0.3">
      <c r="A11907" t="s">
        <v>868</v>
      </c>
      <c r="B11907" t="s">
        <v>40</v>
      </c>
      <c r="C11907" s="1">
        <f>HYPERLINK("https://cao.dolgi.msk.ru/account/1011439435/", 1011439435)</f>
        <v>1011439435</v>
      </c>
      <c r="D11907">
        <v>13722.24</v>
      </c>
    </row>
    <row r="11908" spans="1:4" hidden="1" x14ac:dyDescent="0.3">
      <c r="A11908" t="s">
        <v>868</v>
      </c>
      <c r="B11908" t="s">
        <v>41</v>
      </c>
      <c r="C11908" s="1">
        <f>HYPERLINK("https://cao.dolgi.msk.ru/account/1011439419/", 1011439419)</f>
        <v>1011439419</v>
      </c>
      <c r="D11908">
        <v>-342.37</v>
      </c>
    </row>
    <row r="11909" spans="1:4" hidden="1" x14ac:dyDescent="0.3">
      <c r="A11909" t="s">
        <v>868</v>
      </c>
      <c r="B11909" t="s">
        <v>51</v>
      </c>
      <c r="C11909" s="1">
        <f>HYPERLINK("https://cao.dolgi.msk.ru/account/1011439507/", 1011439507)</f>
        <v>1011439507</v>
      </c>
      <c r="D11909">
        <v>0</v>
      </c>
    </row>
    <row r="11910" spans="1:4" hidden="1" x14ac:dyDescent="0.3">
      <c r="A11910" t="s">
        <v>868</v>
      </c>
      <c r="B11910" t="s">
        <v>52</v>
      </c>
      <c r="C11910" s="1">
        <f>HYPERLINK("https://cao.dolgi.msk.ru/account/1011439603/", 1011439603)</f>
        <v>1011439603</v>
      </c>
      <c r="D11910">
        <v>-4344.04</v>
      </c>
    </row>
    <row r="11911" spans="1:4" hidden="1" x14ac:dyDescent="0.3">
      <c r="A11911" t="s">
        <v>868</v>
      </c>
      <c r="B11911" t="s">
        <v>53</v>
      </c>
      <c r="C11911" s="1">
        <f>HYPERLINK("https://cao.dolgi.msk.ru/account/1011439371/", 1011439371)</f>
        <v>1011439371</v>
      </c>
      <c r="D11911">
        <v>-10813.83</v>
      </c>
    </row>
    <row r="11912" spans="1:4" hidden="1" x14ac:dyDescent="0.3">
      <c r="A11912" t="s">
        <v>868</v>
      </c>
      <c r="B11912" t="s">
        <v>54</v>
      </c>
      <c r="C11912" s="1">
        <f>HYPERLINK("https://cao.dolgi.msk.ru/account/1011439638/", 1011439638)</f>
        <v>1011439638</v>
      </c>
      <c r="D11912">
        <v>0</v>
      </c>
    </row>
    <row r="11913" spans="1:4" hidden="1" x14ac:dyDescent="0.3">
      <c r="A11913" t="s">
        <v>869</v>
      </c>
      <c r="B11913" t="s">
        <v>5</v>
      </c>
      <c r="C11913" s="1">
        <f>HYPERLINK("https://cao.dolgi.msk.ru/account/1011203668/", 1011203668)</f>
        <v>1011203668</v>
      </c>
      <c r="D11913">
        <v>0</v>
      </c>
    </row>
    <row r="11914" spans="1:4" hidden="1" x14ac:dyDescent="0.3">
      <c r="A11914" t="s">
        <v>869</v>
      </c>
      <c r="B11914" t="s">
        <v>7</v>
      </c>
      <c r="C11914" s="1">
        <f>HYPERLINK("https://cao.dolgi.msk.ru/account/1011203588/", 1011203588)</f>
        <v>1011203588</v>
      </c>
      <c r="D11914">
        <v>0</v>
      </c>
    </row>
    <row r="11915" spans="1:4" hidden="1" x14ac:dyDescent="0.3">
      <c r="A11915" t="s">
        <v>869</v>
      </c>
      <c r="B11915" t="s">
        <v>8</v>
      </c>
      <c r="C11915" s="1">
        <f>HYPERLINK("https://cao.dolgi.msk.ru/account/1011203596/", 1011203596)</f>
        <v>1011203596</v>
      </c>
      <c r="D11915">
        <v>-5788.04</v>
      </c>
    </row>
    <row r="11916" spans="1:4" hidden="1" x14ac:dyDescent="0.3">
      <c r="A11916" t="s">
        <v>869</v>
      </c>
      <c r="B11916" t="s">
        <v>31</v>
      </c>
      <c r="C11916" s="1">
        <f>HYPERLINK("https://cao.dolgi.msk.ru/account/1011203449/", 1011203449)</f>
        <v>1011203449</v>
      </c>
      <c r="D11916">
        <v>-476.24</v>
      </c>
    </row>
    <row r="11917" spans="1:4" x14ac:dyDescent="0.3">
      <c r="A11917" t="s">
        <v>869</v>
      </c>
      <c r="B11917" t="s">
        <v>9</v>
      </c>
      <c r="C11917" s="1">
        <f>HYPERLINK("https://cao.dolgi.msk.ru/account/1011203684/", 1011203684)</f>
        <v>1011203684</v>
      </c>
      <c r="D11917">
        <v>3786.18</v>
      </c>
    </row>
    <row r="11918" spans="1:4" hidden="1" x14ac:dyDescent="0.3">
      <c r="A11918" t="s">
        <v>869</v>
      </c>
      <c r="B11918" t="s">
        <v>10</v>
      </c>
      <c r="C11918" s="1">
        <f>HYPERLINK("https://cao.dolgi.msk.ru/account/1011203457/", 1011203457)</f>
        <v>1011203457</v>
      </c>
      <c r="D11918">
        <v>-36.43</v>
      </c>
    </row>
    <row r="11919" spans="1:4" hidden="1" x14ac:dyDescent="0.3">
      <c r="A11919" t="s">
        <v>869</v>
      </c>
      <c r="B11919" t="s">
        <v>10</v>
      </c>
      <c r="C11919" s="1">
        <f>HYPERLINK("https://cao.dolgi.msk.ru/account/1011203609/", 1011203609)</f>
        <v>1011203609</v>
      </c>
      <c r="D11919">
        <v>0</v>
      </c>
    </row>
    <row r="11920" spans="1:4" hidden="1" x14ac:dyDescent="0.3">
      <c r="A11920" t="s">
        <v>869</v>
      </c>
      <c r="B11920" t="s">
        <v>11</v>
      </c>
      <c r="C11920" s="1">
        <f>HYPERLINK("https://cao.dolgi.msk.ru/account/1011203692/", 1011203692)</f>
        <v>1011203692</v>
      </c>
      <c r="D11920">
        <v>-962.85</v>
      </c>
    </row>
    <row r="11921" spans="1:4" hidden="1" x14ac:dyDescent="0.3">
      <c r="A11921" t="s">
        <v>869</v>
      </c>
      <c r="B11921" t="s">
        <v>12</v>
      </c>
      <c r="C11921" s="1">
        <f>HYPERLINK("https://cao.dolgi.msk.ru/account/1011203879/", 1011203879)</f>
        <v>1011203879</v>
      </c>
      <c r="D11921">
        <v>0</v>
      </c>
    </row>
    <row r="11922" spans="1:4" x14ac:dyDescent="0.3">
      <c r="A11922" t="s">
        <v>869</v>
      </c>
      <c r="B11922" t="s">
        <v>23</v>
      </c>
      <c r="C11922" s="1">
        <f>HYPERLINK("https://cao.dolgi.msk.ru/account/1011203502/", 1011203502)</f>
        <v>1011203502</v>
      </c>
      <c r="D11922">
        <v>8177.3</v>
      </c>
    </row>
    <row r="11923" spans="1:4" hidden="1" x14ac:dyDescent="0.3">
      <c r="A11923" t="s">
        <v>869</v>
      </c>
      <c r="B11923" t="s">
        <v>13</v>
      </c>
      <c r="C11923" s="1">
        <f>HYPERLINK("https://cao.dolgi.msk.ru/account/1011203705/", 1011203705)</f>
        <v>1011203705</v>
      </c>
      <c r="D11923">
        <v>0</v>
      </c>
    </row>
    <row r="11924" spans="1:4" hidden="1" x14ac:dyDescent="0.3">
      <c r="A11924" t="s">
        <v>869</v>
      </c>
      <c r="B11924" t="s">
        <v>14</v>
      </c>
      <c r="C11924" s="1">
        <f>HYPERLINK("https://cao.dolgi.msk.ru/account/1011203764/", 1011203764)</f>
        <v>1011203764</v>
      </c>
      <c r="D11924">
        <v>-6400.76</v>
      </c>
    </row>
    <row r="11925" spans="1:4" x14ac:dyDescent="0.3">
      <c r="A11925" t="s">
        <v>869</v>
      </c>
      <c r="B11925" t="s">
        <v>16</v>
      </c>
      <c r="C11925" s="1">
        <f>HYPERLINK("https://cao.dolgi.msk.ru/account/1011203676/", 1011203676)</f>
        <v>1011203676</v>
      </c>
      <c r="D11925">
        <v>27060.720000000001</v>
      </c>
    </row>
    <row r="11926" spans="1:4" hidden="1" x14ac:dyDescent="0.3">
      <c r="A11926" t="s">
        <v>869</v>
      </c>
      <c r="B11926" t="s">
        <v>17</v>
      </c>
      <c r="C11926" s="1">
        <f>HYPERLINK("https://cao.dolgi.msk.ru/account/1011203465/", 1011203465)</f>
        <v>1011203465</v>
      </c>
      <c r="D11926">
        <v>0</v>
      </c>
    </row>
    <row r="11927" spans="1:4" hidden="1" x14ac:dyDescent="0.3">
      <c r="A11927" t="s">
        <v>869</v>
      </c>
      <c r="B11927" t="s">
        <v>18</v>
      </c>
      <c r="C11927" s="1">
        <f>HYPERLINK("https://cao.dolgi.msk.ru/account/1011203836/", 1011203836)</f>
        <v>1011203836</v>
      </c>
      <c r="D11927">
        <v>-2395.5300000000002</v>
      </c>
    </row>
    <row r="11928" spans="1:4" hidden="1" x14ac:dyDescent="0.3">
      <c r="A11928" t="s">
        <v>869</v>
      </c>
      <c r="B11928" t="s">
        <v>19</v>
      </c>
      <c r="C11928" s="1">
        <f>HYPERLINK("https://cao.dolgi.msk.ru/account/1011203713/", 1011203713)</f>
        <v>1011203713</v>
      </c>
      <c r="D11928">
        <v>0</v>
      </c>
    </row>
    <row r="11929" spans="1:4" hidden="1" x14ac:dyDescent="0.3">
      <c r="A11929" t="s">
        <v>869</v>
      </c>
      <c r="B11929" t="s">
        <v>20</v>
      </c>
      <c r="C11929" s="1">
        <f>HYPERLINK("https://cao.dolgi.msk.ru/account/1011203617/", 1011203617)</f>
        <v>1011203617</v>
      </c>
      <c r="D11929">
        <v>0</v>
      </c>
    </row>
    <row r="11930" spans="1:4" hidden="1" x14ac:dyDescent="0.3">
      <c r="A11930" t="s">
        <v>869</v>
      </c>
      <c r="B11930" t="s">
        <v>21</v>
      </c>
      <c r="C11930" s="1">
        <f>HYPERLINK("https://cao.dolgi.msk.ru/account/1011203529/", 1011203529)</f>
        <v>1011203529</v>
      </c>
      <c r="D11930">
        <v>-4240.3500000000004</v>
      </c>
    </row>
    <row r="11931" spans="1:4" x14ac:dyDescent="0.3">
      <c r="A11931" t="s">
        <v>869</v>
      </c>
      <c r="B11931" t="s">
        <v>22</v>
      </c>
      <c r="C11931" s="1">
        <f>HYPERLINK("https://cao.dolgi.msk.ru/account/1011203537/", 1011203537)</f>
        <v>1011203537</v>
      </c>
      <c r="D11931">
        <v>31754.11</v>
      </c>
    </row>
    <row r="11932" spans="1:4" hidden="1" x14ac:dyDescent="0.3">
      <c r="A11932" t="s">
        <v>869</v>
      </c>
      <c r="B11932" t="s">
        <v>24</v>
      </c>
      <c r="C11932" s="1">
        <f>HYPERLINK("https://cao.dolgi.msk.ru/account/1011203844/", 1011203844)</f>
        <v>1011203844</v>
      </c>
      <c r="D11932">
        <v>0</v>
      </c>
    </row>
    <row r="11933" spans="1:4" hidden="1" x14ac:dyDescent="0.3">
      <c r="A11933" t="s">
        <v>869</v>
      </c>
      <c r="B11933" t="s">
        <v>25</v>
      </c>
      <c r="C11933" s="1">
        <f>HYPERLINK("https://cao.dolgi.msk.ru/account/1011203887/", 1011203887)</f>
        <v>1011203887</v>
      </c>
      <c r="D11933">
        <v>0</v>
      </c>
    </row>
    <row r="11934" spans="1:4" hidden="1" x14ac:dyDescent="0.3">
      <c r="A11934" t="s">
        <v>869</v>
      </c>
      <c r="B11934" t="s">
        <v>26</v>
      </c>
      <c r="C11934" s="1">
        <f>HYPERLINK("https://cao.dolgi.msk.ru/account/1011203545/", 1011203545)</f>
        <v>1011203545</v>
      </c>
      <c r="D11934">
        <v>-6044.94</v>
      </c>
    </row>
    <row r="11935" spans="1:4" hidden="1" x14ac:dyDescent="0.3">
      <c r="A11935" t="s">
        <v>869</v>
      </c>
      <c r="B11935" t="s">
        <v>27</v>
      </c>
      <c r="C11935" s="1">
        <f>HYPERLINK("https://cao.dolgi.msk.ru/account/1011203721/", 1011203721)</f>
        <v>1011203721</v>
      </c>
      <c r="D11935">
        <v>-8418.8799999999992</v>
      </c>
    </row>
    <row r="11936" spans="1:4" hidden="1" x14ac:dyDescent="0.3">
      <c r="A11936" t="s">
        <v>869</v>
      </c>
      <c r="B11936" t="s">
        <v>29</v>
      </c>
      <c r="C11936" s="1">
        <f>HYPERLINK("https://cao.dolgi.msk.ru/account/1011203473/", 1011203473)</f>
        <v>1011203473</v>
      </c>
      <c r="D11936">
        <v>-6801.29</v>
      </c>
    </row>
    <row r="11937" spans="1:4" x14ac:dyDescent="0.3">
      <c r="A11937" t="s">
        <v>869</v>
      </c>
      <c r="B11937" t="s">
        <v>38</v>
      </c>
      <c r="C11937" s="1">
        <f>HYPERLINK("https://cao.dolgi.msk.ru/account/1011203772/", 1011203772)</f>
        <v>1011203772</v>
      </c>
      <c r="D11937">
        <v>5534.03</v>
      </c>
    </row>
    <row r="11938" spans="1:4" hidden="1" x14ac:dyDescent="0.3">
      <c r="A11938" t="s">
        <v>869</v>
      </c>
      <c r="B11938" t="s">
        <v>39</v>
      </c>
      <c r="C11938" s="1">
        <f>HYPERLINK("https://cao.dolgi.msk.ru/account/1011203625/", 1011203625)</f>
        <v>1011203625</v>
      </c>
      <c r="D11938">
        <v>-305.32</v>
      </c>
    </row>
    <row r="11939" spans="1:4" hidden="1" x14ac:dyDescent="0.3">
      <c r="A11939" t="s">
        <v>869</v>
      </c>
      <c r="B11939" t="s">
        <v>40</v>
      </c>
      <c r="C11939" s="1">
        <f>HYPERLINK("https://cao.dolgi.msk.ru/account/1011203633/", 1011203633)</f>
        <v>1011203633</v>
      </c>
      <c r="D11939">
        <v>-7032.9</v>
      </c>
    </row>
    <row r="11940" spans="1:4" hidden="1" x14ac:dyDescent="0.3">
      <c r="A11940" t="s">
        <v>869</v>
      </c>
      <c r="B11940" t="s">
        <v>41</v>
      </c>
      <c r="C11940" s="1">
        <f>HYPERLINK("https://cao.dolgi.msk.ru/account/1011203481/", 1011203481)</f>
        <v>1011203481</v>
      </c>
      <c r="D11940">
        <v>0</v>
      </c>
    </row>
    <row r="11941" spans="1:4" x14ac:dyDescent="0.3">
      <c r="A11941" t="s">
        <v>869</v>
      </c>
      <c r="B11941" t="s">
        <v>51</v>
      </c>
      <c r="C11941" s="1">
        <f>HYPERLINK("https://cao.dolgi.msk.ru/account/1011203799/", 1011203799)</f>
        <v>1011203799</v>
      </c>
      <c r="D11941">
        <v>5927.93</v>
      </c>
    </row>
    <row r="11942" spans="1:4" hidden="1" x14ac:dyDescent="0.3">
      <c r="A11942" t="s">
        <v>869</v>
      </c>
      <c r="B11942" t="s">
        <v>52</v>
      </c>
      <c r="C11942" s="1">
        <f>HYPERLINK("https://cao.dolgi.msk.ru/account/1011203895/", 1011203895)</f>
        <v>1011203895</v>
      </c>
      <c r="D11942">
        <v>-93.93</v>
      </c>
    </row>
    <row r="11943" spans="1:4" hidden="1" x14ac:dyDescent="0.3">
      <c r="A11943" t="s">
        <v>869</v>
      </c>
      <c r="B11943" t="s">
        <v>53</v>
      </c>
      <c r="C11943" s="1">
        <f>HYPERLINK("https://cao.dolgi.msk.ru/account/1011203908/", 1011203908)</f>
        <v>1011203908</v>
      </c>
      <c r="D11943">
        <v>0</v>
      </c>
    </row>
    <row r="11944" spans="1:4" x14ac:dyDescent="0.3">
      <c r="A11944" t="s">
        <v>869</v>
      </c>
      <c r="B11944" t="s">
        <v>54</v>
      </c>
      <c r="C11944" s="1">
        <f>HYPERLINK("https://cao.dolgi.msk.ru/account/1011203641/", 1011203641)</f>
        <v>1011203641</v>
      </c>
      <c r="D11944">
        <v>17248.93</v>
      </c>
    </row>
    <row r="11945" spans="1:4" hidden="1" x14ac:dyDescent="0.3">
      <c r="A11945" t="s">
        <v>869</v>
      </c>
      <c r="B11945" t="s">
        <v>55</v>
      </c>
      <c r="C11945" s="1">
        <f>HYPERLINK("https://cao.dolgi.msk.ru/account/1011203916/", 1011203916)</f>
        <v>1011203916</v>
      </c>
      <c r="D11945">
        <v>0</v>
      </c>
    </row>
    <row r="11946" spans="1:4" hidden="1" x14ac:dyDescent="0.3">
      <c r="A11946" t="s">
        <v>869</v>
      </c>
      <c r="B11946" t="s">
        <v>56</v>
      </c>
      <c r="C11946" s="1">
        <f>HYPERLINK("https://cao.dolgi.msk.ru/account/1011203924/", 1011203924)</f>
        <v>1011203924</v>
      </c>
      <c r="D11946">
        <v>0</v>
      </c>
    </row>
    <row r="11947" spans="1:4" hidden="1" x14ac:dyDescent="0.3">
      <c r="A11947" t="s">
        <v>869</v>
      </c>
      <c r="B11947" t="s">
        <v>87</v>
      </c>
      <c r="C11947" s="1">
        <f>HYPERLINK("https://cao.dolgi.msk.ru/account/1011203748/", 1011203748)</f>
        <v>1011203748</v>
      </c>
      <c r="D11947">
        <v>-2992.32</v>
      </c>
    </row>
    <row r="11948" spans="1:4" hidden="1" x14ac:dyDescent="0.3">
      <c r="A11948" t="s">
        <v>869</v>
      </c>
      <c r="B11948" t="s">
        <v>88</v>
      </c>
      <c r="C11948" s="1">
        <f>HYPERLINK("https://cao.dolgi.msk.ru/account/1011203756/", 1011203756)</f>
        <v>1011203756</v>
      </c>
      <c r="D11948">
        <v>0</v>
      </c>
    </row>
    <row r="11949" spans="1:4" hidden="1" x14ac:dyDescent="0.3">
      <c r="A11949" t="s">
        <v>869</v>
      </c>
      <c r="B11949" t="s">
        <v>89</v>
      </c>
      <c r="C11949" s="1">
        <f>HYPERLINK("https://cao.dolgi.msk.ru/account/1011203561/", 1011203561)</f>
        <v>1011203561</v>
      </c>
      <c r="D11949">
        <v>-91.72</v>
      </c>
    </row>
    <row r="11950" spans="1:4" hidden="1" x14ac:dyDescent="0.3">
      <c r="A11950" t="s">
        <v>869</v>
      </c>
      <c r="B11950" t="s">
        <v>89</v>
      </c>
      <c r="C11950" s="1">
        <f>HYPERLINK("https://cao.dolgi.msk.ru/account/1011203801/", 1011203801)</f>
        <v>1011203801</v>
      </c>
      <c r="D11950">
        <v>-45.87</v>
      </c>
    </row>
    <row r="11951" spans="1:4" hidden="1" x14ac:dyDescent="0.3">
      <c r="A11951" t="s">
        <v>869</v>
      </c>
      <c r="B11951" t="s">
        <v>90</v>
      </c>
      <c r="C11951" s="1">
        <f>HYPERLINK("https://cao.dolgi.msk.ru/account/1011203828/", 1011203828)</f>
        <v>1011203828</v>
      </c>
      <c r="D11951">
        <v>-1089.3499999999999</v>
      </c>
    </row>
    <row r="11952" spans="1:4" hidden="1" x14ac:dyDescent="0.3">
      <c r="A11952" t="s">
        <v>869</v>
      </c>
      <c r="B11952" t="s">
        <v>96</v>
      </c>
      <c r="C11952" s="1">
        <f>HYPERLINK("https://cao.dolgi.msk.ru/account/1011203852/", 1011203852)</f>
        <v>1011203852</v>
      </c>
      <c r="D11952">
        <v>0</v>
      </c>
    </row>
    <row r="11953" spans="1:4" hidden="1" x14ac:dyDescent="0.3">
      <c r="A11953" t="s">
        <v>869</v>
      </c>
      <c r="B11953" t="s">
        <v>97</v>
      </c>
      <c r="C11953" s="1">
        <f>HYPERLINK("https://cao.dolgi.msk.ru/account/1011203932/", 1011203932)</f>
        <v>1011203932</v>
      </c>
      <c r="D11953">
        <v>0</v>
      </c>
    </row>
    <row r="11954" spans="1:4" hidden="1" x14ac:dyDescent="0.3">
      <c r="A11954" t="s">
        <v>869</v>
      </c>
      <c r="B11954" t="s">
        <v>98</v>
      </c>
      <c r="C11954" s="1">
        <f>HYPERLINK("https://cao.dolgi.msk.ru/account/1011203553/", 1011203553)</f>
        <v>1011203553</v>
      </c>
      <c r="D11954">
        <v>-3967.83</v>
      </c>
    </row>
    <row r="11955" spans="1:4" hidden="1" x14ac:dyDescent="0.3">
      <c r="A11955" t="s">
        <v>869</v>
      </c>
      <c r="B11955" t="s">
        <v>58</v>
      </c>
      <c r="C11955" s="1">
        <f>HYPERLINK("https://cao.dolgi.msk.ru/account/1011203959/", 1011203959)</f>
        <v>1011203959</v>
      </c>
      <c r="D11955">
        <v>-5018.3599999999997</v>
      </c>
    </row>
    <row r="11956" spans="1:4" hidden="1" x14ac:dyDescent="0.3">
      <c r="A11956" t="s">
        <v>870</v>
      </c>
      <c r="B11956" t="s">
        <v>6</v>
      </c>
      <c r="C11956" s="1">
        <f>HYPERLINK("https://cao.dolgi.msk.ru/account/1011503716/", 1011503716)</f>
        <v>1011503716</v>
      </c>
      <c r="D11956">
        <v>-1.71</v>
      </c>
    </row>
    <row r="11957" spans="1:4" hidden="1" x14ac:dyDescent="0.3">
      <c r="A11957" t="s">
        <v>870</v>
      </c>
      <c r="B11957" t="s">
        <v>28</v>
      </c>
      <c r="C11957" s="1">
        <f>HYPERLINK("https://cao.dolgi.msk.ru/account/1011503724/", 1011503724)</f>
        <v>1011503724</v>
      </c>
      <c r="D11957">
        <v>0</v>
      </c>
    </row>
    <row r="11958" spans="1:4" x14ac:dyDescent="0.3">
      <c r="A11958" t="s">
        <v>870</v>
      </c>
      <c r="B11958" t="s">
        <v>35</v>
      </c>
      <c r="C11958" s="1">
        <f>HYPERLINK("https://cao.dolgi.msk.ru/account/1011503759/", 1011503759)</f>
        <v>1011503759</v>
      </c>
      <c r="D11958">
        <v>32539.64</v>
      </c>
    </row>
    <row r="11959" spans="1:4" hidden="1" x14ac:dyDescent="0.3">
      <c r="A11959" t="s">
        <v>870</v>
      </c>
      <c r="B11959" t="s">
        <v>5</v>
      </c>
      <c r="C11959" s="1">
        <f>HYPERLINK("https://cao.dolgi.msk.ru/account/1011531688/", 1011531688)</f>
        <v>1011531688</v>
      </c>
      <c r="D11959">
        <v>-23803.45</v>
      </c>
    </row>
    <row r="11960" spans="1:4" x14ac:dyDescent="0.3">
      <c r="A11960" t="s">
        <v>871</v>
      </c>
      <c r="B11960" t="s">
        <v>6</v>
      </c>
      <c r="C11960" s="1">
        <f>HYPERLINK("https://cao.dolgi.msk.ru/account/1011203991/", 1011203991)</f>
        <v>1011203991</v>
      </c>
      <c r="D11960">
        <v>9784.67</v>
      </c>
    </row>
    <row r="11961" spans="1:4" hidden="1" x14ac:dyDescent="0.3">
      <c r="A11961" t="s">
        <v>871</v>
      </c>
      <c r="B11961" t="s">
        <v>6</v>
      </c>
      <c r="C11961" s="1">
        <f>HYPERLINK("https://cao.dolgi.msk.ru/account/1011204062/", 1011204062)</f>
        <v>1011204062</v>
      </c>
      <c r="D11961">
        <v>0</v>
      </c>
    </row>
    <row r="11962" spans="1:4" x14ac:dyDescent="0.3">
      <c r="A11962" t="s">
        <v>871</v>
      </c>
      <c r="B11962" t="s">
        <v>6</v>
      </c>
      <c r="C11962" s="1">
        <f>HYPERLINK("https://cao.dolgi.msk.ru/account/1011204214/", 1011204214)</f>
        <v>1011204214</v>
      </c>
      <c r="D11962">
        <v>12318.62</v>
      </c>
    </row>
    <row r="11963" spans="1:4" hidden="1" x14ac:dyDescent="0.3">
      <c r="A11963" t="s">
        <v>871</v>
      </c>
      <c r="B11963" t="s">
        <v>28</v>
      </c>
      <c r="C11963" s="1">
        <f>HYPERLINK("https://cao.dolgi.msk.ru/account/1011204089/", 1011204089)</f>
        <v>1011204089</v>
      </c>
      <c r="D11963">
        <v>-43868.74</v>
      </c>
    </row>
    <row r="11964" spans="1:4" hidden="1" x14ac:dyDescent="0.3">
      <c r="A11964" t="s">
        <v>871</v>
      </c>
      <c r="B11964" t="s">
        <v>35</v>
      </c>
      <c r="C11964" s="1">
        <f>HYPERLINK("https://cao.dolgi.msk.ru/account/1011204054/", 1011204054)</f>
        <v>1011204054</v>
      </c>
      <c r="D11964">
        <v>0</v>
      </c>
    </row>
    <row r="11965" spans="1:4" hidden="1" x14ac:dyDescent="0.3">
      <c r="A11965" t="s">
        <v>871</v>
      </c>
      <c r="B11965" t="s">
        <v>5</v>
      </c>
      <c r="C11965" s="1">
        <f>HYPERLINK("https://cao.dolgi.msk.ru/account/1011204003/", 1011204003)</f>
        <v>1011204003</v>
      </c>
      <c r="D11965">
        <v>0</v>
      </c>
    </row>
    <row r="11966" spans="1:4" hidden="1" x14ac:dyDescent="0.3">
      <c r="A11966" t="s">
        <v>871</v>
      </c>
      <c r="B11966" t="s">
        <v>7</v>
      </c>
      <c r="C11966" s="1">
        <f>HYPERLINK("https://cao.dolgi.msk.ru/account/1011204118/", 1011204118)</f>
        <v>1011204118</v>
      </c>
      <c r="D11966">
        <v>0</v>
      </c>
    </row>
    <row r="11967" spans="1:4" hidden="1" x14ac:dyDescent="0.3">
      <c r="A11967" t="s">
        <v>871</v>
      </c>
      <c r="B11967" t="s">
        <v>8</v>
      </c>
      <c r="C11967" s="1">
        <f>HYPERLINK("https://cao.dolgi.msk.ru/account/1011203975/", 1011203975)</f>
        <v>1011203975</v>
      </c>
      <c r="D11967">
        <v>0</v>
      </c>
    </row>
    <row r="11968" spans="1:4" hidden="1" x14ac:dyDescent="0.3">
      <c r="A11968" t="s">
        <v>871</v>
      </c>
      <c r="B11968" t="s">
        <v>31</v>
      </c>
      <c r="C11968" s="1">
        <f>HYPERLINK("https://cao.dolgi.msk.ru/account/1011204169/", 1011204169)</f>
        <v>1011204169</v>
      </c>
      <c r="D11968">
        <v>0</v>
      </c>
    </row>
    <row r="11969" spans="1:4" x14ac:dyDescent="0.3">
      <c r="A11969" t="s">
        <v>871</v>
      </c>
      <c r="B11969" t="s">
        <v>9</v>
      </c>
      <c r="C11969" s="1">
        <f>HYPERLINK("https://cao.dolgi.msk.ru/account/1011203983/", 1011203983)</f>
        <v>1011203983</v>
      </c>
      <c r="D11969">
        <v>3997.5</v>
      </c>
    </row>
    <row r="11970" spans="1:4" hidden="1" x14ac:dyDescent="0.3">
      <c r="A11970" t="s">
        <v>871</v>
      </c>
      <c r="B11970" t="s">
        <v>11</v>
      </c>
      <c r="C11970" s="1">
        <f>HYPERLINK("https://cao.dolgi.msk.ru/account/1011204126/", 1011204126)</f>
        <v>1011204126</v>
      </c>
      <c r="D11970">
        <v>0</v>
      </c>
    </row>
    <row r="11971" spans="1:4" hidden="1" x14ac:dyDescent="0.3">
      <c r="A11971" t="s">
        <v>871</v>
      </c>
      <c r="B11971" t="s">
        <v>12</v>
      </c>
      <c r="C11971" s="1">
        <f>HYPERLINK("https://cao.dolgi.msk.ru/account/1011204011/", 1011204011)</f>
        <v>1011204011</v>
      </c>
      <c r="D11971">
        <v>-192.26</v>
      </c>
    </row>
    <row r="11972" spans="1:4" hidden="1" x14ac:dyDescent="0.3">
      <c r="A11972" t="s">
        <v>871</v>
      </c>
      <c r="B11972" t="s">
        <v>23</v>
      </c>
      <c r="C11972" s="1">
        <f>HYPERLINK("https://cao.dolgi.msk.ru/account/1011204142/", 1011204142)</f>
        <v>1011204142</v>
      </c>
      <c r="D11972">
        <v>0</v>
      </c>
    </row>
    <row r="11973" spans="1:4" hidden="1" x14ac:dyDescent="0.3">
      <c r="A11973" t="s">
        <v>871</v>
      </c>
      <c r="B11973" t="s">
        <v>13</v>
      </c>
      <c r="C11973" s="1">
        <f>HYPERLINK("https://cao.dolgi.msk.ru/account/1011204038/", 1011204038)</f>
        <v>1011204038</v>
      </c>
      <c r="D11973">
        <v>0</v>
      </c>
    </row>
    <row r="11974" spans="1:4" hidden="1" x14ac:dyDescent="0.3">
      <c r="A11974" t="s">
        <v>871</v>
      </c>
      <c r="B11974" t="s">
        <v>14</v>
      </c>
      <c r="C11974" s="1">
        <f>HYPERLINK("https://cao.dolgi.msk.ru/account/1011204185/", 1011204185)</f>
        <v>1011204185</v>
      </c>
      <c r="D11974">
        <v>-1678.37</v>
      </c>
    </row>
    <row r="11975" spans="1:4" hidden="1" x14ac:dyDescent="0.3">
      <c r="A11975" t="s">
        <v>871</v>
      </c>
      <c r="B11975" t="s">
        <v>14</v>
      </c>
      <c r="C11975" s="1">
        <f>HYPERLINK("https://cao.dolgi.msk.ru/account/1011204193/", 1011204193)</f>
        <v>1011204193</v>
      </c>
      <c r="D11975">
        <v>-5173.63</v>
      </c>
    </row>
    <row r="11976" spans="1:4" hidden="1" x14ac:dyDescent="0.3">
      <c r="A11976" t="s">
        <v>871</v>
      </c>
      <c r="B11976" t="s">
        <v>16</v>
      </c>
      <c r="C11976" s="1">
        <f>HYPERLINK("https://cao.dolgi.msk.ru/account/1011204206/", 1011204206)</f>
        <v>1011204206</v>
      </c>
      <c r="D11976">
        <v>0</v>
      </c>
    </row>
    <row r="11977" spans="1:4" hidden="1" x14ac:dyDescent="0.3">
      <c r="A11977" t="s">
        <v>871</v>
      </c>
      <c r="B11977" t="s">
        <v>17</v>
      </c>
      <c r="C11977" s="1">
        <f>HYPERLINK("https://cao.dolgi.msk.ru/account/1011203967/", 1011203967)</f>
        <v>1011203967</v>
      </c>
      <c r="D11977">
        <v>0</v>
      </c>
    </row>
    <row r="11978" spans="1:4" hidden="1" x14ac:dyDescent="0.3">
      <c r="A11978" t="s">
        <v>871</v>
      </c>
      <c r="B11978" t="s">
        <v>49</v>
      </c>
      <c r="C11978" s="1">
        <f>HYPERLINK("https://cao.dolgi.msk.ru/account/1011204134/", 1011204134)</f>
        <v>1011204134</v>
      </c>
      <c r="D11978">
        <v>-10851.71</v>
      </c>
    </row>
    <row r="11979" spans="1:4" x14ac:dyDescent="0.3">
      <c r="A11979" t="s">
        <v>872</v>
      </c>
      <c r="B11979" t="s">
        <v>6</v>
      </c>
      <c r="C11979" s="1">
        <f>HYPERLINK("https://cao.dolgi.msk.ru/account/1010708808/", 1010708808)</f>
        <v>1010708808</v>
      </c>
      <c r="D11979">
        <v>4224.16</v>
      </c>
    </row>
    <row r="11980" spans="1:4" hidden="1" x14ac:dyDescent="0.3">
      <c r="A11980" t="s">
        <v>872</v>
      </c>
      <c r="B11980" t="s">
        <v>28</v>
      </c>
      <c r="C11980" s="1">
        <f>HYPERLINK("https://cao.dolgi.msk.ru/account/1010708816/", 1010708816)</f>
        <v>1010708816</v>
      </c>
      <c r="D11980">
        <v>0</v>
      </c>
    </row>
    <row r="11981" spans="1:4" x14ac:dyDescent="0.3">
      <c r="A11981" t="s">
        <v>872</v>
      </c>
      <c r="B11981" t="s">
        <v>35</v>
      </c>
      <c r="C11981" s="1">
        <f>HYPERLINK("https://cao.dolgi.msk.ru/account/1010708824/", 1010708824)</f>
        <v>1010708824</v>
      </c>
      <c r="D11981">
        <v>64</v>
      </c>
    </row>
    <row r="11982" spans="1:4" hidden="1" x14ac:dyDescent="0.3">
      <c r="A11982" t="s">
        <v>872</v>
      </c>
      <c r="B11982" t="s">
        <v>5</v>
      </c>
      <c r="C11982" s="1">
        <f>HYPERLINK("https://cao.dolgi.msk.ru/account/1010708832/", 1010708832)</f>
        <v>1010708832</v>
      </c>
      <c r="D11982">
        <v>-11016.19</v>
      </c>
    </row>
    <row r="11983" spans="1:4" hidden="1" x14ac:dyDescent="0.3">
      <c r="A11983" t="s">
        <v>872</v>
      </c>
      <c r="B11983" t="s">
        <v>7</v>
      </c>
      <c r="C11983" s="1">
        <f>HYPERLINK("https://cao.dolgi.msk.ru/account/1010708859/", 1010708859)</f>
        <v>1010708859</v>
      </c>
      <c r="D11983">
        <v>-10327.5</v>
      </c>
    </row>
    <row r="11984" spans="1:4" x14ac:dyDescent="0.3">
      <c r="A11984" t="s">
        <v>872</v>
      </c>
      <c r="B11984" t="s">
        <v>8</v>
      </c>
      <c r="C11984" s="1">
        <f>HYPERLINK("https://cao.dolgi.msk.ru/account/1010708867/", 1010708867)</f>
        <v>1010708867</v>
      </c>
      <c r="D11984">
        <v>5123.6899999999996</v>
      </c>
    </row>
    <row r="11985" spans="1:4" x14ac:dyDescent="0.3">
      <c r="A11985" t="s">
        <v>872</v>
      </c>
      <c r="B11985" t="s">
        <v>31</v>
      </c>
      <c r="C11985" s="1">
        <f>HYPERLINK("https://cao.dolgi.msk.ru/account/1010708533/", 1010708533)</f>
        <v>1010708533</v>
      </c>
      <c r="D11985">
        <v>9208.5499999999993</v>
      </c>
    </row>
    <row r="11986" spans="1:4" x14ac:dyDescent="0.3">
      <c r="A11986" t="s">
        <v>872</v>
      </c>
      <c r="B11986" t="s">
        <v>9</v>
      </c>
      <c r="C11986" s="1">
        <f>HYPERLINK("https://cao.dolgi.msk.ru/account/1010708541/", 1010708541)</f>
        <v>1010708541</v>
      </c>
      <c r="D11986">
        <v>24440.82</v>
      </c>
    </row>
    <row r="11987" spans="1:4" hidden="1" x14ac:dyDescent="0.3">
      <c r="A11987" t="s">
        <v>872</v>
      </c>
      <c r="B11987" t="s">
        <v>10</v>
      </c>
      <c r="C11987" s="1">
        <f>HYPERLINK("https://cao.dolgi.msk.ru/account/1010708883/", 1010708883)</f>
        <v>1010708883</v>
      </c>
      <c r="D11987">
        <v>-11379.04</v>
      </c>
    </row>
    <row r="11988" spans="1:4" hidden="1" x14ac:dyDescent="0.3">
      <c r="A11988" t="s">
        <v>872</v>
      </c>
      <c r="B11988" t="s">
        <v>11</v>
      </c>
      <c r="C11988" s="1">
        <f>HYPERLINK("https://cao.dolgi.msk.ru/account/1010708891/", 1010708891)</f>
        <v>1010708891</v>
      </c>
      <c r="D11988">
        <v>0</v>
      </c>
    </row>
    <row r="11989" spans="1:4" hidden="1" x14ac:dyDescent="0.3">
      <c r="A11989" t="s">
        <v>872</v>
      </c>
      <c r="B11989" t="s">
        <v>12</v>
      </c>
      <c r="C11989" s="1">
        <f>HYPERLINK("https://cao.dolgi.msk.ru/account/1010708904/", 1010708904)</f>
        <v>1010708904</v>
      </c>
      <c r="D11989">
        <v>-13475.87</v>
      </c>
    </row>
    <row r="11990" spans="1:4" hidden="1" x14ac:dyDescent="0.3">
      <c r="A11990" t="s">
        <v>872</v>
      </c>
      <c r="B11990" t="s">
        <v>23</v>
      </c>
      <c r="C11990" s="1">
        <f>HYPERLINK("https://cao.dolgi.msk.ru/account/1010708912/", 1010708912)</f>
        <v>1010708912</v>
      </c>
      <c r="D11990">
        <v>0</v>
      </c>
    </row>
    <row r="11991" spans="1:4" x14ac:dyDescent="0.3">
      <c r="A11991" t="s">
        <v>872</v>
      </c>
      <c r="B11991" t="s">
        <v>13</v>
      </c>
      <c r="C11991" s="1">
        <f>HYPERLINK("https://cao.dolgi.msk.ru/account/1010708939/", 1010708939)</f>
        <v>1010708939</v>
      </c>
      <c r="D11991">
        <v>64</v>
      </c>
    </row>
    <row r="11992" spans="1:4" hidden="1" x14ac:dyDescent="0.3">
      <c r="A11992" t="s">
        <v>872</v>
      </c>
      <c r="B11992" t="s">
        <v>14</v>
      </c>
      <c r="C11992" s="1">
        <f>HYPERLINK("https://cao.dolgi.msk.ru/account/1010708947/", 1010708947)</f>
        <v>1010708947</v>
      </c>
      <c r="D11992">
        <v>-535.62</v>
      </c>
    </row>
    <row r="11993" spans="1:4" hidden="1" x14ac:dyDescent="0.3">
      <c r="A11993" t="s">
        <v>872</v>
      </c>
      <c r="B11993" t="s">
        <v>16</v>
      </c>
      <c r="C11993" s="1">
        <f>HYPERLINK("https://cao.dolgi.msk.ru/account/1010708955/", 1010708955)</f>
        <v>1010708955</v>
      </c>
      <c r="D11993">
        <v>0</v>
      </c>
    </row>
    <row r="11994" spans="1:4" x14ac:dyDescent="0.3">
      <c r="A11994" t="s">
        <v>872</v>
      </c>
      <c r="B11994" t="s">
        <v>17</v>
      </c>
      <c r="C11994" s="1">
        <f>HYPERLINK("https://cao.dolgi.msk.ru/account/1011526117/", 1011526117)</f>
        <v>1011526117</v>
      </c>
      <c r="D11994">
        <v>41753.9</v>
      </c>
    </row>
    <row r="11995" spans="1:4" hidden="1" x14ac:dyDescent="0.3">
      <c r="A11995" t="s">
        <v>872</v>
      </c>
      <c r="B11995" t="s">
        <v>18</v>
      </c>
      <c r="C11995" s="1">
        <f>HYPERLINK("https://cao.dolgi.msk.ru/account/1010708971/", 1010708971)</f>
        <v>1010708971</v>
      </c>
      <c r="D11995">
        <v>0</v>
      </c>
    </row>
    <row r="11996" spans="1:4" hidden="1" x14ac:dyDescent="0.3">
      <c r="A11996" t="s">
        <v>872</v>
      </c>
      <c r="B11996" t="s">
        <v>19</v>
      </c>
      <c r="C11996" s="1">
        <f>HYPERLINK("https://cao.dolgi.msk.ru/account/1010708998/", 1010708998)</f>
        <v>1010708998</v>
      </c>
      <c r="D11996">
        <v>0</v>
      </c>
    </row>
    <row r="11997" spans="1:4" hidden="1" x14ac:dyDescent="0.3">
      <c r="A11997" t="s">
        <v>872</v>
      </c>
      <c r="B11997" t="s">
        <v>20</v>
      </c>
      <c r="C11997" s="1">
        <f>HYPERLINK("https://cao.dolgi.msk.ru/account/1010709018/", 1010709018)</f>
        <v>1010709018</v>
      </c>
      <c r="D11997">
        <v>0</v>
      </c>
    </row>
    <row r="11998" spans="1:4" hidden="1" x14ac:dyDescent="0.3">
      <c r="A11998" t="s">
        <v>872</v>
      </c>
      <c r="B11998" t="s">
        <v>21</v>
      </c>
      <c r="C11998" s="1">
        <f>HYPERLINK("https://cao.dolgi.msk.ru/account/1010709026/", 1010709026)</f>
        <v>1010709026</v>
      </c>
      <c r="D11998">
        <v>0</v>
      </c>
    </row>
    <row r="11999" spans="1:4" hidden="1" x14ac:dyDescent="0.3">
      <c r="A11999" t="s">
        <v>872</v>
      </c>
      <c r="B11999" t="s">
        <v>22</v>
      </c>
      <c r="C11999" s="1">
        <f>HYPERLINK("https://cao.dolgi.msk.ru/account/1010709034/", 1010709034)</f>
        <v>1010709034</v>
      </c>
      <c r="D11999">
        <v>0</v>
      </c>
    </row>
    <row r="12000" spans="1:4" hidden="1" x14ac:dyDescent="0.3">
      <c r="A12000" t="s">
        <v>872</v>
      </c>
      <c r="B12000" t="s">
        <v>24</v>
      </c>
      <c r="C12000" s="1">
        <f>HYPERLINK("https://cao.dolgi.msk.ru/account/1010709042/", 1010709042)</f>
        <v>1010709042</v>
      </c>
      <c r="D12000">
        <v>-615.14</v>
      </c>
    </row>
    <row r="12001" spans="1:4" x14ac:dyDescent="0.3">
      <c r="A12001" t="s">
        <v>872</v>
      </c>
      <c r="B12001" t="s">
        <v>25</v>
      </c>
      <c r="C12001" s="1">
        <f>HYPERLINK("https://cao.dolgi.msk.ru/account/1010709069/", 1010709069)</f>
        <v>1010709069</v>
      </c>
      <c r="D12001">
        <v>11293.38</v>
      </c>
    </row>
    <row r="12002" spans="1:4" x14ac:dyDescent="0.3">
      <c r="A12002" t="s">
        <v>872</v>
      </c>
      <c r="B12002" t="s">
        <v>26</v>
      </c>
      <c r="C12002" s="1">
        <f>HYPERLINK("https://cao.dolgi.msk.ru/account/1010709077/", 1010709077)</f>
        <v>1010709077</v>
      </c>
      <c r="D12002">
        <v>6589.99</v>
      </c>
    </row>
    <row r="12003" spans="1:4" hidden="1" x14ac:dyDescent="0.3">
      <c r="A12003" t="s">
        <v>873</v>
      </c>
      <c r="B12003" t="s">
        <v>6</v>
      </c>
      <c r="C12003" s="1">
        <f>HYPERLINK("https://cao.dolgi.msk.ru/account/1011204417/", 1011204417)</f>
        <v>1011204417</v>
      </c>
      <c r="D12003">
        <v>-21188.7</v>
      </c>
    </row>
    <row r="12004" spans="1:4" hidden="1" x14ac:dyDescent="0.3">
      <c r="A12004" t="s">
        <v>873</v>
      </c>
      <c r="B12004" t="s">
        <v>28</v>
      </c>
      <c r="C12004" s="1">
        <f>HYPERLINK("https://cao.dolgi.msk.ru/account/1011204222/", 1011204222)</f>
        <v>1011204222</v>
      </c>
      <c r="D12004">
        <v>0</v>
      </c>
    </row>
    <row r="12005" spans="1:4" hidden="1" x14ac:dyDescent="0.3">
      <c r="A12005" t="s">
        <v>873</v>
      </c>
      <c r="B12005" t="s">
        <v>35</v>
      </c>
      <c r="C12005" s="1">
        <f>HYPERLINK("https://cao.dolgi.msk.ru/account/1011204441/", 1011204441)</f>
        <v>1011204441</v>
      </c>
      <c r="D12005">
        <v>-2049.41</v>
      </c>
    </row>
    <row r="12006" spans="1:4" hidden="1" x14ac:dyDescent="0.3">
      <c r="A12006" t="s">
        <v>873</v>
      </c>
      <c r="B12006" t="s">
        <v>5</v>
      </c>
      <c r="C12006" s="1">
        <f>HYPERLINK("https://cao.dolgi.msk.ru/account/1011204433/", 1011204433)</f>
        <v>1011204433</v>
      </c>
      <c r="D12006">
        <v>0</v>
      </c>
    </row>
    <row r="12007" spans="1:4" hidden="1" x14ac:dyDescent="0.3">
      <c r="A12007" t="s">
        <v>873</v>
      </c>
      <c r="B12007" t="s">
        <v>7</v>
      </c>
      <c r="C12007" s="1">
        <f>HYPERLINK("https://cao.dolgi.msk.ru/account/1011204265/", 1011204265)</f>
        <v>1011204265</v>
      </c>
      <c r="D12007">
        <v>-386</v>
      </c>
    </row>
    <row r="12008" spans="1:4" hidden="1" x14ac:dyDescent="0.3">
      <c r="A12008" t="s">
        <v>873</v>
      </c>
      <c r="B12008" t="s">
        <v>8</v>
      </c>
      <c r="C12008" s="1">
        <f>HYPERLINK("https://cao.dolgi.msk.ru/account/1011204302/", 1011204302)</f>
        <v>1011204302</v>
      </c>
      <c r="D12008">
        <v>-129.9</v>
      </c>
    </row>
    <row r="12009" spans="1:4" x14ac:dyDescent="0.3">
      <c r="A12009" t="s">
        <v>873</v>
      </c>
      <c r="B12009" t="s">
        <v>31</v>
      </c>
      <c r="C12009" s="1">
        <f>HYPERLINK("https://cao.dolgi.msk.ru/account/1011204273/", 1011204273)</f>
        <v>1011204273</v>
      </c>
      <c r="D12009">
        <v>34013.519999999997</v>
      </c>
    </row>
    <row r="12010" spans="1:4" hidden="1" x14ac:dyDescent="0.3">
      <c r="A12010" t="s">
        <v>873</v>
      </c>
      <c r="B12010" t="s">
        <v>9</v>
      </c>
      <c r="C12010" s="1">
        <f>HYPERLINK("https://cao.dolgi.msk.ru/account/1011204281/", 1011204281)</f>
        <v>1011204281</v>
      </c>
      <c r="D12010">
        <v>-16227.81</v>
      </c>
    </row>
    <row r="12011" spans="1:4" hidden="1" x14ac:dyDescent="0.3">
      <c r="A12011" t="s">
        <v>873</v>
      </c>
      <c r="B12011" t="s">
        <v>10</v>
      </c>
      <c r="C12011" s="1">
        <f>HYPERLINK("https://cao.dolgi.msk.ru/account/1011204425/", 1011204425)</f>
        <v>1011204425</v>
      </c>
      <c r="D12011">
        <v>0</v>
      </c>
    </row>
    <row r="12012" spans="1:4" hidden="1" x14ac:dyDescent="0.3">
      <c r="A12012" t="s">
        <v>873</v>
      </c>
      <c r="B12012" t="s">
        <v>11</v>
      </c>
      <c r="C12012" s="1">
        <f>HYPERLINK("https://cao.dolgi.msk.ru/account/1011204396/", 1011204396)</f>
        <v>1011204396</v>
      </c>
      <c r="D12012">
        <v>0</v>
      </c>
    </row>
    <row r="12013" spans="1:4" hidden="1" x14ac:dyDescent="0.3">
      <c r="A12013" t="s">
        <v>873</v>
      </c>
      <c r="B12013" t="s">
        <v>12</v>
      </c>
      <c r="C12013" s="1">
        <f>HYPERLINK("https://cao.dolgi.msk.ru/account/1011204409/", 1011204409)</f>
        <v>1011204409</v>
      </c>
      <c r="D12013">
        <v>-10806.33</v>
      </c>
    </row>
    <row r="12014" spans="1:4" hidden="1" x14ac:dyDescent="0.3">
      <c r="A12014" t="s">
        <v>873</v>
      </c>
      <c r="B12014" t="s">
        <v>23</v>
      </c>
      <c r="C12014" s="1">
        <f>HYPERLINK("https://cao.dolgi.msk.ru/account/1011204345/", 1011204345)</f>
        <v>1011204345</v>
      </c>
      <c r="D12014">
        <v>-11504.22</v>
      </c>
    </row>
    <row r="12015" spans="1:4" hidden="1" x14ac:dyDescent="0.3">
      <c r="A12015" t="s">
        <v>873</v>
      </c>
      <c r="B12015" t="s">
        <v>13</v>
      </c>
      <c r="C12015" s="1">
        <f>HYPERLINK("https://cao.dolgi.msk.ru/account/1011204353/", 1011204353)</f>
        <v>1011204353</v>
      </c>
      <c r="D12015">
        <v>-9005.83</v>
      </c>
    </row>
    <row r="12016" spans="1:4" hidden="1" x14ac:dyDescent="0.3">
      <c r="A12016" t="s">
        <v>873</v>
      </c>
      <c r="B12016" t="s">
        <v>14</v>
      </c>
      <c r="C12016" s="1">
        <f>HYPERLINK("https://cao.dolgi.msk.ru/account/1011204329/", 1011204329)</f>
        <v>1011204329</v>
      </c>
      <c r="D12016">
        <v>-7957.78</v>
      </c>
    </row>
    <row r="12017" spans="1:4" hidden="1" x14ac:dyDescent="0.3">
      <c r="A12017" t="s">
        <v>873</v>
      </c>
      <c r="B12017" t="s">
        <v>16</v>
      </c>
      <c r="C12017" s="1">
        <f>HYPERLINK("https://cao.dolgi.msk.ru/account/1011204337/", 1011204337)</f>
        <v>1011204337</v>
      </c>
      <c r="D12017">
        <v>-1.84</v>
      </c>
    </row>
    <row r="12018" spans="1:4" hidden="1" x14ac:dyDescent="0.3">
      <c r="A12018" t="s">
        <v>873</v>
      </c>
      <c r="B12018" t="s">
        <v>17</v>
      </c>
      <c r="C12018" s="1">
        <f>HYPERLINK("https://cao.dolgi.msk.ru/account/1011204249/", 1011204249)</f>
        <v>1011204249</v>
      </c>
      <c r="D12018">
        <v>0</v>
      </c>
    </row>
    <row r="12019" spans="1:4" x14ac:dyDescent="0.3">
      <c r="A12019" t="s">
        <v>873</v>
      </c>
      <c r="B12019" t="s">
        <v>18</v>
      </c>
      <c r="C12019" s="1">
        <f>HYPERLINK("https://cao.dolgi.msk.ru/account/1011204361/", 1011204361)</f>
        <v>1011204361</v>
      </c>
      <c r="D12019">
        <v>3265.35</v>
      </c>
    </row>
    <row r="12020" spans="1:4" hidden="1" x14ac:dyDescent="0.3">
      <c r="A12020" t="s">
        <v>873</v>
      </c>
      <c r="B12020" t="s">
        <v>19</v>
      </c>
      <c r="C12020" s="1">
        <f>HYPERLINK("https://cao.dolgi.msk.ru/account/1011204388/", 1011204388)</f>
        <v>1011204388</v>
      </c>
      <c r="D12020">
        <v>-6752.4</v>
      </c>
    </row>
    <row r="12021" spans="1:4" x14ac:dyDescent="0.3">
      <c r="A12021" t="s">
        <v>873</v>
      </c>
      <c r="B12021" t="s">
        <v>20</v>
      </c>
      <c r="C12021" s="1">
        <f>HYPERLINK("https://cao.dolgi.msk.ru/account/1011204257/", 1011204257)</f>
        <v>1011204257</v>
      </c>
      <c r="D12021">
        <v>290405.71000000002</v>
      </c>
    </row>
    <row r="12022" spans="1:4" x14ac:dyDescent="0.3">
      <c r="A12022" t="s">
        <v>874</v>
      </c>
      <c r="B12022" t="s">
        <v>6</v>
      </c>
      <c r="C12022" s="1">
        <f>HYPERLINK("https://cao.dolgi.msk.ru/account/1011204599/", 1011204599)</f>
        <v>1011204599</v>
      </c>
      <c r="D12022">
        <v>7202.64</v>
      </c>
    </row>
    <row r="12023" spans="1:4" hidden="1" x14ac:dyDescent="0.3">
      <c r="A12023" t="s">
        <v>874</v>
      </c>
      <c r="B12023" t="s">
        <v>28</v>
      </c>
      <c r="C12023" s="1">
        <f>HYPERLINK("https://cao.dolgi.msk.ru/account/1011204521/", 1011204521)</f>
        <v>1011204521</v>
      </c>
      <c r="D12023">
        <v>0</v>
      </c>
    </row>
    <row r="12024" spans="1:4" hidden="1" x14ac:dyDescent="0.3">
      <c r="A12024" t="s">
        <v>874</v>
      </c>
      <c r="B12024" t="s">
        <v>35</v>
      </c>
      <c r="C12024" s="1">
        <f>HYPERLINK("https://cao.dolgi.msk.ru/account/1011204548/", 1011204548)</f>
        <v>1011204548</v>
      </c>
      <c r="D12024">
        <v>-250.79</v>
      </c>
    </row>
    <row r="12025" spans="1:4" x14ac:dyDescent="0.3">
      <c r="A12025" t="s">
        <v>874</v>
      </c>
      <c r="B12025" t="s">
        <v>5</v>
      </c>
      <c r="C12025" s="1">
        <f>HYPERLINK("https://cao.dolgi.msk.ru/account/1011204767/", 1011204767)</f>
        <v>1011204767</v>
      </c>
      <c r="D12025">
        <v>14604.74</v>
      </c>
    </row>
    <row r="12026" spans="1:4" hidden="1" x14ac:dyDescent="0.3">
      <c r="A12026" t="s">
        <v>874</v>
      </c>
      <c r="B12026" t="s">
        <v>7</v>
      </c>
      <c r="C12026" s="1">
        <f>HYPERLINK("https://cao.dolgi.msk.ru/account/1011204679/", 1011204679)</f>
        <v>1011204679</v>
      </c>
      <c r="D12026">
        <v>-57.82</v>
      </c>
    </row>
    <row r="12027" spans="1:4" x14ac:dyDescent="0.3">
      <c r="A12027" t="s">
        <v>874</v>
      </c>
      <c r="B12027" t="s">
        <v>8</v>
      </c>
      <c r="C12027" s="1">
        <f>HYPERLINK("https://cao.dolgi.msk.ru/account/1011204775/", 1011204775)</f>
        <v>1011204775</v>
      </c>
      <c r="D12027">
        <v>11710.38</v>
      </c>
    </row>
    <row r="12028" spans="1:4" hidden="1" x14ac:dyDescent="0.3">
      <c r="A12028" t="s">
        <v>874</v>
      </c>
      <c r="B12028" t="s">
        <v>31</v>
      </c>
      <c r="C12028" s="1">
        <f>HYPERLINK("https://cao.dolgi.msk.ru/account/1011204601/", 1011204601)</f>
        <v>1011204601</v>
      </c>
      <c r="D12028">
        <v>-5.68</v>
      </c>
    </row>
    <row r="12029" spans="1:4" x14ac:dyDescent="0.3">
      <c r="A12029" t="s">
        <v>874</v>
      </c>
      <c r="B12029" t="s">
        <v>9</v>
      </c>
      <c r="C12029" s="1">
        <f>HYPERLINK("https://cao.dolgi.msk.ru/account/1011204628/", 1011204628)</f>
        <v>1011204628</v>
      </c>
      <c r="D12029">
        <v>9142.09</v>
      </c>
    </row>
    <row r="12030" spans="1:4" x14ac:dyDescent="0.3">
      <c r="A12030" t="s">
        <v>874</v>
      </c>
      <c r="B12030" t="s">
        <v>10</v>
      </c>
      <c r="C12030" s="1">
        <f>HYPERLINK("https://cao.dolgi.msk.ru/account/1011204636/", 1011204636)</f>
        <v>1011204636</v>
      </c>
      <c r="D12030">
        <v>7841.1</v>
      </c>
    </row>
    <row r="12031" spans="1:4" x14ac:dyDescent="0.3">
      <c r="A12031" t="s">
        <v>874</v>
      </c>
      <c r="B12031" t="s">
        <v>11</v>
      </c>
      <c r="C12031" s="1">
        <f>HYPERLINK("https://cao.dolgi.msk.ru/account/1011204644/", 1011204644)</f>
        <v>1011204644</v>
      </c>
      <c r="D12031">
        <v>12597.62</v>
      </c>
    </row>
    <row r="12032" spans="1:4" hidden="1" x14ac:dyDescent="0.3">
      <c r="A12032" t="s">
        <v>874</v>
      </c>
      <c r="B12032" t="s">
        <v>12</v>
      </c>
      <c r="C12032" s="1">
        <f>HYPERLINK("https://cao.dolgi.msk.ru/account/1011204468/", 1011204468)</f>
        <v>1011204468</v>
      </c>
      <c r="D12032">
        <v>0</v>
      </c>
    </row>
    <row r="12033" spans="1:4" hidden="1" x14ac:dyDescent="0.3">
      <c r="A12033" t="s">
        <v>874</v>
      </c>
      <c r="B12033" t="s">
        <v>23</v>
      </c>
      <c r="C12033" s="1">
        <f>HYPERLINK("https://cao.dolgi.msk.ru/account/1011204476/", 1011204476)</f>
        <v>1011204476</v>
      </c>
      <c r="D12033">
        <v>0</v>
      </c>
    </row>
    <row r="12034" spans="1:4" hidden="1" x14ac:dyDescent="0.3">
      <c r="A12034" t="s">
        <v>874</v>
      </c>
      <c r="B12034" t="s">
        <v>13</v>
      </c>
      <c r="C12034" s="1">
        <f>HYPERLINK("https://cao.dolgi.msk.ru/account/1011204556/", 1011204556)</f>
        <v>1011204556</v>
      </c>
      <c r="D12034">
        <v>0</v>
      </c>
    </row>
    <row r="12035" spans="1:4" hidden="1" x14ac:dyDescent="0.3">
      <c r="A12035" t="s">
        <v>874</v>
      </c>
      <c r="B12035" t="s">
        <v>14</v>
      </c>
      <c r="C12035" s="1">
        <f>HYPERLINK("https://cao.dolgi.msk.ru/account/1011204855/", 1011204855)</f>
        <v>1011204855</v>
      </c>
      <c r="D12035">
        <v>-4438.95</v>
      </c>
    </row>
    <row r="12036" spans="1:4" hidden="1" x14ac:dyDescent="0.3">
      <c r="A12036" t="s">
        <v>874</v>
      </c>
      <c r="B12036" t="s">
        <v>16</v>
      </c>
      <c r="C12036" s="1">
        <f>HYPERLINK("https://cao.dolgi.msk.ru/account/1011204484/", 1011204484)</f>
        <v>1011204484</v>
      </c>
      <c r="D12036">
        <v>-544.16</v>
      </c>
    </row>
    <row r="12037" spans="1:4" hidden="1" x14ac:dyDescent="0.3">
      <c r="A12037" t="s">
        <v>874</v>
      </c>
      <c r="B12037" t="s">
        <v>17</v>
      </c>
      <c r="C12037" s="1">
        <f>HYPERLINK("https://cao.dolgi.msk.ru/account/1011204871/", 1011204871)</f>
        <v>1011204871</v>
      </c>
      <c r="D12037">
        <v>-5326.29</v>
      </c>
    </row>
    <row r="12038" spans="1:4" hidden="1" x14ac:dyDescent="0.3">
      <c r="A12038" t="s">
        <v>874</v>
      </c>
      <c r="B12038" t="s">
        <v>18</v>
      </c>
      <c r="C12038" s="1">
        <f>HYPERLINK("https://cao.dolgi.msk.ru/account/1011204687/", 1011204687)</f>
        <v>1011204687</v>
      </c>
      <c r="D12038">
        <v>-1497.01</v>
      </c>
    </row>
    <row r="12039" spans="1:4" x14ac:dyDescent="0.3">
      <c r="A12039" t="s">
        <v>874</v>
      </c>
      <c r="B12039" t="s">
        <v>19</v>
      </c>
      <c r="C12039" s="1">
        <f>HYPERLINK("https://cao.dolgi.msk.ru/account/1011204695/", 1011204695)</f>
        <v>1011204695</v>
      </c>
      <c r="D12039">
        <v>6942.78</v>
      </c>
    </row>
    <row r="12040" spans="1:4" hidden="1" x14ac:dyDescent="0.3">
      <c r="A12040" t="s">
        <v>874</v>
      </c>
      <c r="B12040" t="s">
        <v>20</v>
      </c>
      <c r="C12040" s="1">
        <f>HYPERLINK("https://cao.dolgi.msk.ru/account/1011204492/", 1011204492)</f>
        <v>1011204492</v>
      </c>
      <c r="D12040">
        <v>-283.69</v>
      </c>
    </row>
    <row r="12041" spans="1:4" hidden="1" x14ac:dyDescent="0.3">
      <c r="A12041" t="s">
        <v>874</v>
      </c>
      <c r="B12041" t="s">
        <v>21</v>
      </c>
      <c r="C12041" s="1">
        <f>HYPERLINK("https://cao.dolgi.msk.ru/account/1011204505/", 1011204505)</f>
        <v>1011204505</v>
      </c>
      <c r="D12041">
        <v>-245</v>
      </c>
    </row>
    <row r="12042" spans="1:4" x14ac:dyDescent="0.3">
      <c r="A12042" t="s">
        <v>874</v>
      </c>
      <c r="B12042" t="s">
        <v>22</v>
      </c>
      <c r="C12042" s="1">
        <f>HYPERLINK("https://cao.dolgi.msk.ru/account/1011204898/", 1011204898)</f>
        <v>1011204898</v>
      </c>
      <c r="D12042">
        <v>9309.39</v>
      </c>
    </row>
    <row r="12043" spans="1:4" hidden="1" x14ac:dyDescent="0.3">
      <c r="A12043" t="s">
        <v>874</v>
      </c>
      <c r="B12043" t="s">
        <v>24</v>
      </c>
      <c r="C12043" s="1">
        <f>HYPERLINK("https://cao.dolgi.msk.ru/account/1011204919/", 1011204919)</f>
        <v>1011204919</v>
      </c>
      <c r="D12043">
        <v>0</v>
      </c>
    </row>
    <row r="12044" spans="1:4" x14ac:dyDescent="0.3">
      <c r="A12044" t="s">
        <v>874</v>
      </c>
      <c r="B12044" t="s">
        <v>25</v>
      </c>
      <c r="C12044" s="1">
        <f>HYPERLINK("https://cao.dolgi.msk.ru/account/1011204564/", 1011204564)</f>
        <v>1011204564</v>
      </c>
      <c r="D12044">
        <v>9026.66</v>
      </c>
    </row>
    <row r="12045" spans="1:4" hidden="1" x14ac:dyDescent="0.3">
      <c r="A12045" t="s">
        <v>874</v>
      </c>
      <c r="B12045" t="s">
        <v>26</v>
      </c>
      <c r="C12045" s="1">
        <f>HYPERLINK("https://cao.dolgi.msk.ru/account/1011204652/", 1011204652)</f>
        <v>1011204652</v>
      </c>
      <c r="D12045">
        <v>-6271.18</v>
      </c>
    </row>
    <row r="12046" spans="1:4" hidden="1" x14ac:dyDescent="0.3">
      <c r="A12046" t="s">
        <v>874</v>
      </c>
      <c r="B12046" t="s">
        <v>27</v>
      </c>
      <c r="C12046" s="1">
        <f>HYPERLINK("https://cao.dolgi.msk.ru/account/1011204708/", 1011204708)</f>
        <v>1011204708</v>
      </c>
      <c r="D12046">
        <v>0</v>
      </c>
    </row>
    <row r="12047" spans="1:4" hidden="1" x14ac:dyDescent="0.3">
      <c r="A12047" t="s">
        <v>874</v>
      </c>
      <c r="B12047" t="s">
        <v>29</v>
      </c>
      <c r="C12047" s="1">
        <f>HYPERLINK("https://cao.dolgi.msk.ru/account/1011204791/", 1011204791)</f>
        <v>1011204791</v>
      </c>
      <c r="D12047">
        <v>-7648.6</v>
      </c>
    </row>
    <row r="12048" spans="1:4" hidden="1" x14ac:dyDescent="0.3">
      <c r="A12048" t="s">
        <v>874</v>
      </c>
      <c r="B12048" t="s">
        <v>38</v>
      </c>
      <c r="C12048" s="1">
        <f>HYPERLINK("https://cao.dolgi.msk.ru/account/1011204863/", 1011204863)</f>
        <v>1011204863</v>
      </c>
      <c r="D12048">
        <v>0</v>
      </c>
    </row>
    <row r="12049" spans="1:4" x14ac:dyDescent="0.3">
      <c r="A12049" t="s">
        <v>874</v>
      </c>
      <c r="B12049" t="s">
        <v>39</v>
      </c>
      <c r="C12049" s="1">
        <f>HYPERLINK("https://cao.dolgi.msk.ru/account/1011204716/", 1011204716)</f>
        <v>1011204716</v>
      </c>
      <c r="D12049">
        <v>10703.79</v>
      </c>
    </row>
    <row r="12050" spans="1:4" hidden="1" x14ac:dyDescent="0.3">
      <c r="A12050" t="s">
        <v>874</v>
      </c>
      <c r="B12050" t="s">
        <v>40</v>
      </c>
      <c r="C12050" s="1">
        <f>HYPERLINK("https://cao.dolgi.msk.ru/account/1011204804/", 1011204804)</f>
        <v>1011204804</v>
      </c>
      <c r="D12050">
        <v>-4694.3100000000004</v>
      </c>
    </row>
    <row r="12051" spans="1:4" hidden="1" x14ac:dyDescent="0.3">
      <c r="A12051" t="s">
        <v>874</v>
      </c>
      <c r="B12051" t="s">
        <v>41</v>
      </c>
      <c r="C12051" s="1">
        <f>HYPERLINK("https://cao.dolgi.msk.ru/account/1011204812/", 1011204812)</f>
        <v>1011204812</v>
      </c>
      <c r="D12051">
        <v>-8285.3700000000008</v>
      </c>
    </row>
    <row r="12052" spans="1:4" x14ac:dyDescent="0.3">
      <c r="A12052" t="s">
        <v>874</v>
      </c>
      <c r="B12052" t="s">
        <v>51</v>
      </c>
      <c r="C12052" s="1">
        <f>HYPERLINK("https://cao.dolgi.msk.ru/account/1011204839/", 1011204839)</f>
        <v>1011204839</v>
      </c>
      <c r="D12052">
        <v>5300.82</v>
      </c>
    </row>
    <row r="12053" spans="1:4" hidden="1" x14ac:dyDescent="0.3">
      <c r="A12053" t="s">
        <v>874</v>
      </c>
      <c r="B12053" t="s">
        <v>52</v>
      </c>
      <c r="C12053" s="1">
        <f>HYPERLINK("https://cao.dolgi.msk.ru/account/1011204724/", 1011204724)</f>
        <v>1011204724</v>
      </c>
      <c r="D12053">
        <v>0</v>
      </c>
    </row>
    <row r="12054" spans="1:4" hidden="1" x14ac:dyDescent="0.3">
      <c r="A12054" t="s">
        <v>874</v>
      </c>
      <c r="B12054" t="s">
        <v>53</v>
      </c>
      <c r="C12054" s="1">
        <f>HYPERLINK("https://cao.dolgi.msk.ru/account/1011204783/", 1011204783)</f>
        <v>1011204783</v>
      </c>
      <c r="D12054">
        <v>-11.05</v>
      </c>
    </row>
    <row r="12055" spans="1:4" hidden="1" x14ac:dyDescent="0.3">
      <c r="A12055" t="s">
        <v>874</v>
      </c>
      <c r="B12055" t="s">
        <v>54</v>
      </c>
      <c r="C12055" s="1">
        <f>HYPERLINK("https://cao.dolgi.msk.ru/account/1011204732/", 1011204732)</f>
        <v>1011204732</v>
      </c>
      <c r="D12055">
        <v>0</v>
      </c>
    </row>
    <row r="12056" spans="1:4" hidden="1" x14ac:dyDescent="0.3">
      <c r="A12056" t="s">
        <v>874</v>
      </c>
      <c r="B12056" t="s">
        <v>55</v>
      </c>
      <c r="C12056" s="1">
        <f>HYPERLINK("https://cao.dolgi.msk.ru/account/1011204847/", 1011204847)</f>
        <v>1011204847</v>
      </c>
      <c r="D12056">
        <v>0</v>
      </c>
    </row>
    <row r="12057" spans="1:4" hidden="1" x14ac:dyDescent="0.3">
      <c r="A12057" t="s">
        <v>874</v>
      </c>
      <c r="B12057" t="s">
        <v>56</v>
      </c>
      <c r="C12057" s="1">
        <f>HYPERLINK("https://cao.dolgi.msk.ru/account/1011204572/", 1011204572)</f>
        <v>1011204572</v>
      </c>
      <c r="D12057">
        <v>0</v>
      </c>
    </row>
    <row r="12058" spans="1:4" x14ac:dyDescent="0.3">
      <c r="A12058" t="s">
        <v>874</v>
      </c>
      <c r="B12058" t="s">
        <v>87</v>
      </c>
      <c r="C12058" s="1">
        <f>HYPERLINK("https://cao.dolgi.msk.ru/account/1011204513/", 1011204513)</f>
        <v>1011204513</v>
      </c>
      <c r="D12058">
        <v>10747.19</v>
      </c>
    </row>
    <row r="12059" spans="1:4" hidden="1" x14ac:dyDescent="0.3">
      <c r="A12059" t="s">
        <v>874</v>
      </c>
      <c r="B12059" t="s">
        <v>88</v>
      </c>
      <c r="C12059" s="1">
        <f>HYPERLINK("https://cao.dolgi.msk.ru/account/1011204759/", 1011204759)</f>
        <v>1011204759</v>
      </c>
      <c r="D12059">
        <v>-79508.350000000006</v>
      </c>
    </row>
    <row r="12060" spans="1:4" hidden="1" x14ac:dyDescent="0.3">
      <c r="A12060" t="s">
        <v>875</v>
      </c>
      <c r="B12060" t="s">
        <v>6</v>
      </c>
      <c r="C12060" s="1">
        <f>HYPERLINK("https://cao.dolgi.msk.ru/account/1011205006/", 1011205006)</f>
        <v>1011205006</v>
      </c>
      <c r="D12060">
        <v>-2499.41</v>
      </c>
    </row>
    <row r="12061" spans="1:4" x14ac:dyDescent="0.3">
      <c r="A12061" t="s">
        <v>875</v>
      </c>
      <c r="B12061" t="s">
        <v>28</v>
      </c>
      <c r="C12061" s="1">
        <f>HYPERLINK("https://cao.dolgi.msk.ru/account/1011205014/", 1011205014)</f>
        <v>1011205014</v>
      </c>
      <c r="D12061">
        <v>30276.51</v>
      </c>
    </row>
    <row r="12062" spans="1:4" x14ac:dyDescent="0.3">
      <c r="A12062" t="s">
        <v>875</v>
      </c>
      <c r="B12062" t="s">
        <v>35</v>
      </c>
      <c r="C12062" s="1">
        <f>HYPERLINK("https://cao.dolgi.msk.ru/account/1011205049/", 1011205049)</f>
        <v>1011205049</v>
      </c>
      <c r="D12062">
        <v>22643.040000000001</v>
      </c>
    </row>
    <row r="12063" spans="1:4" hidden="1" x14ac:dyDescent="0.3">
      <c r="A12063" t="s">
        <v>875</v>
      </c>
      <c r="B12063" t="s">
        <v>5</v>
      </c>
      <c r="C12063" s="1">
        <f>HYPERLINK("https://cao.dolgi.msk.ru/account/1011205057/", 1011205057)</f>
        <v>1011205057</v>
      </c>
      <c r="D12063">
        <v>0</v>
      </c>
    </row>
    <row r="12064" spans="1:4" hidden="1" x14ac:dyDescent="0.3">
      <c r="A12064" t="s">
        <v>875</v>
      </c>
      <c r="B12064" t="s">
        <v>7</v>
      </c>
      <c r="C12064" s="1">
        <f>HYPERLINK("https://cao.dolgi.msk.ru/account/1011204978/", 1011204978)</f>
        <v>1011204978</v>
      </c>
      <c r="D12064">
        <v>0</v>
      </c>
    </row>
    <row r="12065" spans="1:4" hidden="1" x14ac:dyDescent="0.3">
      <c r="A12065" t="s">
        <v>875</v>
      </c>
      <c r="B12065" t="s">
        <v>8</v>
      </c>
      <c r="C12065" s="1">
        <f>HYPERLINK("https://cao.dolgi.msk.ru/account/1011204951/", 1011204951)</f>
        <v>1011204951</v>
      </c>
      <c r="D12065">
        <v>0</v>
      </c>
    </row>
    <row r="12066" spans="1:4" hidden="1" x14ac:dyDescent="0.3">
      <c r="A12066" t="s">
        <v>875</v>
      </c>
      <c r="B12066" t="s">
        <v>8</v>
      </c>
      <c r="C12066" s="1">
        <f>HYPERLINK("https://cao.dolgi.msk.ru/account/1011205081/", 1011205081)</f>
        <v>1011205081</v>
      </c>
      <c r="D12066">
        <v>0</v>
      </c>
    </row>
    <row r="12067" spans="1:4" hidden="1" x14ac:dyDescent="0.3">
      <c r="A12067" t="s">
        <v>875</v>
      </c>
      <c r="B12067" t="s">
        <v>31</v>
      </c>
      <c r="C12067" s="1">
        <f>HYPERLINK("https://cao.dolgi.msk.ru/account/1011204927/", 1011204927)</f>
        <v>1011204927</v>
      </c>
      <c r="D12067">
        <v>0</v>
      </c>
    </row>
    <row r="12068" spans="1:4" hidden="1" x14ac:dyDescent="0.3">
      <c r="A12068" t="s">
        <v>875</v>
      </c>
      <c r="B12068" t="s">
        <v>9</v>
      </c>
      <c r="C12068" s="1">
        <f>HYPERLINK("https://cao.dolgi.msk.ru/account/1011204986/", 1011204986)</f>
        <v>1011204986</v>
      </c>
      <c r="D12068">
        <v>-4176.37</v>
      </c>
    </row>
    <row r="12069" spans="1:4" hidden="1" x14ac:dyDescent="0.3">
      <c r="A12069" t="s">
        <v>875</v>
      </c>
      <c r="B12069" t="s">
        <v>10</v>
      </c>
      <c r="C12069" s="1">
        <f>HYPERLINK("https://cao.dolgi.msk.ru/account/1011205065/", 1011205065)</f>
        <v>1011205065</v>
      </c>
      <c r="D12069">
        <v>0</v>
      </c>
    </row>
    <row r="12070" spans="1:4" x14ac:dyDescent="0.3">
      <c r="A12070" t="s">
        <v>875</v>
      </c>
      <c r="B12070" t="s">
        <v>11</v>
      </c>
      <c r="C12070" s="1">
        <f>HYPERLINK("https://cao.dolgi.msk.ru/account/1011204935/", 1011204935)</f>
        <v>1011204935</v>
      </c>
      <c r="D12070">
        <v>1865.22</v>
      </c>
    </row>
    <row r="12071" spans="1:4" hidden="1" x14ac:dyDescent="0.3">
      <c r="A12071" t="s">
        <v>875</v>
      </c>
      <c r="B12071" t="s">
        <v>12</v>
      </c>
      <c r="C12071" s="1">
        <f>HYPERLINK("https://cao.dolgi.msk.ru/account/1011204943/", 1011204943)</f>
        <v>1011204943</v>
      </c>
      <c r="D12071">
        <v>0</v>
      </c>
    </row>
    <row r="12072" spans="1:4" x14ac:dyDescent="0.3">
      <c r="A12072" t="s">
        <v>875</v>
      </c>
      <c r="B12072" t="s">
        <v>23</v>
      </c>
      <c r="C12072" s="1">
        <f>HYPERLINK("https://cao.dolgi.msk.ru/account/1011205102/", 1011205102)</f>
        <v>1011205102</v>
      </c>
      <c r="D12072">
        <v>207716.39</v>
      </c>
    </row>
    <row r="12073" spans="1:4" hidden="1" x14ac:dyDescent="0.3">
      <c r="A12073" t="s">
        <v>875</v>
      </c>
      <c r="B12073" t="s">
        <v>13</v>
      </c>
      <c r="C12073" s="1">
        <f>HYPERLINK("https://cao.dolgi.msk.ru/account/1011205129/", 1011205129)</f>
        <v>1011205129</v>
      </c>
      <c r="D12073">
        <v>0</v>
      </c>
    </row>
    <row r="12074" spans="1:4" hidden="1" x14ac:dyDescent="0.3">
      <c r="A12074" t="s">
        <v>875</v>
      </c>
      <c r="B12074" t="s">
        <v>14</v>
      </c>
      <c r="C12074" s="1">
        <f>HYPERLINK("https://cao.dolgi.msk.ru/account/1011204994/", 1011204994)</f>
        <v>1011204994</v>
      </c>
      <c r="D12074">
        <v>-4468.28</v>
      </c>
    </row>
    <row r="12075" spans="1:4" hidden="1" x14ac:dyDescent="0.3">
      <c r="A12075" t="s">
        <v>875</v>
      </c>
      <c r="B12075" t="s">
        <v>16</v>
      </c>
      <c r="C12075" s="1">
        <f>HYPERLINK("https://cao.dolgi.msk.ru/account/1011205022/", 1011205022)</f>
        <v>1011205022</v>
      </c>
      <c r="D12075">
        <v>0</v>
      </c>
    </row>
    <row r="12076" spans="1:4" hidden="1" x14ac:dyDescent="0.3">
      <c r="A12076" t="s">
        <v>875</v>
      </c>
      <c r="B12076" t="s">
        <v>17</v>
      </c>
      <c r="C12076" s="1">
        <f>HYPERLINK("https://cao.dolgi.msk.ru/account/1011205073/", 1011205073)</f>
        <v>1011205073</v>
      </c>
      <c r="D12076">
        <v>0</v>
      </c>
    </row>
    <row r="12077" spans="1:4" x14ac:dyDescent="0.3">
      <c r="A12077" t="s">
        <v>876</v>
      </c>
      <c r="B12077" t="s">
        <v>7</v>
      </c>
      <c r="C12077" s="1">
        <f>HYPERLINK("https://cao.dolgi.msk.ru/account/1011205241/", 1011205241)</f>
        <v>1011205241</v>
      </c>
      <c r="D12077">
        <v>1208.5899999999999</v>
      </c>
    </row>
    <row r="12078" spans="1:4" hidden="1" x14ac:dyDescent="0.3">
      <c r="A12078" t="s">
        <v>876</v>
      </c>
      <c r="B12078" t="s">
        <v>8</v>
      </c>
      <c r="C12078" s="1">
        <f>HYPERLINK("https://cao.dolgi.msk.ru/account/1011205137/", 1011205137)</f>
        <v>1011205137</v>
      </c>
      <c r="D12078">
        <v>0</v>
      </c>
    </row>
    <row r="12079" spans="1:4" x14ac:dyDescent="0.3">
      <c r="A12079" t="s">
        <v>876</v>
      </c>
      <c r="B12079" t="s">
        <v>31</v>
      </c>
      <c r="C12079" s="1">
        <f>HYPERLINK("https://cao.dolgi.msk.ru/account/1011205145/", 1011205145)</f>
        <v>1011205145</v>
      </c>
      <c r="D12079">
        <v>63719.8</v>
      </c>
    </row>
    <row r="12080" spans="1:4" hidden="1" x14ac:dyDescent="0.3">
      <c r="A12080" t="s">
        <v>876</v>
      </c>
      <c r="B12080" t="s">
        <v>9</v>
      </c>
      <c r="C12080" s="1">
        <f>HYPERLINK("https://cao.dolgi.msk.ru/account/1011205348/", 1011205348)</f>
        <v>1011205348</v>
      </c>
      <c r="D12080">
        <v>0</v>
      </c>
    </row>
    <row r="12081" spans="1:4" hidden="1" x14ac:dyDescent="0.3">
      <c r="A12081" t="s">
        <v>876</v>
      </c>
      <c r="B12081" t="s">
        <v>10</v>
      </c>
      <c r="C12081" s="1">
        <f>HYPERLINK("https://cao.dolgi.msk.ru/account/1011205452/", 1011205452)</f>
        <v>1011205452</v>
      </c>
      <c r="D12081">
        <v>-6732.45</v>
      </c>
    </row>
    <row r="12082" spans="1:4" hidden="1" x14ac:dyDescent="0.3">
      <c r="A12082" t="s">
        <v>876</v>
      </c>
      <c r="B12082" t="s">
        <v>11</v>
      </c>
      <c r="C12082" s="1">
        <f>HYPERLINK("https://cao.dolgi.msk.ru/account/1011205268/", 1011205268)</f>
        <v>1011205268</v>
      </c>
      <c r="D12082">
        <v>-11933.13</v>
      </c>
    </row>
    <row r="12083" spans="1:4" hidden="1" x14ac:dyDescent="0.3">
      <c r="A12083" t="s">
        <v>876</v>
      </c>
      <c r="B12083" t="s">
        <v>12</v>
      </c>
      <c r="C12083" s="1">
        <f>HYPERLINK("https://cao.dolgi.msk.ru/account/1011516437/", 1011516437)</f>
        <v>1011516437</v>
      </c>
      <c r="D12083">
        <v>-13087.01</v>
      </c>
    </row>
    <row r="12084" spans="1:4" hidden="1" x14ac:dyDescent="0.3">
      <c r="A12084" t="s">
        <v>876</v>
      </c>
      <c r="B12084" t="s">
        <v>23</v>
      </c>
      <c r="C12084" s="1">
        <f>HYPERLINK("https://cao.dolgi.msk.ru/account/1011205356/", 1011205356)</f>
        <v>1011205356</v>
      </c>
      <c r="D12084">
        <v>0</v>
      </c>
    </row>
    <row r="12085" spans="1:4" hidden="1" x14ac:dyDescent="0.3">
      <c r="A12085" t="s">
        <v>876</v>
      </c>
      <c r="B12085" t="s">
        <v>14</v>
      </c>
      <c r="C12085" s="1">
        <f>HYPERLINK("https://cao.dolgi.msk.ru/account/1011205196/", 1011205196)</f>
        <v>1011205196</v>
      </c>
      <c r="D12085">
        <v>0</v>
      </c>
    </row>
    <row r="12086" spans="1:4" hidden="1" x14ac:dyDescent="0.3">
      <c r="A12086" t="s">
        <v>876</v>
      </c>
      <c r="B12086" t="s">
        <v>16</v>
      </c>
      <c r="C12086" s="1">
        <f>HYPERLINK("https://cao.dolgi.msk.ru/account/1011205364/", 1011205364)</f>
        <v>1011205364</v>
      </c>
      <c r="D12086">
        <v>0</v>
      </c>
    </row>
    <row r="12087" spans="1:4" hidden="1" x14ac:dyDescent="0.3">
      <c r="A12087" t="s">
        <v>876</v>
      </c>
      <c r="B12087" t="s">
        <v>16</v>
      </c>
      <c r="C12087" s="1">
        <f>HYPERLINK("https://cao.dolgi.msk.ru/account/1011205428/", 1011205428)</f>
        <v>1011205428</v>
      </c>
      <c r="D12087">
        <v>0</v>
      </c>
    </row>
    <row r="12088" spans="1:4" hidden="1" x14ac:dyDescent="0.3">
      <c r="A12088" t="s">
        <v>876</v>
      </c>
      <c r="B12088" t="s">
        <v>17</v>
      </c>
      <c r="C12088" s="1">
        <f>HYPERLINK("https://cao.dolgi.msk.ru/account/1011205153/", 1011205153)</f>
        <v>1011205153</v>
      </c>
      <c r="D12088">
        <v>0</v>
      </c>
    </row>
    <row r="12089" spans="1:4" x14ac:dyDescent="0.3">
      <c r="A12089" t="s">
        <v>876</v>
      </c>
      <c r="B12089" t="s">
        <v>18</v>
      </c>
      <c r="C12089" s="1">
        <f>HYPERLINK("https://cao.dolgi.msk.ru/account/1011205313/", 1011205313)</f>
        <v>1011205313</v>
      </c>
      <c r="D12089">
        <v>22510.49</v>
      </c>
    </row>
    <row r="12090" spans="1:4" x14ac:dyDescent="0.3">
      <c r="A12090" t="s">
        <v>876</v>
      </c>
      <c r="B12090" t="s">
        <v>19</v>
      </c>
      <c r="C12090" s="1">
        <f>HYPERLINK("https://cao.dolgi.msk.ru/account/1011205276/", 1011205276)</f>
        <v>1011205276</v>
      </c>
      <c r="D12090">
        <v>37950.76</v>
      </c>
    </row>
    <row r="12091" spans="1:4" x14ac:dyDescent="0.3">
      <c r="A12091" t="s">
        <v>876</v>
      </c>
      <c r="B12091" t="s">
        <v>20</v>
      </c>
      <c r="C12091" s="1">
        <f>HYPERLINK("https://cao.dolgi.msk.ru/account/1011205436/", 1011205436)</f>
        <v>1011205436</v>
      </c>
      <c r="D12091">
        <v>1494.3</v>
      </c>
    </row>
    <row r="12092" spans="1:4" hidden="1" x14ac:dyDescent="0.3">
      <c r="A12092" t="s">
        <v>876</v>
      </c>
      <c r="B12092" t="s">
        <v>21</v>
      </c>
      <c r="C12092" s="1">
        <f>HYPERLINK("https://cao.dolgi.msk.ru/account/1011205284/", 1011205284)</f>
        <v>1011205284</v>
      </c>
      <c r="D12092">
        <v>0</v>
      </c>
    </row>
    <row r="12093" spans="1:4" hidden="1" x14ac:dyDescent="0.3">
      <c r="A12093" t="s">
        <v>876</v>
      </c>
      <c r="B12093" t="s">
        <v>93</v>
      </c>
      <c r="C12093" s="1">
        <f>HYPERLINK("https://cao.dolgi.msk.ru/account/1011205209/", 1011205209)</f>
        <v>1011205209</v>
      </c>
      <c r="D12093">
        <v>0</v>
      </c>
    </row>
    <row r="12094" spans="1:4" x14ac:dyDescent="0.3">
      <c r="A12094" t="s">
        <v>876</v>
      </c>
      <c r="B12094" t="s">
        <v>22</v>
      </c>
      <c r="C12094" s="1">
        <f>HYPERLINK("https://cao.dolgi.msk.ru/account/1011205479/", 1011205479)</f>
        <v>1011205479</v>
      </c>
      <c r="D12094">
        <v>11665.19</v>
      </c>
    </row>
    <row r="12095" spans="1:4" hidden="1" x14ac:dyDescent="0.3">
      <c r="A12095" t="s">
        <v>876</v>
      </c>
      <c r="B12095" t="s">
        <v>24</v>
      </c>
      <c r="C12095" s="1">
        <f>HYPERLINK("https://cao.dolgi.msk.ru/account/1011205292/", 1011205292)</f>
        <v>1011205292</v>
      </c>
      <c r="D12095">
        <v>-29.37</v>
      </c>
    </row>
    <row r="12096" spans="1:4" hidden="1" x14ac:dyDescent="0.3">
      <c r="A12096" t="s">
        <v>876</v>
      </c>
      <c r="B12096" t="s">
        <v>24</v>
      </c>
      <c r="C12096" s="1">
        <f>HYPERLINK("https://cao.dolgi.msk.ru/account/1011205305/", 1011205305)</f>
        <v>1011205305</v>
      </c>
      <c r="D12096">
        <v>0</v>
      </c>
    </row>
    <row r="12097" spans="1:4" hidden="1" x14ac:dyDescent="0.3">
      <c r="A12097" t="s">
        <v>876</v>
      </c>
      <c r="B12097" t="s">
        <v>25</v>
      </c>
      <c r="C12097" s="1">
        <f>HYPERLINK("https://cao.dolgi.msk.ru/account/1011205372/", 1011205372)</f>
        <v>1011205372</v>
      </c>
      <c r="D12097">
        <v>0</v>
      </c>
    </row>
    <row r="12098" spans="1:4" hidden="1" x14ac:dyDescent="0.3">
      <c r="A12098" t="s">
        <v>876</v>
      </c>
      <c r="B12098" t="s">
        <v>26</v>
      </c>
      <c r="C12098" s="1">
        <f>HYPERLINK("https://cao.dolgi.msk.ru/account/1011205217/", 1011205217)</f>
        <v>1011205217</v>
      </c>
      <c r="D12098">
        <v>0</v>
      </c>
    </row>
    <row r="12099" spans="1:4" hidden="1" x14ac:dyDescent="0.3">
      <c r="A12099" t="s">
        <v>876</v>
      </c>
      <c r="B12099" t="s">
        <v>585</v>
      </c>
      <c r="C12099" s="1">
        <f>HYPERLINK("https://cao.dolgi.msk.ru/account/1011205225/", 1011205225)</f>
        <v>1011205225</v>
      </c>
      <c r="D12099">
        <v>-7979.29</v>
      </c>
    </row>
    <row r="12100" spans="1:4" hidden="1" x14ac:dyDescent="0.3">
      <c r="A12100" t="s">
        <v>876</v>
      </c>
      <c r="B12100" t="s">
        <v>27</v>
      </c>
      <c r="C12100" s="1">
        <f>HYPERLINK("https://cao.dolgi.msk.ru/account/1011205444/", 1011205444)</f>
        <v>1011205444</v>
      </c>
      <c r="D12100">
        <v>0</v>
      </c>
    </row>
    <row r="12101" spans="1:4" hidden="1" x14ac:dyDescent="0.3">
      <c r="A12101" t="s">
        <v>876</v>
      </c>
      <c r="B12101" t="s">
        <v>29</v>
      </c>
      <c r="C12101" s="1">
        <f>HYPERLINK("https://cao.dolgi.msk.ru/account/1011205161/", 1011205161)</f>
        <v>1011205161</v>
      </c>
      <c r="D12101">
        <v>-1586.57</v>
      </c>
    </row>
    <row r="12102" spans="1:4" hidden="1" x14ac:dyDescent="0.3">
      <c r="A12102" t="s">
        <v>876</v>
      </c>
      <c r="B12102" t="s">
        <v>29</v>
      </c>
      <c r="C12102" s="1">
        <f>HYPERLINK("https://cao.dolgi.msk.ru/account/1011205321/", 1011205321)</f>
        <v>1011205321</v>
      </c>
      <c r="D12102">
        <v>0</v>
      </c>
    </row>
    <row r="12103" spans="1:4" hidden="1" x14ac:dyDescent="0.3">
      <c r="A12103" t="s">
        <v>876</v>
      </c>
      <c r="B12103" t="s">
        <v>38</v>
      </c>
      <c r="C12103" s="1">
        <f>HYPERLINK("https://cao.dolgi.msk.ru/account/1011205188/", 1011205188)</f>
        <v>1011205188</v>
      </c>
      <c r="D12103">
        <v>-9934.64</v>
      </c>
    </row>
    <row r="12104" spans="1:4" x14ac:dyDescent="0.3">
      <c r="A12104" t="s">
        <v>876</v>
      </c>
      <c r="B12104" t="s">
        <v>39</v>
      </c>
      <c r="C12104" s="1">
        <f>HYPERLINK("https://cao.dolgi.msk.ru/account/1011205399/", 1011205399)</f>
        <v>1011205399</v>
      </c>
      <c r="D12104">
        <v>7245.17</v>
      </c>
    </row>
    <row r="12105" spans="1:4" hidden="1" x14ac:dyDescent="0.3">
      <c r="A12105" t="s">
        <v>876</v>
      </c>
      <c r="B12105" t="s">
        <v>609</v>
      </c>
      <c r="C12105" s="1">
        <f>HYPERLINK("https://cao.dolgi.msk.ru/account/1011205233/", 1011205233)</f>
        <v>1011205233</v>
      </c>
      <c r="D12105">
        <v>0</v>
      </c>
    </row>
    <row r="12106" spans="1:4" hidden="1" x14ac:dyDescent="0.3">
      <c r="A12106" t="s">
        <v>877</v>
      </c>
      <c r="B12106" t="s">
        <v>7</v>
      </c>
      <c r="C12106" s="1">
        <f>HYPERLINK("https://cao.dolgi.msk.ru/account/1011205487/", 1011205487)</f>
        <v>1011205487</v>
      </c>
      <c r="D12106">
        <v>-60.14</v>
      </c>
    </row>
    <row r="12107" spans="1:4" hidden="1" x14ac:dyDescent="0.3">
      <c r="A12107" t="s">
        <v>877</v>
      </c>
      <c r="B12107" t="s">
        <v>8</v>
      </c>
      <c r="C12107" s="1">
        <f>HYPERLINK("https://cao.dolgi.msk.ru/account/1011205807/", 1011205807)</f>
        <v>1011205807</v>
      </c>
      <c r="D12107">
        <v>-6265.69</v>
      </c>
    </row>
    <row r="12108" spans="1:4" x14ac:dyDescent="0.3">
      <c r="A12108" t="s">
        <v>877</v>
      </c>
      <c r="B12108" t="s">
        <v>878</v>
      </c>
      <c r="C12108" s="1">
        <f>HYPERLINK("https://cao.dolgi.msk.ru/account/1011205831/", 1011205831)</f>
        <v>1011205831</v>
      </c>
      <c r="D12108">
        <v>2766.7</v>
      </c>
    </row>
    <row r="12109" spans="1:4" hidden="1" x14ac:dyDescent="0.3">
      <c r="A12109" t="s">
        <v>877</v>
      </c>
      <c r="B12109" t="s">
        <v>879</v>
      </c>
      <c r="C12109" s="1">
        <f>HYPERLINK("https://cao.dolgi.msk.ru/account/1011205743/", 1011205743)</f>
        <v>1011205743</v>
      </c>
      <c r="D12109">
        <v>-14576.59</v>
      </c>
    </row>
    <row r="12110" spans="1:4" x14ac:dyDescent="0.3">
      <c r="A12110" t="s">
        <v>877</v>
      </c>
      <c r="B12110" t="s">
        <v>10</v>
      </c>
      <c r="C12110" s="1">
        <f>HYPERLINK("https://cao.dolgi.msk.ru/account/1011205612/", 1011205612)</f>
        <v>1011205612</v>
      </c>
      <c r="D12110">
        <v>6274.13</v>
      </c>
    </row>
    <row r="12111" spans="1:4" hidden="1" x14ac:dyDescent="0.3">
      <c r="A12111" t="s">
        <v>877</v>
      </c>
      <c r="B12111" t="s">
        <v>11</v>
      </c>
      <c r="C12111" s="1">
        <f>HYPERLINK("https://cao.dolgi.msk.ru/account/1011205495/", 1011205495)</f>
        <v>1011205495</v>
      </c>
      <c r="D12111">
        <v>-4276.1099999999997</v>
      </c>
    </row>
    <row r="12112" spans="1:4" hidden="1" x14ac:dyDescent="0.3">
      <c r="A12112" t="s">
        <v>877</v>
      </c>
      <c r="B12112" t="s">
        <v>13</v>
      </c>
      <c r="C12112" s="1">
        <f>HYPERLINK("https://cao.dolgi.msk.ru/account/1011205858/", 1011205858)</f>
        <v>1011205858</v>
      </c>
      <c r="D12112">
        <v>0</v>
      </c>
    </row>
    <row r="12113" spans="1:4" hidden="1" x14ac:dyDescent="0.3">
      <c r="A12113" t="s">
        <v>877</v>
      </c>
      <c r="B12113" t="s">
        <v>14</v>
      </c>
      <c r="C12113" s="1">
        <f>HYPERLINK("https://cao.dolgi.msk.ru/account/1011205508/", 1011205508)</f>
        <v>1011205508</v>
      </c>
      <c r="D12113">
        <v>-10305.030000000001</v>
      </c>
    </row>
    <row r="12114" spans="1:4" x14ac:dyDescent="0.3">
      <c r="A12114" t="s">
        <v>877</v>
      </c>
      <c r="B12114" t="s">
        <v>880</v>
      </c>
      <c r="C12114" s="1">
        <f>HYPERLINK("https://cao.dolgi.msk.ru/account/1011205516/", 1011205516)</f>
        <v>1011205516</v>
      </c>
      <c r="D12114">
        <v>23403.73</v>
      </c>
    </row>
    <row r="12115" spans="1:4" hidden="1" x14ac:dyDescent="0.3">
      <c r="A12115" t="s">
        <v>877</v>
      </c>
      <c r="B12115" t="s">
        <v>17</v>
      </c>
      <c r="C12115" s="1">
        <f>HYPERLINK("https://cao.dolgi.msk.ru/account/1011205524/", 1011205524)</f>
        <v>1011205524</v>
      </c>
      <c r="D12115">
        <v>-1552.68</v>
      </c>
    </row>
    <row r="12116" spans="1:4" hidden="1" x14ac:dyDescent="0.3">
      <c r="A12116" t="s">
        <v>877</v>
      </c>
      <c r="B12116" t="s">
        <v>18</v>
      </c>
      <c r="C12116" s="1">
        <f>HYPERLINK("https://cao.dolgi.msk.ru/account/1011205751/", 1011205751)</f>
        <v>1011205751</v>
      </c>
      <c r="D12116">
        <v>-272.7</v>
      </c>
    </row>
    <row r="12117" spans="1:4" hidden="1" x14ac:dyDescent="0.3">
      <c r="A12117" t="s">
        <v>877</v>
      </c>
      <c r="B12117" t="s">
        <v>19</v>
      </c>
      <c r="C12117" s="1">
        <f>HYPERLINK("https://cao.dolgi.msk.ru/account/1011205532/", 1011205532)</f>
        <v>1011205532</v>
      </c>
      <c r="D12117">
        <v>-7985.26</v>
      </c>
    </row>
    <row r="12118" spans="1:4" hidden="1" x14ac:dyDescent="0.3">
      <c r="A12118" t="s">
        <v>877</v>
      </c>
      <c r="B12118" t="s">
        <v>20</v>
      </c>
      <c r="C12118" s="1">
        <f>HYPERLINK("https://cao.dolgi.msk.ru/account/1011205866/", 1011205866)</f>
        <v>1011205866</v>
      </c>
      <c r="D12118">
        <v>0</v>
      </c>
    </row>
    <row r="12119" spans="1:4" hidden="1" x14ac:dyDescent="0.3">
      <c r="A12119" t="s">
        <v>877</v>
      </c>
      <c r="B12119" t="s">
        <v>21</v>
      </c>
      <c r="C12119" s="1">
        <f>HYPERLINK("https://cao.dolgi.msk.ru/account/1011205815/", 1011205815)</f>
        <v>1011205815</v>
      </c>
      <c r="D12119">
        <v>0</v>
      </c>
    </row>
    <row r="12120" spans="1:4" hidden="1" x14ac:dyDescent="0.3">
      <c r="A12120" t="s">
        <v>877</v>
      </c>
      <c r="B12120" t="s">
        <v>22</v>
      </c>
      <c r="C12120" s="1">
        <f>HYPERLINK("https://cao.dolgi.msk.ru/account/1011205639/", 1011205639)</f>
        <v>1011205639</v>
      </c>
      <c r="D12120">
        <v>-17943.66</v>
      </c>
    </row>
    <row r="12121" spans="1:4" x14ac:dyDescent="0.3">
      <c r="A12121" t="s">
        <v>877</v>
      </c>
      <c r="B12121" t="s">
        <v>24</v>
      </c>
      <c r="C12121" s="1">
        <f>HYPERLINK("https://cao.dolgi.msk.ru/account/1011205647/", 1011205647)</f>
        <v>1011205647</v>
      </c>
      <c r="D12121">
        <v>59735.31</v>
      </c>
    </row>
    <row r="12122" spans="1:4" hidden="1" x14ac:dyDescent="0.3">
      <c r="A12122" t="s">
        <v>877</v>
      </c>
      <c r="B12122" t="s">
        <v>25</v>
      </c>
      <c r="C12122" s="1">
        <f>HYPERLINK("https://cao.dolgi.msk.ru/account/1011205655/", 1011205655)</f>
        <v>1011205655</v>
      </c>
      <c r="D12122">
        <v>-0.9</v>
      </c>
    </row>
    <row r="12123" spans="1:4" hidden="1" x14ac:dyDescent="0.3">
      <c r="A12123" t="s">
        <v>877</v>
      </c>
      <c r="B12123" t="s">
        <v>26</v>
      </c>
      <c r="C12123" s="1">
        <f>HYPERLINK("https://cao.dolgi.msk.ru/account/1011205591/", 1011205591)</f>
        <v>1011205591</v>
      </c>
      <c r="D12123">
        <v>0</v>
      </c>
    </row>
    <row r="12124" spans="1:4" hidden="1" x14ac:dyDescent="0.3">
      <c r="A12124" t="s">
        <v>877</v>
      </c>
      <c r="B12124" t="s">
        <v>41</v>
      </c>
      <c r="C12124" s="1">
        <f>HYPERLINK("https://cao.dolgi.msk.ru/account/1011205559/", 1011205559)</f>
        <v>1011205559</v>
      </c>
      <c r="D12124">
        <v>0</v>
      </c>
    </row>
    <row r="12125" spans="1:4" hidden="1" x14ac:dyDescent="0.3">
      <c r="A12125" t="s">
        <v>877</v>
      </c>
      <c r="B12125" t="s">
        <v>51</v>
      </c>
      <c r="C12125" s="1">
        <f>HYPERLINK("https://cao.dolgi.msk.ru/account/1011205778/", 1011205778)</f>
        <v>1011205778</v>
      </c>
      <c r="D12125">
        <v>-311.69</v>
      </c>
    </row>
    <row r="12126" spans="1:4" hidden="1" x14ac:dyDescent="0.3">
      <c r="A12126" t="s">
        <v>877</v>
      </c>
      <c r="B12126" t="s">
        <v>52</v>
      </c>
      <c r="C12126" s="1">
        <f>HYPERLINK("https://cao.dolgi.msk.ru/account/1011205663/", 1011205663)</f>
        <v>1011205663</v>
      </c>
      <c r="D12126">
        <v>-69.150000000000006</v>
      </c>
    </row>
    <row r="12127" spans="1:4" hidden="1" x14ac:dyDescent="0.3">
      <c r="A12127" t="s">
        <v>877</v>
      </c>
      <c r="B12127" t="s">
        <v>53</v>
      </c>
      <c r="C12127" s="1">
        <f>HYPERLINK("https://cao.dolgi.msk.ru/account/1011205698/", 1011205698)</f>
        <v>1011205698</v>
      </c>
      <c r="D12127">
        <v>-6264.21</v>
      </c>
    </row>
    <row r="12128" spans="1:4" hidden="1" x14ac:dyDescent="0.3">
      <c r="A12128" t="s">
        <v>877</v>
      </c>
      <c r="B12128" t="s">
        <v>54</v>
      </c>
      <c r="C12128" s="1">
        <f>HYPERLINK("https://cao.dolgi.msk.ru/account/1011205604/", 1011205604)</f>
        <v>1011205604</v>
      </c>
      <c r="D12128">
        <v>-7347.98</v>
      </c>
    </row>
    <row r="12129" spans="1:4" hidden="1" x14ac:dyDescent="0.3">
      <c r="A12129" t="s">
        <v>877</v>
      </c>
      <c r="B12129" t="s">
        <v>55</v>
      </c>
      <c r="C12129" s="1">
        <f>HYPERLINK("https://cao.dolgi.msk.ru/account/1011205567/", 1011205567)</f>
        <v>1011205567</v>
      </c>
      <c r="D12129">
        <v>0</v>
      </c>
    </row>
    <row r="12130" spans="1:4" hidden="1" x14ac:dyDescent="0.3">
      <c r="A12130" t="s">
        <v>877</v>
      </c>
      <c r="B12130" t="s">
        <v>56</v>
      </c>
      <c r="C12130" s="1">
        <f>HYPERLINK("https://cao.dolgi.msk.ru/account/1011205575/", 1011205575)</f>
        <v>1011205575</v>
      </c>
      <c r="D12130">
        <v>-30.49</v>
      </c>
    </row>
    <row r="12131" spans="1:4" x14ac:dyDescent="0.3">
      <c r="A12131" t="s">
        <v>877</v>
      </c>
      <c r="B12131" t="s">
        <v>89</v>
      </c>
      <c r="C12131" s="1">
        <f>HYPERLINK("https://cao.dolgi.msk.ru/account/1011205823/", 1011205823)</f>
        <v>1011205823</v>
      </c>
      <c r="D12131">
        <v>5001.24</v>
      </c>
    </row>
    <row r="12132" spans="1:4" hidden="1" x14ac:dyDescent="0.3">
      <c r="A12132" t="s">
        <v>877</v>
      </c>
      <c r="B12132" t="s">
        <v>90</v>
      </c>
      <c r="C12132" s="1">
        <f>HYPERLINK("https://cao.dolgi.msk.ru/account/1011205719/", 1011205719)</f>
        <v>1011205719</v>
      </c>
      <c r="D12132">
        <v>0</v>
      </c>
    </row>
    <row r="12133" spans="1:4" hidden="1" x14ac:dyDescent="0.3">
      <c r="A12133" t="s">
        <v>877</v>
      </c>
      <c r="B12133" t="s">
        <v>96</v>
      </c>
      <c r="C12133" s="1">
        <f>HYPERLINK("https://cao.dolgi.msk.ru/account/1011205786/", 1011205786)</f>
        <v>1011205786</v>
      </c>
      <c r="D12133">
        <v>0</v>
      </c>
    </row>
    <row r="12134" spans="1:4" hidden="1" x14ac:dyDescent="0.3">
      <c r="A12134" t="s">
        <v>877</v>
      </c>
      <c r="B12134" t="s">
        <v>97</v>
      </c>
      <c r="C12134" s="1">
        <f>HYPERLINK("https://cao.dolgi.msk.ru/account/1011205671/", 1011205671)</f>
        <v>1011205671</v>
      </c>
      <c r="D12134">
        <v>0</v>
      </c>
    </row>
    <row r="12135" spans="1:4" hidden="1" x14ac:dyDescent="0.3">
      <c r="A12135" t="s">
        <v>877</v>
      </c>
      <c r="B12135" t="s">
        <v>98</v>
      </c>
      <c r="C12135" s="1">
        <f>HYPERLINK("https://cao.dolgi.msk.ru/account/1011205794/", 1011205794)</f>
        <v>1011205794</v>
      </c>
      <c r="D12135">
        <v>0</v>
      </c>
    </row>
    <row r="12136" spans="1:4" hidden="1" x14ac:dyDescent="0.3">
      <c r="A12136" t="s">
        <v>877</v>
      </c>
      <c r="B12136" t="s">
        <v>59</v>
      </c>
      <c r="C12136" s="1">
        <f>HYPERLINK("https://cao.dolgi.msk.ru/account/1011205874/", 1011205874)</f>
        <v>1011205874</v>
      </c>
      <c r="D12136">
        <v>-918.93</v>
      </c>
    </row>
    <row r="12137" spans="1:4" hidden="1" x14ac:dyDescent="0.3">
      <c r="A12137" t="s">
        <v>877</v>
      </c>
      <c r="B12137" t="s">
        <v>60</v>
      </c>
      <c r="C12137" s="1">
        <f>HYPERLINK("https://cao.dolgi.msk.ru/account/1011205583/", 1011205583)</f>
        <v>1011205583</v>
      </c>
      <c r="D12137">
        <v>-8403.76</v>
      </c>
    </row>
    <row r="12138" spans="1:4" hidden="1" x14ac:dyDescent="0.3">
      <c r="A12138" t="s">
        <v>877</v>
      </c>
      <c r="B12138" t="s">
        <v>61</v>
      </c>
      <c r="C12138" s="1">
        <f>HYPERLINK("https://cao.dolgi.msk.ru/account/1011205727/", 1011205727)</f>
        <v>1011205727</v>
      </c>
      <c r="D12138">
        <v>-243.16</v>
      </c>
    </row>
    <row r="12139" spans="1:4" x14ac:dyDescent="0.3">
      <c r="A12139" t="s">
        <v>877</v>
      </c>
      <c r="B12139" t="s">
        <v>62</v>
      </c>
      <c r="C12139" s="1">
        <f>HYPERLINK("https://cao.dolgi.msk.ru/account/1011205735/", 1011205735)</f>
        <v>1011205735</v>
      </c>
      <c r="D12139">
        <v>6012.13</v>
      </c>
    </row>
    <row r="12140" spans="1:4" x14ac:dyDescent="0.3">
      <c r="A12140" t="s">
        <v>881</v>
      </c>
      <c r="B12140" t="s">
        <v>35</v>
      </c>
      <c r="C12140" s="1">
        <f>HYPERLINK("https://cao.dolgi.msk.ru/account/1011479322/", 1011479322)</f>
        <v>1011479322</v>
      </c>
      <c r="D12140">
        <v>666132.81999999995</v>
      </c>
    </row>
    <row r="12141" spans="1:4" x14ac:dyDescent="0.3">
      <c r="A12141" t="s">
        <v>881</v>
      </c>
      <c r="B12141" t="s">
        <v>5</v>
      </c>
      <c r="C12141" s="1">
        <f>HYPERLINK("https://cao.dolgi.msk.ru/account/1011479437/", 1011479437)</f>
        <v>1011479437</v>
      </c>
      <c r="D12141">
        <v>3967.57</v>
      </c>
    </row>
    <row r="12142" spans="1:4" x14ac:dyDescent="0.3">
      <c r="A12142" t="s">
        <v>881</v>
      </c>
      <c r="B12142" t="s">
        <v>7</v>
      </c>
      <c r="C12142" s="1">
        <f>HYPERLINK("https://cao.dolgi.msk.ru/account/1011479349/", 1011479349)</f>
        <v>1011479349</v>
      </c>
      <c r="D12142">
        <v>26254.36</v>
      </c>
    </row>
    <row r="12143" spans="1:4" x14ac:dyDescent="0.3">
      <c r="A12143" t="s">
        <v>881</v>
      </c>
      <c r="B12143" t="s">
        <v>7</v>
      </c>
      <c r="C12143" s="1">
        <f>HYPERLINK("https://cao.dolgi.msk.ru/account/1011479365/", 1011479365)</f>
        <v>1011479365</v>
      </c>
      <c r="D12143">
        <v>27627.63</v>
      </c>
    </row>
    <row r="12144" spans="1:4" x14ac:dyDescent="0.3">
      <c r="A12144" t="s">
        <v>881</v>
      </c>
      <c r="B12144" t="s">
        <v>7</v>
      </c>
      <c r="C12144" s="1">
        <f>HYPERLINK("https://cao.dolgi.msk.ru/account/1011479381/", 1011479381)</f>
        <v>1011479381</v>
      </c>
      <c r="D12144">
        <v>3235.6</v>
      </c>
    </row>
    <row r="12145" spans="1:4" hidden="1" x14ac:dyDescent="0.3">
      <c r="A12145" t="s">
        <v>881</v>
      </c>
      <c r="B12145" t="s">
        <v>7</v>
      </c>
      <c r="C12145" s="1">
        <f>HYPERLINK("https://cao.dolgi.msk.ru/account/1011479429/", 1011479429)</f>
        <v>1011479429</v>
      </c>
      <c r="D12145">
        <v>-983.16</v>
      </c>
    </row>
    <row r="12146" spans="1:4" hidden="1" x14ac:dyDescent="0.3">
      <c r="A12146" t="s">
        <v>881</v>
      </c>
      <c r="B12146" t="s">
        <v>7</v>
      </c>
      <c r="C12146" s="1">
        <f>HYPERLINK("https://cao.dolgi.msk.ru/account/1011479453/", 1011479453)</f>
        <v>1011479453</v>
      </c>
      <c r="D12146">
        <v>0</v>
      </c>
    </row>
    <row r="12147" spans="1:4" hidden="1" x14ac:dyDescent="0.3">
      <c r="A12147" t="s">
        <v>881</v>
      </c>
      <c r="B12147" t="s">
        <v>7</v>
      </c>
      <c r="C12147" s="1">
        <f>HYPERLINK("https://cao.dolgi.msk.ru/account/1011479461/", 1011479461)</f>
        <v>1011479461</v>
      </c>
      <c r="D12147">
        <v>0</v>
      </c>
    </row>
    <row r="12148" spans="1:4" x14ac:dyDescent="0.3">
      <c r="A12148" t="s">
        <v>881</v>
      </c>
      <c r="B12148" t="s">
        <v>7</v>
      </c>
      <c r="C12148" s="1">
        <f>HYPERLINK("https://cao.dolgi.msk.ru/account/1011479488/", 1011479488)</f>
        <v>1011479488</v>
      </c>
      <c r="D12148">
        <v>10472.950000000001</v>
      </c>
    </row>
    <row r="12149" spans="1:4" x14ac:dyDescent="0.3">
      <c r="A12149" t="s">
        <v>881</v>
      </c>
      <c r="B12149" t="s">
        <v>7</v>
      </c>
      <c r="C12149" s="1">
        <f>HYPERLINK("https://cao.dolgi.msk.ru/account/1011479509/", 1011479509)</f>
        <v>1011479509</v>
      </c>
      <c r="D12149">
        <v>16237.54</v>
      </c>
    </row>
    <row r="12150" spans="1:4" x14ac:dyDescent="0.3">
      <c r="A12150" t="s">
        <v>881</v>
      </c>
      <c r="B12150" t="s">
        <v>7</v>
      </c>
      <c r="C12150" s="1">
        <f>HYPERLINK("https://cao.dolgi.msk.ru/account/1011505578/", 1011505578)</f>
        <v>1011505578</v>
      </c>
      <c r="D12150">
        <v>1413.41</v>
      </c>
    </row>
    <row r="12151" spans="1:4" x14ac:dyDescent="0.3">
      <c r="A12151" t="s">
        <v>881</v>
      </c>
      <c r="B12151" t="s">
        <v>8</v>
      </c>
      <c r="C12151" s="1">
        <f>HYPERLINK("https://cao.dolgi.msk.ru/account/1011479496/", 1011479496)</f>
        <v>1011479496</v>
      </c>
      <c r="D12151">
        <v>52105.99</v>
      </c>
    </row>
    <row r="12152" spans="1:4" hidden="1" x14ac:dyDescent="0.3">
      <c r="A12152" t="s">
        <v>881</v>
      </c>
      <c r="B12152" t="s">
        <v>10</v>
      </c>
      <c r="C12152" s="1">
        <f>HYPERLINK("https://cao.dolgi.msk.ru/account/1011479517/", 1011479517)</f>
        <v>1011479517</v>
      </c>
      <c r="D12152">
        <v>-4817.6099999999997</v>
      </c>
    </row>
    <row r="12153" spans="1:4" x14ac:dyDescent="0.3">
      <c r="A12153" t="s">
        <v>881</v>
      </c>
      <c r="B12153" t="s">
        <v>12</v>
      </c>
      <c r="C12153" s="1">
        <f>HYPERLINK("https://cao.dolgi.msk.ru/account/1011479445/", 1011479445)</f>
        <v>1011479445</v>
      </c>
      <c r="D12153">
        <v>18653.11</v>
      </c>
    </row>
    <row r="12154" spans="1:4" hidden="1" x14ac:dyDescent="0.3">
      <c r="A12154" t="s">
        <v>882</v>
      </c>
      <c r="B12154" t="s">
        <v>52</v>
      </c>
      <c r="C12154" s="1">
        <f>HYPERLINK("https://cao.dolgi.msk.ru/account/1010027009/", 1010027009)</f>
        <v>1010027009</v>
      </c>
      <c r="D12154">
        <v>0</v>
      </c>
    </row>
    <row r="12155" spans="1:4" x14ac:dyDescent="0.3">
      <c r="A12155" t="s">
        <v>882</v>
      </c>
      <c r="B12155" t="s">
        <v>53</v>
      </c>
      <c r="C12155" s="1">
        <f>HYPERLINK("https://cao.dolgi.msk.ru/account/1011016491/", 1011016491)</f>
        <v>1011016491</v>
      </c>
      <c r="D12155">
        <v>179045.93</v>
      </c>
    </row>
    <row r="12156" spans="1:4" x14ac:dyDescent="0.3">
      <c r="A12156" t="s">
        <v>882</v>
      </c>
      <c r="B12156" t="s">
        <v>54</v>
      </c>
      <c r="C12156" s="1">
        <f>HYPERLINK("https://cao.dolgi.msk.ru/account/1011515688/", 1011515688)</f>
        <v>1011515688</v>
      </c>
      <c r="D12156">
        <v>24580.41</v>
      </c>
    </row>
    <row r="12157" spans="1:4" x14ac:dyDescent="0.3">
      <c r="A12157" t="s">
        <v>882</v>
      </c>
      <c r="B12157" t="s">
        <v>55</v>
      </c>
      <c r="C12157" s="1">
        <f>HYPERLINK("https://cao.dolgi.msk.ru/account/1011016512/", 1011016512)</f>
        <v>1011016512</v>
      </c>
      <c r="D12157">
        <v>237404.63</v>
      </c>
    </row>
    <row r="12158" spans="1:4" hidden="1" x14ac:dyDescent="0.3">
      <c r="A12158" t="s">
        <v>882</v>
      </c>
      <c r="B12158" t="s">
        <v>89</v>
      </c>
      <c r="C12158" s="1">
        <f>HYPERLINK("https://cao.dolgi.msk.ru/account/1011016539/", 1011016539)</f>
        <v>1011016539</v>
      </c>
      <c r="D12158">
        <v>-490</v>
      </c>
    </row>
    <row r="12159" spans="1:4" hidden="1" x14ac:dyDescent="0.3">
      <c r="A12159" t="s">
        <v>882</v>
      </c>
      <c r="B12159" t="s">
        <v>90</v>
      </c>
      <c r="C12159" s="1">
        <f>HYPERLINK("https://cao.dolgi.msk.ru/account/1011515418/", 1011515418)</f>
        <v>1011515418</v>
      </c>
      <c r="D12159">
        <v>0</v>
      </c>
    </row>
    <row r="12160" spans="1:4" hidden="1" x14ac:dyDescent="0.3">
      <c r="A12160" t="s">
        <v>882</v>
      </c>
      <c r="B12160" t="s">
        <v>96</v>
      </c>
      <c r="C12160" s="1">
        <f>HYPERLINK("https://cao.dolgi.msk.ru/account/1011016555/", 1011016555)</f>
        <v>1011016555</v>
      </c>
      <c r="D12160">
        <v>-245</v>
      </c>
    </row>
    <row r="12161" spans="1:4" x14ac:dyDescent="0.3">
      <c r="A12161" t="s">
        <v>882</v>
      </c>
      <c r="B12161" t="s">
        <v>97</v>
      </c>
      <c r="C12161" s="1">
        <f>HYPERLINK("https://cao.dolgi.msk.ru/account/1011016563/", 1011016563)</f>
        <v>1011016563</v>
      </c>
      <c r="D12161">
        <v>191401.12</v>
      </c>
    </row>
    <row r="12162" spans="1:4" hidden="1" x14ac:dyDescent="0.3">
      <c r="A12162" t="s">
        <v>883</v>
      </c>
      <c r="B12162" t="s">
        <v>31</v>
      </c>
      <c r="C12162" s="1">
        <f>HYPERLINK("https://cao.dolgi.msk.ru/account/1010026946/", 1010026946)</f>
        <v>1010026946</v>
      </c>
      <c r="D12162">
        <v>0</v>
      </c>
    </row>
    <row r="12163" spans="1:4" hidden="1" x14ac:dyDescent="0.3">
      <c r="A12163" t="s">
        <v>883</v>
      </c>
      <c r="B12163" t="s">
        <v>26</v>
      </c>
      <c r="C12163" s="1">
        <f>HYPERLINK("https://cao.dolgi.msk.ru/account/1010026962/", 1010026962)</f>
        <v>1010026962</v>
      </c>
      <c r="D12163">
        <v>-8315.59</v>
      </c>
    </row>
    <row r="12164" spans="1:4" hidden="1" x14ac:dyDescent="0.3">
      <c r="A12164" t="s">
        <v>884</v>
      </c>
      <c r="B12164" t="s">
        <v>14</v>
      </c>
      <c r="C12164" s="1">
        <f>HYPERLINK("https://cao.dolgi.msk.ru/account/1011479541/", 1011479541)</f>
        <v>1011479541</v>
      </c>
      <c r="D12164">
        <v>0</v>
      </c>
    </row>
    <row r="12165" spans="1:4" hidden="1" x14ac:dyDescent="0.3">
      <c r="A12165" t="s">
        <v>884</v>
      </c>
      <c r="B12165" t="s">
        <v>16</v>
      </c>
      <c r="C12165" s="1">
        <f>HYPERLINK("https://cao.dolgi.msk.ru/account/1011479592/", 1011479592)</f>
        <v>1011479592</v>
      </c>
      <c r="D12165">
        <v>-2963.46</v>
      </c>
    </row>
    <row r="12166" spans="1:4" hidden="1" x14ac:dyDescent="0.3">
      <c r="A12166" t="s">
        <v>884</v>
      </c>
      <c r="B12166" t="s">
        <v>18</v>
      </c>
      <c r="C12166" s="1">
        <f>HYPERLINK("https://cao.dolgi.msk.ru/account/1011479576/", 1011479576)</f>
        <v>1011479576</v>
      </c>
      <c r="D12166">
        <v>0</v>
      </c>
    </row>
    <row r="12167" spans="1:4" hidden="1" x14ac:dyDescent="0.3">
      <c r="A12167" t="s">
        <v>884</v>
      </c>
      <c r="B12167" t="s">
        <v>19</v>
      </c>
      <c r="C12167" s="1">
        <f>HYPERLINK("https://cao.dolgi.msk.ru/account/1011479736/", 1011479736)</f>
        <v>1011479736</v>
      </c>
      <c r="D12167">
        <v>-95.36</v>
      </c>
    </row>
    <row r="12168" spans="1:4" hidden="1" x14ac:dyDescent="0.3">
      <c r="A12168" t="s">
        <v>884</v>
      </c>
      <c r="B12168" t="s">
        <v>20</v>
      </c>
      <c r="C12168" s="1">
        <f>HYPERLINK("https://cao.dolgi.msk.ru/account/1011479533/", 1011479533)</f>
        <v>1011479533</v>
      </c>
      <c r="D12168">
        <v>-10666.3</v>
      </c>
    </row>
    <row r="12169" spans="1:4" hidden="1" x14ac:dyDescent="0.3">
      <c r="A12169" t="s">
        <v>884</v>
      </c>
      <c r="B12169" t="s">
        <v>21</v>
      </c>
      <c r="C12169" s="1">
        <f>HYPERLINK("https://cao.dolgi.msk.ru/account/1011479568/", 1011479568)</f>
        <v>1011479568</v>
      </c>
      <c r="D12169">
        <v>-3093.61</v>
      </c>
    </row>
    <row r="12170" spans="1:4" hidden="1" x14ac:dyDescent="0.3">
      <c r="A12170" t="s">
        <v>884</v>
      </c>
      <c r="B12170" t="s">
        <v>22</v>
      </c>
      <c r="C12170" s="1">
        <f>HYPERLINK("https://cao.dolgi.msk.ru/account/1011507629/", 1011507629)</f>
        <v>1011507629</v>
      </c>
      <c r="D12170">
        <v>-17425.3</v>
      </c>
    </row>
    <row r="12171" spans="1:4" hidden="1" x14ac:dyDescent="0.3">
      <c r="A12171" t="s">
        <v>884</v>
      </c>
      <c r="B12171" t="s">
        <v>24</v>
      </c>
      <c r="C12171" s="1">
        <f>HYPERLINK("https://cao.dolgi.msk.ru/account/1011479744/", 1011479744)</f>
        <v>1011479744</v>
      </c>
      <c r="D12171">
        <v>0</v>
      </c>
    </row>
    <row r="12172" spans="1:4" hidden="1" x14ac:dyDescent="0.3">
      <c r="A12172" t="s">
        <v>884</v>
      </c>
      <c r="B12172" t="s">
        <v>25</v>
      </c>
      <c r="C12172" s="1">
        <f>HYPERLINK("https://cao.dolgi.msk.ru/account/1011479613/", 1011479613)</f>
        <v>1011479613</v>
      </c>
      <c r="D12172">
        <v>-4406.32</v>
      </c>
    </row>
    <row r="12173" spans="1:4" hidden="1" x14ac:dyDescent="0.3">
      <c r="A12173" t="s">
        <v>884</v>
      </c>
      <c r="B12173" t="s">
        <v>26</v>
      </c>
      <c r="C12173" s="1">
        <f>HYPERLINK("https://cao.dolgi.msk.ru/account/1011479728/", 1011479728)</f>
        <v>1011479728</v>
      </c>
      <c r="D12173">
        <v>0</v>
      </c>
    </row>
    <row r="12174" spans="1:4" hidden="1" x14ac:dyDescent="0.3">
      <c r="A12174" t="s">
        <v>884</v>
      </c>
      <c r="B12174" t="s">
        <v>27</v>
      </c>
      <c r="C12174" s="1">
        <f>HYPERLINK("https://cao.dolgi.msk.ru/account/1011479672/", 1011479672)</f>
        <v>1011479672</v>
      </c>
      <c r="D12174">
        <v>0</v>
      </c>
    </row>
    <row r="12175" spans="1:4" x14ac:dyDescent="0.3">
      <c r="A12175" t="s">
        <v>884</v>
      </c>
      <c r="B12175" t="s">
        <v>586</v>
      </c>
      <c r="C12175" s="1">
        <f>HYPERLINK("https://cao.dolgi.msk.ru/account/1011479621/", 1011479621)</f>
        <v>1011479621</v>
      </c>
      <c r="D12175">
        <v>951.05</v>
      </c>
    </row>
    <row r="12176" spans="1:4" x14ac:dyDescent="0.3">
      <c r="A12176" t="s">
        <v>884</v>
      </c>
      <c r="B12176" t="s">
        <v>29</v>
      </c>
      <c r="C12176" s="1">
        <f>HYPERLINK("https://cao.dolgi.msk.ru/account/1011479648/", 1011479648)</f>
        <v>1011479648</v>
      </c>
      <c r="D12176">
        <v>10764.64</v>
      </c>
    </row>
    <row r="12177" spans="1:4" hidden="1" x14ac:dyDescent="0.3">
      <c r="A12177" t="s">
        <v>884</v>
      </c>
      <c r="B12177" t="s">
        <v>38</v>
      </c>
      <c r="C12177" s="1">
        <f>HYPERLINK("https://cao.dolgi.msk.ru/account/1011479701/", 1011479701)</f>
        <v>1011479701</v>
      </c>
      <c r="D12177">
        <v>0</v>
      </c>
    </row>
    <row r="12178" spans="1:4" hidden="1" x14ac:dyDescent="0.3">
      <c r="A12178" t="s">
        <v>884</v>
      </c>
      <c r="B12178" t="s">
        <v>39</v>
      </c>
      <c r="C12178" s="1">
        <f>HYPERLINK("https://cao.dolgi.msk.ru/account/1011479525/", 1011479525)</f>
        <v>1011479525</v>
      </c>
      <c r="D12178">
        <v>0</v>
      </c>
    </row>
    <row r="12179" spans="1:4" x14ac:dyDescent="0.3">
      <c r="A12179" t="s">
        <v>884</v>
      </c>
      <c r="B12179" t="s">
        <v>40</v>
      </c>
      <c r="C12179" s="1">
        <f>HYPERLINK("https://cao.dolgi.msk.ru/account/1011479584/", 1011479584)</f>
        <v>1011479584</v>
      </c>
      <c r="D12179">
        <v>8217.08</v>
      </c>
    </row>
    <row r="12180" spans="1:4" hidden="1" x14ac:dyDescent="0.3">
      <c r="A12180" t="s">
        <v>884</v>
      </c>
      <c r="B12180" t="s">
        <v>40</v>
      </c>
      <c r="C12180" s="1">
        <f>HYPERLINK("https://cao.dolgi.msk.ru/account/1011479664/", 1011479664)</f>
        <v>1011479664</v>
      </c>
      <c r="D12180">
        <v>0</v>
      </c>
    </row>
    <row r="12181" spans="1:4" hidden="1" x14ac:dyDescent="0.3">
      <c r="A12181" t="s">
        <v>884</v>
      </c>
      <c r="B12181" t="s">
        <v>41</v>
      </c>
      <c r="C12181" s="1">
        <f>HYPERLINK("https://cao.dolgi.msk.ru/account/1011517894/", 1011517894)</f>
        <v>1011517894</v>
      </c>
      <c r="D12181">
        <v>-350.25</v>
      </c>
    </row>
    <row r="12182" spans="1:4" hidden="1" x14ac:dyDescent="0.3">
      <c r="A12182" t="s">
        <v>885</v>
      </c>
      <c r="B12182" t="s">
        <v>28</v>
      </c>
      <c r="C12182" s="1">
        <f>HYPERLINK("https://cao.dolgi.msk.ru/account/1011408997/", 1011408997)</f>
        <v>1011408997</v>
      </c>
      <c r="D12182">
        <v>0</v>
      </c>
    </row>
    <row r="12183" spans="1:4" hidden="1" x14ac:dyDescent="0.3">
      <c r="A12183" t="s">
        <v>885</v>
      </c>
      <c r="B12183" t="s">
        <v>35</v>
      </c>
      <c r="C12183" s="1">
        <f>HYPERLINK("https://cao.dolgi.msk.ru/account/1011409092/", 1011409092)</f>
        <v>1011409092</v>
      </c>
      <c r="D12183">
        <v>0</v>
      </c>
    </row>
    <row r="12184" spans="1:4" hidden="1" x14ac:dyDescent="0.3">
      <c r="A12184" t="s">
        <v>885</v>
      </c>
      <c r="B12184" t="s">
        <v>5</v>
      </c>
      <c r="C12184" s="1">
        <f>HYPERLINK("https://cao.dolgi.msk.ru/account/1011409797/", 1011409797)</f>
        <v>1011409797</v>
      </c>
      <c r="D12184">
        <v>-12013.54</v>
      </c>
    </row>
    <row r="12185" spans="1:4" hidden="1" x14ac:dyDescent="0.3">
      <c r="A12185" t="s">
        <v>885</v>
      </c>
      <c r="B12185" t="s">
        <v>7</v>
      </c>
      <c r="C12185" s="1">
        <f>HYPERLINK("https://cao.dolgi.msk.ru/account/1011409164/", 1011409164)</f>
        <v>1011409164</v>
      </c>
      <c r="D12185">
        <v>-705.52</v>
      </c>
    </row>
    <row r="12186" spans="1:4" hidden="1" x14ac:dyDescent="0.3">
      <c r="A12186" t="s">
        <v>885</v>
      </c>
      <c r="B12186" t="s">
        <v>8</v>
      </c>
      <c r="C12186" s="1">
        <f>HYPERLINK("https://cao.dolgi.msk.ru/account/1011409607/", 1011409607)</f>
        <v>1011409607</v>
      </c>
      <c r="D12186">
        <v>0</v>
      </c>
    </row>
    <row r="12187" spans="1:4" hidden="1" x14ac:dyDescent="0.3">
      <c r="A12187" t="s">
        <v>885</v>
      </c>
      <c r="B12187" t="s">
        <v>31</v>
      </c>
      <c r="C12187" s="1">
        <f>HYPERLINK("https://cao.dolgi.msk.ru/account/1011409746/", 1011409746)</f>
        <v>1011409746</v>
      </c>
      <c r="D12187">
        <v>0</v>
      </c>
    </row>
    <row r="12188" spans="1:4" hidden="1" x14ac:dyDescent="0.3">
      <c r="A12188" t="s">
        <v>885</v>
      </c>
      <c r="B12188" t="s">
        <v>9</v>
      </c>
      <c r="C12188" s="1">
        <f>HYPERLINK("https://cao.dolgi.msk.ru/account/1011410042/", 1011410042)</f>
        <v>1011410042</v>
      </c>
      <c r="D12188">
        <v>0</v>
      </c>
    </row>
    <row r="12189" spans="1:4" hidden="1" x14ac:dyDescent="0.3">
      <c r="A12189" t="s">
        <v>885</v>
      </c>
      <c r="B12189" t="s">
        <v>10</v>
      </c>
      <c r="C12189" s="1">
        <f>HYPERLINK("https://cao.dolgi.msk.ru/account/1011408786/", 1011408786)</f>
        <v>1011408786</v>
      </c>
      <c r="D12189">
        <v>0</v>
      </c>
    </row>
    <row r="12190" spans="1:4" x14ac:dyDescent="0.3">
      <c r="A12190" t="s">
        <v>885</v>
      </c>
      <c r="B12190" t="s">
        <v>11</v>
      </c>
      <c r="C12190" s="1">
        <f>HYPERLINK("https://cao.dolgi.msk.ru/account/1011409754/", 1011409754)</f>
        <v>1011409754</v>
      </c>
      <c r="D12190">
        <v>8848.07</v>
      </c>
    </row>
    <row r="12191" spans="1:4" hidden="1" x14ac:dyDescent="0.3">
      <c r="A12191" t="s">
        <v>885</v>
      </c>
      <c r="B12191" t="s">
        <v>12</v>
      </c>
      <c r="C12191" s="1">
        <f>HYPERLINK("https://cao.dolgi.msk.ru/account/1011409762/", 1011409762)</f>
        <v>1011409762</v>
      </c>
      <c r="D12191">
        <v>0</v>
      </c>
    </row>
    <row r="12192" spans="1:4" hidden="1" x14ac:dyDescent="0.3">
      <c r="A12192" t="s">
        <v>885</v>
      </c>
      <c r="B12192" t="s">
        <v>23</v>
      </c>
      <c r="C12192" s="1">
        <f>HYPERLINK("https://cao.dolgi.msk.ru/account/1011408778/", 1011408778)</f>
        <v>1011408778</v>
      </c>
      <c r="D12192">
        <v>0</v>
      </c>
    </row>
    <row r="12193" spans="1:4" hidden="1" x14ac:dyDescent="0.3">
      <c r="A12193" t="s">
        <v>885</v>
      </c>
      <c r="B12193" t="s">
        <v>13</v>
      </c>
      <c r="C12193" s="1">
        <f>HYPERLINK("https://cao.dolgi.msk.ru/account/1011409172/", 1011409172)</f>
        <v>1011409172</v>
      </c>
      <c r="D12193">
        <v>0</v>
      </c>
    </row>
    <row r="12194" spans="1:4" hidden="1" x14ac:dyDescent="0.3">
      <c r="A12194" t="s">
        <v>885</v>
      </c>
      <c r="B12194" t="s">
        <v>14</v>
      </c>
      <c r="C12194" s="1">
        <f>HYPERLINK("https://cao.dolgi.msk.ru/account/1011409674/", 1011409674)</f>
        <v>1011409674</v>
      </c>
      <c r="D12194">
        <v>-2955.56</v>
      </c>
    </row>
    <row r="12195" spans="1:4" hidden="1" x14ac:dyDescent="0.3">
      <c r="A12195" t="s">
        <v>885</v>
      </c>
      <c r="B12195" t="s">
        <v>14</v>
      </c>
      <c r="C12195" s="1">
        <f>HYPERLINK("https://cao.dolgi.msk.ru/account/1011410149/", 1011410149)</f>
        <v>1011410149</v>
      </c>
      <c r="D12195">
        <v>-2486.34</v>
      </c>
    </row>
    <row r="12196" spans="1:4" hidden="1" x14ac:dyDescent="0.3">
      <c r="A12196" t="s">
        <v>885</v>
      </c>
      <c r="B12196" t="s">
        <v>16</v>
      </c>
      <c r="C12196" s="1">
        <f>HYPERLINK("https://cao.dolgi.msk.ru/account/1011409404/", 1011409404)</f>
        <v>1011409404</v>
      </c>
      <c r="D12196">
        <v>0</v>
      </c>
    </row>
    <row r="12197" spans="1:4" hidden="1" x14ac:dyDescent="0.3">
      <c r="A12197" t="s">
        <v>885</v>
      </c>
      <c r="B12197" t="s">
        <v>17</v>
      </c>
      <c r="C12197" s="1">
        <f>HYPERLINK("https://cao.dolgi.msk.ru/account/1011409594/", 1011409594)</f>
        <v>1011409594</v>
      </c>
      <c r="D12197">
        <v>0</v>
      </c>
    </row>
    <row r="12198" spans="1:4" x14ac:dyDescent="0.3">
      <c r="A12198" t="s">
        <v>885</v>
      </c>
      <c r="B12198" t="s">
        <v>18</v>
      </c>
      <c r="C12198" s="1">
        <f>HYPERLINK("https://cao.dolgi.msk.ru/account/1011409332/", 1011409332)</f>
        <v>1011409332</v>
      </c>
      <c r="D12198">
        <v>21558.86</v>
      </c>
    </row>
    <row r="12199" spans="1:4" hidden="1" x14ac:dyDescent="0.3">
      <c r="A12199" t="s">
        <v>885</v>
      </c>
      <c r="B12199" t="s">
        <v>19</v>
      </c>
      <c r="C12199" s="1">
        <f>HYPERLINK("https://cao.dolgi.msk.ru/account/1011410173/", 1011410173)</f>
        <v>1011410173</v>
      </c>
      <c r="D12199">
        <v>0</v>
      </c>
    </row>
    <row r="12200" spans="1:4" hidden="1" x14ac:dyDescent="0.3">
      <c r="A12200" t="s">
        <v>885</v>
      </c>
      <c r="B12200" t="s">
        <v>20</v>
      </c>
      <c r="C12200" s="1">
        <f>HYPERLINK("https://cao.dolgi.msk.ru/account/1011409586/", 1011409586)</f>
        <v>1011409586</v>
      </c>
      <c r="D12200">
        <v>0</v>
      </c>
    </row>
    <row r="12201" spans="1:4" hidden="1" x14ac:dyDescent="0.3">
      <c r="A12201" t="s">
        <v>885</v>
      </c>
      <c r="B12201" t="s">
        <v>21</v>
      </c>
      <c r="C12201" s="1">
        <f>HYPERLINK("https://cao.dolgi.msk.ru/account/1011409199/", 1011409199)</f>
        <v>1011409199</v>
      </c>
      <c r="D12201">
        <v>0</v>
      </c>
    </row>
    <row r="12202" spans="1:4" hidden="1" x14ac:dyDescent="0.3">
      <c r="A12202" t="s">
        <v>885</v>
      </c>
      <c r="B12202" t="s">
        <v>22</v>
      </c>
      <c r="C12202" s="1">
        <f>HYPERLINK("https://cao.dolgi.msk.ru/account/1011410085/", 1011410085)</f>
        <v>1011410085</v>
      </c>
      <c r="D12202">
        <v>-5118.7</v>
      </c>
    </row>
    <row r="12203" spans="1:4" x14ac:dyDescent="0.3">
      <c r="A12203" t="s">
        <v>885</v>
      </c>
      <c r="B12203" t="s">
        <v>24</v>
      </c>
      <c r="C12203" s="1">
        <f>HYPERLINK("https://cao.dolgi.msk.ru/account/1011409834/", 1011409834)</f>
        <v>1011409834</v>
      </c>
      <c r="D12203">
        <v>8551.82</v>
      </c>
    </row>
    <row r="12204" spans="1:4" hidden="1" x14ac:dyDescent="0.3">
      <c r="A12204" t="s">
        <v>885</v>
      </c>
      <c r="B12204" t="s">
        <v>25</v>
      </c>
      <c r="C12204" s="1">
        <f>HYPERLINK("https://cao.dolgi.msk.ru/account/1011408866/", 1011408866)</f>
        <v>1011408866</v>
      </c>
      <c r="D12204">
        <v>0</v>
      </c>
    </row>
    <row r="12205" spans="1:4" hidden="1" x14ac:dyDescent="0.3">
      <c r="A12205" t="s">
        <v>885</v>
      </c>
      <c r="B12205" t="s">
        <v>26</v>
      </c>
      <c r="C12205" s="1">
        <f>HYPERLINK("https://cao.dolgi.msk.ru/account/1011410077/", 1011410077)</f>
        <v>1011410077</v>
      </c>
      <c r="D12205">
        <v>-6545.05</v>
      </c>
    </row>
    <row r="12206" spans="1:4" hidden="1" x14ac:dyDescent="0.3">
      <c r="A12206" t="s">
        <v>885</v>
      </c>
      <c r="B12206" t="s">
        <v>27</v>
      </c>
      <c r="C12206" s="1">
        <f>HYPERLINK("https://cao.dolgi.msk.ru/account/1011409252/", 1011409252)</f>
        <v>1011409252</v>
      </c>
      <c r="D12206">
        <v>0</v>
      </c>
    </row>
    <row r="12207" spans="1:4" hidden="1" x14ac:dyDescent="0.3">
      <c r="A12207" t="s">
        <v>885</v>
      </c>
      <c r="B12207" t="s">
        <v>29</v>
      </c>
      <c r="C12207" s="1">
        <f>HYPERLINK("https://cao.dolgi.msk.ru/account/1011409279/", 1011409279)</f>
        <v>1011409279</v>
      </c>
      <c r="D12207">
        <v>0</v>
      </c>
    </row>
    <row r="12208" spans="1:4" hidden="1" x14ac:dyDescent="0.3">
      <c r="A12208" t="s">
        <v>885</v>
      </c>
      <c r="B12208" t="s">
        <v>38</v>
      </c>
      <c r="C12208" s="1">
        <f>HYPERLINK("https://cao.dolgi.msk.ru/account/1011408874/", 1011408874)</f>
        <v>1011408874</v>
      </c>
      <c r="D12208">
        <v>0</v>
      </c>
    </row>
    <row r="12209" spans="1:4" x14ac:dyDescent="0.3">
      <c r="A12209" t="s">
        <v>885</v>
      </c>
      <c r="B12209" t="s">
        <v>39</v>
      </c>
      <c r="C12209" s="1">
        <f>HYPERLINK("https://cao.dolgi.msk.ru/account/1011408823/", 1011408823)</f>
        <v>1011408823</v>
      </c>
      <c r="D12209">
        <v>15191.03</v>
      </c>
    </row>
    <row r="12210" spans="1:4" hidden="1" x14ac:dyDescent="0.3">
      <c r="A12210" t="s">
        <v>885</v>
      </c>
      <c r="B12210" t="s">
        <v>40</v>
      </c>
      <c r="C12210" s="1">
        <f>HYPERLINK("https://cao.dolgi.msk.ru/account/1011409295/", 1011409295)</f>
        <v>1011409295</v>
      </c>
      <c r="D12210">
        <v>0</v>
      </c>
    </row>
    <row r="12211" spans="1:4" hidden="1" x14ac:dyDescent="0.3">
      <c r="A12211" t="s">
        <v>885</v>
      </c>
      <c r="B12211" t="s">
        <v>41</v>
      </c>
      <c r="C12211" s="1">
        <f>HYPERLINK("https://cao.dolgi.msk.ru/account/1011409885/", 1011409885)</f>
        <v>1011409885</v>
      </c>
      <c r="D12211">
        <v>0</v>
      </c>
    </row>
    <row r="12212" spans="1:4" x14ac:dyDescent="0.3">
      <c r="A12212" t="s">
        <v>885</v>
      </c>
      <c r="B12212" t="s">
        <v>51</v>
      </c>
      <c r="C12212" s="1">
        <f>HYPERLINK("https://cao.dolgi.msk.ru/account/1011409842/", 1011409842)</f>
        <v>1011409842</v>
      </c>
      <c r="D12212">
        <v>5319.46</v>
      </c>
    </row>
    <row r="12213" spans="1:4" hidden="1" x14ac:dyDescent="0.3">
      <c r="A12213" t="s">
        <v>885</v>
      </c>
      <c r="B12213" t="s">
        <v>52</v>
      </c>
      <c r="C12213" s="1">
        <f>HYPERLINK("https://cao.dolgi.msk.ru/account/1011409957/", 1011409957)</f>
        <v>1011409957</v>
      </c>
      <c r="D12213">
        <v>-16991.849999999999</v>
      </c>
    </row>
    <row r="12214" spans="1:4" hidden="1" x14ac:dyDescent="0.3">
      <c r="A12214" t="s">
        <v>885</v>
      </c>
      <c r="B12214" t="s">
        <v>53</v>
      </c>
      <c r="C12214" s="1">
        <f>HYPERLINK("https://cao.dolgi.msk.ru/account/1011409471/", 1011409471)</f>
        <v>1011409471</v>
      </c>
      <c r="D12214">
        <v>-7726.81</v>
      </c>
    </row>
    <row r="12215" spans="1:4" hidden="1" x14ac:dyDescent="0.3">
      <c r="A12215" t="s">
        <v>885</v>
      </c>
      <c r="B12215" t="s">
        <v>54</v>
      </c>
      <c r="C12215" s="1">
        <f>HYPERLINK("https://cao.dolgi.msk.ru/account/1011410106/", 1011410106)</f>
        <v>1011410106</v>
      </c>
      <c r="D12215">
        <v>0</v>
      </c>
    </row>
    <row r="12216" spans="1:4" x14ac:dyDescent="0.3">
      <c r="A12216" t="s">
        <v>885</v>
      </c>
      <c r="B12216" t="s">
        <v>55</v>
      </c>
      <c r="C12216" s="1">
        <f>HYPERLINK("https://cao.dolgi.msk.ru/account/1011409949/", 1011409949)</f>
        <v>1011409949</v>
      </c>
      <c r="D12216">
        <v>6047.43</v>
      </c>
    </row>
    <row r="12217" spans="1:4" hidden="1" x14ac:dyDescent="0.3">
      <c r="A12217" t="s">
        <v>885</v>
      </c>
      <c r="B12217" t="s">
        <v>56</v>
      </c>
      <c r="C12217" s="1">
        <f>HYPERLINK("https://cao.dolgi.msk.ru/account/1011409893/", 1011409893)</f>
        <v>1011409893</v>
      </c>
      <c r="D12217">
        <v>-5885.38</v>
      </c>
    </row>
    <row r="12218" spans="1:4" hidden="1" x14ac:dyDescent="0.3">
      <c r="A12218" t="s">
        <v>885</v>
      </c>
      <c r="B12218" t="s">
        <v>87</v>
      </c>
      <c r="C12218" s="1">
        <f>HYPERLINK("https://cao.dolgi.msk.ru/account/1011409009/", 1011409009)</f>
        <v>1011409009</v>
      </c>
      <c r="D12218">
        <v>0</v>
      </c>
    </row>
    <row r="12219" spans="1:4" hidden="1" x14ac:dyDescent="0.3">
      <c r="A12219" t="s">
        <v>885</v>
      </c>
      <c r="B12219" t="s">
        <v>88</v>
      </c>
      <c r="C12219" s="1">
        <f>HYPERLINK("https://cao.dolgi.msk.ru/account/1011409578/", 1011409578)</f>
        <v>1011409578</v>
      </c>
      <c r="D12219">
        <v>0</v>
      </c>
    </row>
    <row r="12220" spans="1:4" hidden="1" x14ac:dyDescent="0.3">
      <c r="A12220" t="s">
        <v>885</v>
      </c>
      <c r="B12220" t="s">
        <v>89</v>
      </c>
      <c r="C12220" s="1">
        <f>HYPERLINK("https://cao.dolgi.msk.ru/account/1011408903/", 1011408903)</f>
        <v>1011408903</v>
      </c>
      <c r="D12220">
        <v>0</v>
      </c>
    </row>
    <row r="12221" spans="1:4" hidden="1" x14ac:dyDescent="0.3">
      <c r="A12221" t="s">
        <v>885</v>
      </c>
      <c r="B12221" t="s">
        <v>90</v>
      </c>
      <c r="C12221" s="1">
        <f>HYPERLINK("https://cao.dolgi.msk.ru/account/1011409543/", 1011409543)</f>
        <v>1011409543</v>
      </c>
      <c r="D12221">
        <v>-6565.76</v>
      </c>
    </row>
    <row r="12222" spans="1:4" x14ac:dyDescent="0.3">
      <c r="A12222" t="s">
        <v>885</v>
      </c>
      <c r="B12222" t="s">
        <v>96</v>
      </c>
      <c r="C12222" s="1">
        <f>HYPERLINK("https://cao.dolgi.msk.ru/account/1011409076/", 1011409076)</f>
        <v>1011409076</v>
      </c>
      <c r="D12222">
        <v>9994.24</v>
      </c>
    </row>
    <row r="12223" spans="1:4" x14ac:dyDescent="0.3">
      <c r="A12223" t="s">
        <v>885</v>
      </c>
      <c r="B12223" t="s">
        <v>97</v>
      </c>
      <c r="C12223" s="1">
        <f>HYPERLINK("https://cao.dolgi.msk.ru/account/1011408882/", 1011408882)</f>
        <v>1011408882</v>
      </c>
      <c r="D12223">
        <v>5712.74</v>
      </c>
    </row>
    <row r="12224" spans="1:4" hidden="1" x14ac:dyDescent="0.3">
      <c r="A12224" t="s">
        <v>885</v>
      </c>
      <c r="B12224" t="s">
        <v>98</v>
      </c>
      <c r="C12224" s="1">
        <f>HYPERLINK("https://cao.dolgi.msk.ru/account/1011408794/", 1011408794)</f>
        <v>1011408794</v>
      </c>
      <c r="D12224">
        <v>0</v>
      </c>
    </row>
    <row r="12225" spans="1:4" hidden="1" x14ac:dyDescent="0.3">
      <c r="A12225" t="s">
        <v>885</v>
      </c>
      <c r="B12225" t="s">
        <v>58</v>
      </c>
      <c r="C12225" s="1">
        <f>HYPERLINK("https://cao.dolgi.msk.ru/account/1011409906/", 1011409906)</f>
        <v>1011409906</v>
      </c>
      <c r="D12225">
        <v>0</v>
      </c>
    </row>
    <row r="12226" spans="1:4" hidden="1" x14ac:dyDescent="0.3">
      <c r="A12226" t="s">
        <v>885</v>
      </c>
      <c r="B12226" t="s">
        <v>59</v>
      </c>
      <c r="C12226" s="1">
        <f>HYPERLINK("https://cao.dolgi.msk.ru/account/1011409121/", 1011409121)</f>
        <v>1011409121</v>
      </c>
      <c r="D12226">
        <v>0</v>
      </c>
    </row>
    <row r="12227" spans="1:4" x14ac:dyDescent="0.3">
      <c r="A12227" t="s">
        <v>885</v>
      </c>
      <c r="B12227" t="s">
        <v>60</v>
      </c>
      <c r="C12227" s="1">
        <f>HYPERLINK("https://cao.dolgi.msk.ru/account/1011409375/", 1011409375)</f>
        <v>1011409375</v>
      </c>
      <c r="D12227">
        <v>12787.44</v>
      </c>
    </row>
    <row r="12228" spans="1:4" x14ac:dyDescent="0.3">
      <c r="A12228" t="s">
        <v>885</v>
      </c>
      <c r="B12228" t="s">
        <v>60</v>
      </c>
      <c r="C12228" s="1">
        <f>HYPERLINK("https://cao.dolgi.msk.ru/account/1011409818/", 1011409818)</f>
        <v>1011409818</v>
      </c>
      <c r="D12228">
        <v>3071.65</v>
      </c>
    </row>
    <row r="12229" spans="1:4" x14ac:dyDescent="0.3">
      <c r="A12229" t="s">
        <v>885</v>
      </c>
      <c r="B12229" t="s">
        <v>61</v>
      </c>
      <c r="C12229" s="1">
        <f>HYPERLINK("https://cao.dolgi.msk.ru/account/1011409391/", 1011409391)</f>
        <v>1011409391</v>
      </c>
      <c r="D12229">
        <v>39118.370000000003</v>
      </c>
    </row>
    <row r="12230" spans="1:4" hidden="1" x14ac:dyDescent="0.3">
      <c r="A12230" t="s">
        <v>885</v>
      </c>
      <c r="B12230" t="s">
        <v>62</v>
      </c>
      <c r="C12230" s="1">
        <f>HYPERLINK("https://cao.dolgi.msk.ru/account/1011409981/", 1011409981)</f>
        <v>1011409981</v>
      </c>
      <c r="D12230">
        <v>0</v>
      </c>
    </row>
    <row r="12231" spans="1:4" hidden="1" x14ac:dyDescent="0.3">
      <c r="A12231" t="s">
        <v>885</v>
      </c>
      <c r="B12231" t="s">
        <v>63</v>
      </c>
      <c r="C12231" s="1">
        <f>HYPERLINK("https://cao.dolgi.msk.ru/account/1011408815/", 1011408815)</f>
        <v>1011408815</v>
      </c>
      <c r="D12231">
        <v>-7979.34</v>
      </c>
    </row>
    <row r="12232" spans="1:4" hidden="1" x14ac:dyDescent="0.3">
      <c r="A12232" t="s">
        <v>885</v>
      </c>
      <c r="B12232" t="s">
        <v>64</v>
      </c>
      <c r="C12232" s="1">
        <f>HYPERLINK("https://cao.dolgi.msk.ru/account/1011409498/", 1011409498)</f>
        <v>1011409498</v>
      </c>
      <c r="D12232">
        <v>0</v>
      </c>
    </row>
    <row r="12233" spans="1:4" hidden="1" x14ac:dyDescent="0.3">
      <c r="A12233" t="s">
        <v>885</v>
      </c>
      <c r="B12233" t="s">
        <v>65</v>
      </c>
      <c r="C12233" s="1">
        <f>HYPERLINK("https://cao.dolgi.msk.ru/account/1011409519/", 1011409519)</f>
        <v>1011409519</v>
      </c>
      <c r="D12233">
        <v>0</v>
      </c>
    </row>
    <row r="12234" spans="1:4" hidden="1" x14ac:dyDescent="0.3">
      <c r="A12234" t="s">
        <v>885</v>
      </c>
      <c r="B12234" t="s">
        <v>66</v>
      </c>
      <c r="C12234" s="1">
        <f>HYPERLINK("https://cao.dolgi.msk.ru/account/1011410069/", 1011410069)</f>
        <v>1011410069</v>
      </c>
      <c r="D12234">
        <v>0</v>
      </c>
    </row>
    <row r="12235" spans="1:4" x14ac:dyDescent="0.3">
      <c r="A12235" t="s">
        <v>885</v>
      </c>
      <c r="B12235" t="s">
        <v>67</v>
      </c>
      <c r="C12235" s="1">
        <f>HYPERLINK("https://cao.dolgi.msk.ru/account/1011408954/", 1011408954)</f>
        <v>1011408954</v>
      </c>
      <c r="D12235">
        <v>7927.64</v>
      </c>
    </row>
    <row r="12236" spans="1:4" hidden="1" x14ac:dyDescent="0.3">
      <c r="A12236" t="s">
        <v>885</v>
      </c>
      <c r="B12236" t="s">
        <v>67</v>
      </c>
      <c r="C12236" s="1">
        <f>HYPERLINK("https://cao.dolgi.msk.ru/account/1011506028/", 1011506028)</f>
        <v>1011506028</v>
      </c>
      <c r="D12236">
        <v>0</v>
      </c>
    </row>
    <row r="12237" spans="1:4" hidden="1" x14ac:dyDescent="0.3">
      <c r="A12237" t="s">
        <v>885</v>
      </c>
      <c r="B12237" t="s">
        <v>68</v>
      </c>
      <c r="C12237" s="1">
        <f>HYPERLINK("https://cao.dolgi.msk.ru/account/1011409287/", 1011409287)</f>
        <v>1011409287</v>
      </c>
      <c r="D12237">
        <v>0</v>
      </c>
    </row>
    <row r="12238" spans="1:4" hidden="1" x14ac:dyDescent="0.3">
      <c r="A12238" t="s">
        <v>885</v>
      </c>
      <c r="B12238" t="s">
        <v>69</v>
      </c>
      <c r="C12238" s="1">
        <f>HYPERLINK("https://cao.dolgi.msk.ru/account/1011409359/", 1011409359)</f>
        <v>1011409359</v>
      </c>
      <c r="D12238">
        <v>0</v>
      </c>
    </row>
    <row r="12239" spans="1:4" hidden="1" x14ac:dyDescent="0.3">
      <c r="A12239" t="s">
        <v>885</v>
      </c>
      <c r="B12239" t="s">
        <v>70</v>
      </c>
      <c r="C12239" s="1">
        <f>HYPERLINK("https://cao.dolgi.msk.ru/account/1011409017/", 1011409017)</f>
        <v>1011409017</v>
      </c>
      <c r="D12239">
        <v>0</v>
      </c>
    </row>
    <row r="12240" spans="1:4" hidden="1" x14ac:dyDescent="0.3">
      <c r="A12240" t="s">
        <v>885</v>
      </c>
      <c r="B12240" t="s">
        <v>259</v>
      </c>
      <c r="C12240" s="1">
        <f>HYPERLINK("https://cao.dolgi.msk.ru/account/1011409084/", 1011409084)</f>
        <v>1011409084</v>
      </c>
      <c r="D12240">
        <v>0</v>
      </c>
    </row>
    <row r="12241" spans="1:4" hidden="1" x14ac:dyDescent="0.3">
      <c r="A12241" t="s">
        <v>885</v>
      </c>
      <c r="B12241" t="s">
        <v>100</v>
      </c>
      <c r="C12241" s="1">
        <f>HYPERLINK("https://cao.dolgi.msk.ru/account/1011409148/", 1011409148)</f>
        <v>1011409148</v>
      </c>
      <c r="D12241">
        <v>0</v>
      </c>
    </row>
    <row r="12242" spans="1:4" hidden="1" x14ac:dyDescent="0.3">
      <c r="A12242" t="s">
        <v>885</v>
      </c>
      <c r="B12242" t="s">
        <v>72</v>
      </c>
      <c r="C12242" s="1">
        <f>HYPERLINK("https://cao.dolgi.msk.ru/account/1011409244/", 1011409244)</f>
        <v>1011409244</v>
      </c>
      <c r="D12242">
        <v>0</v>
      </c>
    </row>
    <row r="12243" spans="1:4" hidden="1" x14ac:dyDescent="0.3">
      <c r="A12243" t="s">
        <v>885</v>
      </c>
      <c r="B12243" t="s">
        <v>73</v>
      </c>
      <c r="C12243" s="1">
        <f>HYPERLINK("https://cao.dolgi.msk.ru/account/1011410181/", 1011410181)</f>
        <v>1011410181</v>
      </c>
      <c r="D12243">
        <v>0</v>
      </c>
    </row>
    <row r="12244" spans="1:4" hidden="1" x14ac:dyDescent="0.3">
      <c r="A12244" t="s">
        <v>885</v>
      </c>
      <c r="B12244" t="s">
        <v>74</v>
      </c>
      <c r="C12244" s="1">
        <f>HYPERLINK("https://cao.dolgi.msk.ru/account/1011409412/", 1011409412)</f>
        <v>1011409412</v>
      </c>
      <c r="D12244">
        <v>-1670</v>
      </c>
    </row>
    <row r="12245" spans="1:4" hidden="1" x14ac:dyDescent="0.3">
      <c r="A12245" t="s">
        <v>885</v>
      </c>
      <c r="B12245" t="s">
        <v>75</v>
      </c>
      <c r="C12245" s="1">
        <f>HYPERLINK("https://cao.dolgi.msk.ru/account/1011409682/", 1011409682)</f>
        <v>1011409682</v>
      </c>
      <c r="D12245">
        <v>-3907.08</v>
      </c>
    </row>
    <row r="12246" spans="1:4" hidden="1" x14ac:dyDescent="0.3">
      <c r="A12246" t="s">
        <v>885</v>
      </c>
      <c r="B12246" t="s">
        <v>77</v>
      </c>
      <c r="C12246" s="1">
        <f>HYPERLINK("https://cao.dolgi.msk.ru/account/1011409025/", 1011409025)</f>
        <v>1011409025</v>
      </c>
      <c r="D12246">
        <v>0</v>
      </c>
    </row>
    <row r="12247" spans="1:4" x14ac:dyDescent="0.3">
      <c r="A12247" t="s">
        <v>885</v>
      </c>
      <c r="B12247" t="s">
        <v>78</v>
      </c>
      <c r="C12247" s="1">
        <f>HYPERLINK("https://cao.dolgi.msk.ru/account/1011409033/", 1011409033)</f>
        <v>1011409033</v>
      </c>
      <c r="D12247">
        <v>11076.36</v>
      </c>
    </row>
    <row r="12248" spans="1:4" hidden="1" x14ac:dyDescent="0.3">
      <c r="A12248" t="s">
        <v>885</v>
      </c>
      <c r="B12248" t="s">
        <v>79</v>
      </c>
      <c r="C12248" s="1">
        <f>HYPERLINK("https://cao.dolgi.msk.ru/account/1011409527/", 1011409527)</f>
        <v>1011409527</v>
      </c>
      <c r="D12248">
        <v>0</v>
      </c>
    </row>
    <row r="12249" spans="1:4" hidden="1" x14ac:dyDescent="0.3">
      <c r="A12249" t="s">
        <v>885</v>
      </c>
      <c r="B12249" t="s">
        <v>80</v>
      </c>
      <c r="C12249" s="1">
        <f>HYPERLINK("https://cao.dolgi.msk.ru/account/1011409658/", 1011409658)</f>
        <v>1011409658</v>
      </c>
      <c r="D12249">
        <v>-594.05999999999995</v>
      </c>
    </row>
    <row r="12250" spans="1:4" hidden="1" x14ac:dyDescent="0.3">
      <c r="A12250" t="s">
        <v>885</v>
      </c>
      <c r="B12250" t="s">
        <v>81</v>
      </c>
      <c r="C12250" s="1">
        <f>HYPERLINK("https://cao.dolgi.msk.ru/account/1011409041/", 1011409041)</f>
        <v>1011409041</v>
      </c>
      <c r="D12250">
        <v>0</v>
      </c>
    </row>
    <row r="12251" spans="1:4" hidden="1" x14ac:dyDescent="0.3">
      <c r="A12251" t="s">
        <v>885</v>
      </c>
      <c r="B12251" t="s">
        <v>101</v>
      </c>
      <c r="C12251" s="1">
        <f>HYPERLINK("https://cao.dolgi.msk.ru/account/1011409615/", 1011409615)</f>
        <v>1011409615</v>
      </c>
      <c r="D12251">
        <v>0</v>
      </c>
    </row>
    <row r="12252" spans="1:4" x14ac:dyDescent="0.3">
      <c r="A12252" t="s">
        <v>885</v>
      </c>
      <c r="B12252" t="s">
        <v>82</v>
      </c>
      <c r="C12252" s="1">
        <f>HYPERLINK("https://cao.dolgi.msk.ru/account/1011409324/", 1011409324)</f>
        <v>1011409324</v>
      </c>
      <c r="D12252">
        <v>23215.8</v>
      </c>
    </row>
    <row r="12253" spans="1:4" hidden="1" x14ac:dyDescent="0.3">
      <c r="A12253" t="s">
        <v>885</v>
      </c>
      <c r="B12253" t="s">
        <v>83</v>
      </c>
      <c r="C12253" s="1">
        <f>HYPERLINK("https://cao.dolgi.msk.ru/account/1011409551/", 1011409551)</f>
        <v>1011409551</v>
      </c>
      <c r="D12253">
        <v>0</v>
      </c>
    </row>
    <row r="12254" spans="1:4" hidden="1" x14ac:dyDescent="0.3">
      <c r="A12254" t="s">
        <v>885</v>
      </c>
      <c r="B12254" t="s">
        <v>84</v>
      </c>
      <c r="C12254" s="1">
        <f>HYPERLINK("https://cao.dolgi.msk.ru/account/1011409156/", 1011409156)</f>
        <v>1011409156</v>
      </c>
      <c r="D12254">
        <v>0</v>
      </c>
    </row>
    <row r="12255" spans="1:4" x14ac:dyDescent="0.3">
      <c r="A12255" t="s">
        <v>885</v>
      </c>
      <c r="B12255" t="s">
        <v>85</v>
      </c>
      <c r="C12255" s="1">
        <f>HYPERLINK("https://cao.dolgi.msk.ru/account/1011410157/", 1011410157)</f>
        <v>1011410157</v>
      </c>
      <c r="D12255">
        <v>4934.71</v>
      </c>
    </row>
    <row r="12256" spans="1:4" hidden="1" x14ac:dyDescent="0.3">
      <c r="A12256" t="s">
        <v>885</v>
      </c>
      <c r="B12256" t="s">
        <v>102</v>
      </c>
      <c r="C12256" s="1">
        <f>HYPERLINK("https://cao.dolgi.msk.ru/account/1011409914/", 1011409914)</f>
        <v>1011409914</v>
      </c>
      <c r="D12256">
        <v>-4597.38</v>
      </c>
    </row>
    <row r="12257" spans="1:4" hidden="1" x14ac:dyDescent="0.3">
      <c r="A12257" t="s">
        <v>885</v>
      </c>
      <c r="B12257" t="s">
        <v>103</v>
      </c>
      <c r="C12257" s="1">
        <f>HYPERLINK("https://cao.dolgi.msk.ru/account/1011409922/", 1011409922)</f>
        <v>1011409922</v>
      </c>
      <c r="D12257">
        <v>-1719.43</v>
      </c>
    </row>
    <row r="12258" spans="1:4" x14ac:dyDescent="0.3">
      <c r="A12258" t="s">
        <v>885</v>
      </c>
      <c r="B12258" t="s">
        <v>104</v>
      </c>
      <c r="C12258" s="1">
        <f>HYPERLINK("https://cao.dolgi.msk.ru/account/1011409623/", 1011409623)</f>
        <v>1011409623</v>
      </c>
      <c r="D12258">
        <v>26862.51</v>
      </c>
    </row>
    <row r="12259" spans="1:4" hidden="1" x14ac:dyDescent="0.3">
      <c r="A12259" t="s">
        <v>885</v>
      </c>
      <c r="B12259" t="s">
        <v>105</v>
      </c>
      <c r="C12259" s="1">
        <f>HYPERLINK("https://cao.dolgi.msk.ru/account/1011409711/", 1011409711)</f>
        <v>1011409711</v>
      </c>
      <c r="D12259">
        <v>0</v>
      </c>
    </row>
    <row r="12260" spans="1:4" hidden="1" x14ac:dyDescent="0.3">
      <c r="A12260" t="s">
        <v>885</v>
      </c>
      <c r="B12260" t="s">
        <v>106</v>
      </c>
      <c r="C12260" s="1">
        <f>HYPERLINK("https://cao.dolgi.msk.ru/account/1011409201/", 1011409201)</f>
        <v>1011409201</v>
      </c>
      <c r="D12260">
        <v>-273.54000000000002</v>
      </c>
    </row>
    <row r="12261" spans="1:4" hidden="1" x14ac:dyDescent="0.3">
      <c r="A12261" t="s">
        <v>885</v>
      </c>
      <c r="B12261" t="s">
        <v>107</v>
      </c>
      <c r="C12261" s="1">
        <f>HYPERLINK("https://cao.dolgi.msk.ru/account/1011409068/", 1011409068)</f>
        <v>1011409068</v>
      </c>
      <c r="D12261">
        <v>0</v>
      </c>
    </row>
    <row r="12262" spans="1:4" hidden="1" x14ac:dyDescent="0.3">
      <c r="A12262" t="s">
        <v>885</v>
      </c>
      <c r="B12262" t="s">
        <v>108</v>
      </c>
      <c r="C12262" s="1">
        <f>HYPERLINK("https://cao.dolgi.msk.ru/account/1011409105/", 1011409105)</f>
        <v>1011409105</v>
      </c>
      <c r="D12262">
        <v>-3725.12</v>
      </c>
    </row>
    <row r="12263" spans="1:4" x14ac:dyDescent="0.3">
      <c r="A12263" t="s">
        <v>885</v>
      </c>
      <c r="B12263" t="s">
        <v>110</v>
      </c>
      <c r="C12263" s="1">
        <f>HYPERLINK("https://cao.dolgi.msk.ru/account/1011410034/", 1011410034)</f>
        <v>1011410034</v>
      </c>
      <c r="D12263">
        <v>8077.7</v>
      </c>
    </row>
    <row r="12264" spans="1:4" hidden="1" x14ac:dyDescent="0.3">
      <c r="A12264" t="s">
        <v>885</v>
      </c>
      <c r="B12264" t="s">
        <v>111</v>
      </c>
      <c r="C12264" s="1">
        <f>HYPERLINK("https://cao.dolgi.msk.ru/account/1011409738/", 1011409738)</f>
        <v>1011409738</v>
      </c>
      <c r="D12264">
        <v>0</v>
      </c>
    </row>
    <row r="12265" spans="1:4" hidden="1" x14ac:dyDescent="0.3">
      <c r="A12265" t="s">
        <v>885</v>
      </c>
      <c r="B12265" t="s">
        <v>112</v>
      </c>
      <c r="C12265" s="1">
        <f>HYPERLINK("https://cao.dolgi.msk.ru/account/1011408911/", 1011408911)</f>
        <v>1011408911</v>
      </c>
      <c r="D12265">
        <v>0</v>
      </c>
    </row>
    <row r="12266" spans="1:4" hidden="1" x14ac:dyDescent="0.3">
      <c r="A12266" t="s">
        <v>885</v>
      </c>
      <c r="B12266" t="s">
        <v>113</v>
      </c>
      <c r="C12266" s="1">
        <f>HYPERLINK("https://cao.dolgi.msk.ru/account/1011409455/", 1011409455)</f>
        <v>1011409455</v>
      </c>
      <c r="D12266">
        <v>0</v>
      </c>
    </row>
    <row r="12267" spans="1:4" hidden="1" x14ac:dyDescent="0.3">
      <c r="A12267" t="s">
        <v>885</v>
      </c>
      <c r="B12267" t="s">
        <v>114</v>
      </c>
      <c r="C12267" s="1">
        <f>HYPERLINK("https://cao.dolgi.msk.ru/account/1011408946/", 1011408946)</f>
        <v>1011408946</v>
      </c>
      <c r="D12267">
        <v>0</v>
      </c>
    </row>
    <row r="12268" spans="1:4" hidden="1" x14ac:dyDescent="0.3">
      <c r="A12268" t="s">
        <v>885</v>
      </c>
      <c r="B12268" t="s">
        <v>115</v>
      </c>
      <c r="C12268" s="1">
        <f>HYPERLINK("https://cao.dolgi.msk.ru/account/1011409965/", 1011409965)</f>
        <v>1011409965</v>
      </c>
      <c r="D12268">
        <v>-17.91</v>
      </c>
    </row>
    <row r="12269" spans="1:4" hidden="1" x14ac:dyDescent="0.3">
      <c r="A12269" t="s">
        <v>885</v>
      </c>
      <c r="B12269" t="s">
        <v>116</v>
      </c>
      <c r="C12269" s="1">
        <f>HYPERLINK("https://cao.dolgi.msk.ru/account/1011408962/", 1011408962)</f>
        <v>1011408962</v>
      </c>
      <c r="D12269">
        <v>0</v>
      </c>
    </row>
    <row r="12270" spans="1:4" hidden="1" x14ac:dyDescent="0.3">
      <c r="A12270" t="s">
        <v>885</v>
      </c>
      <c r="B12270" t="s">
        <v>266</v>
      </c>
      <c r="C12270" s="1">
        <f>HYPERLINK("https://cao.dolgi.msk.ru/account/1011409703/", 1011409703)</f>
        <v>1011409703</v>
      </c>
      <c r="D12270">
        <v>0</v>
      </c>
    </row>
    <row r="12271" spans="1:4" hidden="1" x14ac:dyDescent="0.3">
      <c r="A12271" t="s">
        <v>885</v>
      </c>
      <c r="B12271" t="s">
        <v>117</v>
      </c>
      <c r="C12271" s="1">
        <f>HYPERLINK("https://cao.dolgi.msk.ru/account/1011409789/", 1011409789)</f>
        <v>1011409789</v>
      </c>
      <c r="D12271">
        <v>-10480.26</v>
      </c>
    </row>
    <row r="12272" spans="1:4" x14ac:dyDescent="0.3">
      <c r="A12272" t="s">
        <v>885</v>
      </c>
      <c r="B12272" t="s">
        <v>118</v>
      </c>
      <c r="C12272" s="1">
        <f>HYPERLINK("https://cao.dolgi.msk.ru/account/1011409439/", 1011409439)</f>
        <v>1011409439</v>
      </c>
      <c r="D12272">
        <v>6590.55</v>
      </c>
    </row>
    <row r="12273" spans="1:4" hidden="1" x14ac:dyDescent="0.3">
      <c r="A12273" t="s">
        <v>885</v>
      </c>
      <c r="B12273" t="s">
        <v>119</v>
      </c>
      <c r="C12273" s="1">
        <f>HYPERLINK("https://cao.dolgi.msk.ru/account/1011408938/", 1011408938)</f>
        <v>1011408938</v>
      </c>
      <c r="D12273">
        <v>0</v>
      </c>
    </row>
    <row r="12274" spans="1:4" hidden="1" x14ac:dyDescent="0.3">
      <c r="A12274" t="s">
        <v>885</v>
      </c>
      <c r="B12274" t="s">
        <v>120</v>
      </c>
      <c r="C12274" s="1">
        <f>HYPERLINK("https://cao.dolgi.msk.ru/account/1011410093/", 1011410093)</f>
        <v>1011410093</v>
      </c>
      <c r="D12274">
        <v>0</v>
      </c>
    </row>
    <row r="12275" spans="1:4" hidden="1" x14ac:dyDescent="0.3">
      <c r="A12275" t="s">
        <v>885</v>
      </c>
      <c r="B12275" t="s">
        <v>121</v>
      </c>
      <c r="C12275" s="1">
        <f>HYPERLINK("https://cao.dolgi.msk.ru/account/1011408831/", 1011408831)</f>
        <v>1011408831</v>
      </c>
      <c r="D12275">
        <v>-1334.14</v>
      </c>
    </row>
    <row r="12276" spans="1:4" hidden="1" x14ac:dyDescent="0.3">
      <c r="A12276" t="s">
        <v>885</v>
      </c>
      <c r="B12276" t="s">
        <v>122</v>
      </c>
      <c r="C12276" s="1">
        <f>HYPERLINK("https://cao.dolgi.msk.ru/account/1011409308/", 1011409308)</f>
        <v>1011409308</v>
      </c>
      <c r="D12276">
        <v>-655.32000000000005</v>
      </c>
    </row>
    <row r="12277" spans="1:4" x14ac:dyDescent="0.3">
      <c r="A12277" t="s">
        <v>885</v>
      </c>
      <c r="B12277" t="s">
        <v>123</v>
      </c>
      <c r="C12277" s="1">
        <f>HYPERLINK("https://cao.dolgi.msk.ru/account/1011410114/", 1011410114)</f>
        <v>1011410114</v>
      </c>
      <c r="D12277">
        <v>0.01</v>
      </c>
    </row>
    <row r="12278" spans="1:4" hidden="1" x14ac:dyDescent="0.3">
      <c r="A12278" t="s">
        <v>885</v>
      </c>
      <c r="B12278" t="s">
        <v>124</v>
      </c>
      <c r="C12278" s="1">
        <f>HYPERLINK("https://cao.dolgi.msk.ru/account/1011410018/", 1011410018)</f>
        <v>1011410018</v>
      </c>
      <c r="D12278">
        <v>0</v>
      </c>
    </row>
    <row r="12279" spans="1:4" x14ac:dyDescent="0.3">
      <c r="A12279" t="s">
        <v>885</v>
      </c>
      <c r="B12279" t="s">
        <v>125</v>
      </c>
      <c r="C12279" s="1">
        <f>HYPERLINK("https://cao.dolgi.msk.ru/account/1011409367/", 1011409367)</f>
        <v>1011409367</v>
      </c>
      <c r="D12279">
        <v>10477.35</v>
      </c>
    </row>
    <row r="12280" spans="1:4" hidden="1" x14ac:dyDescent="0.3">
      <c r="A12280" t="s">
        <v>885</v>
      </c>
      <c r="B12280" t="s">
        <v>126</v>
      </c>
      <c r="C12280" s="1">
        <f>HYPERLINK("https://cao.dolgi.msk.ru/account/1011409447/", 1011409447)</f>
        <v>1011409447</v>
      </c>
      <c r="D12280">
        <v>-788.97</v>
      </c>
    </row>
    <row r="12281" spans="1:4" x14ac:dyDescent="0.3">
      <c r="A12281" t="s">
        <v>885</v>
      </c>
      <c r="B12281" t="s">
        <v>127</v>
      </c>
      <c r="C12281" s="1">
        <f>HYPERLINK("https://cao.dolgi.msk.ru/account/1011409869/", 1011409869)</f>
        <v>1011409869</v>
      </c>
      <c r="D12281">
        <v>353.16</v>
      </c>
    </row>
    <row r="12282" spans="1:4" hidden="1" x14ac:dyDescent="0.3">
      <c r="A12282" t="s">
        <v>885</v>
      </c>
      <c r="B12282" t="s">
        <v>262</v>
      </c>
      <c r="C12282" s="1">
        <f>HYPERLINK("https://cao.dolgi.msk.ru/account/1011409826/", 1011409826)</f>
        <v>1011409826</v>
      </c>
      <c r="D12282">
        <v>0</v>
      </c>
    </row>
    <row r="12283" spans="1:4" hidden="1" x14ac:dyDescent="0.3">
      <c r="A12283" t="s">
        <v>885</v>
      </c>
      <c r="B12283" t="s">
        <v>128</v>
      </c>
      <c r="C12283" s="1">
        <f>HYPERLINK("https://cao.dolgi.msk.ru/account/1011410202/", 1011410202)</f>
        <v>1011410202</v>
      </c>
      <c r="D12283">
        <v>-168.51</v>
      </c>
    </row>
    <row r="12284" spans="1:4" hidden="1" x14ac:dyDescent="0.3">
      <c r="A12284" t="s">
        <v>885</v>
      </c>
      <c r="B12284" t="s">
        <v>129</v>
      </c>
      <c r="C12284" s="1">
        <f>HYPERLINK("https://cao.dolgi.msk.ru/account/1011410122/", 1011410122)</f>
        <v>1011410122</v>
      </c>
      <c r="D12284">
        <v>-344.21</v>
      </c>
    </row>
    <row r="12285" spans="1:4" x14ac:dyDescent="0.3">
      <c r="A12285" t="s">
        <v>885</v>
      </c>
      <c r="B12285" t="s">
        <v>130</v>
      </c>
      <c r="C12285" s="1">
        <f>HYPERLINK("https://cao.dolgi.msk.ru/account/1011410026/", 1011410026)</f>
        <v>1011410026</v>
      </c>
      <c r="D12285">
        <v>4531.59</v>
      </c>
    </row>
    <row r="12286" spans="1:4" x14ac:dyDescent="0.3">
      <c r="A12286" t="s">
        <v>885</v>
      </c>
      <c r="B12286" t="s">
        <v>131</v>
      </c>
      <c r="C12286" s="1">
        <f>HYPERLINK("https://cao.dolgi.msk.ru/account/1011409973/", 1011409973)</f>
        <v>1011409973</v>
      </c>
      <c r="D12286">
        <v>8440.0400000000009</v>
      </c>
    </row>
    <row r="12287" spans="1:4" hidden="1" x14ac:dyDescent="0.3">
      <c r="A12287" t="s">
        <v>885</v>
      </c>
      <c r="B12287" t="s">
        <v>132</v>
      </c>
      <c r="C12287" s="1">
        <f>HYPERLINK("https://cao.dolgi.msk.ru/account/1011409631/", 1011409631)</f>
        <v>1011409631</v>
      </c>
      <c r="D12287">
        <v>0</v>
      </c>
    </row>
    <row r="12288" spans="1:4" hidden="1" x14ac:dyDescent="0.3">
      <c r="A12288" t="s">
        <v>885</v>
      </c>
      <c r="B12288" t="s">
        <v>133</v>
      </c>
      <c r="C12288" s="1">
        <f>HYPERLINK("https://cao.dolgi.msk.ru/account/1011409228/", 1011409228)</f>
        <v>1011409228</v>
      </c>
      <c r="D12288">
        <v>0</v>
      </c>
    </row>
    <row r="12289" spans="1:4" hidden="1" x14ac:dyDescent="0.3">
      <c r="A12289" t="s">
        <v>885</v>
      </c>
      <c r="B12289" t="s">
        <v>134</v>
      </c>
      <c r="C12289" s="1">
        <f>HYPERLINK("https://cao.dolgi.msk.ru/account/1011409236/", 1011409236)</f>
        <v>1011409236</v>
      </c>
      <c r="D12289">
        <v>0</v>
      </c>
    </row>
    <row r="12290" spans="1:4" hidden="1" x14ac:dyDescent="0.3">
      <c r="A12290" t="s">
        <v>885</v>
      </c>
      <c r="B12290" t="s">
        <v>136</v>
      </c>
      <c r="C12290" s="1">
        <f>HYPERLINK("https://cao.dolgi.msk.ru/account/1011409463/", 1011409463)</f>
        <v>1011409463</v>
      </c>
      <c r="D12290">
        <v>-6506.36</v>
      </c>
    </row>
    <row r="12291" spans="1:4" hidden="1" x14ac:dyDescent="0.3">
      <c r="A12291" t="s">
        <v>885</v>
      </c>
      <c r="B12291" t="s">
        <v>137</v>
      </c>
      <c r="C12291" s="1">
        <f>HYPERLINK("https://cao.dolgi.msk.ru/account/1011409316/", 1011409316)</f>
        <v>1011409316</v>
      </c>
      <c r="D12291">
        <v>0</v>
      </c>
    </row>
    <row r="12292" spans="1:4" hidden="1" x14ac:dyDescent="0.3">
      <c r="A12292" t="s">
        <v>885</v>
      </c>
      <c r="B12292" t="s">
        <v>138</v>
      </c>
      <c r="C12292" s="1">
        <f>HYPERLINK("https://cao.dolgi.msk.ru/account/1011409535/", 1011409535)</f>
        <v>1011409535</v>
      </c>
      <c r="D12292">
        <v>0</v>
      </c>
    </row>
    <row r="12293" spans="1:4" hidden="1" x14ac:dyDescent="0.3">
      <c r="A12293" t="s">
        <v>885</v>
      </c>
      <c r="B12293" t="s">
        <v>139</v>
      </c>
      <c r="C12293" s="1">
        <f>HYPERLINK("https://cao.dolgi.msk.ru/account/1011408858/", 1011408858)</f>
        <v>1011408858</v>
      </c>
      <c r="D12293">
        <v>0</v>
      </c>
    </row>
    <row r="12294" spans="1:4" hidden="1" x14ac:dyDescent="0.3">
      <c r="A12294" t="s">
        <v>885</v>
      </c>
      <c r="B12294" t="s">
        <v>140</v>
      </c>
      <c r="C12294" s="1">
        <f>HYPERLINK("https://cao.dolgi.msk.ru/account/1011409666/", 1011409666)</f>
        <v>1011409666</v>
      </c>
      <c r="D12294">
        <v>0</v>
      </c>
    </row>
    <row r="12295" spans="1:4" hidden="1" x14ac:dyDescent="0.3">
      <c r="A12295" t="s">
        <v>885</v>
      </c>
      <c r="B12295" t="s">
        <v>141</v>
      </c>
      <c r="C12295" s="1">
        <f>HYPERLINK("https://cao.dolgi.msk.ru/account/1011409113/", 1011409113)</f>
        <v>1011409113</v>
      </c>
      <c r="D12295">
        <v>0</v>
      </c>
    </row>
    <row r="12296" spans="1:4" x14ac:dyDescent="0.3">
      <c r="A12296" t="s">
        <v>885</v>
      </c>
      <c r="B12296" t="s">
        <v>142</v>
      </c>
      <c r="C12296" s="1">
        <f>HYPERLINK("https://cao.dolgi.msk.ru/account/1011409383/", 1011409383)</f>
        <v>1011409383</v>
      </c>
      <c r="D12296">
        <v>6482.07</v>
      </c>
    </row>
    <row r="12297" spans="1:4" hidden="1" x14ac:dyDescent="0.3">
      <c r="A12297" t="s">
        <v>885</v>
      </c>
      <c r="B12297" t="s">
        <v>143</v>
      </c>
      <c r="C12297" s="1">
        <f>HYPERLINK("https://cao.dolgi.msk.ru/account/1011408807/", 1011408807)</f>
        <v>1011408807</v>
      </c>
      <c r="D12297">
        <v>-164.88</v>
      </c>
    </row>
    <row r="12298" spans="1:4" hidden="1" x14ac:dyDescent="0.3">
      <c r="A12298" t="s">
        <v>885</v>
      </c>
      <c r="B12298" t="s">
        <v>144</v>
      </c>
      <c r="C12298" s="1">
        <f>HYPERLINK("https://cao.dolgi.msk.ru/account/1011408989/", 1011408989)</f>
        <v>1011408989</v>
      </c>
      <c r="D12298">
        <v>0</v>
      </c>
    </row>
    <row r="12299" spans="1:4" hidden="1" x14ac:dyDescent="0.3">
      <c r="A12299" t="s">
        <v>885</v>
      </c>
      <c r="B12299" t="s">
        <v>145</v>
      </c>
      <c r="C12299" s="1">
        <f>HYPERLINK("https://cao.dolgi.msk.ru/account/1011409877/", 1011409877)</f>
        <v>1011409877</v>
      </c>
      <c r="D12299">
        <v>0</v>
      </c>
    </row>
    <row r="12300" spans="1:4" x14ac:dyDescent="0.3">
      <c r="A12300" t="s">
        <v>885</v>
      </c>
      <c r="B12300" t="s">
        <v>146</v>
      </c>
      <c r="C12300" s="1">
        <f>HYPERLINK("https://cao.dolgi.msk.ru/account/1011406254/", 1011406254)</f>
        <v>1011406254</v>
      </c>
      <c r="D12300">
        <v>6095.97</v>
      </c>
    </row>
    <row r="12301" spans="1:4" hidden="1" x14ac:dyDescent="0.3">
      <c r="A12301" t="s">
        <v>885</v>
      </c>
      <c r="B12301" t="s">
        <v>886</v>
      </c>
      <c r="C12301" s="1">
        <f>HYPERLINK("https://cao.dolgi.msk.ru/account/1011405905/", 1011405905)</f>
        <v>1011405905</v>
      </c>
      <c r="D12301">
        <v>-31852.19</v>
      </c>
    </row>
    <row r="12302" spans="1:4" x14ac:dyDescent="0.3">
      <c r="A12302" t="s">
        <v>885</v>
      </c>
      <c r="B12302" t="s">
        <v>147</v>
      </c>
      <c r="C12302" s="1">
        <f>HYPERLINK("https://cao.dolgi.msk.ru/account/1011405948/", 1011405948)</f>
        <v>1011405948</v>
      </c>
      <c r="D12302">
        <v>396307.64</v>
      </c>
    </row>
    <row r="12303" spans="1:4" hidden="1" x14ac:dyDescent="0.3">
      <c r="A12303" t="s">
        <v>885</v>
      </c>
      <c r="B12303" t="s">
        <v>148</v>
      </c>
      <c r="C12303" s="1">
        <f>HYPERLINK("https://cao.dolgi.msk.ru/account/1011405841/", 1011405841)</f>
        <v>1011405841</v>
      </c>
      <c r="D12303">
        <v>0</v>
      </c>
    </row>
    <row r="12304" spans="1:4" hidden="1" x14ac:dyDescent="0.3">
      <c r="A12304" t="s">
        <v>885</v>
      </c>
      <c r="B12304" t="s">
        <v>887</v>
      </c>
      <c r="C12304" s="1">
        <f>HYPERLINK("https://cao.dolgi.msk.ru/account/1011406086/", 1011406086)</f>
        <v>1011406086</v>
      </c>
      <c r="D12304">
        <v>0</v>
      </c>
    </row>
    <row r="12305" spans="1:4" hidden="1" x14ac:dyDescent="0.3">
      <c r="A12305" t="s">
        <v>885</v>
      </c>
      <c r="B12305" t="s">
        <v>149</v>
      </c>
      <c r="C12305" s="1">
        <f>HYPERLINK("https://cao.dolgi.msk.ru/account/1011405761/", 1011405761)</f>
        <v>1011405761</v>
      </c>
      <c r="D12305">
        <v>0</v>
      </c>
    </row>
    <row r="12306" spans="1:4" hidden="1" x14ac:dyDescent="0.3">
      <c r="A12306" t="s">
        <v>885</v>
      </c>
      <c r="B12306" t="s">
        <v>150</v>
      </c>
      <c r="C12306" s="1">
        <f>HYPERLINK("https://cao.dolgi.msk.ru/account/1011406027/", 1011406027)</f>
        <v>1011406027</v>
      </c>
      <c r="D12306">
        <v>0</v>
      </c>
    </row>
    <row r="12307" spans="1:4" hidden="1" x14ac:dyDescent="0.3">
      <c r="A12307" t="s">
        <v>885</v>
      </c>
      <c r="B12307" t="s">
        <v>151</v>
      </c>
      <c r="C12307" s="1">
        <f>HYPERLINK("https://cao.dolgi.msk.ru/account/1011406019/", 1011406019)</f>
        <v>1011406019</v>
      </c>
      <c r="D12307">
        <v>0</v>
      </c>
    </row>
    <row r="12308" spans="1:4" hidden="1" x14ac:dyDescent="0.3">
      <c r="A12308" t="s">
        <v>885</v>
      </c>
      <c r="B12308" t="s">
        <v>152</v>
      </c>
      <c r="C12308" s="1">
        <f>HYPERLINK("https://cao.dolgi.msk.ru/account/1011405825/", 1011405825)</f>
        <v>1011405825</v>
      </c>
      <c r="D12308">
        <v>-15282.65</v>
      </c>
    </row>
    <row r="12309" spans="1:4" hidden="1" x14ac:dyDescent="0.3">
      <c r="A12309" t="s">
        <v>885</v>
      </c>
      <c r="B12309" t="s">
        <v>153</v>
      </c>
      <c r="C12309" s="1">
        <f>HYPERLINK("https://cao.dolgi.msk.ru/account/1011406289/", 1011406289)</f>
        <v>1011406289</v>
      </c>
      <c r="D12309">
        <v>0</v>
      </c>
    </row>
    <row r="12310" spans="1:4" hidden="1" x14ac:dyDescent="0.3">
      <c r="A12310" t="s">
        <v>885</v>
      </c>
      <c r="B12310" t="s">
        <v>154</v>
      </c>
      <c r="C12310" s="1">
        <f>HYPERLINK("https://cao.dolgi.msk.ru/account/1011405868/", 1011405868)</f>
        <v>1011405868</v>
      </c>
      <c r="D12310">
        <v>0</v>
      </c>
    </row>
    <row r="12311" spans="1:4" hidden="1" x14ac:dyDescent="0.3">
      <c r="A12311" t="s">
        <v>885</v>
      </c>
      <c r="B12311" t="s">
        <v>155</v>
      </c>
      <c r="C12311" s="1">
        <f>HYPERLINK("https://cao.dolgi.msk.ru/account/1011406078/", 1011406078)</f>
        <v>1011406078</v>
      </c>
      <c r="D12311">
        <v>-1627.54</v>
      </c>
    </row>
    <row r="12312" spans="1:4" hidden="1" x14ac:dyDescent="0.3">
      <c r="A12312" t="s">
        <v>885</v>
      </c>
      <c r="B12312" t="s">
        <v>156</v>
      </c>
      <c r="C12312" s="1">
        <f>HYPERLINK("https://cao.dolgi.msk.ru/account/1011405817/", 1011405817)</f>
        <v>1011405817</v>
      </c>
      <c r="D12312">
        <v>0</v>
      </c>
    </row>
    <row r="12313" spans="1:4" hidden="1" x14ac:dyDescent="0.3">
      <c r="A12313" t="s">
        <v>885</v>
      </c>
      <c r="B12313" t="s">
        <v>157</v>
      </c>
      <c r="C12313" s="1">
        <f>HYPERLINK("https://cao.dolgi.msk.ru/account/1011405876/", 1011405876)</f>
        <v>1011405876</v>
      </c>
      <c r="D12313">
        <v>0</v>
      </c>
    </row>
    <row r="12314" spans="1:4" hidden="1" x14ac:dyDescent="0.3">
      <c r="A12314" t="s">
        <v>885</v>
      </c>
      <c r="B12314" t="s">
        <v>158</v>
      </c>
      <c r="C12314" s="1">
        <f>HYPERLINK("https://cao.dolgi.msk.ru/account/1011405972/", 1011405972)</f>
        <v>1011405972</v>
      </c>
      <c r="D12314">
        <v>-6734.34</v>
      </c>
    </row>
    <row r="12315" spans="1:4" hidden="1" x14ac:dyDescent="0.3">
      <c r="A12315" t="s">
        <v>885</v>
      </c>
      <c r="B12315" t="s">
        <v>159</v>
      </c>
      <c r="C12315" s="1">
        <f>HYPERLINK("https://cao.dolgi.msk.ru/account/1011406107/", 1011406107)</f>
        <v>1011406107</v>
      </c>
      <c r="D12315">
        <v>-9445.36</v>
      </c>
    </row>
    <row r="12316" spans="1:4" hidden="1" x14ac:dyDescent="0.3">
      <c r="A12316" t="s">
        <v>885</v>
      </c>
      <c r="B12316" t="s">
        <v>160</v>
      </c>
      <c r="C12316" s="1">
        <f>HYPERLINK("https://cao.dolgi.msk.ru/account/1011405999/", 1011405999)</f>
        <v>1011405999</v>
      </c>
      <c r="D12316">
        <v>0</v>
      </c>
    </row>
    <row r="12317" spans="1:4" hidden="1" x14ac:dyDescent="0.3">
      <c r="A12317" t="s">
        <v>885</v>
      </c>
      <c r="B12317" t="s">
        <v>161</v>
      </c>
      <c r="C12317" s="1">
        <f>HYPERLINK("https://cao.dolgi.msk.ru/account/1011406158/", 1011406158)</f>
        <v>1011406158</v>
      </c>
      <c r="D12317">
        <v>-15230.62</v>
      </c>
    </row>
    <row r="12318" spans="1:4" hidden="1" x14ac:dyDescent="0.3">
      <c r="A12318" t="s">
        <v>885</v>
      </c>
      <c r="B12318" t="s">
        <v>162</v>
      </c>
      <c r="C12318" s="1">
        <f>HYPERLINK("https://cao.dolgi.msk.ru/account/1011405884/", 1011405884)</f>
        <v>1011405884</v>
      </c>
      <c r="D12318">
        <v>0</v>
      </c>
    </row>
    <row r="12319" spans="1:4" hidden="1" x14ac:dyDescent="0.3">
      <c r="A12319" t="s">
        <v>885</v>
      </c>
      <c r="B12319" t="s">
        <v>163</v>
      </c>
      <c r="C12319" s="1">
        <f>HYPERLINK("https://cao.dolgi.msk.ru/account/1011405921/", 1011405921)</f>
        <v>1011405921</v>
      </c>
      <c r="D12319">
        <v>0</v>
      </c>
    </row>
    <row r="12320" spans="1:4" hidden="1" x14ac:dyDescent="0.3">
      <c r="A12320" t="s">
        <v>885</v>
      </c>
      <c r="B12320" t="s">
        <v>164</v>
      </c>
      <c r="C12320" s="1">
        <f>HYPERLINK("https://cao.dolgi.msk.ru/account/1011406203/", 1011406203)</f>
        <v>1011406203</v>
      </c>
      <c r="D12320">
        <v>-21296.94</v>
      </c>
    </row>
    <row r="12321" spans="1:4" hidden="1" x14ac:dyDescent="0.3">
      <c r="A12321" t="s">
        <v>885</v>
      </c>
      <c r="B12321" t="s">
        <v>165</v>
      </c>
      <c r="C12321" s="1">
        <f>HYPERLINK("https://cao.dolgi.msk.ru/account/1011405833/", 1011405833)</f>
        <v>1011405833</v>
      </c>
      <c r="D12321">
        <v>0</v>
      </c>
    </row>
    <row r="12322" spans="1:4" x14ac:dyDescent="0.3">
      <c r="A12322" t="s">
        <v>885</v>
      </c>
      <c r="B12322" t="s">
        <v>166</v>
      </c>
      <c r="C12322" s="1">
        <f>HYPERLINK("https://cao.dolgi.msk.ru/account/1011406051/", 1011406051)</f>
        <v>1011406051</v>
      </c>
      <c r="D12322">
        <v>6965.54</v>
      </c>
    </row>
    <row r="12323" spans="1:4" hidden="1" x14ac:dyDescent="0.3">
      <c r="A12323" t="s">
        <v>885</v>
      </c>
      <c r="B12323" t="s">
        <v>167</v>
      </c>
      <c r="C12323" s="1">
        <f>HYPERLINK("https://cao.dolgi.msk.ru/account/1011406094/", 1011406094)</f>
        <v>1011406094</v>
      </c>
      <c r="D12323">
        <v>0</v>
      </c>
    </row>
    <row r="12324" spans="1:4" hidden="1" x14ac:dyDescent="0.3">
      <c r="A12324" t="s">
        <v>885</v>
      </c>
      <c r="B12324" t="s">
        <v>168</v>
      </c>
      <c r="C12324" s="1">
        <f>HYPERLINK("https://cao.dolgi.msk.ru/account/1011405964/", 1011405964)</f>
        <v>1011405964</v>
      </c>
      <c r="D12324">
        <v>0</v>
      </c>
    </row>
    <row r="12325" spans="1:4" hidden="1" x14ac:dyDescent="0.3">
      <c r="A12325" t="s">
        <v>885</v>
      </c>
      <c r="B12325" t="s">
        <v>169</v>
      </c>
      <c r="C12325" s="1">
        <f>HYPERLINK("https://cao.dolgi.msk.ru/account/1011405809/", 1011405809)</f>
        <v>1011405809</v>
      </c>
      <c r="D12325">
        <v>-54446.5</v>
      </c>
    </row>
    <row r="12326" spans="1:4" hidden="1" x14ac:dyDescent="0.3">
      <c r="A12326" t="s">
        <v>885</v>
      </c>
      <c r="B12326" t="s">
        <v>170</v>
      </c>
      <c r="C12326" s="1">
        <f>HYPERLINK("https://cao.dolgi.msk.ru/account/1011406035/", 1011406035)</f>
        <v>1011406035</v>
      </c>
      <c r="D12326">
        <v>0</v>
      </c>
    </row>
    <row r="12327" spans="1:4" hidden="1" x14ac:dyDescent="0.3">
      <c r="A12327" t="s">
        <v>885</v>
      </c>
      <c r="B12327" t="s">
        <v>171</v>
      </c>
      <c r="C12327" s="1">
        <f>HYPERLINK("https://cao.dolgi.msk.ru/account/1011405892/", 1011405892)</f>
        <v>1011405892</v>
      </c>
      <c r="D12327">
        <v>-24097.06</v>
      </c>
    </row>
    <row r="12328" spans="1:4" hidden="1" x14ac:dyDescent="0.3">
      <c r="A12328" t="s">
        <v>885</v>
      </c>
      <c r="B12328" t="s">
        <v>172</v>
      </c>
      <c r="C12328" s="1">
        <f>HYPERLINK("https://cao.dolgi.msk.ru/account/1011406246/", 1011406246)</f>
        <v>1011406246</v>
      </c>
      <c r="D12328">
        <v>0</v>
      </c>
    </row>
    <row r="12329" spans="1:4" hidden="1" x14ac:dyDescent="0.3">
      <c r="A12329" t="s">
        <v>885</v>
      </c>
      <c r="B12329" t="s">
        <v>173</v>
      </c>
      <c r="C12329" s="1">
        <f>HYPERLINK("https://cao.dolgi.msk.ru/account/1011405956/", 1011405956)</f>
        <v>1011405956</v>
      </c>
      <c r="D12329">
        <v>-240.72</v>
      </c>
    </row>
    <row r="12330" spans="1:4" hidden="1" x14ac:dyDescent="0.3">
      <c r="A12330" t="s">
        <v>885</v>
      </c>
      <c r="B12330" t="s">
        <v>174</v>
      </c>
      <c r="C12330" s="1">
        <f>HYPERLINK("https://cao.dolgi.msk.ru/account/1011406182/", 1011406182)</f>
        <v>1011406182</v>
      </c>
      <c r="D12330">
        <v>-1973.84</v>
      </c>
    </row>
    <row r="12331" spans="1:4" x14ac:dyDescent="0.3">
      <c r="A12331" t="s">
        <v>885</v>
      </c>
      <c r="B12331" t="s">
        <v>175</v>
      </c>
      <c r="C12331" s="1">
        <f>HYPERLINK("https://cao.dolgi.msk.ru/account/1011405788/", 1011405788)</f>
        <v>1011405788</v>
      </c>
      <c r="D12331">
        <v>6322.97</v>
      </c>
    </row>
    <row r="12332" spans="1:4" hidden="1" x14ac:dyDescent="0.3">
      <c r="A12332" t="s">
        <v>885</v>
      </c>
      <c r="B12332" t="s">
        <v>176</v>
      </c>
      <c r="C12332" s="1">
        <f>HYPERLINK("https://cao.dolgi.msk.ru/account/1011406166/", 1011406166)</f>
        <v>1011406166</v>
      </c>
      <c r="D12332">
        <v>0</v>
      </c>
    </row>
    <row r="12333" spans="1:4" hidden="1" x14ac:dyDescent="0.3">
      <c r="A12333" t="s">
        <v>885</v>
      </c>
      <c r="B12333" t="s">
        <v>177</v>
      </c>
      <c r="C12333" s="1">
        <f>HYPERLINK("https://cao.dolgi.msk.ru/account/1011405796/", 1011405796)</f>
        <v>1011405796</v>
      </c>
      <c r="D12333">
        <v>-124.47</v>
      </c>
    </row>
    <row r="12334" spans="1:4" x14ac:dyDescent="0.3">
      <c r="A12334" t="s">
        <v>885</v>
      </c>
      <c r="B12334" t="s">
        <v>178</v>
      </c>
      <c r="C12334" s="1">
        <f>HYPERLINK("https://cao.dolgi.msk.ru/account/1011406131/", 1011406131)</f>
        <v>1011406131</v>
      </c>
      <c r="D12334">
        <v>45342.18</v>
      </c>
    </row>
    <row r="12335" spans="1:4" hidden="1" x14ac:dyDescent="0.3">
      <c r="A12335" t="s">
        <v>885</v>
      </c>
      <c r="B12335" t="s">
        <v>179</v>
      </c>
      <c r="C12335" s="1">
        <f>HYPERLINK("https://cao.dolgi.msk.ru/account/1011406238/", 1011406238)</f>
        <v>1011406238</v>
      </c>
      <c r="D12335">
        <v>-8256.26</v>
      </c>
    </row>
    <row r="12336" spans="1:4" hidden="1" x14ac:dyDescent="0.3">
      <c r="A12336" t="s">
        <v>885</v>
      </c>
      <c r="B12336" t="s">
        <v>273</v>
      </c>
      <c r="C12336" s="1">
        <f>HYPERLINK("https://cao.dolgi.msk.ru/account/1011406123/", 1011406123)</f>
        <v>1011406123</v>
      </c>
      <c r="D12336">
        <v>0</v>
      </c>
    </row>
    <row r="12337" spans="1:4" hidden="1" x14ac:dyDescent="0.3">
      <c r="A12337" t="s">
        <v>885</v>
      </c>
      <c r="B12337" t="s">
        <v>180</v>
      </c>
      <c r="C12337" s="1">
        <f>HYPERLINK("https://cao.dolgi.msk.ru/account/1011406115/", 1011406115)</f>
        <v>1011406115</v>
      </c>
      <c r="D12337">
        <v>-207.11</v>
      </c>
    </row>
    <row r="12338" spans="1:4" hidden="1" x14ac:dyDescent="0.3">
      <c r="A12338" t="s">
        <v>885</v>
      </c>
      <c r="B12338" t="s">
        <v>181</v>
      </c>
      <c r="C12338" s="1">
        <f>HYPERLINK("https://cao.dolgi.msk.ru/account/1011406211/", 1011406211)</f>
        <v>1011406211</v>
      </c>
      <c r="D12338">
        <v>-26.88</v>
      </c>
    </row>
    <row r="12339" spans="1:4" hidden="1" x14ac:dyDescent="0.3">
      <c r="A12339" t="s">
        <v>885</v>
      </c>
      <c r="B12339" t="s">
        <v>182</v>
      </c>
      <c r="C12339" s="1">
        <f>HYPERLINK("https://cao.dolgi.msk.ru/account/1011406262/", 1011406262)</f>
        <v>1011406262</v>
      </c>
      <c r="D12339">
        <v>0</v>
      </c>
    </row>
    <row r="12340" spans="1:4" hidden="1" x14ac:dyDescent="0.3">
      <c r="A12340" t="s">
        <v>885</v>
      </c>
      <c r="B12340" t="s">
        <v>183</v>
      </c>
      <c r="C12340" s="1">
        <f>HYPERLINK("https://cao.dolgi.msk.ru/account/1011406043/", 1011406043)</f>
        <v>1011406043</v>
      </c>
      <c r="D12340">
        <v>0</v>
      </c>
    </row>
    <row r="12341" spans="1:4" hidden="1" x14ac:dyDescent="0.3">
      <c r="A12341" t="s">
        <v>885</v>
      </c>
      <c r="B12341" t="s">
        <v>184</v>
      </c>
      <c r="C12341" s="1">
        <f>HYPERLINK("https://cao.dolgi.msk.ru/account/1011406174/", 1011406174)</f>
        <v>1011406174</v>
      </c>
      <c r="D12341">
        <v>-31407.13</v>
      </c>
    </row>
    <row r="12342" spans="1:4" hidden="1" x14ac:dyDescent="0.3">
      <c r="A12342" t="s">
        <v>888</v>
      </c>
      <c r="B12342" t="s">
        <v>6</v>
      </c>
      <c r="C12342" s="1">
        <f>HYPERLINK("https://cao.dolgi.msk.ru/account/1011507821/", 1011507821)</f>
        <v>1011507821</v>
      </c>
      <c r="D12342">
        <v>-23629.8</v>
      </c>
    </row>
    <row r="12343" spans="1:4" hidden="1" x14ac:dyDescent="0.3">
      <c r="A12343" t="s">
        <v>888</v>
      </c>
      <c r="B12343" t="s">
        <v>28</v>
      </c>
      <c r="C12343" s="1">
        <f>HYPERLINK("https://cao.dolgi.msk.ru/account/1011507928/", 1011507928)</f>
        <v>1011507928</v>
      </c>
      <c r="D12343">
        <v>-78.760000000000005</v>
      </c>
    </row>
    <row r="12344" spans="1:4" hidden="1" x14ac:dyDescent="0.3">
      <c r="A12344" t="s">
        <v>888</v>
      </c>
      <c r="B12344" t="s">
        <v>35</v>
      </c>
      <c r="C12344" s="1">
        <f>HYPERLINK("https://cao.dolgi.msk.ru/account/1011091483/", 1011091483)</f>
        <v>1011091483</v>
      </c>
      <c r="D12344">
        <v>-820.05</v>
      </c>
    </row>
    <row r="12345" spans="1:4" x14ac:dyDescent="0.3">
      <c r="A12345" t="s">
        <v>888</v>
      </c>
      <c r="B12345" t="s">
        <v>5</v>
      </c>
      <c r="C12345" s="1">
        <f>HYPERLINK("https://cao.dolgi.msk.ru/account/1011091504/", 1011091504)</f>
        <v>1011091504</v>
      </c>
      <c r="D12345">
        <v>110956.79</v>
      </c>
    </row>
    <row r="12346" spans="1:4" x14ac:dyDescent="0.3">
      <c r="A12346" t="s">
        <v>888</v>
      </c>
      <c r="B12346" t="s">
        <v>7</v>
      </c>
      <c r="C12346" s="1">
        <f>HYPERLINK("https://cao.dolgi.msk.ru/account/1011504575/", 1011504575)</f>
        <v>1011504575</v>
      </c>
      <c r="D12346">
        <v>1640.1</v>
      </c>
    </row>
    <row r="12347" spans="1:4" x14ac:dyDescent="0.3">
      <c r="A12347" t="s">
        <v>888</v>
      </c>
      <c r="B12347" t="s">
        <v>8</v>
      </c>
      <c r="C12347" s="1">
        <f>HYPERLINK("https://cao.dolgi.msk.ru/account/1011097105/", 1011097105)</f>
        <v>1011097105</v>
      </c>
      <c r="D12347">
        <v>6293.81</v>
      </c>
    </row>
    <row r="12348" spans="1:4" x14ac:dyDescent="0.3">
      <c r="A12348" t="s">
        <v>888</v>
      </c>
      <c r="B12348" t="s">
        <v>31</v>
      </c>
      <c r="C12348" s="1">
        <f>HYPERLINK("https://cao.dolgi.msk.ru/account/1011504049/", 1011504049)</f>
        <v>1011504049</v>
      </c>
      <c r="D12348">
        <v>18300.47</v>
      </c>
    </row>
    <row r="12349" spans="1:4" hidden="1" x14ac:dyDescent="0.3">
      <c r="A12349" t="s">
        <v>888</v>
      </c>
      <c r="B12349" t="s">
        <v>9</v>
      </c>
      <c r="C12349" s="1">
        <f>HYPERLINK("https://cao.dolgi.msk.ru/account/1011097121/", 1011097121)</f>
        <v>1011097121</v>
      </c>
      <c r="D12349">
        <v>-11643.9</v>
      </c>
    </row>
    <row r="12350" spans="1:4" x14ac:dyDescent="0.3">
      <c r="A12350" t="s">
        <v>888</v>
      </c>
      <c r="B12350" t="s">
        <v>10</v>
      </c>
      <c r="C12350" s="1">
        <f>HYPERLINK("https://cao.dolgi.msk.ru/account/1011097148/", 1011097148)</f>
        <v>1011097148</v>
      </c>
      <c r="D12350">
        <v>38957.230000000003</v>
      </c>
    </row>
    <row r="12351" spans="1:4" hidden="1" x14ac:dyDescent="0.3">
      <c r="A12351" t="s">
        <v>888</v>
      </c>
      <c r="B12351" t="s">
        <v>11</v>
      </c>
      <c r="C12351" s="1">
        <f>HYPERLINK("https://cao.dolgi.msk.ru/account/1011097156/", 1011097156)</f>
        <v>1011097156</v>
      </c>
      <c r="D12351">
        <v>-696.26</v>
      </c>
    </row>
    <row r="12352" spans="1:4" hidden="1" x14ac:dyDescent="0.3">
      <c r="A12352" t="s">
        <v>888</v>
      </c>
      <c r="B12352" t="s">
        <v>12</v>
      </c>
      <c r="C12352" s="1">
        <f>HYPERLINK("https://cao.dolgi.msk.ru/account/1011097164/", 1011097164)</f>
        <v>1011097164</v>
      </c>
      <c r="D12352">
        <v>-12216.3</v>
      </c>
    </row>
    <row r="12353" spans="1:4" hidden="1" x14ac:dyDescent="0.3">
      <c r="A12353" t="s">
        <v>888</v>
      </c>
      <c r="B12353" t="s">
        <v>23</v>
      </c>
      <c r="C12353" s="1">
        <f>HYPERLINK("https://cao.dolgi.msk.ru/account/1011097172/", 1011097172)</f>
        <v>1011097172</v>
      </c>
      <c r="D12353">
        <v>-8265.5499999999993</v>
      </c>
    </row>
    <row r="12354" spans="1:4" hidden="1" x14ac:dyDescent="0.3">
      <c r="A12354" t="s">
        <v>889</v>
      </c>
      <c r="B12354" t="s">
        <v>6</v>
      </c>
      <c r="C12354" s="1">
        <f>HYPERLINK("https://cao.dolgi.msk.ru/account/1011206121/", 1011206121)</f>
        <v>1011206121</v>
      </c>
      <c r="D12354">
        <v>-14618.16</v>
      </c>
    </row>
    <row r="12355" spans="1:4" hidden="1" x14ac:dyDescent="0.3">
      <c r="A12355" t="s">
        <v>889</v>
      </c>
      <c r="B12355" t="s">
        <v>28</v>
      </c>
      <c r="C12355" s="1">
        <f>HYPERLINK("https://cao.dolgi.msk.ru/account/1011205882/", 1011205882)</f>
        <v>1011205882</v>
      </c>
      <c r="D12355">
        <v>-424.29</v>
      </c>
    </row>
    <row r="12356" spans="1:4" hidden="1" x14ac:dyDescent="0.3">
      <c r="A12356" t="s">
        <v>889</v>
      </c>
      <c r="B12356" t="s">
        <v>35</v>
      </c>
      <c r="C12356" s="1">
        <f>HYPERLINK("https://cao.dolgi.msk.ru/account/1011206092/", 1011206092)</f>
        <v>1011206092</v>
      </c>
      <c r="D12356">
        <v>0</v>
      </c>
    </row>
    <row r="12357" spans="1:4" hidden="1" x14ac:dyDescent="0.3">
      <c r="A12357" t="s">
        <v>889</v>
      </c>
      <c r="B12357" t="s">
        <v>5</v>
      </c>
      <c r="C12357" s="1">
        <f>HYPERLINK("https://cao.dolgi.msk.ru/account/1011205989/", 1011205989)</f>
        <v>1011205989</v>
      </c>
      <c r="D12357">
        <v>-45254.720000000001</v>
      </c>
    </row>
    <row r="12358" spans="1:4" hidden="1" x14ac:dyDescent="0.3">
      <c r="A12358" t="s">
        <v>889</v>
      </c>
      <c r="B12358" t="s">
        <v>7</v>
      </c>
      <c r="C12358" s="1">
        <f>HYPERLINK("https://cao.dolgi.msk.ru/account/1011205997/", 1011205997)</f>
        <v>1011205997</v>
      </c>
      <c r="D12358">
        <v>0</v>
      </c>
    </row>
    <row r="12359" spans="1:4" hidden="1" x14ac:dyDescent="0.3">
      <c r="A12359" t="s">
        <v>889</v>
      </c>
      <c r="B12359" t="s">
        <v>8</v>
      </c>
      <c r="C12359" s="1">
        <f>HYPERLINK("https://cao.dolgi.msk.ru/account/1011206009/", 1011206009)</f>
        <v>1011206009</v>
      </c>
      <c r="D12359">
        <v>0</v>
      </c>
    </row>
    <row r="12360" spans="1:4" hidden="1" x14ac:dyDescent="0.3">
      <c r="A12360" t="s">
        <v>889</v>
      </c>
      <c r="B12360" t="s">
        <v>10</v>
      </c>
      <c r="C12360" s="1">
        <f>HYPERLINK("https://cao.dolgi.msk.ru/account/1011205938/", 1011205938)</f>
        <v>1011205938</v>
      </c>
      <c r="D12360">
        <v>-15259.6</v>
      </c>
    </row>
    <row r="12361" spans="1:4" x14ac:dyDescent="0.3">
      <c r="A12361" t="s">
        <v>889</v>
      </c>
      <c r="B12361" t="s">
        <v>11</v>
      </c>
      <c r="C12361" s="1">
        <f>HYPERLINK("https://cao.dolgi.msk.ru/account/1011530263/", 1011530263)</f>
        <v>1011530263</v>
      </c>
      <c r="D12361">
        <v>26256.75</v>
      </c>
    </row>
    <row r="12362" spans="1:4" x14ac:dyDescent="0.3">
      <c r="A12362" t="s">
        <v>889</v>
      </c>
      <c r="B12362" t="s">
        <v>12</v>
      </c>
      <c r="C12362" s="1">
        <f>HYPERLINK("https://cao.dolgi.msk.ru/account/1011206172/", 1011206172)</f>
        <v>1011206172</v>
      </c>
      <c r="D12362">
        <v>281.97000000000003</v>
      </c>
    </row>
    <row r="12363" spans="1:4" hidden="1" x14ac:dyDescent="0.3">
      <c r="A12363" t="s">
        <v>889</v>
      </c>
      <c r="B12363" t="s">
        <v>12</v>
      </c>
      <c r="C12363" s="1">
        <f>HYPERLINK("https://cao.dolgi.msk.ru/account/1011206199/", 1011206199)</f>
        <v>1011206199</v>
      </c>
      <c r="D12363">
        <v>0</v>
      </c>
    </row>
    <row r="12364" spans="1:4" hidden="1" x14ac:dyDescent="0.3">
      <c r="A12364" t="s">
        <v>889</v>
      </c>
      <c r="B12364" t="s">
        <v>23</v>
      </c>
      <c r="C12364" s="1">
        <f>HYPERLINK("https://cao.dolgi.msk.ru/account/1011206068/", 1011206068)</f>
        <v>1011206068</v>
      </c>
      <c r="D12364">
        <v>-15351.67</v>
      </c>
    </row>
    <row r="12365" spans="1:4" hidden="1" x14ac:dyDescent="0.3">
      <c r="A12365" t="s">
        <v>889</v>
      </c>
      <c r="B12365" t="s">
        <v>14</v>
      </c>
      <c r="C12365" s="1">
        <f>HYPERLINK("https://cao.dolgi.msk.ru/account/1011206148/", 1011206148)</f>
        <v>1011206148</v>
      </c>
      <c r="D12365">
        <v>0</v>
      </c>
    </row>
    <row r="12366" spans="1:4" x14ac:dyDescent="0.3">
      <c r="A12366" t="s">
        <v>889</v>
      </c>
      <c r="B12366" t="s">
        <v>16</v>
      </c>
      <c r="C12366" s="1">
        <f>HYPERLINK("https://cao.dolgi.msk.ru/account/1011205903/", 1011205903)</f>
        <v>1011205903</v>
      </c>
      <c r="D12366">
        <v>3831.49</v>
      </c>
    </row>
    <row r="12367" spans="1:4" hidden="1" x14ac:dyDescent="0.3">
      <c r="A12367" t="s">
        <v>889</v>
      </c>
      <c r="B12367" t="s">
        <v>16</v>
      </c>
      <c r="C12367" s="1">
        <f>HYPERLINK("https://cao.dolgi.msk.ru/account/1011205962/", 1011205962)</f>
        <v>1011205962</v>
      </c>
      <c r="D12367">
        <v>0</v>
      </c>
    </row>
    <row r="12368" spans="1:4" hidden="1" x14ac:dyDescent="0.3">
      <c r="A12368" t="s">
        <v>889</v>
      </c>
      <c r="B12368" t="s">
        <v>16</v>
      </c>
      <c r="C12368" s="1">
        <f>HYPERLINK("https://cao.dolgi.msk.ru/account/1011206156/", 1011206156)</f>
        <v>1011206156</v>
      </c>
      <c r="D12368">
        <v>-32384.81</v>
      </c>
    </row>
    <row r="12369" spans="1:4" hidden="1" x14ac:dyDescent="0.3">
      <c r="A12369" t="s">
        <v>889</v>
      </c>
      <c r="B12369" t="s">
        <v>24</v>
      </c>
      <c r="C12369" s="1">
        <f>HYPERLINK("https://cao.dolgi.msk.ru/account/1011206164/", 1011206164)</f>
        <v>1011206164</v>
      </c>
      <c r="D12369">
        <v>-4083.23</v>
      </c>
    </row>
    <row r="12370" spans="1:4" hidden="1" x14ac:dyDescent="0.3">
      <c r="A12370" t="s">
        <v>889</v>
      </c>
      <c r="B12370" t="s">
        <v>25</v>
      </c>
      <c r="C12370" s="1">
        <f>HYPERLINK("https://cao.dolgi.msk.ru/account/1011206076/", 1011206076)</f>
        <v>1011206076</v>
      </c>
      <c r="D12370">
        <v>-5641.9</v>
      </c>
    </row>
    <row r="12371" spans="1:4" x14ac:dyDescent="0.3">
      <c r="A12371" t="s">
        <v>889</v>
      </c>
      <c r="B12371" t="s">
        <v>26</v>
      </c>
      <c r="C12371" s="1">
        <f>HYPERLINK("https://cao.dolgi.msk.ru/account/1011206201/", 1011206201)</f>
        <v>1011206201</v>
      </c>
      <c r="D12371">
        <v>16154.85</v>
      </c>
    </row>
    <row r="12372" spans="1:4" x14ac:dyDescent="0.3">
      <c r="A12372" t="s">
        <v>889</v>
      </c>
      <c r="B12372" t="s">
        <v>27</v>
      </c>
      <c r="C12372" s="1">
        <f>HYPERLINK("https://cao.dolgi.msk.ru/account/1011206105/", 1011206105)</f>
        <v>1011206105</v>
      </c>
      <c r="D12372">
        <v>11418.58</v>
      </c>
    </row>
    <row r="12373" spans="1:4" hidden="1" x14ac:dyDescent="0.3">
      <c r="A12373" t="s">
        <v>889</v>
      </c>
      <c r="B12373" t="s">
        <v>29</v>
      </c>
      <c r="C12373" s="1">
        <f>HYPERLINK("https://cao.dolgi.msk.ru/account/1011205946/", 1011205946)</f>
        <v>1011205946</v>
      </c>
      <c r="D12373">
        <v>0</v>
      </c>
    </row>
    <row r="12374" spans="1:4" hidden="1" x14ac:dyDescent="0.3">
      <c r="A12374" t="s">
        <v>889</v>
      </c>
      <c r="B12374" t="s">
        <v>38</v>
      </c>
      <c r="C12374" s="1">
        <f>HYPERLINK("https://cao.dolgi.msk.ru/account/1011205911/", 1011205911)</f>
        <v>1011205911</v>
      </c>
      <c r="D12374">
        <v>-60.09</v>
      </c>
    </row>
    <row r="12375" spans="1:4" hidden="1" x14ac:dyDescent="0.3">
      <c r="A12375" t="s">
        <v>889</v>
      </c>
      <c r="B12375" t="s">
        <v>39</v>
      </c>
      <c r="C12375" s="1">
        <f>HYPERLINK("https://cao.dolgi.msk.ru/account/1011206017/", 1011206017)</f>
        <v>1011206017</v>
      </c>
      <c r="D12375">
        <v>-7555.17</v>
      </c>
    </row>
    <row r="12376" spans="1:4" hidden="1" x14ac:dyDescent="0.3">
      <c r="A12376" t="s">
        <v>889</v>
      </c>
      <c r="B12376" t="s">
        <v>40</v>
      </c>
      <c r="C12376" s="1">
        <f>HYPERLINK("https://cao.dolgi.msk.ru/account/1011205954/", 1011205954)</f>
        <v>1011205954</v>
      </c>
      <c r="D12376">
        <v>0</v>
      </c>
    </row>
    <row r="12377" spans="1:4" x14ac:dyDescent="0.3">
      <c r="A12377" t="s">
        <v>889</v>
      </c>
      <c r="B12377" t="s">
        <v>41</v>
      </c>
      <c r="C12377" s="1">
        <f>HYPERLINK("https://cao.dolgi.msk.ru/account/1011206025/", 1011206025)</f>
        <v>1011206025</v>
      </c>
      <c r="D12377">
        <v>48419.78</v>
      </c>
    </row>
    <row r="12378" spans="1:4" hidden="1" x14ac:dyDescent="0.3">
      <c r="A12378" t="s">
        <v>889</v>
      </c>
      <c r="B12378" t="s">
        <v>51</v>
      </c>
      <c r="C12378" s="1">
        <f>HYPERLINK("https://cao.dolgi.msk.ru/account/1011206113/", 1011206113)</f>
        <v>1011206113</v>
      </c>
      <c r="D12378">
        <v>0</v>
      </c>
    </row>
    <row r="12379" spans="1:4" hidden="1" x14ac:dyDescent="0.3">
      <c r="A12379" t="s">
        <v>889</v>
      </c>
      <c r="B12379" t="s">
        <v>52</v>
      </c>
      <c r="C12379" s="1">
        <f>HYPERLINK("https://cao.dolgi.msk.ru/account/1011206084/", 1011206084)</f>
        <v>1011206084</v>
      </c>
      <c r="D12379">
        <v>0</v>
      </c>
    </row>
    <row r="12380" spans="1:4" hidden="1" x14ac:dyDescent="0.3">
      <c r="A12380" t="s">
        <v>889</v>
      </c>
      <c r="B12380" t="s">
        <v>53</v>
      </c>
      <c r="C12380" s="1">
        <f>HYPERLINK("https://cao.dolgi.msk.ru/account/1011206033/", 1011206033)</f>
        <v>1011206033</v>
      </c>
      <c r="D12380">
        <v>0</v>
      </c>
    </row>
    <row r="12381" spans="1:4" hidden="1" x14ac:dyDescent="0.3">
      <c r="A12381" t="s">
        <v>890</v>
      </c>
      <c r="B12381" t="s">
        <v>6</v>
      </c>
      <c r="C12381" s="1">
        <f>HYPERLINK("https://cao.dolgi.msk.ru/account/1011406465/", 1011406465)</f>
        <v>1011406465</v>
      </c>
      <c r="D12381">
        <v>-448.54</v>
      </c>
    </row>
    <row r="12382" spans="1:4" x14ac:dyDescent="0.3">
      <c r="A12382" t="s">
        <v>890</v>
      </c>
      <c r="B12382" t="s">
        <v>28</v>
      </c>
      <c r="C12382" s="1">
        <f>HYPERLINK("https://cao.dolgi.msk.ru/account/1011406326/", 1011406326)</f>
        <v>1011406326</v>
      </c>
      <c r="D12382">
        <v>584.30999999999995</v>
      </c>
    </row>
    <row r="12383" spans="1:4" hidden="1" x14ac:dyDescent="0.3">
      <c r="A12383" t="s">
        <v>890</v>
      </c>
      <c r="B12383" t="s">
        <v>35</v>
      </c>
      <c r="C12383" s="1">
        <f>HYPERLINK("https://cao.dolgi.msk.ru/account/1011406342/", 1011406342)</f>
        <v>1011406342</v>
      </c>
      <c r="D12383">
        <v>-6437.07</v>
      </c>
    </row>
    <row r="12384" spans="1:4" hidden="1" x14ac:dyDescent="0.3">
      <c r="A12384" t="s">
        <v>890</v>
      </c>
      <c r="B12384" t="s">
        <v>5</v>
      </c>
      <c r="C12384" s="1">
        <f>HYPERLINK("https://cao.dolgi.msk.ru/account/1011406318/", 1011406318)</f>
        <v>1011406318</v>
      </c>
      <c r="D12384">
        <v>0</v>
      </c>
    </row>
    <row r="12385" spans="1:4" hidden="1" x14ac:dyDescent="0.3">
      <c r="A12385" t="s">
        <v>890</v>
      </c>
      <c r="B12385" t="s">
        <v>7</v>
      </c>
      <c r="C12385" s="1">
        <f>HYPERLINK("https://cao.dolgi.msk.ru/account/1011406297/", 1011406297)</f>
        <v>1011406297</v>
      </c>
      <c r="D12385">
        <v>-12186.31</v>
      </c>
    </row>
    <row r="12386" spans="1:4" hidden="1" x14ac:dyDescent="0.3">
      <c r="A12386" t="s">
        <v>890</v>
      </c>
      <c r="B12386" t="s">
        <v>8</v>
      </c>
      <c r="C12386" s="1">
        <f>HYPERLINK("https://cao.dolgi.msk.ru/account/1011530116/", 1011530116)</f>
        <v>1011530116</v>
      </c>
      <c r="D12386">
        <v>0</v>
      </c>
    </row>
    <row r="12387" spans="1:4" x14ac:dyDescent="0.3">
      <c r="A12387" t="s">
        <v>890</v>
      </c>
      <c r="B12387" t="s">
        <v>31</v>
      </c>
      <c r="C12387" s="1">
        <f>HYPERLINK("https://cao.dolgi.msk.ru/account/1011406377/", 1011406377)</f>
        <v>1011406377</v>
      </c>
      <c r="D12387">
        <v>1230.04</v>
      </c>
    </row>
    <row r="12388" spans="1:4" hidden="1" x14ac:dyDescent="0.3">
      <c r="A12388" t="s">
        <v>890</v>
      </c>
      <c r="B12388" t="s">
        <v>9</v>
      </c>
      <c r="C12388" s="1">
        <f>HYPERLINK("https://cao.dolgi.msk.ru/account/1011406393/", 1011406393)</f>
        <v>1011406393</v>
      </c>
      <c r="D12388">
        <v>-1122.5</v>
      </c>
    </row>
    <row r="12389" spans="1:4" hidden="1" x14ac:dyDescent="0.3">
      <c r="A12389" t="s">
        <v>890</v>
      </c>
      <c r="B12389" t="s">
        <v>10</v>
      </c>
      <c r="C12389" s="1">
        <f>HYPERLINK("https://cao.dolgi.msk.ru/account/1011406449/", 1011406449)</f>
        <v>1011406449</v>
      </c>
      <c r="D12389">
        <v>0</v>
      </c>
    </row>
    <row r="12390" spans="1:4" hidden="1" x14ac:dyDescent="0.3">
      <c r="A12390" t="s">
        <v>890</v>
      </c>
      <c r="B12390" t="s">
        <v>11</v>
      </c>
      <c r="C12390" s="1">
        <f>HYPERLINK("https://cao.dolgi.msk.ru/account/1011406422/", 1011406422)</f>
        <v>1011406422</v>
      </c>
      <c r="D12390">
        <v>0</v>
      </c>
    </row>
    <row r="12391" spans="1:4" hidden="1" x14ac:dyDescent="0.3">
      <c r="A12391" t="s">
        <v>890</v>
      </c>
      <c r="B12391" t="s">
        <v>13</v>
      </c>
      <c r="C12391" s="1">
        <f>HYPERLINK("https://cao.dolgi.msk.ru/account/1011406385/", 1011406385)</f>
        <v>1011406385</v>
      </c>
      <c r="D12391">
        <v>-245</v>
      </c>
    </row>
    <row r="12392" spans="1:4" x14ac:dyDescent="0.3">
      <c r="A12392" t="s">
        <v>890</v>
      </c>
      <c r="B12392" t="s">
        <v>14</v>
      </c>
      <c r="C12392" s="1">
        <f>HYPERLINK("https://cao.dolgi.msk.ru/account/1011406406/", 1011406406)</f>
        <v>1011406406</v>
      </c>
      <c r="D12392">
        <v>260</v>
      </c>
    </row>
    <row r="12393" spans="1:4" hidden="1" x14ac:dyDescent="0.3">
      <c r="A12393" t="s">
        <v>890</v>
      </c>
      <c r="B12393" t="s">
        <v>14</v>
      </c>
      <c r="C12393" s="1">
        <f>HYPERLINK("https://cao.dolgi.msk.ru/account/1011530503/", 1011530503)</f>
        <v>1011530503</v>
      </c>
      <c r="D12393">
        <v>0</v>
      </c>
    </row>
    <row r="12394" spans="1:4" hidden="1" x14ac:dyDescent="0.3">
      <c r="A12394" t="s">
        <v>890</v>
      </c>
      <c r="B12394" t="s">
        <v>16</v>
      </c>
      <c r="C12394" s="1">
        <f>HYPERLINK("https://cao.dolgi.msk.ru/account/1011406457/", 1011406457)</f>
        <v>1011406457</v>
      </c>
      <c r="D12394">
        <v>-10881.37</v>
      </c>
    </row>
    <row r="12395" spans="1:4" x14ac:dyDescent="0.3">
      <c r="A12395" t="s">
        <v>890</v>
      </c>
      <c r="B12395" t="s">
        <v>17</v>
      </c>
      <c r="C12395" s="1">
        <f>HYPERLINK("https://cao.dolgi.msk.ru/account/1011406369/", 1011406369)</f>
        <v>1011406369</v>
      </c>
      <c r="D12395">
        <v>33472.44</v>
      </c>
    </row>
    <row r="12396" spans="1:4" x14ac:dyDescent="0.3">
      <c r="A12396" t="s">
        <v>890</v>
      </c>
      <c r="B12396" t="s">
        <v>18</v>
      </c>
      <c r="C12396" s="1">
        <f>HYPERLINK("https://cao.dolgi.msk.ru/account/1011406334/", 1011406334)</f>
        <v>1011406334</v>
      </c>
      <c r="D12396">
        <v>85542.61</v>
      </c>
    </row>
    <row r="12397" spans="1:4" hidden="1" x14ac:dyDescent="0.3">
      <c r="A12397" t="s">
        <v>891</v>
      </c>
      <c r="B12397" t="s">
        <v>6</v>
      </c>
      <c r="C12397" s="1">
        <f>HYPERLINK("https://cao.dolgi.msk.ru/account/1011054682/", 1011054682)</f>
        <v>1011054682</v>
      </c>
      <c r="D12397">
        <v>0</v>
      </c>
    </row>
    <row r="12398" spans="1:4" hidden="1" x14ac:dyDescent="0.3">
      <c r="A12398" t="s">
        <v>891</v>
      </c>
      <c r="B12398" t="s">
        <v>28</v>
      </c>
      <c r="C12398" s="1">
        <f>HYPERLINK("https://cao.dolgi.msk.ru/account/1011054607/", 1011054607)</f>
        <v>1011054607</v>
      </c>
      <c r="D12398">
        <v>0</v>
      </c>
    </row>
    <row r="12399" spans="1:4" x14ac:dyDescent="0.3">
      <c r="A12399" t="s">
        <v>891</v>
      </c>
      <c r="B12399" t="s">
        <v>35</v>
      </c>
      <c r="C12399" s="1">
        <f>HYPERLINK("https://cao.dolgi.msk.ru/account/1011054818/", 1011054818)</f>
        <v>1011054818</v>
      </c>
      <c r="D12399">
        <v>15742.19</v>
      </c>
    </row>
    <row r="12400" spans="1:4" x14ac:dyDescent="0.3">
      <c r="A12400" t="s">
        <v>891</v>
      </c>
      <c r="B12400" t="s">
        <v>5</v>
      </c>
      <c r="C12400" s="1">
        <f>HYPERLINK("https://cao.dolgi.msk.ru/account/1011054885/", 1011054885)</f>
        <v>1011054885</v>
      </c>
      <c r="D12400">
        <v>10.26</v>
      </c>
    </row>
    <row r="12401" spans="1:4" hidden="1" x14ac:dyDescent="0.3">
      <c r="A12401" t="s">
        <v>891</v>
      </c>
      <c r="B12401" t="s">
        <v>5</v>
      </c>
      <c r="C12401" s="1">
        <f>HYPERLINK("https://cao.dolgi.msk.ru/account/1011054981/", 1011054981)</f>
        <v>1011054981</v>
      </c>
      <c r="D12401">
        <v>0</v>
      </c>
    </row>
    <row r="12402" spans="1:4" hidden="1" x14ac:dyDescent="0.3">
      <c r="A12402" t="s">
        <v>891</v>
      </c>
      <c r="B12402" t="s">
        <v>7</v>
      </c>
      <c r="C12402" s="1">
        <f>HYPERLINK("https://cao.dolgi.msk.ru/account/1011054738/", 1011054738)</f>
        <v>1011054738</v>
      </c>
      <c r="D12402">
        <v>0</v>
      </c>
    </row>
    <row r="12403" spans="1:4" hidden="1" x14ac:dyDescent="0.3">
      <c r="A12403" t="s">
        <v>891</v>
      </c>
      <c r="B12403" t="s">
        <v>7</v>
      </c>
      <c r="C12403" s="1">
        <f>HYPERLINK("https://cao.dolgi.msk.ru/account/1011054842/", 1011054842)</f>
        <v>1011054842</v>
      </c>
      <c r="D12403">
        <v>0</v>
      </c>
    </row>
    <row r="12404" spans="1:4" hidden="1" x14ac:dyDescent="0.3">
      <c r="A12404" t="s">
        <v>891</v>
      </c>
      <c r="B12404" t="s">
        <v>7</v>
      </c>
      <c r="C12404" s="1">
        <f>HYPERLINK("https://cao.dolgi.msk.ru/account/1011054893/", 1011054893)</f>
        <v>1011054893</v>
      </c>
      <c r="D12404">
        <v>-2271.7800000000002</v>
      </c>
    </row>
    <row r="12405" spans="1:4" hidden="1" x14ac:dyDescent="0.3">
      <c r="A12405" t="s">
        <v>891</v>
      </c>
      <c r="B12405" t="s">
        <v>8</v>
      </c>
      <c r="C12405" s="1">
        <f>HYPERLINK("https://cao.dolgi.msk.ru/account/1011054666/", 1011054666)</f>
        <v>1011054666</v>
      </c>
      <c r="D12405">
        <v>-11068.6</v>
      </c>
    </row>
    <row r="12406" spans="1:4" hidden="1" x14ac:dyDescent="0.3">
      <c r="A12406" t="s">
        <v>891</v>
      </c>
      <c r="B12406" t="s">
        <v>31</v>
      </c>
      <c r="C12406" s="1">
        <f>HYPERLINK("https://cao.dolgi.msk.ru/account/1011054746/", 1011054746)</f>
        <v>1011054746</v>
      </c>
      <c r="D12406">
        <v>0</v>
      </c>
    </row>
    <row r="12407" spans="1:4" hidden="1" x14ac:dyDescent="0.3">
      <c r="A12407" t="s">
        <v>891</v>
      </c>
      <c r="B12407" t="s">
        <v>9</v>
      </c>
      <c r="C12407" s="1">
        <f>HYPERLINK("https://cao.dolgi.msk.ru/account/1011054754/", 1011054754)</f>
        <v>1011054754</v>
      </c>
      <c r="D12407">
        <v>-12917.56</v>
      </c>
    </row>
    <row r="12408" spans="1:4" hidden="1" x14ac:dyDescent="0.3">
      <c r="A12408" t="s">
        <v>891</v>
      </c>
      <c r="B12408" t="s">
        <v>23</v>
      </c>
      <c r="C12408" s="1">
        <f>HYPERLINK("https://cao.dolgi.msk.ru/account/1011054906/", 1011054906)</f>
        <v>1011054906</v>
      </c>
      <c r="D12408">
        <v>0</v>
      </c>
    </row>
    <row r="12409" spans="1:4" hidden="1" x14ac:dyDescent="0.3">
      <c r="A12409" t="s">
        <v>891</v>
      </c>
      <c r="B12409" t="s">
        <v>13</v>
      </c>
      <c r="C12409" s="1">
        <f>HYPERLINK("https://cao.dolgi.msk.ru/account/1011054703/", 1011054703)</f>
        <v>1011054703</v>
      </c>
      <c r="D12409">
        <v>0</v>
      </c>
    </row>
    <row r="12410" spans="1:4" hidden="1" x14ac:dyDescent="0.3">
      <c r="A12410" t="s">
        <v>891</v>
      </c>
      <c r="B12410" t="s">
        <v>14</v>
      </c>
      <c r="C12410" s="1">
        <f>HYPERLINK("https://cao.dolgi.msk.ru/account/1011054594/", 1011054594)</f>
        <v>1011054594</v>
      </c>
      <c r="D12410">
        <v>0</v>
      </c>
    </row>
    <row r="12411" spans="1:4" hidden="1" x14ac:dyDescent="0.3">
      <c r="A12411" t="s">
        <v>891</v>
      </c>
      <c r="B12411" t="s">
        <v>16</v>
      </c>
      <c r="C12411" s="1">
        <f>HYPERLINK("https://cao.dolgi.msk.ru/account/1011054922/", 1011054922)</f>
        <v>1011054922</v>
      </c>
      <c r="D12411">
        <v>0</v>
      </c>
    </row>
    <row r="12412" spans="1:4" x14ac:dyDescent="0.3">
      <c r="A12412" t="s">
        <v>891</v>
      </c>
      <c r="B12412" t="s">
        <v>17</v>
      </c>
      <c r="C12412" s="1">
        <f>HYPERLINK("https://cao.dolgi.msk.ru/account/1011054762/", 1011054762)</f>
        <v>1011054762</v>
      </c>
      <c r="D12412">
        <v>21207.34</v>
      </c>
    </row>
    <row r="12413" spans="1:4" hidden="1" x14ac:dyDescent="0.3">
      <c r="A12413" t="s">
        <v>891</v>
      </c>
      <c r="B12413" t="s">
        <v>17</v>
      </c>
      <c r="C12413" s="1">
        <f>HYPERLINK("https://cao.dolgi.msk.ru/account/1011054826/", 1011054826)</f>
        <v>1011054826</v>
      </c>
      <c r="D12413">
        <v>0</v>
      </c>
    </row>
    <row r="12414" spans="1:4" hidden="1" x14ac:dyDescent="0.3">
      <c r="A12414" t="s">
        <v>891</v>
      </c>
      <c r="B12414" t="s">
        <v>17</v>
      </c>
      <c r="C12414" s="1">
        <f>HYPERLINK("https://cao.dolgi.msk.ru/account/1011054877/", 1011054877)</f>
        <v>1011054877</v>
      </c>
      <c r="D12414">
        <v>0</v>
      </c>
    </row>
    <row r="12415" spans="1:4" hidden="1" x14ac:dyDescent="0.3">
      <c r="A12415" t="s">
        <v>891</v>
      </c>
      <c r="B12415" t="s">
        <v>18</v>
      </c>
      <c r="C12415" s="1">
        <f>HYPERLINK("https://cao.dolgi.msk.ru/account/1011054674/", 1011054674)</f>
        <v>1011054674</v>
      </c>
      <c r="D12415">
        <v>0</v>
      </c>
    </row>
    <row r="12416" spans="1:4" hidden="1" x14ac:dyDescent="0.3">
      <c r="A12416" t="s">
        <v>891</v>
      </c>
      <c r="B12416" t="s">
        <v>19</v>
      </c>
      <c r="C12416" s="1">
        <f>HYPERLINK("https://cao.dolgi.msk.ru/account/1011054631/", 1011054631)</f>
        <v>1011054631</v>
      </c>
      <c r="D12416">
        <v>0</v>
      </c>
    </row>
    <row r="12417" spans="1:4" hidden="1" x14ac:dyDescent="0.3">
      <c r="A12417" t="s">
        <v>891</v>
      </c>
      <c r="B12417" t="s">
        <v>20</v>
      </c>
      <c r="C12417" s="1">
        <f>HYPERLINK("https://cao.dolgi.msk.ru/account/1011054789/", 1011054789)</f>
        <v>1011054789</v>
      </c>
      <c r="D12417">
        <v>0</v>
      </c>
    </row>
    <row r="12418" spans="1:4" hidden="1" x14ac:dyDescent="0.3">
      <c r="A12418" t="s">
        <v>891</v>
      </c>
      <c r="B12418" t="s">
        <v>21</v>
      </c>
      <c r="C12418" s="1">
        <f>HYPERLINK("https://cao.dolgi.msk.ru/account/1011054965/", 1011054965)</f>
        <v>1011054965</v>
      </c>
      <c r="D12418">
        <v>0</v>
      </c>
    </row>
    <row r="12419" spans="1:4" x14ac:dyDescent="0.3">
      <c r="A12419" t="s">
        <v>891</v>
      </c>
      <c r="B12419" t="s">
        <v>22</v>
      </c>
      <c r="C12419" s="1">
        <f>HYPERLINK("https://cao.dolgi.msk.ru/account/1011054615/", 1011054615)</f>
        <v>1011054615</v>
      </c>
      <c r="D12419">
        <v>6094.57</v>
      </c>
    </row>
    <row r="12420" spans="1:4" hidden="1" x14ac:dyDescent="0.3">
      <c r="A12420" t="s">
        <v>891</v>
      </c>
      <c r="B12420" t="s">
        <v>24</v>
      </c>
      <c r="C12420" s="1">
        <f>HYPERLINK("https://cao.dolgi.msk.ru/account/1011054973/", 1011054973)</f>
        <v>1011054973</v>
      </c>
      <c r="D12420">
        <v>0</v>
      </c>
    </row>
    <row r="12421" spans="1:4" hidden="1" x14ac:dyDescent="0.3">
      <c r="A12421" t="s">
        <v>891</v>
      </c>
      <c r="B12421" t="s">
        <v>25</v>
      </c>
      <c r="C12421" s="1">
        <f>HYPERLINK("https://cao.dolgi.msk.ru/account/1011054711/", 1011054711)</f>
        <v>1011054711</v>
      </c>
      <c r="D12421">
        <v>-134.28</v>
      </c>
    </row>
    <row r="12422" spans="1:4" hidden="1" x14ac:dyDescent="0.3">
      <c r="A12422" t="s">
        <v>891</v>
      </c>
      <c r="B12422" t="s">
        <v>25</v>
      </c>
      <c r="C12422" s="1">
        <f>HYPERLINK("https://cao.dolgi.msk.ru/account/1011054834/", 1011054834)</f>
        <v>1011054834</v>
      </c>
      <c r="D12422">
        <v>-6048.48</v>
      </c>
    </row>
    <row r="12423" spans="1:4" hidden="1" x14ac:dyDescent="0.3">
      <c r="A12423" t="s">
        <v>891</v>
      </c>
      <c r="B12423" t="s">
        <v>26</v>
      </c>
      <c r="C12423" s="1">
        <f>HYPERLINK("https://cao.dolgi.msk.ru/account/1011054658/", 1011054658)</f>
        <v>1011054658</v>
      </c>
      <c r="D12423">
        <v>0</v>
      </c>
    </row>
    <row r="12424" spans="1:4" hidden="1" x14ac:dyDescent="0.3">
      <c r="A12424" t="s">
        <v>891</v>
      </c>
      <c r="B12424" t="s">
        <v>27</v>
      </c>
      <c r="C12424" s="1">
        <f>HYPERLINK("https://cao.dolgi.msk.ru/account/1011054623/", 1011054623)</f>
        <v>1011054623</v>
      </c>
      <c r="D12424">
        <v>-9610.1200000000008</v>
      </c>
    </row>
    <row r="12425" spans="1:4" hidden="1" x14ac:dyDescent="0.3">
      <c r="A12425" t="s">
        <v>891</v>
      </c>
      <c r="B12425" t="s">
        <v>29</v>
      </c>
      <c r="C12425" s="1">
        <f>HYPERLINK("https://cao.dolgi.msk.ru/account/1011054949/", 1011054949)</f>
        <v>1011054949</v>
      </c>
      <c r="D12425">
        <v>0</v>
      </c>
    </row>
    <row r="12426" spans="1:4" hidden="1" x14ac:dyDescent="0.3">
      <c r="A12426" t="s">
        <v>891</v>
      </c>
      <c r="B12426" t="s">
        <v>38</v>
      </c>
      <c r="C12426" s="1">
        <f>HYPERLINK("https://cao.dolgi.msk.ru/account/1011054914/", 1011054914)</f>
        <v>1011054914</v>
      </c>
      <c r="D12426">
        <v>-26502.27</v>
      </c>
    </row>
    <row r="12427" spans="1:4" hidden="1" x14ac:dyDescent="0.3">
      <c r="A12427" t="s">
        <v>891</v>
      </c>
      <c r="B12427" t="s">
        <v>39</v>
      </c>
      <c r="C12427" s="1">
        <f>HYPERLINK("https://cao.dolgi.msk.ru/account/1011054797/", 1011054797)</f>
        <v>1011054797</v>
      </c>
      <c r="D12427">
        <v>-113.3</v>
      </c>
    </row>
    <row r="12428" spans="1:4" hidden="1" x14ac:dyDescent="0.3">
      <c r="A12428" t="s">
        <v>891</v>
      </c>
      <c r="B12428" t="s">
        <v>40</v>
      </c>
      <c r="C12428" s="1">
        <f>HYPERLINK("https://cao.dolgi.msk.ru/account/1011054957/", 1011054957)</f>
        <v>1011054957</v>
      </c>
      <c r="D12428">
        <v>-1012.56</v>
      </c>
    </row>
    <row r="12429" spans="1:4" hidden="1" x14ac:dyDescent="0.3">
      <c r="A12429" t="s">
        <v>892</v>
      </c>
      <c r="B12429" t="s">
        <v>6</v>
      </c>
      <c r="C12429" s="1">
        <f>HYPERLINK("https://cao.dolgi.msk.ru/account/1011384649/", 1011384649)</f>
        <v>1011384649</v>
      </c>
      <c r="D12429">
        <v>0</v>
      </c>
    </row>
    <row r="12430" spans="1:4" hidden="1" x14ac:dyDescent="0.3">
      <c r="A12430" t="s">
        <v>892</v>
      </c>
      <c r="B12430" t="s">
        <v>28</v>
      </c>
      <c r="C12430" s="1">
        <f>HYPERLINK("https://cao.dolgi.msk.ru/account/1011384227/", 1011384227)</f>
        <v>1011384227</v>
      </c>
      <c r="D12430">
        <v>-8650.2900000000009</v>
      </c>
    </row>
    <row r="12431" spans="1:4" hidden="1" x14ac:dyDescent="0.3">
      <c r="A12431" t="s">
        <v>892</v>
      </c>
      <c r="B12431" t="s">
        <v>28</v>
      </c>
      <c r="C12431" s="1">
        <f>HYPERLINK("https://cao.dolgi.msk.ru/account/1011384243/", 1011384243)</f>
        <v>1011384243</v>
      </c>
      <c r="D12431">
        <v>-1821.72</v>
      </c>
    </row>
    <row r="12432" spans="1:4" hidden="1" x14ac:dyDescent="0.3">
      <c r="A12432" t="s">
        <v>892</v>
      </c>
      <c r="B12432" t="s">
        <v>28</v>
      </c>
      <c r="C12432" s="1">
        <f>HYPERLINK("https://cao.dolgi.msk.ru/account/1011384307/", 1011384307)</f>
        <v>1011384307</v>
      </c>
      <c r="D12432">
        <v>-10549.23</v>
      </c>
    </row>
    <row r="12433" spans="1:4" hidden="1" x14ac:dyDescent="0.3">
      <c r="A12433" t="s">
        <v>892</v>
      </c>
      <c r="B12433" t="s">
        <v>28</v>
      </c>
      <c r="C12433" s="1">
        <f>HYPERLINK("https://cao.dolgi.msk.ru/account/1011384323/", 1011384323)</f>
        <v>1011384323</v>
      </c>
      <c r="D12433">
        <v>-3284.65</v>
      </c>
    </row>
    <row r="12434" spans="1:4" hidden="1" x14ac:dyDescent="0.3">
      <c r="A12434" t="s">
        <v>892</v>
      </c>
      <c r="B12434" t="s">
        <v>28</v>
      </c>
      <c r="C12434" s="1">
        <f>HYPERLINK("https://cao.dolgi.msk.ru/account/1011384614/", 1011384614)</f>
        <v>1011384614</v>
      </c>
      <c r="D12434">
        <v>-2375.52</v>
      </c>
    </row>
    <row r="12435" spans="1:4" hidden="1" x14ac:dyDescent="0.3">
      <c r="A12435" t="s">
        <v>892</v>
      </c>
      <c r="B12435" t="s">
        <v>28</v>
      </c>
      <c r="C12435" s="1">
        <f>HYPERLINK("https://cao.dolgi.msk.ru/account/1011384657/", 1011384657)</f>
        <v>1011384657</v>
      </c>
      <c r="D12435">
        <v>-5034.3100000000004</v>
      </c>
    </row>
    <row r="12436" spans="1:4" hidden="1" x14ac:dyDescent="0.3">
      <c r="A12436" t="s">
        <v>892</v>
      </c>
      <c r="B12436" t="s">
        <v>28</v>
      </c>
      <c r="C12436" s="1">
        <f>HYPERLINK("https://cao.dolgi.msk.ru/account/1011384665/", 1011384665)</f>
        <v>1011384665</v>
      </c>
      <c r="D12436">
        <v>-2470.85</v>
      </c>
    </row>
    <row r="12437" spans="1:4" x14ac:dyDescent="0.3">
      <c r="A12437" t="s">
        <v>892</v>
      </c>
      <c r="B12437" t="s">
        <v>28</v>
      </c>
      <c r="C12437" s="1">
        <f>HYPERLINK("https://cao.dolgi.msk.ru/account/1011384681/", 1011384681)</f>
        <v>1011384681</v>
      </c>
      <c r="D12437">
        <v>7430.54</v>
      </c>
    </row>
    <row r="12438" spans="1:4" x14ac:dyDescent="0.3">
      <c r="A12438" t="s">
        <v>892</v>
      </c>
      <c r="B12438" t="s">
        <v>35</v>
      </c>
      <c r="C12438" s="1">
        <f>HYPERLINK("https://cao.dolgi.msk.ru/account/1011384112/", 1011384112)</f>
        <v>1011384112</v>
      </c>
      <c r="D12438">
        <v>29109.79</v>
      </c>
    </row>
    <row r="12439" spans="1:4" hidden="1" x14ac:dyDescent="0.3">
      <c r="A12439" t="s">
        <v>892</v>
      </c>
      <c r="B12439" t="s">
        <v>5</v>
      </c>
      <c r="C12439" s="1">
        <f>HYPERLINK("https://cao.dolgi.msk.ru/account/1011384518/", 1011384518)</f>
        <v>1011384518</v>
      </c>
      <c r="D12439">
        <v>0</v>
      </c>
    </row>
    <row r="12440" spans="1:4" x14ac:dyDescent="0.3">
      <c r="A12440" t="s">
        <v>892</v>
      </c>
      <c r="B12440" t="s">
        <v>7</v>
      </c>
      <c r="C12440" s="1">
        <f>HYPERLINK("https://cao.dolgi.msk.ru/account/1011384024/", 1011384024)</f>
        <v>1011384024</v>
      </c>
      <c r="D12440">
        <v>11775.33</v>
      </c>
    </row>
    <row r="12441" spans="1:4" hidden="1" x14ac:dyDescent="0.3">
      <c r="A12441" t="s">
        <v>892</v>
      </c>
      <c r="B12441" t="s">
        <v>7</v>
      </c>
      <c r="C12441" s="1">
        <f>HYPERLINK("https://cao.dolgi.msk.ru/account/1011384219/", 1011384219)</f>
        <v>1011384219</v>
      </c>
      <c r="D12441">
        <v>0</v>
      </c>
    </row>
    <row r="12442" spans="1:4" x14ac:dyDescent="0.3">
      <c r="A12442" t="s">
        <v>892</v>
      </c>
      <c r="B12442" t="s">
        <v>7</v>
      </c>
      <c r="C12442" s="1">
        <f>HYPERLINK("https://cao.dolgi.msk.ru/account/1011384315/", 1011384315)</f>
        <v>1011384315</v>
      </c>
      <c r="D12442">
        <v>7185.41</v>
      </c>
    </row>
    <row r="12443" spans="1:4" hidden="1" x14ac:dyDescent="0.3">
      <c r="A12443" t="s">
        <v>892</v>
      </c>
      <c r="B12443" t="s">
        <v>8</v>
      </c>
      <c r="C12443" s="1">
        <f>HYPERLINK("https://cao.dolgi.msk.ru/account/1011384139/", 1011384139)</f>
        <v>1011384139</v>
      </c>
      <c r="D12443">
        <v>0</v>
      </c>
    </row>
    <row r="12444" spans="1:4" x14ac:dyDescent="0.3">
      <c r="A12444" t="s">
        <v>892</v>
      </c>
      <c r="B12444" t="s">
        <v>8</v>
      </c>
      <c r="C12444" s="1">
        <f>HYPERLINK("https://cao.dolgi.msk.ru/account/1011384147/", 1011384147)</f>
        <v>1011384147</v>
      </c>
      <c r="D12444">
        <v>5999.42</v>
      </c>
    </row>
    <row r="12445" spans="1:4" x14ac:dyDescent="0.3">
      <c r="A12445" t="s">
        <v>892</v>
      </c>
      <c r="B12445" t="s">
        <v>8</v>
      </c>
      <c r="C12445" s="1">
        <f>HYPERLINK("https://cao.dolgi.msk.ru/account/1011384155/", 1011384155)</f>
        <v>1011384155</v>
      </c>
      <c r="D12445">
        <v>2957.63</v>
      </c>
    </row>
    <row r="12446" spans="1:4" hidden="1" x14ac:dyDescent="0.3">
      <c r="A12446" t="s">
        <v>892</v>
      </c>
      <c r="B12446" t="s">
        <v>8</v>
      </c>
      <c r="C12446" s="1">
        <f>HYPERLINK("https://cao.dolgi.msk.ru/account/1011384235/", 1011384235)</f>
        <v>1011384235</v>
      </c>
      <c r="D12446">
        <v>0</v>
      </c>
    </row>
    <row r="12447" spans="1:4" hidden="1" x14ac:dyDescent="0.3">
      <c r="A12447" t="s">
        <v>892</v>
      </c>
      <c r="B12447" t="s">
        <v>8</v>
      </c>
      <c r="C12447" s="1">
        <f>HYPERLINK("https://cao.dolgi.msk.ru/account/1011384294/", 1011384294)</f>
        <v>1011384294</v>
      </c>
      <c r="D12447">
        <v>-1506.28</v>
      </c>
    </row>
    <row r="12448" spans="1:4" hidden="1" x14ac:dyDescent="0.3">
      <c r="A12448" t="s">
        <v>892</v>
      </c>
      <c r="B12448" t="s">
        <v>8</v>
      </c>
      <c r="C12448" s="1">
        <f>HYPERLINK("https://cao.dolgi.msk.ru/account/1011384382/", 1011384382)</f>
        <v>1011384382</v>
      </c>
      <c r="D12448">
        <v>-2273.86</v>
      </c>
    </row>
    <row r="12449" spans="1:4" hidden="1" x14ac:dyDescent="0.3">
      <c r="A12449" t="s">
        <v>892</v>
      </c>
      <c r="B12449" t="s">
        <v>8</v>
      </c>
      <c r="C12449" s="1">
        <f>HYPERLINK("https://cao.dolgi.msk.ru/account/1011384622/", 1011384622)</f>
        <v>1011384622</v>
      </c>
      <c r="D12449">
        <v>0</v>
      </c>
    </row>
    <row r="12450" spans="1:4" hidden="1" x14ac:dyDescent="0.3">
      <c r="A12450" t="s">
        <v>892</v>
      </c>
      <c r="B12450" t="s">
        <v>8</v>
      </c>
      <c r="C12450" s="1">
        <f>HYPERLINK("https://cao.dolgi.msk.ru/account/1011384673/", 1011384673)</f>
        <v>1011384673</v>
      </c>
      <c r="D12450">
        <v>0</v>
      </c>
    </row>
    <row r="12451" spans="1:4" hidden="1" x14ac:dyDescent="0.3">
      <c r="A12451" t="s">
        <v>892</v>
      </c>
      <c r="B12451" t="s">
        <v>31</v>
      </c>
      <c r="C12451" s="1">
        <f>HYPERLINK("https://cao.dolgi.msk.ru/account/1011384411/", 1011384411)</f>
        <v>1011384411</v>
      </c>
      <c r="D12451">
        <v>-16830.32</v>
      </c>
    </row>
    <row r="12452" spans="1:4" hidden="1" x14ac:dyDescent="0.3">
      <c r="A12452" t="s">
        <v>892</v>
      </c>
      <c r="B12452" t="s">
        <v>9</v>
      </c>
      <c r="C12452" s="1">
        <f>HYPERLINK("https://cao.dolgi.msk.ru/account/1011384251/", 1011384251)</f>
        <v>1011384251</v>
      </c>
      <c r="D12452">
        <v>0</v>
      </c>
    </row>
    <row r="12453" spans="1:4" hidden="1" x14ac:dyDescent="0.3">
      <c r="A12453" t="s">
        <v>892</v>
      </c>
      <c r="B12453" t="s">
        <v>10</v>
      </c>
      <c r="C12453" s="1">
        <f>HYPERLINK("https://cao.dolgi.msk.ru/account/1011384526/", 1011384526)</f>
        <v>1011384526</v>
      </c>
      <c r="D12453">
        <v>0</v>
      </c>
    </row>
    <row r="12454" spans="1:4" x14ac:dyDescent="0.3">
      <c r="A12454" t="s">
        <v>892</v>
      </c>
      <c r="B12454" t="s">
        <v>11</v>
      </c>
      <c r="C12454" s="1">
        <f>HYPERLINK("https://cao.dolgi.msk.ru/account/1011384534/", 1011384534)</f>
        <v>1011384534</v>
      </c>
      <c r="D12454">
        <v>2528.4899999999998</v>
      </c>
    </row>
    <row r="12455" spans="1:4" hidden="1" x14ac:dyDescent="0.3">
      <c r="A12455" t="s">
        <v>892</v>
      </c>
      <c r="B12455" t="s">
        <v>11</v>
      </c>
      <c r="C12455" s="1">
        <f>HYPERLINK("https://cao.dolgi.msk.ru/account/1011384542/", 1011384542)</f>
        <v>1011384542</v>
      </c>
      <c r="D12455">
        <v>0</v>
      </c>
    </row>
    <row r="12456" spans="1:4" hidden="1" x14ac:dyDescent="0.3">
      <c r="A12456" t="s">
        <v>892</v>
      </c>
      <c r="B12456" t="s">
        <v>12</v>
      </c>
      <c r="C12456" s="1">
        <f>HYPERLINK("https://cao.dolgi.msk.ru/account/1011384032/", 1011384032)</f>
        <v>1011384032</v>
      </c>
      <c r="D12456">
        <v>-32623.52</v>
      </c>
    </row>
    <row r="12457" spans="1:4" x14ac:dyDescent="0.3">
      <c r="A12457" t="s">
        <v>892</v>
      </c>
      <c r="B12457" t="s">
        <v>23</v>
      </c>
      <c r="C12457" s="1">
        <f>HYPERLINK("https://cao.dolgi.msk.ru/account/1011384438/", 1011384438)</f>
        <v>1011384438</v>
      </c>
      <c r="D12457">
        <v>66240.63</v>
      </c>
    </row>
    <row r="12458" spans="1:4" x14ac:dyDescent="0.3">
      <c r="A12458" t="s">
        <v>892</v>
      </c>
      <c r="B12458" t="s">
        <v>23</v>
      </c>
      <c r="C12458" s="1">
        <f>HYPERLINK("https://cao.dolgi.msk.ru/account/1011384569/", 1011384569)</f>
        <v>1011384569</v>
      </c>
      <c r="D12458">
        <v>9417.85</v>
      </c>
    </row>
    <row r="12459" spans="1:4" hidden="1" x14ac:dyDescent="0.3">
      <c r="A12459" t="s">
        <v>892</v>
      </c>
      <c r="B12459" t="s">
        <v>13</v>
      </c>
      <c r="C12459" s="1">
        <f>HYPERLINK("https://cao.dolgi.msk.ru/account/1011384331/", 1011384331)</f>
        <v>1011384331</v>
      </c>
      <c r="D12459">
        <v>0</v>
      </c>
    </row>
    <row r="12460" spans="1:4" hidden="1" x14ac:dyDescent="0.3">
      <c r="A12460" t="s">
        <v>892</v>
      </c>
      <c r="B12460" t="s">
        <v>14</v>
      </c>
      <c r="C12460" s="1">
        <f>HYPERLINK("https://cao.dolgi.msk.ru/account/1011384059/", 1011384059)</f>
        <v>1011384059</v>
      </c>
      <c r="D12460">
        <v>-14111.39</v>
      </c>
    </row>
    <row r="12461" spans="1:4" hidden="1" x14ac:dyDescent="0.3">
      <c r="A12461" t="s">
        <v>892</v>
      </c>
      <c r="B12461" t="s">
        <v>16</v>
      </c>
      <c r="C12461" s="1">
        <f>HYPERLINK("https://cao.dolgi.msk.ru/account/1011384163/", 1011384163)</f>
        <v>1011384163</v>
      </c>
      <c r="D12461">
        <v>-6.82</v>
      </c>
    </row>
    <row r="12462" spans="1:4" hidden="1" x14ac:dyDescent="0.3">
      <c r="A12462" t="s">
        <v>892</v>
      </c>
      <c r="B12462" t="s">
        <v>17</v>
      </c>
      <c r="C12462" s="1">
        <f>HYPERLINK("https://cao.dolgi.msk.ru/account/1011384358/", 1011384358)</f>
        <v>1011384358</v>
      </c>
      <c r="D12462">
        <v>0</v>
      </c>
    </row>
    <row r="12463" spans="1:4" x14ac:dyDescent="0.3">
      <c r="A12463" t="s">
        <v>892</v>
      </c>
      <c r="B12463" t="s">
        <v>18</v>
      </c>
      <c r="C12463" s="1">
        <f>HYPERLINK("https://cao.dolgi.msk.ru/account/1011384446/", 1011384446)</f>
        <v>1011384446</v>
      </c>
      <c r="D12463">
        <v>14821.17</v>
      </c>
    </row>
    <row r="12464" spans="1:4" x14ac:dyDescent="0.3">
      <c r="A12464" t="s">
        <v>892</v>
      </c>
      <c r="B12464" t="s">
        <v>19</v>
      </c>
      <c r="C12464" s="1">
        <f>HYPERLINK("https://cao.dolgi.msk.ru/account/1011384171/", 1011384171)</f>
        <v>1011384171</v>
      </c>
      <c r="D12464">
        <v>70583.14</v>
      </c>
    </row>
    <row r="12465" spans="1:4" hidden="1" x14ac:dyDescent="0.3">
      <c r="A12465" t="s">
        <v>892</v>
      </c>
      <c r="B12465" t="s">
        <v>20</v>
      </c>
      <c r="C12465" s="1">
        <f>HYPERLINK("https://cao.dolgi.msk.ru/account/1011384577/", 1011384577)</f>
        <v>1011384577</v>
      </c>
      <c r="D12465">
        <v>0</v>
      </c>
    </row>
    <row r="12466" spans="1:4" hidden="1" x14ac:dyDescent="0.3">
      <c r="A12466" t="s">
        <v>892</v>
      </c>
      <c r="B12466" t="s">
        <v>21</v>
      </c>
      <c r="C12466" s="1">
        <f>HYPERLINK("https://cao.dolgi.msk.ru/account/1011384067/", 1011384067)</f>
        <v>1011384067</v>
      </c>
      <c r="D12466">
        <v>-4535.29</v>
      </c>
    </row>
    <row r="12467" spans="1:4" x14ac:dyDescent="0.3">
      <c r="A12467" t="s">
        <v>892</v>
      </c>
      <c r="B12467" t="s">
        <v>21</v>
      </c>
      <c r="C12467" s="1">
        <f>HYPERLINK("https://cao.dolgi.msk.ru/account/1011384198/", 1011384198)</f>
        <v>1011384198</v>
      </c>
      <c r="D12467">
        <v>10339.48</v>
      </c>
    </row>
    <row r="12468" spans="1:4" hidden="1" x14ac:dyDescent="0.3">
      <c r="A12468" t="s">
        <v>892</v>
      </c>
      <c r="B12468" t="s">
        <v>21</v>
      </c>
      <c r="C12468" s="1">
        <f>HYPERLINK("https://cao.dolgi.msk.ru/account/1011384278/", 1011384278)</f>
        <v>1011384278</v>
      </c>
      <c r="D12468">
        <v>-0.52</v>
      </c>
    </row>
    <row r="12469" spans="1:4" hidden="1" x14ac:dyDescent="0.3">
      <c r="A12469" t="s">
        <v>892</v>
      </c>
      <c r="B12469" t="s">
        <v>21</v>
      </c>
      <c r="C12469" s="1">
        <f>HYPERLINK("https://cao.dolgi.msk.ru/account/1011384585/", 1011384585)</f>
        <v>1011384585</v>
      </c>
      <c r="D12469">
        <v>0</v>
      </c>
    </row>
    <row r="12470" spans="1:4" hidden="1" x14ac:dyDescent="0.3">
      <c r="A12470" t="s">
        <v>892</v>
      </c>
      <c r="B12470" t="s">
        <v>21</v>
      </c>
      <c r="C12470" s="1">
        <f>HYPERLINK("https://cao.dolgi.msk.ru/account/1011384593/", 1011384593)</f>
        <v>1011384593</v>
      </c>
      <c r="D12470">
        <v>-8305.27</v>
      </c>
    </row>
    <row r="12471" spans="1:4" hidden="1" x14ac:dyDescent="0.3">
      <c r="A12471" t="s">
        <v>892</v>
      </c>
      <c r="B12471" t="s">
        <v>22</v>
      </c>
      <c r="C12471" s="1">
        <f>HYPERLINK("https://cao.dolgi.msk.ru/account/1011384454/", 1011384454)</f>
        <v>1011384454</v>
      </c>
      <c r="D12471">
        <v>0</v>
      </c>
    </row>
    <row r="12472" spans="1:4" x14ac:dyDescent="0.3">
      <c r="A12472" t="s">
        <v>892</v>
      </c>
      <c r="B12472" t="s">
        <v>24</v>
      </c>
      <c r="C12472" s="1">
        <f>HYPERLINK("https://cao.dolgi.msk.ru/account/1011384366/", 1011384366)</f>
        <v>1011384366</v>
      </c>
      <c r="D12472">
        <v>13528.06</v>
      </c>
    </row>
    <row r="12473" spans="1:4" x14ac:dyDescent="0.3">
      <c r="A12473" t="s">
        <v>892</v>
      </c>
      <c r="B12473" t="s">
        <v>25</v>
      </c>
      <c r="C12473" s="1">
        <f>HYPERLINK("https://cao.dolgi.msk.ru/account/1011384091/", 1011384091)</f>
        <v>1011384091</v>
      </c>
      <c r="D12473">
        <v>9505.7800000000007</v>
      </c>
    </row>
    <row r="12474" spans="1:4" hidden="1" x14ac:dyDescent="0.3">
      <c r="A12474" t="s">
        <v>892</v>
      </c>
      <c r="B12474" t="s">
        <v>25</v>
      </c>
      <c r="C12474" s="1">
        <f>HYPERLINK("https://cao.dolgi.msk.ru/account/1011384462/", 1011384462)</f>
        <v>1011384462</v>
      </c>
      <c r="D12474">
        <v>0</v>
      </c>
    </row>
    <row r="12475" spans="1:4" hidden="1" x14ac:dyDescent="0.3">
      <c r="A12475" t="s">
        <v>892</v>
      </c>
      <c r="B12475" t="s">
        <v>25</v>
      </c>
      <c r="C12475" s="1">
        <f>HYPERLINK("https://cao.dolgi.msk.ru/account/1011384606/", 1011384606)</f>
        <v>1011384606</v>
      </c>
      <c r="D12475">
        <v>-245.68</v>
      </c>
    </row>
    <row r="12476" spans="1:4" hidden="1" x14ac:dyDescent="0.3">
      <c r="A12476" t="s">
        <v>892</v>
      </c>
      <c r="B12476" t="s">
        <v>26</v>
      </c>
      <c r="C12476" s="1">
        <f>HYPERLINK("https://cao.dolgi.msk.ru/account/1011384075/", 1011384075)</f>
        <v>1011384075</v>
      </c>
      <c r="D12476">
        <v>0</v>
      </c>
    </row>
    <row r="12477" spans="1:4" hidden="1" x14ac:dyDescent="0.3">
      <c r="A12477" t="s">
        <v>892</v>
      </c>
      <c r="B12477" t="s">
        <v>26</v>
      </c>
      <c r="C12477" s="1">
        <f>HYPERLINK("https://cao.dolgi.msk.ru/account/1011384083/", 1011384083)</f>
        <v>1011384083</v>
      </c>
      <c r="D12477">
        <v>0</v>
      </c>
    </row>
    <row r="12478" spans="1:4" hidden="1" x14ac:dyDescent="0.3">
      <c r="A12478" t="s">
        <v>892</v>
      </c>
      <c r="B12478" t="s">
        <v>26</v>
      </c>
      <c r="C12478" s="1">
        <f>HYPERLINK("https://cao.dolgi.msk.ru/account/1011384286/", 1011384286)</f>
        <v>1011384286</v>
      </c>
      <c r="D12478">
        <v>0</v>
      </c>
    </row>
    <row r="12479" spans="1:4" hidden="1" x14ac:dyDescent="0.3">
      <c r="A12479" t="s">
        <v>892</v>
      </c>
      <c r="B12479" t="s">
        <v>26</v>
      </c>
      <c r="C12479" s="1">
        <f>HYPERLINK("https://cao.dolgi.msk.ru/account/1011384374/", 1011384374)</f>
        <v>1011384374</v>
      </c>
      <c r="D12479">
        <v>0</v>
      </c>
    </row>
    <row r="12480" spans="1:4" x14ac:dyDescent="0.3">
      <c r="A12480" t="s">
        <v>892</v>
      </c>
      <c r="B12480" t="s">
        <v>26</v>
      </c>
      <c r="C12480" s="1">
        <f>HYPERLINK("https://cao.dolgi.msk.ru/account/1011384489/", 1011384489)</f>
        <v>1011384489</v>
      </c>
      <c r="D12480">
        <v>2859.81</v>
      </c>
    </row>
    <row r="12481" spans="1:4" hidden="1" x14ac:dyDescent="0.3">
      <c r="A12481" t="s">
        <v>892</v>
      </c>
      <c r="B12481" t="s">
        <v>29</v>
      </c>
      <c r="C12481" s="1">
        <f>HYPERLINK("https://cao.dolgi.msk.ru/account/1011384497/", 1011384497)</f>
        <v>1011384497</v>
      </c>
      <c r="D12481">
        <v>-8802.6200000000008</v>
      </c>
    </row>
    <row r="12482" spans="1:4" x14ac:dyDescent="0.3">
      <c r="A12482" t="s">
        <v>892</v>
      </c>
      <c r="B12482" t="s">
        <v>38</v>
      </c>
      <c r="C12482" s="1">
        <f>HYPERLINK("https://cao.dolgi.msk.ru/account/1011534088/", 1011534088)</f>
        <v>1011534088</v>
      </c>
      <c r="D12482">
        <v>8525.8799999999992</v>
      </c>
    </row>
    <row r="12483" spans="1:4" hidden="1" x14ac:dyDescent="0.3">
      <c r="A12483" t="s">
        <v>893</v>
      </c>
      <c r="B12483" t="s">
        <v>6</v>
      </c>
      <c r="C12483" s="1">
        <f>HYPERLINK("https://cao.dolgi.msk.ru/account/1011487576/", 1011487576)</f>
        <v>1011487576</v>
      </c>
      <c r="D12483">
        <v>0</v>
      </c>
    </row>
    <row r="12484" spans="1:4" hidden="1" x14ac:dyDescent="0.3">
      <c r="A12484" t="s">
        <v>893</v>
      </c>
      <c r="B12484" t="s">
        <v>28</v>
      </c>
      <c r="C12484" s="1">
        <f>HYPERLINK("https://cao.dolgi.msk.ru/account/1011487699/", 1011487699)</f>
        <v>1011487699</v>
      </c>
      <c r="D12484">
        <v>-10856.82</v>
      </c>
    </row>
    <row r="12485" spans="1:4" hidden="1" x14ac:dyDescent="0.3">
      <c r="A12485" t="s">
        <v>893</v>
      </c>
      <c r="B12485" t="s">
        <v>35</v>
      </c>
      <c r="C12485" s="1">
        <f>HYPERLINK("https://cao.dolgi.msk.ru/account/1011486872/", 1011486872)</f>
        <v>1011486872</v>
      </c>
      <c r="D12485">
        <v>0</v>
      </c>
    </row>
    <row r="12486" spans="1:4" x14ac:dyDescent="0.3">
      <c r="A12486" t="s">
        <v>893</v>
      </c>
      <c r="B12486" t="s">
        <v>35</v>
      </c>
      <c r="C12486" s="1">
        <f>HYPERLINK("https://cao.dolgi.msk.ru/account/1011487306/", 1011487306)</f>
        <v>1011487306</v>
      </c>
      <c r="D12486">
        <v>132327.23000000001</v>
      </c>
    </row>
    <row r="12487" spans="1:4" hidden="1" x14ac:dyDescent="0.3">
      <c r="A12487" t="s">
        <v>893</v>
      </c>
      <c r="B12487" t="s">
        <v>5</v>
      </c>
      <c r="C12487" s="1">
        <f>HYPERLINK("https://cao.dolgi.msk.ru/account/1011486899/", 1011486899)</f>
        <v>1011486899</v>
      </c>
      <c r="D12487">
        <v>-9685.0499999999993</v>
      </c>
    </row>
    <row r="12488" spans="1:4" hidden="1" x14ac:dyDescent="0.3">
      <c r="A12488" t="s">
        <v>893</v>
      </c>
      <c r="B12488" t="s">
        <v>7</v>
      </c>
      <c r="C12488" s="1">
        <f>HYPERLINK("https://cao.dolgi.msk.ru/account/1011487701/", 1011487701)</f>
        <v>1011487701</v>
      </c>
      <c r="D12488">
        <v>-18360.61</v>
      </c>
    </row>
    <row r="12489" spans="1:4" hidden="1" x14ac:dyDescent="0.3">
      <c r="A12489" t="s">
        <v>893</v>
      </c>
      <c r="B12489" t="s">
        <v>8</v>
      </c>
      <c r="C12489" s="1">
        <f>HYPERLINK("https://cao.dolgi.msk.ru/account/1011487373/", 1011487373)</f>
        <v>1011487373</v>
      </c>
      <c r="D12489">
        <v>0</v>
      </c>
    </row>
    <row r="12490" spans="1:4" hidden="1" x14ac:dyDescent="0.3">
      <c r="A12490" t="s">
        <v>893</v>
      </c>
      <c r="B12490" t="s">
        <v>31</v>
      </c>
      <c r="C12490" s="1">
        <f>HYPERLINK("https://cao.dolgi.msk.ru/account/1011486901/", 1011486901)</f>
        <v>1011486901</v>
      </c>
      <c r="D12490">
        <v>-16317.6</v>
      </c>
    </row>
    <row r="12491" spans="1:4" hidden="1" x14ac:dyDescent="0.3">
      <c r="A12491" t="s">
        <v>893</v>
      </c>
      <c r="B12491" t="s">
        <v>9</v>
      </c>
      <c r="C12491" s="1">
        <f>HYPERLINK("https://cao.dolgi.msk.ru/account/1011486928/", 1011486928)</f>
        <v>1011486928</v>
      </c>
      <c r="D12491">
        <v>0</v>
      </c>
    </row>
    <row r="12492" spans="1:4" hidden="1" x14ac:dyDescent="0.3">
      <c r="A12492" t="s">
        <v>893</v>
      </c>
      <c r="B12492" t="s">
        <v>10</v>
      </c>
      <c r="C12492" s="1">
        <f>HYPERLINK("https://cao.dolgi.msk.ru/account/1011487525/", 1011487525)</f>
        <v>1011487525</v>
      </c>
      <c r="D12492">
        <v>0</v>
      </c>
    </row>
    <row r="12493" spans="1:4" hidden="1" x14ac:dyDescent="0.3">
      <c r="A12493" t="s">
        <v>893</v>
      </c>
      <c r="B12493" t="s">
        <v>11</v>
      </c>
      <c r="C12493" s="1">
        <f>HYPERLINK("https://cao.dolgi.msk.ru/account/1011487111/", 1011487111)</f>
        <v>1011487111</v>
      </c>
      <c r="D12493">
        <v>0</v>
      </c>
    </row>
    <row r="12494" spans="1:4" x14ac:dyDescent="0.3">
      <c r="A12494" t="s">
        <v>893</v>
      </c>
      <c r="B12494" t="s">
        <v>12</v>
      </c>
      <c r="C12494" s="1">
        <f>HYPERLINK("https://cao.dolgi.msk.ru/account/1011486987/", 1011486987)</f>
        <v>1011486987</v>
      </c>
      <c r="D12494">
        <v>0.05</v>
      </c>
    </row>
    <row r="12495" spans="1:4" x14ac:dyDescent="0.3">
      <c r="A12495" t="s">
        <v>893</v>
      </c>
      <c r="B12495" t="s">
        <v>23</v>
      </c>
      <c r="C12495" s="1">
        <f>HYPERLINK("https://cao.dolgi.msk.ru/account/1011487381/", 1011487381)</f>
        <v>1011487381</v>
      </c>
      <c r="D12495">
        <v>26337.89</v>
      </c>
    </row>
    <row r="12496" spans="1:4" hidden="1" x14ac:dyDescent="0.3">
      <c r="A12496" t="s">
        <v>893</v>
      </c>
      <c r="B12496" t="s">
        <v>13</v>
      </c>
      <c r="C12496" s="1">
        <f>HYPERLINK("https://cao.dolgi.msk.ru/account/1011487314/", 1011487314)</f>
        <v>1011487314</v>
      </c>
      <c r="D12496">
        <v>-5859.83</v>
      </c>
    </row>
    <row r="12497" spans="1:4" hidden="1" x14ac:dyDescent="0.3">
      <c r="A12497" t="s">
        <v>893</v>
      </c>
      <c r="B12497" t="s">
        <v>14</v>
      </c>
      <c r="C12497" s="1">
        <f>HYPERLINK("https://cao.dolgi.msk.ru/account/1011487138/", 1011487138)</f>
        <v>1011487138</v>
      </c>
      <c r="D12497">
        <v>-129.9</v>
      </c>
    </row>
    <row r="12498" spans="1:4" hidden="1" x14ac:dyDescent="0.3">
      <c r="A12498" t="s">
        <v>893</v>
      </c>
      <c r="B12498" t="s">
        <v>16</v>
      </c>
      <c r="C12498" s="1">
        <f>HYPERLINK("https://cao.dolgi.msk.ru/account/1011487584/", 1011487584)</f>
        <v>1011487584</v>
      </c>
      <c r="D12498">
        <v>-566.91</v>
      </c>
    </row>
    <row r="12499" spans="1:4" x14ac:dyDescent="0.3">
      <c r="A12499" t="s">
        <v>893</v>
      </c>
      <c r="B12499" t="s">
        <v>17</v>
      </c>
      <c r="C12499" s="1">
        <f>HYPERLINK("https://cao.dolgi.msk.ru/account/1011487592/", 1011487592)</f>
        <v>1011487592</v>
      </c>
      <c r="D12499">
        <v>9850.64</v>
      </c>
    </row>
    <row r="12500" spans="1:4" x14ac:dyDescent="0.3">
      <c r="A12500" t="s">
        <v>893</v>
      </c>
      <c r="B12500" t="s">
        <v>17</v>
      </c>
      <c r="C12500" s="1">
        <f>HYPERLINK("https://cao.dolgi.msk.ru/account/1011487728/", 1011487728)</f>
        <v>1011487728</v>
      </c>
      <c r="D12500">
        <v>16418.55</v>
      </c>
    </row>
    <row r="12501" spans="1:4" hidden="1" x14ac:dyDescent="0.3">
      <c r="A12501" t="s">
        <v>893</v>
      </c>
      <c r="B12501" t="s">
        <v>18</v>
      </c>
      <c r="C12501" s="1">
        <f>HYPERLINK("https://cao.dolgi.msk.ru/account/1011486995/", 1011486995)</f>
        <v>1011486995</v>
      </c>
      <c r="D12501">
        <v>0</v>
      </c>
    </row>
    <row r="12502" spans="1:4" hidden="1" x14ac:dyDescent="0.3">
      <c r="A12502" t="s">
        <v>893</v>
      </c>
      <c r="B12502" t="s">
        <v>19</v>
      </c>
      <c r="C12502" s="1">
        <f>HYPERLINK("https://cao.dolgi.msk.ru/account/1011487736/", 1011487736)</f>
        <v>1011487736</v>
      </c>
      <c r="D12502">
        <v>0</v>
      </c>
    </row>
    <row r="12503" spans="1:4" hidden="1" x14ac:dyDescent="0.3">
      <c r="A12503" t="s">
        <v>893</v>
      </c>
      <c r="B12503" t="s">
        <v>20</v>
      </c>
      <c r="C12503" s="1">
        <f>HYPERLINK("https://cao.dolgi.msk.ru/account/1011487744/", 1011487744)</f>
        <v>1011487744</v>
      </c>
      <c r="D12503">
        <v>0</v>
      </c>
    </row>
    <row r="12504" spans="1:4" hidden="1" x14ac:dyDescent="0.3">
      <c r="A12504" t="s">
        <v>893</v>
      </c>
      <c r="B12504" t="s">
        <v>21</v>
      </c>
      <c r="C12504" s="1">
        <f>HYPERLINK("https://cao.dolgi.msk.ru/account/1011487007/", 1011487007)</f>
        <v>1011487007</v>
      </c>
      <c r="D12504">
        <v>-35391.75</v>
      </c>
    </row>
    <row r="12505" spans="1:4" hidden="1" x14ac:dyDescent="0.3">
      <c r="A12505" t="s">
        <v>893</v>
      </c>
      <c r="B12505" t="s">
        <v>22</v>
      </c>
      <c r="C12505" s="1">
        <f>HYPERLINK("https://cao.dolgi.msk.ru/account/1011487752/", 1011487752)</f>
        <v>1011487752</v>
      </c>
      <c r="D12505">
        <v>0</v>
      </c>
    </row>
    <row r="12506" spans="1:4" hidden="1" x14ac:dyDescent="0.3">
      <c r="A12506" t="s">
        <v>893</v>
      </c>
      <c r="B12506" t="s">
        <v>24</v>
      </c>
      <c r="C12506" s="1">
        <f>HYPERLINK("https://cao.dolgi.msk.ru/account/1011487605/", 1011487605)</f>
        <v>1011487605</v>
      </c>
      <c r="D12506">
        <v>0</v>
      </c>
    </row>
    <row r="12507" spans="1:4" hidden="1" x14ac:dyDescent="0.3">
      <c r="A12507" t="s">
        <v>893</v>
      </c>
      <c r="B12507" t="s">
        <v>25</v>
      </c>
      <c r="C12507" s="1">
        <f>HYPERLINK("https://cao.dolgi.msk.ru/account/1011487779/", 1011487779)</f>
        <v>1011487779</v>
      </c>
      <c r="D12507">
        <v>-14493.38</v>
      </c>
    </row>
    <row r="12508" spans="1:4" hidden="1" x14ac:dyDescent="0.3">
      <c r="A12508" t="s">
        <v>893</v>
      </c>
      <c r="B12508" t="s">
        <v>26</v>
      </c>
      <c r="C12508" s="1">
        <f>HYPERLINK("https://cao.dolgi.msk.ru/account/1011487322/", 1011487322)</f>
        <v>1011487322</v>
      </c>
      <c r="D12508">
        <v>-12307.9</v>
      </c>
    </row>
    <row r="12509" spans="1:4" hidden="1" x14ac:dyDescent="0.3">
      <c r="A12509" t="s">
        <v>893</v>
      </c>
      <c r="B12509" t="s">
        <v>27</v>
      </c>
      <c r="C12509" s="1">
        <f>HYPERLINK("https://cao.dolgi.msk.ru/account/1011487787/", 1011487787)</f>
        <v>1011487787</v>
      </c>
      <c r="D12509">
        <v>0</v>
      </c>
    </row>
    <row r="12510" spans="1:4" hidden="1" x14ac:dyDescent="0.3">
      <c r="A12510" t="s">
        <v>893</v>
      </c>
      <c r="B12510" t="s">
        <v>29</v>
      </c>
      <c r="C12510" s="1">
        <f>HYPERLINK("https://cao.dolgi.msk.ru/account/1011487402/", 1011487402)</f>
        <v>1011487402</v>
      </c>
      <c r="D12510">
        <v>-0.01</v>
      </c>
    </row>
    <row r="12511" spans="1:4" hidden="1" x14ac:dyDescent="0.3">
      <c r="A12511" t="s">
        <v>893</v>
      </c>
      <c r="B12511" t="s">
        <v>38</v>
      </c>
      <c r="C12511" s="1">
        <f>HYPERLINK("https://cao.dolgi.msk.ru/account/1011487146/", 1011487146)</f>
        <v>1011487146</v>
      </c>
      <c r="D12511">
        <v>0</v>
      </c>
    </row>
    <row r="12512" spans="1:4" hidden="1" x14ac:dyDescent="0.3">
      <c r="A12512" t="s">
        <v>893</v>
      </c>
      <c r="B12512" t="s">
        <v>39</v>
      </c>
      <c r="C12512" s="1">
        <f>HYPERLINK("https://cao.dolgi.msk.ru/account/1011487349/", 1011487349)</f>
        <v>1011487349</v>
      </c>
      <c r="D12512">
        <v>-332.24</v>
      </c>
    </row>
    <row r="12513" spans="1:4" x14ac:dyDescent="0.3">
      <c r="A12513" t="s">
        <v>893</v>
      </c>
      <c r="B12513" t="s">
        <v>40</v>
      </c>
      <c r="C12513" s="1">
        <f>HYPERLINK("https://cao.dolgi.msk.ru/account/1011487613/", 1011487613)</f>
        <v>1011487613</v>
      </c>
      <c r="D12513">
        <v>11479.17</v>
      </c>
    </row>
    <row r="12514" spans="1:4" hidden="1" x14ac:dyDescent="0.3">
      <c r="A12514" t="s">
        <v>893</v>
      </c>
      <c r="B12514" t="s">
        <v>41</v>
      </c>
      <c r="C12514" s="1">
        <f>HYPERLINK("https://cao.dolgi.msk.ru/account/1011487621/", 1011487621)</f>
        <v>1011487621</v>
      </c>
      <c r="D12514">
        <v>0</v>
      </c>
    </row>
    <row r="12515" spans="1:4" hidden="1" x14ac:dyDescent="0.3">
      <c r="A12515" t="s">
        <v>893</v>
      </c>
      <c r="B12515" t="s">
        <v>51</v>
      </c>
      <c r="C12515" s="1">
        <f>HYPERLINK("https://cao.dolgi.msk.ru/account/1011487429/", 1011487429)</f>
        <v>1011487429</v>
      </c>
      <c r="D12515">
        <v>0</v>
      </c>
    </row>
    <row r="12516" spans="1:4" hidden="1" x14ac:dyDescent="0.3">
      <c r="A12516" t="s">
        <v>893</v>
      </c>
      <c r="B12516" t="s">
        <v>52</v>
      </c>
      <c r="C12516" s="1">
        <f>HYPERLINK("https://cao.dolgi.msk.ru/account/1011486936/", 1011486936)</f>
        <v>1011486936</v>
      </c>
      <c r="D12516">
        <v>0</v>
      </c>
    </row>
    <row r="12517" spans="1:4" x14ac:dyDescent="0.3">
      <c r="A12517" t="s">
        <v>893</v>
      </c>
      <c r="B12517" t="s">
        <v>53</v>
      </c>
      <c r="C12517" s="1">
        <f>HYPERLINK("https://cao.dolgi.msk.ru/account/1011487015/", 1011487015)</f>
        <v>1011487015</v>
      </c>
      <c r="D12517">
        <v>16690.88</v>
      </c>
    </row>
    <row r="12518" spans="1:4" hidden="1" x14ac:dyDescent="0.3">
      <c r="A12518" t="s">
        <v>893</v>
      </c>
      <c r="B12518" t="s">
        <v>54</v>
      </c>
      <c r="C12518" s="1">
        <f>HYPERLINK("https://cao.dolgi.msk.ru/account/1011487023/", 1011487023)</f>
        <v>1011487023</v>
      </c>
      <c r="D12518">
        <v>0</v>
      </c>
    </row>
    <row r="12519" spans="1:4" hidden="1" x14ac:dyDescent="0.3">
      <c r="A12519" t="s">
        <v>893</v>
      </c>
      <c r="B12519" t="s">
        <v>55</v>
      </c>
      <c r="C12519" s="1">
        <f>HYPERLINK("https://cao.dolgi.msk.ru/account/1011487154/", 1011487154)</f>
        <v>1011487154</v>
      </c>
      <c r="D12519">
        <v>0</v>
      </c>
    </row>
    <row r="12520" spans="1:4" hidden="1" x14ac:dyDescent="0.3">
      <c r="A12520" t="s">
        <v>893</v>
      </c>
      <c r="B12520" t="s">
        <v>56</v>
      </c>
      <c r="C12520" s="1">
        <f>HYPERLINK("https://cao.dolgi.msk.ru/account/1011487795/", 1011487795)</f>
        <v>1011487795</v>
      </c>
      <c r="D12520">
        <v>0</v>
      </c>
    </row>
    <row r="12521" spans="1:4" hidden="1" x14ac:dyDescent="0.3">
      <c r="A12521" t="s">
        <v>893</v>
      </c>
      <c r="B12521" t="s">
        <v>87</v>
      </c>
      <c r="C12521" s="1">
        <f>HYPERLINK("https://cao.dolgi.msk.ru/account/1011487162/", 1011487162)</f>
        <v>1011487162</v>
      </c>
      <c r="D12521">
        <v>0</v>
      </c>
    </row>
    <row r="12522" spans="1:4" hidden="1" x14ac:dyDescent="0.3">
      <c r="A12522" t="s">
        <v>893</v>
      </c>
      <c r="B12522" t="s">
        <v>88</v>
      </c>
      <c r="C12522" s="1">
        <f>HYPERLINK("https://cao.dolgi.msk.ru/account/1011487189/", 1011487189)</f>
        <v>1011487189</v>
      </c>
      <c r="D12522">
        <v>0</v>
      </c>
    </row>
    <row r="12523" spans="1:4" hidden="1" x14ac:dyDescent="0.3">
      <c r="A12523" t="s">
        <v>893</v>
      </c>
      <c r="B12523" t="s">
        <v>89</v>
      </c>
      <c r="C12523" s="1">
        <f>HYPERLINK("https://cao.dolgi.msk.ru/account/1011487197/", 1011487197)</f>
        <v>1011487197</v>
      </c>
      <c r="D12523">
        <v>0</v>
      </c>
    </row>
    <row r="12524" spans="1:4" hidden="1" x14ac:dyDescent="0.3">
      <c r="A12524" t="s">
        <v>893</v>
      </c>
      <c r="B12524" t="s">
        <v>90</v>
      </c>
      <c r="C12524" s="1">
        <f>HYPERLINK("https://cao.dolgi.msk.ru/account/1011487437/", 1011487437)</f>
        <v>1011487437</v>
      </c>
      <c r="D12524">
        <v>0</v>
      </c>
    </row>
    <row r="12525" spans="1:4" hidden="1" x14ac:dyDescent="0.3">
      <c r="A12525" t="s">
        <v>893</v>
      </c>
      <c r="B12525" t="s">
        <v>96</v>
      </c>
      <c r="C12525" s="1">
        <f>HYPERLINK("https://cao.dolgi.msk.ru/account/1011487648/", 1011487648)</f>
        <v>1011487648</v>
      </c>
      <c r="D12525">
        <v>0</v>
      </c>
    </row>
    <row r="12526" spans="1:4" hidden="1" x14ac:dyDescent="0.3">
      <c r="A12526" t="s">
        <v>893</v>
      </c>
      <c r="B12526" t="s">
        <v>97</v>
      </c>
      <c r="C12526" s="1">
        <f>HYPERLINK("https://cao.dolgi.msk.ru/account/1011486944/", 1011486944)</f>
        <v>1011486944</v>
      </c>
      <c r="D12526">
        <v>0</v>
      </c>
    </row>
    <row r="12527" spans="1:4" hidden="1" x14ac:dyDescent="0.3">
      <c r="A12527" t="s">
        <v>893</v>
      </c>
      <c r="B12527" t="s">
        <v>97</v>
      </c>
      <c r="C12527" s="1">
        <f>HYPERLINK("https://cao.dolgi.msk.ru/account/1011487445/", 1011487445)</f>
        <v>1011487445</v>
      </c>
      <c r="D12527">
        <v>-4.46</v>
      </c>
    </row>
    <row r="12528" spans="1:4" hidden="1" x14ac:dyDescent="0.3">
      <c r="A12528" t="s">
        <v>893</v>
      </c>
      <c r="B12528" t="s">
        <v>98</v>
      </c>
      <c r="C12528" s="1">
        <f>HYPERLINK("https://cao.dolgi.msk.ru/account/1011487357/", 1011487357)</f>
        <v>1011487357</v>
      </c>
      <c r="D12528">
        <v>0</v>
      </c>
    </row>
    <row r="12529" spans="1:4" x14ac:dyDescent="0.3">
      <c r="A12529" t="s">
        <v>893</v>
      </c>
      <c r="B12529" t="s">
        <v>58</v>
      </c>
      <c r="C12529" s="1">
        <f>HYPERLINK("https://cao.dolgi.msk.ru/account/1011514415/", 1011514415)</f>
        <v>1011514415</v>
      </c>
      <c r="D12529">
        <v>11971.04</v>
      </c>
    </row>
    <row r="12530" spans="1:4" hidden="1" x14ac:dyDescent="0.3">
      <c r="A12530" t="s">
        <v>893</v>
      </c>
      <c r="B12530" t="s">
        <v>59</v>
      </c>
      <c r="C12530" s="1">
        <f>HYPERLINK("https://cao.dolgi.msk.ru/account/1011487453/", 1011487453)</f>
        <v>1011487453</v>
      </c>
      <c r="D12530">
        <v>-14316.39</v>
      </c>
    </row>
    <row r="12531" spans="1:4" x14ac:dyDescent="0.3">
      <c r="A12531" t="s">
        <v>893</v>
      </c>
      <c r="B12531" t="s">
        <v>60</v>
      </c>
      <c r="C12531" s="1">
        <f>HYPERLINK("https://cao.dolgi.msk.ru/account/1011487103/", 1011487103)</f>
        <v>1011487103</v>
      </c>
      <c r="D12531">
        <v>20767.79</v>
      </c>
    </row>
    <row r="12532" spans="1:4" hidden="1" x14ac:dyDescent="0.3">
      <c r="A12532" t="s">
        <v>893</v>
      </c>
      <c r="B12532" t="s">
        <v>61</v>
      </c>
      <c r="C12532" s="1">
        <f>HYPERLINK("https://cao.dolgi.msk.ru/account/1011487293/", 1011487293)</f>
        <v>1011487293</v>
      </c>
      <c r="D12532">
        <v>0</v>
      </c>
    </row>
    <row r="12533" spans="1:4" hidden="1" x14ac:dyDescent="0.3">
      <c r="A12533" t="s">
        <v>893</v>
      </c>
      <c r="B12533" t="s">
        <v>61</v>
      </c>
      <c r="C12533" s="1">
        <f>HYPERLINK("https://cao.dolgi.msk.ru/account/1011487461/", 1011487461)</f>
        <v>1011487461</v>
      </c>
      <c r="D12533">
        <v>-55.95</v>
      </c>
    </row>
    <row r="12534" spans="1:4" x14ac:dyDescent="0.3">
      <c r="A12534" t="s">
        <v>893</v>
      </c>
      <c r="B12534" t="s">
        <v>62</v>
      </c>
      <c r="C12534" s="1">
        <f>HYPERLINK("https://cao.dolgi.msk.ru/account/1011487218/", 1011487218)</f>
        <v>1011487218</v>
      </c>
      <c r="D12534">
        <v>38823.39</v>
      </c>
    </row>
    <row r="12535" spans="1:4" hidden="1" x14ac:dyDescent="0.3">
      <c r="A12535" t="s">
        <v>893</v>
      </c>
      <c r="B12535" t="s">
        <v>63</v>
      </c>
      <c r="C12535" s="1">
        <f>HYPERLINK("https://cao.dolgi.msk.ru/account/1011539006/", 1011539006)</f>
        <v>1011539006</v>
      </c>
      <c r="D12535">
        <v>-16355.17</v>
      </c>
    </row>
    <row r="12536" spans="1:4" hidden="1" x14ac:dyDescent="0.3">
      <c r="A12536" t="s">
        <v>893</v>
      </c>
      <c r="B12536" t="s">
        <v>64</v>
      </c>
      <c r="C12536" s="1">
        <f>HYPERLINK("https://cao.dolgi.msk.ru/account/1011487816/", 1011487816)</f>
        <v>1011487816</v>
      </c>
      <c r="D12536">
        <v>0</v>
      </c>
    </row>
    <row r="12537" spans="1:4" hidden="1" x14ac:dyDescent="0.3">
      <c r="A12537" t="s">
        <v>893</v>
      </c>
      <c r="B12537" t="s">
        <v>65</v>
      </c>
      <c r="C12537" s="1">
        <f>HYPERLINK("https://cao.dolgi.msk.ru/account/1011487058/", 1011487058)</f>
        <v>1011487058</v>
      </c>
      <c r="D12537">
        <v>-493.81</v>
      </c>
    </row>
    <row r="12538" spans="1:4" hidden="1" x14ac:dyDescent="0.3">
      <c r="A12538" t="s">
        <v>893</v>
      </c>
      <c r="B12538" t="s">
        <v>65</v>
      </c>
      <c r="C12538" s="1">
        <f>HYPERLINK("https://cao.dolgi.msk.ru/account/1011487656/", 1011487656)</f>
        <v>1011487656</v>
      </c>
      <c r="D12538">
        <v>-6657.72</v>
      </c>
    </row>
    <row r="12539" spans="1:4" x14ac:dyDescent="0.3">
      <c r="A12539" t="s">
        <v>893</v>
      </c>
      <c r="B12539" t="s">
        <v>65</v>
      </c>
      <c r="C12539" s="1">
        <f>HYPERLINK("https://cao.dolgi.msk.ru/account/1011505594/", 1011505594)</f>
        <v>1011505594</v>
      </c>
      <c r="D12539">
        <v>860.63</v>
      </c>
    </row>
    <row r="12540" spans="1:4" hidden="1" x14ac:dyDescent="0.3">
      <c r="A12540" t="s">
        <v>893</v>
      </c>
      <c r="B12540" t="s">
        <v>65</v>
      </c>
      <c r="C12540" s="1">
        <f>HYPERLINK("https://cao.dolgi.msk.ru/account/1011515178/", 1011515178)</f>
        <v>1011515178</v>
      </c>
      <c r="D12540">
        <v>-2393.98</v>
      </c>
    </row>
    <row r="12541" spans="1:4" hidden="1" x14ac:dyDescent="0.3">
      <c r="A12541" t="s">
        <v>893</v>
      </c>
      <c r="B12541" t="s">
        <v>65</v>
      </c>
      <c r="C12541" s="1">
        <f>HYPERLINK("https://cao.dolgi.msk.ru/account/1011515362/", 1011515362)</f>
        <v>1011515362</v>
      </c>
      <c r="D12541">
        <v>0</v>
      </c>
    </row>
    <row r="12542" spans="1:4" hidden="1" x14ac:dyDescent="0.3">
      <c r="A12542" t="s">
        <v>893</v>
      </c>
      <c r="B12542" t="s">
        <v>66</v>
      </c>
      <c r="C12542" s="1">
        <f>HYPERLINK("https://cao.dolgi.msk.ru/account/1011487066/", 1011487066)</f>
        <v>1011487066</v>
      </c>
      <c r="D12542">
        <v>-10402.77</v>
      </c>
    </row>
    <row r="12543" spans="1:4" x14ac:dyDescent="0.3">
      <c r="A12543" t="s">
        <v>893</v>
      </c>
      <c r="B12543" t="s">
        <v>67</v>
      </c>
      <c r="C12543" s="1">
        <f>HYPERLINK("https://cao.dolgi.msk.ru/account/1011487824/", 1011487824)</f>
        <v>1011487824</v>
      </c>
      <c r="D12543">
        <v>58303.77</v>
      </c>
    </row>
    <row r="12544" spans="1:4" hidden="1" x14ac:dyDescent="0.3">
      <c r="A12544" t="s">
        <v>893</v>
      </c>
      <c r="B12544" t="s">
        <v>68</v>
      </c>
      <c r="C12544" s="1">
        <f>HYPERLINK("https://cao.dolgi.msk.ru/account/1011487488/", 1011487488)</f>
        <v>1011487488</v>
      </c>
      <c r="D12544">
        <v>0</v>
      </c>
    </row>
    <row r="12545" spans="1:4" hidden="1" x14ac:dyDescent="0.3">
      <c r="A12545" t="s">
        <v>893</v>
      </c>
      <c r="B12545" t="s">
        <v>69</v>
      </c>
      <c r="C12545" s="1">
        <f>HYPERLINK("https://cao.dolgi.msk.ru/account/1011487832/", 1011487832)</f>
        <v>1011487832</v>
      </c>
      <c r="D12545">
        <v>-134.28</v>
      </c>
    </row>
    <row r="12546" spans="1:4" x14ac:dyDescent="0.3">
      <c r="A12546" t="s">
        <v>893</v>
      </c>
      <c r="B12546" t="s">
        <v>70</v>
      </c>
      <c r="C12546" s="1">
        <f>HYPERLINK("https://cao.dolgi.msk.ru/account/1011487859/", 1011487859)</f>
        <v>1011487859</v>
      </c>
      <c r="D12546">
        <v>14104.61</v>
      </c>
    </row>
    <row r="12547" spans="1:4" hidden="1" x14ac:dyDescent="0.3">
      <c r="A12547" t="s">
        <v>893</v>
      </c>
      <c r="B12547" t="s">
        <v>259</v>
      </c>
      <c r="C12547" s="1">
        <f>HYPERLINK("https://cao.dolgi.msk.ru/account/1011487242/", 1011487242)</f>
        <v>1011487242</v>
      </c>
      <c r="D12547">
        <v>0</v>
      </c>
    </row>
    <row r="12548" spans="1:4" hidden="1" x14ac:dyDescent="0.3">
      <c r="A12548" t="s">
        <v>893</v>
      </c>
      <c r="B12548" t="s">
        <v>100</v>
      </c>
      <c r="C12548" s="1">
        <f>HYPERLINK("https://cao.dolgi.msk.ru/account/1011487867/", 1011487867)</f>
        <v>1011487867</v>
      </c>
      <c r="D12548">
        <v>-2790.11</v>
      </c>
    </row>
    <row r="12549" spans="1:4" hidden="1" x14ac:dyDescent="0.3">
      <c r="A12549" t="s">
        <v>893</v>
      </c>
      <c r="B12549" t="s">
        <v>72</v>
      </c>
      <c r="C12549" s="1">
        <f>HYPERLINK("https://cao.dolgi.msk.ru/account/1011487234/", 1011487234)</f>
        <v>1011487234</v>
      </c>
      <c r="D12549">
        <v>0</v>
      </c>
    </row>
    <row r="12550" spans="1:4" hidden="1" x14ac:dyDescent="0.3">
      <c r="A12550" t="s">
        <v>893</v>
      </c>
      <c r="B12550" t="s">
        <v>73</v>
      </c>
      <c r="C12550" s="1">
        <f>HYPERLINK("https://cao.dolgi.msk.ru/account/1011487533/", 1011487533)</f>
        <v>1011487533</v>
      </c>
      <c r="D12550">
        <v>-12024.53</v>
      </c>
    </row>
    <row r="12551" spans="1:4" x14ac:dyDescent="0.3">
      <c r="A12551" t="s">
        <v>893</v>
      </c>
      <c r="B12551" t="s">
        <v>74</v>
      </c>
      <c r="C12551" s="1">
        <f>HYPERLINK("https://cao.dolgi.msk.ru/account/1011487496/", 1011487496)</f>
        <v>1011487496</v>
      </c>
      <c r="D12551">
        <v>14539.36</v>
      </c>
    </row>
    <row r="12552" spans="1:4" hidden="1" x14ac:dyDescent="0.3">
      <c r="A12552" t="s">
        <v>893</v>
      </c>
      <c r="B12552" t="s">
        <v>75</v>
      </c>
      <c r="C12552" s="1">
        <f>HYPERLINK("https://cao.dolgi.msk.ru/account/1011487568/", 1011487568)</f>
        <v>1011487568</v>
      </c>
      <c r="D12552">
        <v>0</v>
      </c>
    </row>
    <row r="12553" spans="1:4" hidden="1" x14ac:dyDescent="0.3">
      <c r="A12553" t="s">
        <v>893</v>
      </c>
      <c r="B12553" t="s">
        <v>76</v>
      </c>
      <c r="C12553" s="1">
        <f>HYPERLINK("https://cao.dolgi.msk.ru/account/1011487672/", 1011487672)</f>
        <v>1011487672</v>
      </c>
      <c r="D12553">
        <v>-5709.14</v>
      </c>
    </row>
    <row r="12554" spans="1:4" hidden="1" x14ac:dyDescent="0.3">
      <c r="A12554" t="s">
        <v>893</v>
      </c>
      <c r="B12554" t="s">
        <v>76</v>
      </c>
      <c r="C12554" s="1">
        <f>HYPERLINK("https://cao.dolgi.msk.ru/account/1011487875/", 1011487875)</f>
        <v>1011487875</v>
      </c>
      <c r="D12554">
        <v>-5632</v>
      </c>
    </row>
    <row r="12555" spans="1:4" hidden="1" x14ac:dyDescent="0.3">
      <c r="A12555" t="s">
        <v>893</v>
      </c>
      <c r="B12555" t="s">
        <v>77</v>
      </c>
      <c r="C12555" s="1">
        <f>HYPERLINK("https://cao.dolgi.msk.ru/account/1011487074/", 1011487074)</f>
        <v>1011487074</v>
      </c>
      <c r="D12555">
        <v>0</v>
      </c>
    </row>
    <row r="12556" spans="1:4" x14ac:dyDescent="0.3">
      <c r="A12556" t="s">
        <v>893</v>
      </c>
      <c r="B12556" t="s">
        <v>78</v>
      </c>
      <c r="C12556" s="1">
        <f>HYPERLINK("https://cao.dolgi.msk.ru/account/1011487269/", 1011487269)</f>
        <v>1011487269</v>
      </c>
      <c r="D12556">
        <v>21149.16</v>
      </c>
    </row>
    <row r="12557" spans="1:4" hidden="1" x14ac:dyDescent="0.3">
      <c r="A12557" t="s">
        <v>893</v>
      </c>
      <c r="B12557" t="s">
        <v>78</v>
      </c>
      <c r="C12557" s="1">
        <f>HYPERLINK("https://cao.dolgi.msk.ru/account/1011487365/", 1011487365)</f>
        <v>1011487365</v>
      </c>
      <c r="D12557">
        <v>0</v>
      </c>
    </row>
    <row r="12558" spans="1:4" hidden="1" x14ac:dyDescent="0.3">
      <c r="A12558" t="s">
        <v>893</v>
      </c>
      <c r="B12558" t="s">
        <v>79</v>
      </c>
      <c r="C12558" s="1">
        <f>HYPERLINK("https://cao.dolgi.msk.ru/account/1011487541/", 1011487541)</f>
        <v>1011487541</v>
      </c>
      <c r="D12558">
        <v>0</v>
      </c>
    </row>
    <row r="12559" spans="1:4" hidden="1" x14ac:dyDescent="0.3">
      <c r="A12559" t="s">
        <v>893</v>
      </c>
      <c r="B12559" t="s">
        <v>80</v>
      </c>
      <c r="C12559" s="1">
        <f>HYPERLINK("https://cao.dolgi.msk.ru/account/1011487664/", 1011487664)</f>
        <v>1011487664</v>
      </c>
      <c r="D12559">
        <v>-12193.62</v>
      </c>
    </row>
    <row r="12560" spans="1:4" hidden="1" x14ac:dyDescent="0.3">
      <c r="A12560" t="s">
        <v>893</v>
      </c>
      <c r="B12560" t="s">
        <v>81</v>
      </c>
      <c r="C12560" s="1">
        <f>HYPERLINK("https://cao.dolgi.msk.ru/account/1011487883/", 1011487883)</f>
        <v>1011487883</v>
      </c>
      <c r="D12560">
        <v>-14119.11</v>
      </c>
    </row>
    <row r="12561" spans="1:4" x14ac:dyDescent="0.3">
      <c r="A12561" t="s">
        <v>893</v>
      </c>
      <c r="B12561" t="s">
        <v>101</v>
      </c>
      <c r="C12561" s="1">
        <f>HYPERLINK("https://cao.dolgi.msk.ru/account/1011486979/", 1011486979)</f>
        <v>1011486979</v>
      </c>
      <c r="D12561">
        <v>2948.34</v>
      </c>
    </row>
    <row r="12562" spans="1:4" hidden="1" x14ac:dyDescent="0.3">
      <c r="A12562" t="s">
        <v>893</v>
      </c>
      <c r="B12562" t="s">
        <v>82</v>
      </c>
      <c r="C12562" s="1">
        <f>HYPERLINK("https://cao.dolgi.msk.ru/account/1011487509/", 1011487509)</f>
        <v>1011487509</v>
      </c>
      <c r="D12562">
        <v>-593.25</v>
      </c>
    </row>
    <row r="12563" spans="1:4" hidden="1" x14ac:dyDescent="0.3">
      <c r="A12563" t="s">
        <v>893</v>
      </c>
      <c r="B12563" t="s">
        <v>83</v>
      </c>
      <c r="C12563" s="1">
        <f>HYPERLINK("https://cao.dolgi.msk.ru/account/1011487277/", 1011487277)</f>
        <v>1011487277</v>
      </c>
      <c r="D12563">
        <v>-230</v>
      </c>
    </row>
    <row r="12564" spans="1:4" hidden="1" x14ac:dyDescent="0.3">
      <c r="A12564" t="s">
        <v>893</v>
      </c>
      <c r="B12564" t="s">
        <v>84</v>
      </c>
      <c r="C12564" s="1">
        <f>HYPERLINK("https://cao.dolgi.msk.ru/account/1011487517/", 1011487517)</f>
        <v>1011487517</v>
      </c>
      <c r="D12564">
        <v>0</v>
      </c>
    </row>
    <row r="12565" spans="1:4" hidden="1" x14ac:dyDescent="0.3">
      <c r="A12565" t="s">
        <v>893</v>
      </c>
      <c r="B12565" t="s">
        <v>85</v>
      </c>
      <c r="C12565" s="1">
        <f>HYPERLINK("https://cao.dolgi.msk.ru/account/1011487285/", 1011487285)</f>
        <v>1011487285</v>
      </c>
      <c r="D12565">
        <v>-94.15</v>
      </c>
    </row>
    <row r="12566" spans="1:4" hidden="1" x14ac:dyDescent="0.3">
      <c r="A12566" t="s">
        <v>893</v>
      </c>
      <c r="B12566" t="s">
        <v>102</v>
      </c>
      <c r="C12566" s="1">
        <f>HYPERLINK("https://cao.dolgi.msk.ru/account/1011487082/", 1011487082)</f>
        <v>1011487082</v>
      </c>
      <c r="D12566">
        <v>-12760.52</v>
      </c>
    </row>
    <row r="12567" spans="1:4" x14ac:dyDescent="0.3">
      <c r="A12567" t="s">
        <v>894</v>
      </c>
      <c r="B12567" t="s">
        <v>6</v>
      </c>
      <c r="C12567" s="1">
        <f>HYPERLINK("https://cao.dolgi.msk.ru/account/1011479875/", 1011479875)</f>
        <v>1011479875</v>
      </c>
      <c r="D12567">
        <v>25186.83</v>
      </c>
    </row>
    <row r="12568" spans="1:4" x14ac:dyDescent="0.3">
      <c r="A12568" t="s">
        <v>894</v>
      </c>
      <c r="B12568" t="s">
        <v>28</v>
      </c>
      <c r="C12568" s="1">
        <f>HYPERLINK("https://cao.dolgi.msk.ru/account/1011479824/", 1011479824)</f>
        <v>1011479824</v>
      </c>
      <c r="D12568">
        <v>11202.64</v>
      </c>
    </row>
    <row r="12569" spans="1:4" hidden="1" x14ac:dyDescent="0.3">
      <c r="A12569" t="s">
        <v>894</v>
      </c>
      <c r="B12569" t="s">
        <v>28</v>
      </c>
      <c r="C12569" s="1">
        <f>HYPERLINK("https://cao.dolgi.msk.ru/account/1011479832/", 1011479832)</f>
        <v>1011479832</v>
      </c>
      <c r="D12569">
        <v>0</v>
      </c>
    </row>
    <row r="12570" spans="1:4" hidden="1" x14ac:dyDescent="0.3">
      <c r="A12570" t="s">
        <v>894</v>
      </c>
      <c r="B12570" t="s">
        <v>28</v>
      </c>
      <c r="C12570" s="1">
        <f>HYPERLINK("https://cao.dolgi.msk.ru/account/1011527371/", 1011527371)</f>
        <v>1011527371</v>
      </c>
      <c r="D12570">
        <v>0</v>
      </c>
    </row>
    <row r="12571" spans="1:4" hidden="1" x14ac:dyDescent="0.3">
      <c r="A12571" t="s">
        <v>894</v>
      </c>
      <c r="B12571" t="s">
        <v>35</v>
      </c>
      <c r="C12571" s="1">
        <f>HYPERLINK("https://cao.dolgi.msk.ru/account/1011479808/", 1011479808)</f>
        <v>1011479808</v>
      </c>
      <c r="D12571">
        <v>0</v>
      </c>
    </row>
    <row r="12572" spans="1:4" x14ac:dyDescent="0.3">
      <c r="A12572" t="s">
        <v>894</v>
      </c>
      <c r="B12572" t="s">
        <v>35</v>
      </c>
      <c r="C12572" s="1">
        <f>HYPERLINK("https://cao.dolgi.msk.ru/account/1011479816/", 1011479816)</f>
        <v>1011479816</v>
      </c>
      <c r="D12572">
        <v>2961.97</v>
      </c>
    </row>
    <row r="12573" spans="1:4" hidden="1" x14ac:dyDescent="0.3">
      <c r="A12573" t="s">
        <v>894</v>
      </c>
      <c r="B12573" t="s">
        <v>35</v>
      </c>
      <c r="C12573" s="1">
        <f>HYPERLINK("https://cao.dolgi.msk.ru/account/1011479867/", 1011479867)</f>
        <v>1011479867</v>
      </c>
      <c r="D12573">
        <v>-1840.17</v>
      </c>
    </row>
    <row r="12574" spans="1:4" x14ac:dyDescent="0.3">
      <c r="A12574" t="s">
        <v>894</v>
      </c>
      <c r="B12574" t="s">
        <v>10</v>
      </c>
      <c r="C12574" s="1">
        <f>HYPERLINK("https://cao.dolgi.msk.ru/account/1011479787/", 1011479787)</f>
        <v>1011479787</v>
      </c>
      <c r="D12574">
        <v>11413.96</v>
      </c>
    </row>
    <row r="12575" spans="1:4" x14ac:dyDescent="0.3">
      <c r="A12575" t="s">
        <v>895</v>
      </c>
      <c r="B12575" t="s">
        <v>6</v>
      </c>
      <c r="C12575" s="1">
        <f>HYPERLINK("https://cao.dolgi.msk.ru/account/1011331299/", 1011331299)</f>
        <v>1011331299</v>
      </c>
      <c r="D12575">
        <v>7071.47</v>
      </c>
    </row>
    <row r="12576" spans="1:4" hidden="1" x14ac:dyDescent="0.3">
      <c r="A12576" t="s">
        <v>895</v>
      </c>
      <c r="B12576" t="s">
        <v>28</v>
      </c>
      <c r="C12576" s="1">
        <f>HYPERLINK("https://cao.dolgi.msk.ru/account/1011331301/", 1011331301)</f>
        <v>1011331301</v>
      </c>
      <c r="D12576">
        <v>0</v>
      </c>
    </row>
    <row r="12577" spans="1:4" hidden="1" x14ac:dyDescent="0.3">
      <c r="A12577" t="s">
        <v>896</v>
      </c>
      <c r="B12577" t="s">
        <v>8</v>
      </c>
      <c r="C12577" s="1">
        <f>HYPERLINK("https://cao.dolgi.msk.ru/account/1011479947/", 1011479947)</f>
        <v>1011479947</v>
      </c>
      <c r="D12577">
        <v>-10278.719999999999</v>
      </c>
    </row>
    <row r="12578" spans="1:4" hidden="1" x14ac:dyDescent="0.3">
      <c r="A12578" t="s">
        <v>896</v>
      </c>
      <c r="B12578" t="s">
        <v>31</v>
      </c>
      <c r="C12578" s="1">
        <f>HYPERLINK("https://cao.dolgi.msk.ru/account/1011479912/", 1011479912)</f>
        <v>1011479912</v>
      </c>
      <c r="D12578">
        <v>0</v>
      </c>
    </row>
    <row r="12579" spans="1:4" hidden="1" x14ac:dyDescent="0.3">
      <c r="A12579" t="s">
        <v>896</v>
      </c>
      <c r="B12579" t="s">
        <v>31</v>
      </c>
      <c r="C12579" s="1">
        <f>HYPERLINK("https://cao.dolgi.msk.ru/account/1011479939/", 1011479939)</f>
        <v>1011479939</v>
      </c>
      <c r="D12579">
        <v>-8338.82</v>
      </c>
    </row>
    <row r="12580" spans="1:4" x14ac:dyDescent="0.3">
      <c r="A12580" t="s">
        <v>896</v>
      </c>
      <c r="B12580" t="s">
        <v>9</v>
      </c>
      <c r="C12580" s="1">
        <f>HYPERLINK("https://cao.dolgi.msk.ru/account/1011479883/", 1011479883)</f>
        <v>1011479883</v>
      </c>
      <c r="D12580">
        <v>27933.86</v>
      </c>
    </row>
    <row r="12581" spans="1:4" hidden="1" x14ac:dyDescent="0.3">
      <c r="A12581" t="s">
        <v>896</v>
      </c>
      <c r="B12581" t="s">
        <v>10</v>
      </c>
      <c r="C12581" s="1">
        <f>HYPERLINK("https://cao.dolgi.msk.ru/account/1011479955/", 1011479955)</f>
        <v>1011479955</v>
      </c>
      <c r="D12581">
        <v>-1045.8699999999999</v>
      </c>
    </row>
    <row r="12582" spans="1:4" x14ac:dyDescent="0.3">
      <c r="A12582" t="s">
        <v>896</v>
      </c>
      <c r="B12582" t="s">
        <v>11</v>
      </c>
      <c r="C12582" s="1">
        <f>HYPERLINK("https://cao.dolgi.msk.ru/account/1011479904/", 1011479904)</f>
        <v>1011479904</v>
      </c>
      <c r="D12582">
        <v>15372.05</v>
      </c>
    </row>
    <row r="12583" spans="1:4" hidden="1" x14ac:dyDescent="0.3">
      <c r="A12583" t="s">
        <v>896</v>
      </c>
      <c r="B12583" t="s">
        <v>12</v>
      </c>
      <c r="C12583" s="1">
        <f>HYPERLINK("https://cao.dolgi.msk.ru/account/1011479891/", 1011479891)</f>
        <v>1011479891</v>
      </c>
      <c r="D12583">
        <v>0</v>
      </c>
    </row>
    <row r="12584" spans="1:4" x14ac:dyDescent="0.3">
      <c r="A12584" t="s">
        <v>897</v>
      </c>
      <c r="B12584" t="s">
        <v>6</v>
      </c>
      <c r="C12584" s="1">
        <f>HYPERLINK("https://cao.dolgi.msk.ru/account/1011498312/", 1011498312)</f>
        <v>1011498312</v>
      </c>
      <c r="D12584">
        <v>0.3</v>
      </c>
    </row>
    <row r="12585" spans="1:4" x14ac:dyDescent="0.3">
      <c r="A12585" t="s">
        <v>897</v>
      </c>
      <c r="B12585" t="s">
        <v>35</v>
      </c>
      <c r="C12585" s="1">
        <f>HYPERLINK("https://cao.dolgi.msk.ru/account/1011498339/", 1011498339)</f>
        <v>1011498339</v>
      </c>
      <c r="D12585">
        <v>4705.32</v>
      </c>
    </row>
    <row r="12586" spans="1:4" x14ac:dyDescent="0.3">
      <c r="A12586" t="s">
        <v>897</v>
      </c>
      <c r="B12586" t="s">
        <v>5</v>
      </c>
      <c r="C12586" s="1">
        <f>HYPERLINK("https://cao.dolgi.msk.ru/account/1011498347/", 1011498347)</f>
        <v>1011498347</v>
      </c>
      <c r="D12586">
        <v>23394.400000000001</v>
      </c>
    </row>
    <row r="12587" spans="1:4" x14ac:dyDescent="0.3">
      <c r="A12587" t="s">
        <v>897</v>
      </c>
      <c r="B12587" t="s">
        <v>7</v>
      </c>
      <c r="C12587" s="1">
        <f>HYPERLINK("https://cao.dolgi.msk.ru/account/1011498267/", 1011498267)</f>
        <v>1011498267</v>
      </c>
      <c r="D12587">
        <v>8907.7999999999993</v>
      </c>
    </row>
    <row r="12588" spans="1:4" x14ac:dyDescent="0.3">
      <c r="A12588" t="s">
        <v>897</v>
      </c>
      <c r="B12588" t="s">
        <v>38</v>
      </c>
      <c r="C12588" s="1">
        <f>HYPERLINK("https://cao.dolgi.msk.ru/account/1011498371/", 1011498371)</f>
        <v>1011498371</v>
      </c>
      <c r="D12588">
        <v>18270.43</v>
      </c>
    </row>
    <row r="12589" spans="1:4" hidden="1" x14ac:dyDescent="0.3">
      <c r="A12589" t="s">
        <v>897</v>
      </c>
      <c r="B12589" t="s">
        <v>40</v>
      </c>
      <c r="C12589" s="1">
        <f>HYPERLINK("https://cao.dolgi.msk.ru/account/1011498304/", 1011498304)</f>
        <v>1011498304</v>
      </c>
      <c r="D12589">
        <v>-356.96</v>
      </c>
    </row>
    <row r="12590" spans="1:4" x14ac:dyDescent="0.3">
      <c r="A12590" t="s">
        <v>897</v>
      </c>
      <c r="B12590" t="s">
        <v>41</v>
      </c>
      <c r="C12590" s="1">
        <f>HYPERLINK("https://cao.dolgi.msk.ru/account/1011498224/", 1011498224)</f>
        <v>1011498224</v>
      </c>
      <c r="D12590">
        <v>700.78</v>
      </c>
    </row>
    <row r="12591" spans="1:4" x14ac:dyDescent="0.3">
      <c r="A12591" t="s">
        <v>897</v>
      </c>
      <c r="B12591" t="s">
        <v>898</v>
      </c>
      <c r="C12591" s="1">
        <f>HYPERLINK("https://cao.dolgi.msk.ru/account/1011498283/", 1011498283)</f>
        <v>1011498283</v>
      </c>
      <c r="D12591">
        <v>107279.08</v>
      </c>
    </row>
    <row r="12592" spans="1:4" x14ac:dyDescent="0.3">
      <c r="A12592" t="s">
        <v>897</v>
      </c>
      <c r="B12592" t="s">
        <v>899</v>
      </c>
      <c r="C12592" s="1">
        <f>HYPERLINK("https://cao.dolgi.msk.ru/account/1011498291/", 1011498291)</f>
        <v>1011498291</v>
      </c>
      <c r="D12592">
        <v>109376.72</v>
      </c>
    </row>
    <row r="12593" spans="1:4" hidden="1" x14ac:dyDescent="0.3">
      <c r="A12593" t="s">
        <v>897</v>
      </c>
      <c r="B12593" t="s">
        <v>63</v>
      </c>
      <c r="C12593" s="1">
        <f>HYPERLINK("https://cao.dolgi.msk.ru/account/1011498216/", 1011498216)</f>
        <v>1011498216</v>
      </c>
      <c r="D12593">
        <v>-235.46</v>
      </c>
    </row>
    <row r="12594" spans="1:4" hidden="1" x14ac:dyDescent="0.3">
      <c r="A12594" t="s">
        <v>897</v>
      </c>
      <c r="B12594" t="s">
        <v>64</v>
      </c>
      <c r="C12594" s="1">
        <f>HYPERLINK("https://cao.dolgi.msk.ru/account/1011498208/", 1011498208)</f>
        <v>1011498208</v>
      </c>
      <c r="D12594">
        <v>-260.93</v>
      </c>
    </row>
    <row r="12595" spans="1:4" x14ac:dyDescent="0.3">
      <c r="A12595" t="s">
        <v>897</v>
      </c>
      <c r="B12595" t="s">
        <v>66</v>
      </c>
      <c r="C12595" s="1">
        <f>HYPERLINK("https://cao.dolgi.msk.ru/account/1011498232/", 1011498232)</f>
        <v>1011498232</v>
      </c>
      <c r="D12595">
        <v>58289.7</v>
      </c>
    </row>
    <row r="12596" spans="1:4" hidden="1" x14ac:dyDescent="0.3">
      <c r="A12596" t="s">
        <v>897</v>
      </c>
      <c r="B12596" t="s">
        <v>67</v>
      </c>
      <c r="C12596" s="1">
        <f>HYPERLINK("https://cao.dolgi.msk.ru/account/1011498355/", 1011498355)</f>
        <v>1011498355</v>
      </c>
      <c r="D12596">
        <v>-10374.31</v>
      </c>
    </row>
    <row r="12597" spans="1:4" hidden="1" x14ac:dyDescent="0.3">
      <c r="A12597" t="s">
        <v>897</v>
      </c>
      <c r="B12597" t="s">
        <v>68</v>
      </c>
      <c r="C12597" s="1">
        <f>HYPERLINK("https://cao.dolgi.msk.ru/account/1011498275/", 1011498275)</f>
        <v>1011498275</v>
      </c>
      <c r="D12597">
        <v>-34129.35</v>
      </c>
    </row>
    <row r="12598" spans="1:4" hidden="1" x14ac:dyDescent="0.3">
      <c r="A12598" t="s">
        <v>897</v>
      </c>
      <c r="B12598" t="s">
        <v>69</v>
      </c>
      <c r="C12598" s="1">
        <f>HYPERLINK("https://cao.dolgi.msk.ru/account/1011498363/", 1011498363)</f>
        <v>1011498363</v>
      </c>
      <c r="D12598">
        <v>-153.38999999999999</v>
      </c>
    </row>
    <row r="12599" spans="1:4" x14ac:dyDescent="0.3">
      <c r="A12599" t="s">
        <v>900</v>
      </c>
      <c r="B12599" t="s">
        <v>35</v>
      </c>
      <c r="C12599" s="1">
        <f>HYPERLINK("https://cao.dolgi.msk.ru/account/1011062367/", 1011062367)</f>
        <v>1011062367</v>
      </c>
      <c r="D12599">
        <v>36499.879999999997</v>
      </c>
    </row>
    <row r="12600" spans="1:4" x14ac:dyDescent="0.3">
      <c r="A12600" t="s">
        <v>900</v>
      </c>
      <c r="B12600" t="s">
        <v>5</v>
      </c>
      <c r="C12600" s="1">
        <f>HYPERLINK("https://cao.dolgi.msk.ru/account/1011062199/", 1011062199)</f>
        <v>1011062199</v>
      </c>
      <c r="D12600">
        <v>20366.34</v>
      </c>
    </row>
    <row r="12601" spans="1:4" hidden="1" x14ac:dyDescent="0.3">
      <c r="A12601" t="s">
        <v>900</v>
      </c>
      <c r="B12601" t="s">
        <v>7</v>
      </c>
      <c r="C12601" s="1">
        <f>HYPERLINK("https://cao.dolgi.msk.ru/account/1011526168/", 1011526168)</f>
        <v>1011526168</v>
      </c>
      <c r="D12601">
        <v>0</v>
      </c>
    </row>
    <row r="12602" spans="1:4" hidden="1" x14ac:dyDescent="0.3">
      <c r="A12602" t="s">
        <v>900</v>
      </c>
      <c r="B12602" t="s">
        <v>8</v>
      </c>
      <c r="C12602" s="1">
        <f>HYPERLINK("https://cao.dolgi.msk.ru/account/1011062412/", 1011062412)</f>
        <v>1011062412</v>
      </c>
      <c r="D12602">
        <v>-19559.099999999999</v>
      </c>
    </row>
    <row r="12603" spans="1:4" hidden="1" x14ac:dyDescent="0.3">
      <c r="A12603" t="s">
        <v>900</v>
      </c>
      <c r="B12603" t="s">
        <v>31</v>
      </c>
      <c r="C12603" s="1">
        <f>HYPERLINK("https://cao.dolgi.msk.ru/account/1011062527/", 1011062527)</f>
        <v>1011062527</v>
      </c>
      <c r="D12603">
        <v>0</v>
      </c>
    </row>
    <row r="12604" spans="1:4" x14ac:dyDescent="0.3">
      <c r="A12604" t="s">
        <v>900</v>
      </c>
      <c r="B12604" t="s">
        <v>10</v>
      </c>
      <c r="C12604" s="1">
        <f>HYPERLINK("https://cao.dolgi.msk.ru/account/1011062439/", 1011062439)</f>
        <v>1011062439</v>
      </c>
      <c r="D12604">
        <v>16316.08</v>
      </c>
    </row>
    <row r="12605" spans="1:4" hidden="1" x14ac:dyDescent="0.3">
      <c r="A12605" t="s">
        <v>900</v>
      </c>
      <c r="B12605" t="s">
        <v>11</v>
      </c>
      <c r="C12605" s="1">
        <f>HYPERLINK("https://cao.dolgi.msk.ru/account/1011062148/", 1011062148)</f>
        <v>1011062148</v>
      </c>
      <c r="D12605">
        <v>-22861.49</v>
      </c>
    </row>
    <row r="12606" spans="1:4" hidden="1" x14ac:dyDescent="0.3">
      <c r="A12606" t="s">
        <v>900</v>
      </c>
      <c r="B12606" t="s">
        <v>12</v>
      </c>
      <c r="C12606" s="1">
        <f>HYPERLINK("https://cao.dolgi.msk.ru/account/1011062447/", 1011062447)</f>
        <v>1011062447</v>
      </c>
      <c r="D12606">
        <v>-52.68</v>
      </c>
    </row>
    <row r="12607" spans="1:4" hidden="1" x14ac:dyDescent="0.3">
      <c r="A12607" t="s">
        <v>900</v>
      </c>
      <c r="B12607" t="s">
        <v>23</v>
      </c>
      <c r="C12607" s="1">
        <f>HYPERLINK("https://cao.dolgi.msk.ru/account/1011062324/", 1011062324)</f>
        <v>1011062324</v>
      </c>
      <c r="D12607">
        <v>0</v>
      </c>
    </row>
    <row r="12608" spans="1:4" x14ac:dyDescent="0.3">
      <c r="A12608" t="s">
        <v>900</v>
      </c>
      <c r="B12608" t="s">
        <v>13</v>
      </c>
      <c r="C12608" s="1">
        <f>HYPERLINK("https://cao.dolgi.msk.ru/account/1011062332/", 1011062332)</f>
        <v>1011062332</v>
      </c>
      <c r="D12608">
        <v>799.03</v>
      </c>
    </row>
    <row r="12609" spans="1:4" hidden="1" x14ac:dyDescent="0.3">
      <c r="A12609" t="s">
        <v>900</v>
      </c>
      <c r="B12609" t="s">
        <v>16</v>
      </c>
      <c r="C12609" s="1">
        <f>HYPERLINK("https://cao.dolgi.msk.ru/account/1011061997/", 1011061997)</f>
        <v>1011061997</v>
      </c>
      <c r="D12609">
        <v>0</v>
      </c>
    </row>
    <row r="12610" spans="1:4" x14ac:dyDescent="0.3">
      <c r="A12610" t="s">
        <v>900</v>
      </c>
      <c r="B12610" t="s">
        <v>17</v>
      </c>
      <c r="C12610" s="1">
        <f>HYPERLINK("https://cao.dolgi.msk.ru/account/1011062455/", 1011062455)</f>
        <v>1011062455</v>
      </c>
      <c r="D12610">
        <v>10653.98</v>
      </c>
    </row>
    <row r="12611" spans="1:4" x14ac:dyDescent="0.3">
      <c r="A12611" t="s">
        <v>900</v>
      </c>
      <c r="B12611" t="s">
        <v>18</v>
      </c>
      <c r="C12611" s="1">
        <f>HYPERLINK("https://cao.dolgi.msk.ru/account/1011062156/", 1011062156)</f>
        <v>1011062156</v>
      </c>
      <c r="D12611">
        <v>19259.509999999998</v>
      </c>
    </row>
    <row r="12612" spans="1:4" x14ac:dyDescent="0.3">
      <c r="A12612" t="s">
        <v>900</v>
      </c>
      <c r="B12612" t="s">
        <v>18</v>
      </c>
      <c r="C12612" s="1">
        <f>HYPERLINK("https://cao.dolgi.msk.ru/account/1011062463/", 1011062463)</f>
        <v>1011062463</v>
      </c>
      <c r="D12612">
        <v>28053.73</v>
      </c>
    </row>
    <row r="12613" spans="1:4" hidden="1" x14ac:dyDescent="0.3">
      <c r="A12613" t="s">
        <v>900</v>
      </c>
      <c r="B12613" t="s">
        <v>19</v>
      </c>
      <c r="C12613" s="1">
        <f>HYPERLINK("https://cao.dolgi.msk.ru/account/1011062236/", 1011062236)</f>
        <v>1011062236</v>
      </c>
      <c r="D12613">
        <v>-204.39</v>
      </c>
    </row>
    <row r="12614" spans="1:4" x14ac:dyDescent="0.3">
      <c r="A12614" t="s">
        <v>900</v>
      </c>
      <c r="B12614" t="s">
        <v>20</v>
      </c>
      <c r="C12614" s="1">
        <f>HYPERLINK("https://cao.dolgi.msk.ru/account/1011062244/", 1011062244)</f>
        <v>1011062244</v>
      </c>
      <c r="D12614">
        <v>64082.48</v>
      </c>
    </row>
    <row r="12615" spans="1:4" x14ac:dyDescent="0.3">
      <c r="A12615" t="s">
        <v>900</v>
      </c>
      <c r="B12615" t="s">
        <v>21</v>
      </c>
      <c r="C12615" s="1">
        <f>HYPERLINK("https://cao.dolgi.msk.ru/account/1011534061/", 1011534061)</f>
        <v>1011534061</v>
      </c>
      <c r="D12615">
        <v>27751.24</v>
      </c>
    </row>
    <row r="12616" spans="1:4" x14ac:dyDescent="0.3">
      <c r="A12616" t="s">
        <v>900</v>
      </c>
      <c r="B12616" t="s">
        <v>22</v>
      </c>
      <c r="C12616" s="1">
        <f>HYPERLINK("https://cao.dolgi.msk.ru/account/1011062076/", 1011062076)</f>
        <v>1011062076</v>
      </c>
      <c r="D12616">
        <v>41522.78</v>
      </c>
    </row>
    <row r="12617" spans="1:4" x14ac:dyDescent="0.3">
      <c r="A12617" t="s">
        <v>900</v>
      </c>
      <c r="B12617" t="s">
        <v>22</v>
      </c>
      <c r="C12617" s="1">
        <f>HYPERLINK("https://cao.dolgi.msk.ru/account/1011062535/", 1011062535)</f>
        <v>1011062535</v>
      </c>
      <c r="D12617">
        <v>278.10000000000002</v>
      </c>
    </row>
    <row r="12618" spans="1:4" hidden="1" x14ac:dyDescent="0.3">
      <c r="A12618" t="s">
        <v>900</v>
      </c>
      <c r="B12618" t="s">
        <v>24</v>
      </c>
      <c r="C12618" s="1">
        <f>HYPERLINK("https://cao.dolgi.msk.ru/account/1011062009/", 1011062009)</f>
        <v>1011062009</v>
      </c>
      <c r="D12618">
        <v>0</v>
      </c>
    </row>
    <row r="12619" spans="1:4" x14ac:dyDescent="0.3">
      <c r="A12619" t="s">
        <v>900</v>
      </c>
      <c r="B12619" t="s">
        <v>25</v>
      </c>
      <c r="C12619" s="1">
        <f>HYPERLINK("https://cao.dolgi.msk.ru/account/1011062017/", 1011062017)</f>
        <v>1011062017</v>
      </c>
      <c r="D12619">
        <v>56668.59</v>
      </c>
    </row>
    <row r="12620" spans="1:4" x14ac:dyDescent="0.3">
      <c r="A12620" t="s">
        <v>900</v>
      </c>
      <c r="B12620" t="s">
        <v>27</v>
      </c>
      <c r="C12620" s="1">
        <f>HYPERLINK("https://cao.dolgi.msk.ru/account/1011061938/", 1011061938)</f>
        <v>1011061938</v>
      </c>
      <c r="D12620">
        <v>17411.689999999999</v>
      </c>
    </row>
    <row r="12621" spans="1:4" hidden="1" x14ac:dyDescent="0.3">
      <c r="A12621" t="s">
        <v>900</v>
      </c>
      <c r="B12621" t="s">
        <v>29</v>
      </c>
      <c r="C12621" s="1">
        <f>HYPERLINK("https://cao.dolgi.msk.ru/account/1011062164/", 1011062164)</f>
        <v>1011062164</v>
      </c>
      <c r="D12621">
        <v>0</v>
      </c>
    </row>
    <row r="12622" spans="1:4" x14ac:dyDescent="0.3">
      <c r="A12622" t="s">
        <v>900</v>
      </c>
      <c r="B12622" t="s">
        <v>587</v>
      </c>
      <c r="C12622" s="1">
        <f>HYPERLINK("https://cao.dolgi.msk.ru/account/1011062084/", 1011062084)</f>
        <v>1011062084</v>
      </c>
      <c r="D12622">
        <v>4347.8900000000003</v>
      </c>
    </row>
    <row r="12623" spans="1:4" hidden="1" x14ac:dyDescent="0.3">
      <c r="A12623" t="s">
        <v>900</v>
      </c>
      <c r="B12623" t="s">
        <v>587</v>
      </c>
      <c r="C12623" s="1">
        <f>HYPERLINK("https://cao.dolgi.msk.ru/account/1011062471/", 1011062471)</f>
        <v>1011062471</v>
      </c>
      <c r="D12623">
        <v>0</v>
      </c>
    </row>
    <row r="12624" spans="1:4" x14ac:dyDescent="0.3">
      <c r="A12624" t="s">
        <v>900</v>
      </c>
      <c r="B12624" t="s">
        <v>38</v>
      </c>
      <c r="C12624" s="1">
        <f>HYPERLINK("https://cao.dolgi.msk.ru/account/1011062359/", 1011062359)</f>
        <v>1011062359</v>
      </c>
      <c r="D12624">
        <v>29736.65</v>
      </c>
    </row>
    <row r="12625" spans="1:4" hidden="1" x14ac:dyDescent="0.3">
      <c r="A12625" t="s">
        <v>900</v>
      </c>
      <c r="B12625" t="s">
        <v>39</v>
      </c>
      <c r="C12625" s="1">
        <f>HYPERLINK("https://cao.dolgi.msk.ru/account/1011061989/", 1011061989)</f>
        <v>1011061989</v>
      </c>
      <c r="D12625">
        <v>-5465.72</v>
      </c>
    </row>
    <row r="12626" spans="1:4" x14ac:dyDescent="0.3">
      <c r="A12626" t="s">
        <v>900</v>
      </c>
      <c r="B12626" t="s">
        <v>39</v>
      </c>
      <c r="C12626" s="1">
        <f>HYPERLINK("https://cao.dolgi.msk.ru/account/1011062252/", 1011062252)</f>
        <v>1011062252</v>
      </c>
      <c r="D12626">
        <v>21690.49</v>
      </c>
    </row>
    <row r="12627" spans="1:4" hidden="1" x14ac:dyDescent="0.3">
      <c r="A12627" t="s">
        <v>900</v>
      </c>
      <c r="B12627" t="s">
        <v>40</v>
      </c>
      <c r="C12627" s="1">
        <f>HYPERLINK("https://cao.dolgi.msk.ru/account/1011062092/", 1011062092)</f>
        <v>1011062092</v>
      </c>
      <c r="D12627">
        <v>-16049.8</v>
      </c>
    </row>
    <row r="12628" spans="1:4" x14ac:dyDescent="0.3">
      <c r="A12628" t="s">
        <v>900</v>
      </c>
      <c r="B12628" t="s">
        <v>41</v>
      </c>
      <c r="C12628" s="1">
        <f>HYPERLINK("https://cao.dolgi.msk.ru/account/1011061946/", 1011061946)</f>
        <v>1011061946</v>
      </c>
      <c r="D12628">
        <v>29389</v>
      </c>
    </row>
    <row r="12629" spans="1:4" x14ac:dyDescent="0.3">
      <c r="A12629" t="s">
        <v>900</v>
      </c>
      <c r="B12629" t="s">
        <v>41</v>
      </c>
      <c r="C12629" s="1">
        <f>HYPERLINK("https://cao.dolgi.msk.ru/account/1011533982/", 1011533982)</f>
        <v>1011533982</v>
      </c>
      <c r="D12629">
        <v>6308.2</v>
      </c>
    </row>
    <row r="12630" spans="1:4" x14ac:dyDescent="0.3">
      <c r="A12630" t="s">
        <v>900</v>
      </c>
      <c r="B12630" t="s">
        <v>51</v>
      </c>
      <c r="C12630" s="1">
        <f>HYPERLINK("https://cao.dolgi.msk.ru/account/1011062279/", 1011062279)</f>
        <v>1011062279</v>
      </c>
      <c r="D12630">
        <v>10925.43</v>
      </c>
    </row>
    <row r="12631" spans="1:4" hidden="1" x14ac:dyDescent="0.3">
      <c r="A12631" t="s">
        <v>900</v>
      </c>
      <c r="B12631" t="s">
        <v>52</v>
      </c>
      <c r="C12631" s="1">
        <f>HYPERLINK("https://cao.dolgi.msk.ru/account/1011062172/", 1011062172)</f>
        <v>1011062172</v>
      </c>
      <c r="D12631">
        <v>-12698.78</v>
      </c>
    </row>
    <row r="12632" spans="1:4" hidden="1" x14ac:dyDescent="0.3">
      <c r="A12632" t="s">
        <v>900</v>
      </c>
      <c r="B12632" t="s">
        <v>53</v>
      </c>
      <c r="C12632" s="1">
        <f>HYPERLINK("https://cao.dolgi.msk.ru/account/1011062287/", 1011062287)</f>
        <v>1011062287</v>
      </c>
      <c r="D12632">
        <v>-37897.97</v>
      </c>
    </row>
    <row r="12633" spans="1:4" x14ac:dyDescent="0.3">
      <c r="A12633" t="s">
        <v>900</v>
      </c>
      <c r="B12633" t="s">
        <v>54</v>
      </c>
      <c r="C12633" s="1">
        <f>HYPERLINK("https://cao.dolgi.msk.ru/account/1011062295/", 1011062295)</f>
        <v>1011062295</v>
      </c>
      <c r="D12633">
        <v>130824.71</v>
      </c>
    </row>
    <row r="12634" spans="1:4" hidden="1" x14ac:dyDescent="0.3">
      <c r="A12634" t="s">
        <v>900</v>
      </c>
      <c r="B12634" t="s">
        <v>55</v>
      </c>
      <c r="C12634" s="1">
        <f>HYPERLINK("https://cao.dolgi.msk.ru/account/1011515274/", 1011515274)</f>
        <v>1011515274</v>
      </c>
      <c r="D12634">
        <v>-8435.1299999999992</v>
      </c>
    </row>
    <row r="12635" spans="1:4" x14ac:dyDescent="0.3">
      <c r="A12635" t="s">
        <v>900</v>
      </c>
      <c r="B12635" t="s">
        <v>90</v>
      </c>
      <c r="C12635" s="1">
        <f>HYPERLINK("https://cao.dolgi.msk.ru/account/1011062308/", 1011062308)</f>
        <v>1011062308</v>
      </c>
      <c r="D12635">
        <v>30763.73</v>
      </c>
    </row>
    <row r="12636" spans="1:4" x14ac:dyDescent="0.3">
      <c r="A12636" t="s">
        <v>900</v>
      </c>
      <c r="B12636" t="s">
        <v>90</v>
      </c>
      <c r="C12636" s="1">
        <f>HYPERLINK("https://cao.dolgi.msk.ru/account/1011534002/", 1011534002)</f>
        <v>1011534002</v>
      </c>
      <c r="D12636">
        <v>2603.2800000000002</v>
      </c>
    </row>
    <row r="12637" spans="1:4" hidden="1" x14ac:dyDescent="0.3">
      <c r="A12637" t="s">
        <v>900</v>
      </c>
      <c r="B12637" t="s">
        <v>96</v>
      </c>
      <c r="C12637" s="1">
        <f>HYPERLINK("https://cao.dolgi.msk.ru/account/1011062201/", 1011062201)</f>
        <v>1011062201</v>
      </c>
      <c r="D12637">
        <v>0</v>
      </c>
    </row>
    <row r="12638" spans="1:4" hidden="1" x14ac:dyDescent="0.3">
      <c r="A12638" t="s">
        <v>900</v>
      </c>
      <c r="B12638" t="s">
        <v>97</v>
      </c>
      <c r="C12638" s="1">
        <f>HYPERLINK("https://cao.dolgi.msk.ru/account/1011062375/", 1011062375)</f>
        <v>1011062375</v>
      </c>
      <c r="D12638">
        <v>0</v>
      </c>
    </row>
    <row r="12639" spans="1:4" x14ac:dyDescent="0.3">
      <c r="A12639" t="s">
        <v>900</v>
      </c>
      <c r="B12639" t="s">
        <v>98</v>
      </c>
      <c r="C12639" s="1">
        <f>HYPERLINK("https://cao.dolgi.msk.ru/account/1011530677/", 1011530677)</f>
        <v>1011530677</v>
      </c>
      <c r="D12639">
        <v>17656.259999999998</v>
      </c>
    </row>
    <row r="12640" spans="1:4" x14ac:dyDescent="0.3">
      <c r="A12640" t="s">
        <v>900</v>
      </c>
      <c r="B12640" t="s">
        <v>58</v>
      </c>
      <c r="C12640" s="1">
        <f>HYPERLINK("https://cao.dolgi.msk.ru/account/1011534029/", 1011534029)</f>
        <v>1011534029</v>
      </c>
      <c r="D12640">
        <v>19433.84</v>
      </c>
    </row>
    <row r="12641" spans="1:4" x14ac:dyDescent="0.3">
      <c r="A12641" t="s">
        <v>900</v>
      </c>
      <c r="B12641" t="s">
        <v>59</v>
      </c>
      <c r="C12641" s="1">
        <f>HYPERLINK("https://cao.dolgi.msk.ru/account/1011062391/", 1011062391)</f>
        <v>1011062391</v>
      </c>
      <c r="D12641">
        <v>27319.63</v>
      </c>
    </row>
    <row r="12642" spans="1:4" x14ac:dyDescent="0.3">
      <c r="A12642" t="s">
        <v>900</v>
      </c>
      <c r="B12642" t="s">
        <v>59</v>
      </c>
      <c r="C12642" s="1">
        <f>HYPERLINK("https://cao.dolgi.msk.ru/account/1011534037/", 1011534037)</f>
        <v>1011534037</v>
      </c>
      <c r="D12642">
        <v>3634.86</v>
      </c>
    </row>
    <row r="12643" spans="1:4" hidden="1" x14ac:dyDescent="0.3">
      <c r="A12643" t="s">
        <v>900</v>
      </c>
      <c r="B12643" t="s">
        <v>60</v>
      </c>
      <c r="C12643" s="1">
        <f>HYPERLINK("https://cao.dolgi.msk.ru/account/1011062316/", 1011062316)</f>
        <v>1011062316</v>
      </c>
      <c r="D12643">
        <v>0</v>
      </c>
    </row>
    <row r="12644" spans="1:4" x14ac:dyDescent="0.3">
      <c r="A12644" t="s">
        <v>900</v>
      </c>
      <c r="B12644" t="s">
        <v>61</v>
      </c>
      <c r="C12644" s="1">
        <f>HYPERLINK("https://cao.dolgi.msk.ru/account/1011530669/", 1011530669)</f>
        <v>1011530669</v>
      </c>
      <c r="D12644">
        <v>18014.439999999999</v>
      </c>
    </row>
    <row r="12645" spans="1:4" x14ac:dyDescent="0.3">
      <c r="A12645" t="s">
        <v>900</v>
      </c>
      <c r="B12645" t="s">
        <v>62</v>
      </c>
      <c r="C12645" s="1">
        <f>HYPERLINK("https://cao.dolgi.msk.ru/account/1011062498/", 1011062498)</f>
        <v>1011062498</v>
      </c>
      <c r="D12645">
        <v>35268.82</v>
      </c>
    </row>
    <row r="12646" spans="1:4" hidden="1" x14ac:dyDescent="0.3">
      <c r="A12646" t="s">
        <v>900</v>
      </c>
      <c r="B12646" t="s">
        <v>63</v>
      </c>
      <c r="C12646" s="1">
        <f>HYPERLINK("https://cao.dolgi.msk.ru/account/1011061962/", 1011061962)</f>
        <v>1011061962</v>
      </c>
      <c r="D12646">
        <v>-7763.33</v>
      </c>
    </row>
    <row r="12647" spans="1:4" hidden="1" x14ac:dyDescent="0.3">
      <c r="A12647" t="s">
        <v>900</v>
      </c>
      <c r="B12647" t="s">
        <v>63</v>
      </c>
      <c r="C12647" s="1">
        <f>HYPERLINK("https://cao.dolgi.msk.ru/account/1011062025/", 1011062025)</f>
        <v>1011062025</v>
      </c>
      <c r="D12647">
        <v>0</v>
      </c>
    </row>
    <row r="12648" spans="1:4" hidden="1" x14ac:dyDescent="0.3">
      <c r="A12648" t="s">
        <v>900</v>
      </c>
      <c r="B12648" t="s">
        <v>63</v>
      </c>
      <c r="C12648" s="1">
        <f>HYPERLINK("https://cao.dolgi.msk.ru/account/1011062121/", 1011062121)</f>
        <v>1011062121</v>
      </c>
      <c r="D12648">
        <v>0</v>
      </c>
    </row>
    <row r="12649" spans="1:4" x14ac:dyDescent="0.3">
      <c r="A12649" t="s">
        <v>900</v>
      </c>
      <c r="B12649" t="s">
        <v>64</v>
      </c>
      <c r="C12649" s="1">
        <f>HYPERLINK("https://cao.dolgi.msk.ru/account/1011534045/", 1011534045)</f>
        <v>1011534045</v>
      </c>
      <c r="D12649">
        <v>19937.900000000001</v>
      </c>
    </row>
    <row r="12650" spans="1:4" x14ac:dyDescent="0.3">
      <c r="A12650" t="s">
        <v>900</v>
      </c>
      <c r="B12650" t="s">
        <v>65</v>
      </c>
      <c r="C12650" s="1">
        <f>HYPERLINK("https://cao.dolgi.msk.ru/account/1011534053/", 1011534053)</f>
        <v>1011534053</v>
      </c>
      <c r="D12650">
        <v>18159.259999999998</v>
      </c>
    </row>
    <row r="12651" spans="1:4" hidden="1" x14ac:dyDescent="0.3">
      <c r="A12651" t="s">
        <v>901</v>
      </c>
      <c r="B12651" t="s">
        <v>6</v>
      </c>
      <c r="C12651" s="1">
        <f>HYPERLINK("https://cao.dolgi.msk.ru/account/1011384817/", 1011384817)</f>
        <v>1011384817</v>
      </c>
      <c r="D12651">
        <v>-116.09</v>
      </c>
    </row>
    <row r="12652" spans="1:4" hidden="1" x14ac:dyDescent="0.3">
      <c r="A12652" t="s">
        <v>901</v>
      </c>
      <c r="B12652" t="s">
        <v>28</v>
      </c>
      <c r="C12652" s="1">
        <f>HYPERLINK("https://cao.dolgi.msk.ru/account/1011384737/", 1011384737)</f>
        <v>1011384737</v>
      </c>
      <c r="D12652">
        <v>0</v>
      </c>
    </row>
    <row r="12653" spans="1:4" x14ac:dyDescent="0.3">
      <c r="A12653" t="s">
        <v>901</v>
      </c>
      <c r="B12653" t="s">
        <v>28</v>
      </c>
      <c r="C12653" s="1">
        <f>HYPERLINK("https://cao.dolgi.msk.ru/account/1011384788/", 1011384788)</f>
        <v>1011384788</v>
      </c>
      <c r="D12653">
        <v>8277.19</v>
      </c>
    </row>
    <row r="12654" spans="1:4" hidden="1" x14ac:dyDescent="0.3">
      <c r="A12654" t="s">
        <v>901</v>
      </c>
      <c r="B12654" t="s">
        <v>28</v>
      </c>
      <c r="C12654" s="1">
        <f>HYPERLINK("https://cao.dolgi.msk.ru/account/1011384825/", 1011384825)</f>
        <v>1011384825</v>
      </c>
      <c r="D12654">
        <v>-4953.88</v>
      </c>
    </row>
    <row r="12655" spans="1:4" hidden="1" x14ac:dyDescent="0.3">
      <c r="A12655" t="s">
        <v>901</v>
      </c>
      <c r="B12655" t="s">
        <v>28</v>
      </c>
      <c r="C12655" s="1">
        <f>HYPERLINK("https://cao.dolgi.msk.ru/account/1011384948/", 1011384948)</f>
        <v>1011384948</v>
      </c>
      <c r="D12655">
        <v>0</v>
      </c>
    </row>
    <row r="12656" spans="1:4" hidden="1" x14ac:dyDescent="0.3">
      <c r="A12656" t="s">
        <v>901</v>
      </c>
      <c r="B12656" t="s">
        <v>606</v>
      </c>
      <c r="C12656" s="1">
        <f>HYPERLINK("https://cao.dolgi.msk.ru/account/1011384964/", 1011384964)</f>
        <v>1011384964</v>
      </c>
      <c r="D12656">
        <v>-1554.55</v>
      </c>
    </row>
    <row r="12657" spans="1:4" hidden="1" x14ac:dyDescent="0.3">
      <c r="A12657" t="s">
        <v>901</v>
      </c>
      <c r="B12657" t="s">
        <v>35</v>
      </c>
      <c r="C12657" s="1">
        <f>HYPERLINK("https://cao.dolgi.msk.ru/account/1011384868/", 1011384868)</f>
        <v>1011384868</v>
      </c>
      <c r="D12657">
        <v>-8223.84</v>
      </c>
    </row>
    <row r="12658" spans="1:4" hidden="1" x14ac:dyDescent="0.3">
      <c r="A12658" t="s">
        <v>901</v>
      </c>
      <c r="B12658" t="s">
        <v>5</v>
      </c>
      <c r="C12658" s="1">
        <f>HYPERLINK("https://cao.dolgi.msk.ru/account/1011384956/", 1011384956)</f>
        <v>1011384956</v>
      </c>
      <c r="D12658">
        <v>0</v>
      </c>
    </row>
    <row r="12659" spans="1:4" hidden="1" x14ac:dyDescent="0.3">
      <c r="A12659" t="s">
        <v>901</v>
      </c>
      <c r="B12659" t="s">
        <v>7</v>
      </c>
      <c r="C12659" s="1">
        <f>HYPERLINK("https://cao.dolgi.msk.ru/account/1011384999/", 1011384999)</f>
        <v>1011384999</v>
      </c>
      <c r="D12659">
        <v>-1128.8800000000001</v>
      </c>
    </row>
    <row r="12660" spans="1:4" hidden="1" x14ac:dyDescent="0.3">
      <c r="A12660" t="s">
        <v>901</v>
      </c>
      <c r="B12660" t="s">
        <v>8</v>
      </c>
      <c r="C12660" s="1">
        <f>HYPERLINK("https://cao.dolgi.msk.ru/account/1011384833/", 1011384833)</f>
        <v>1011384833</v>
      </c>
      <c r="D12660">
        <v>-21341.77</v>
      </c>
    </row>
    <row r="12661" spans="1:4" hidden="1" x14ac:dyDescent="0.3">
      <c r="A12661" t="s">
        <v>901</v>
      </c>
      <c r="B12661" t="s">
        <v>31</v>
      </c>
      <c r="C12661" s="1">
        <f>HYPERLINK("https://cao.dolgi.msk.ru/account/1011384972/", 1011384972)</f>
        <v>1011384972</v>
      </c>
      <c r="D12661">
        <v>0</v>
      </c>
    </row>
    <row r="12662" spans="1:4" x14ac:dyDescent="0.3">
      <c r="A12662" t="s">
        <v>901</v>
      </c>
      <c r="B12662" t="s">
        <v>9</v>
      </c>
      <c r="C12662" s="1">
        <f>HYPERLINK("https://cao.dolgi.msk.ru/account/1011385019/", 1011385019)</f>
        <v>1011385019</v>
      </c>
      <c r="D12662">
        <v>12369.09</v>
      </c>
    </row>
    <row r="12663" spans="1:4" hidden="1" x14ac:dyDescent="0.3">
      <c r="A12663" t="s">
        <v>901</v>
      </c>
      <c r="B12663" t="s">
        <v>10</v>
      </c>
      <c r="C12663" s="1">
        <f>HYPERLINK("https://cao.dolgi.msk.ru/account/1011384702/", 1011384702)</f>
        <v>1011384702</v>
      </c>
      <c r="D12663">
        <v>0</v>
      </c>
    </row>
    <row r="12664" spans="1:4" x14ac:dyDescent="0.3">
      <c r="A12664" t="s">
        <v>901</v>
      </c>
      <c r="B12664" t="s">
        <v>11</v>
      </c>
      <c r="C12664" s="1">
        <f>HYPERLINK("https://cao.dolgi.msk.ru/account/1011384745/", 1011384745)</f>
        <v>1011384745</v>
      </c>
      <c r="D12664">
        <v>5492.5</v>
      </c>
    </row>
    <row r="12665" spans="1:4" x14ac:dyDescent="0.3">
      <c r="A12665" t="s">
        <v>901</v>
      </c>
      <c r="B12665" t="s">
        <v>11</v>
      </c>
      <c r="C12665" s="1">
        <f>HYPERLINK("https://cao.dolgi.msk.ru/account/1011384809/", 1011384809)</f>
        <v>1011384809</v>
      </c>
      <c r="D12665">
        <v>1578.55</v>
      </c>
    </row>
    <row r="12666" spans="1:4" hidden="1" x14ac:dyDescent="0.3">
      <c r="A12666" t="s">
        <v>901</v>
      </c>
      <c r="B12666" t="s">
        <v>11</v>
      </c>
      <c r="C12666" s="1">
        <f>HYPERLINK("https://cao.dolgi.msk.ru/account/1011384841/", 1011384841)</f>
        <v>1011384841</v>
      </c>
      <c r="D12666">
        <v>0</v>
      </c>
    </row>
    <row r="12667" spans="1:4" x14ac:dyDescent="0.3">
      <c r="A12667" t="s">
        <v>901</v>
      </c>
      <c r="B12667" t="s">
        <v>11</v>
      </c>
      <c r="C12667" s="1">
        <f>HYPERLINK("https://cao.dolgi.msk.ru/account/1011384905/", 1011384905)</f>
        <v>1011384905</v>
      </c>
      <c r="D12667">
        <v>28549.85</v>
      </c>
    </row>
    <row r="12668" spans="1:4" x14ac:dyDescent="0.3">
      <c r="A12668" t="s">
        <v>901</v>
      </c>
      <c r="B12668" t="s">
        <v>12</v>
      </c>
      <c r="C12668" s="1">
        <f>HYPERLINK("https://cao.dolgi.msk.ru/account/1011385027/", 1011385027)</f>
        <v>1011385027</v>
      </c>
      <c r="D12668">
        <v>128581.9</v>
      </c>
    </row>
    <row r="12669" spans="1:4" hidden="1" x14ac:dyDescent="0.3">
      <c r="A12669" t="s">
        <v>901</v>
      </c>
      <c r="B12669" t="s">
        <v>23</v>
      </c>
      <c r="C12669" s="1">
        <f>HYPERLINK("https://cao.dolgi.msk.ru/account/1011384753/", 1011384753)</f>
        <v>1011384753</v>
      </c>
      <c r="D12669">
        <v>-101.28</v>
      </c>
    </row>
    <row r="12670" spans="1:4" hidden="1" x14ac:dyDescent="0.3">
      <c r="A12670" t="s">
        <v>901</v>
      </c>
      <c r="B12670" t="s">
        <v>51</v>
      </c>
      <c r="C12670" s="1">
        <f>HYPERLINK("https://cao.dolgi.msk.ru/account/1011384761/", 1011384761)</f>
        <v>1011384761</v>
      </c>
      <c r="D12670">
        <v>-16087.65</v>
      </c>
    </row>
    <row r="12671" spans="1:4" hidden="1" x14ac:dyDescent="0.3">
      <c r="A12671" t="s">
        <v>901</v>
      </c>
      <c r="B12671" t="s">
        <v>64</v>
      </c>
      <c r="C12671" s="1">
        <f>HYPERLINK("https://cao.dolgi.msk.ru/account/1011384796/", 1011384796)</f>
        <v>1011384796</v>
      </c>
      <c r="D12671">
        <v>0</v>
      </c>
    </row>
    <row r="12672" spans="1:4" hidden="1" x14ac:dyDescent="0.3">
      <c r="A12672" t="s">
        <v>901</v>
      </c>
      <c r="B12672" t="s">
        <v>65</v>
      </c>
      <c r="C12672" s="1">
        <f>HYPERLINK("https://cao.dolgi.msk.ru/account/1011384729/", 1011384729)</f>
        <v>1011384729</v>
      </c>
      <c r="D12672">
        <v>0</v>
      </c>
    </row>
    <row r="12673" spans="1:4" x14ac:dyDescent="0.3">
      <c r="A12673" t="s">
        <v>901</v>
      </c>
      <c r="B12673" t="s">
        <v>65</v>
      </c>
      <c r="C12673" s="1">
        <f>HYPERLINK("https://cao.dolgi.msk.ru/account/1011384876/", 1011384876)</f>
        <v>1011384876</v>
      </c>
      <c r="D12673">
        <v>22411.81</v>
      </c>
    </row>
    <row r="12674" spans="1:4" hidden="1" x14ac:dyDescent="0.3">
      <c r="A12674" t="s">
        <v>901</v>
      </c>
      <c r="B12674" t="s">
        <v>65</v>
      </c>
      <c r="C12674" s="1">
        <f>HYPERLINK("https://cao.dolgi.msk.ru/account/1011384884/", 1011384884)</f>
        <v>1011384884</v>
      </c>
      <c r="D12674">
        <v>0</v>
      </c>
    </row>
    <row r="12675" spans="1:4" x14ac:dyDescent="0.3">
      <c r="A12675" t="s">
        <v>901</v>
      </c>
      <c r="B12675" t="s">
        <v>65</v>
      </c>
      <c r="C12675" s="1">
        <f>HYPERLINK("https://cao.dolgi.msk.ru/account/1011384892/", 1011384892)</f>
        <v>1011384892</v>
      </c>
      <c r="D12675">
        <v>18436.36</v>
      </c>
    </row>
    <row r="12676" spans="1:4" hidden="1" x14ac:dyDescent="0.3">
      <c r="A12676" t="s">
        <v>901</v>
      </c>
      <c r="B12676" t="s">
        <v>65</v>
      </c>
      <c r="C12676" s="1">
        <f>HYPERLINK("https://cao.dolgi.msk.ru/account/1011384913/", 1011384913)</f>
        <v>1011384913</v>
      </c>
      <c r="D12676">
        <v>0</v>
      </c>
    </row>
    <row r="12677" spans="1:4" x14ac:dyDescent="0.3">
      <c r="A12677" t="s">
        <v>901</v>
      </c>
      <c r="B12677" t="s">
        <v>65</v>
      </c>
      <c r="C12677" s="1">
        <f>HYPERLINK("https://cao.dolgi.msk.ru/account/1011384921/", 1011384921)</f>
        <v>1011384921</v>
      </c>
      <c r="D12677">
        <v>5460.67</v>
      </c>
    </row>
    <row r="12678" spans="1:4" x14ac:dyDescent="0.3">
      <c r="A12678" t="s">
        <v>901</v>
      </c>
      <c r="B12678" t="s">
        <v>66</v>
      </c>
      <c r="C12678" s="1">
        <f>HYPERLINK("https://cao.dolgi.msk.ru/account/1011385035/", 1011385035)</f>
        <v>1011385035</v>
      </c>
      <c r="D12678">
        <v>60262.400000000001</v>
      </c>
    </row>
    <row r="12679" spans="1:4" x14ac:dyDescent="0.3">
      <c r="A12679" t="s">
        <v>902</v>
      </c>
      <c r="B12679" t="s">
        <v>16</v>
      </c>
      <c r="C12679" s="1">
        <f>HYPERLINK("https://cao.dolgi.msk.ru/account/1011206228/", 1011206228)</f>
        <v>1011206228</v>
      </c>
      <c r="D12679">
        <v>10484.51</v>
      </c>
    </row>
    <row r="12680" spans="1:4" hidden="1" x14ac:dyDescent="0.3">
      <c r="A12680" t="s">
        <v>902</v>
      </c>
      <c r="B12680" t="s">
        <v>16</v>
      </c>
      <c r="C12680" s="1">
        <f>HYPERLINK("https://cao.dolgi.msk.ru/account/1011206244/", 1011206244)</f>
        <v>1011206244</v>
      </c>
      <c r="D12680">
        <v>-2443.9899999999998</v>
      </c>
    </row>
    <row r="12681" spans="1:4" x14ac:dyDescent="0.3">
      <c r="A12681" t="s">
        <v>902</v>
      </c>
      <c r="B12681" t="s">
        <v>16</v>
      </c>
      <c r="C12681" s="1">
        <f>HYPERLINK("https://cao.dolgi.msk.ru/account/1011206287/", 1011206287)</f>
        <v>1011206287</v>
      </c>
      <c r="D12681">
        <v>2510.15</v>
      </c>
    </row>
    <row r="12682" spans="1:4" x14ac:dyDescent="0.3">
      <c r="A12682" t="s">
        <v>902</v>
      </c>
      <c r="B12682" t="s">
        <v>16</v>
      </c>
      <c r="C12682" s="1">
        <f>HYPERLINK("https://cao.dolgi.msk.ru/account/1011206383/", 1011206383)</f>
        <v>1011206383</v>
      </c>
      <c r="D12682">
        <v>9947.48</v>
      </c>
    </row>
    <row r="12683" spans="1:4" hidden="1" x14ac:dyDescent="0.3">
      <c r="A12683" t="s">
        <v>902</v>
      </c>
      <c r="B12683" t="s">
        <v>17</v>
      </c>
      <c r="C12683" s="1">
        <f>HYPERLINK("https://cao.dolgi.msk.ru/account/1011206391/", 1011206391)</f>
        <v>1011206391</v>
      </c>
      <c r="D12683">
        <v>0</v>
      </c>
    </row>
    <row r="12684" spans="1:4" hidden="1" x14ac:dyDescent="0.3">
      <c r="A12684" t="s">
        <v>902</v>
      </c>
      <c r="B12684" t="s">
        <v>18</v>
      </c>
      <c r="C12684" s="1">
        <f>HYPERLINK("https://cao.dolgi.msk.ru/account/1011206252/", 1011206252)</f>
        <v>1011206252</v>
      </c>
      <c r="D12684">
        <v>0</v>
      </c>
    </row>
    <row r="12685" spans="1:4" hidden="1" x14ac:dyDescent="0.3">
      <c r="A12685" t="s">
        <v>902</v>
      </c>
      <c r="B12685" t="s">
        <v>21</v>
      </c>
      <c r="C12685" s="1">
        <f>HYPERLINK("https://cao.dolgi.msk.ru/account/1011206236/", 1011206236)</f>
        <v>1011206236</v>
      </c>
      <c r="D12685">
        <v>0</v>
      </c>
    </row>
    <row r="12686" spans="1:4" hidden="1" x14ac:dyDescent="0.3">
      <c r="A12686" t="s">
        <v>902</v>
      </c>
      <c r="B12686" t="s">
        <v>21</v>
      </c>
      <c r="C12686" s="1">
        <f>HYPERLINK("https://cao.dolgi.msk.ru/account/1011206295/", 1011206295)</f>
        <v>1011206295</v>
      </c>
      <c r="D12686">
        <v>0</v>
      </c>
    </row>
    <row r="12687" spans="1:4" hidden="1" x14ac:dyDescent="0.3">
      <c r="A12687" t="s">
        <v>902</v>
      </c>
      <c r="B12687" t="s">
        <v>21</v>
      </c>
      <c r="C12687" s="1">
        <f>HYPERLINK("https://cao.dolgi.msk.ru/account/1011206367/", 1011206367)</f>
        <v>1011206367</v>
      </c>
      <c r="D12687">
        <v>-19</v>
      </c>
    </row>
    <row r="12688" spans="1:4" hidden="1" x14ac:dyDescent="0.3">
      <c r="A12688" t="s">
        <v>902</v>
      </c>
      <c r="B12688" t="s">
        <v>21</v>
      </c>
      <c r="C12688" s="1">
        <f>HYPERLINK("https://cao.dolgi.msk.ru/account/1011206375/", 1011206375)</f>
        <v>1011206375</v>
      </c>
      <c r="D12688">
        <v>-2185.2600000000002</v>
      </c>
    </row>
    <row r="12689" spans="1:4" hidden="1" x14ac:dyDescent="0.3">
      <c r="A12689" t="s">
        <v>902</v>
      </c>
      <c r="B12689" t="s">
        <v>21</v>
      </c>
      <c r="C12689" s="1">
        <f>HYPERLINK("https://cao.dolgi.msk.ru/account/1011206404/", 1011206404)</f>
        <v>1011206404</v>
      </c>
      <c r="D12689">
        <v>-8.5</v>
      </c>
    </row>
    <row r="12690" spans="1:4" x14ac:dyDescent="0.3">
      <c r="A12690" t="s">
        <v>902</v>
      </c>
      <c r="B12690" t="s">
        <v>24</v>
      </c>
      <c r="C12690" s="1">
        <f>HYPERLINK("https://cao.dolgi.msk.ru/account/1011206279/", 1011206279)</f>
        <v>1011206279</v>
      </c>
      <c r="D12690">
        <v>4536.43</v>
      </c>
    </row>
    <row r="12691" spans="1:4" hidden="1" x14ac:dyDescent="0.3">
      <c r="A12691" t="s">
        <v>902</v>
      </c>
      <c r="B12691" t="s">
        <v>24</v>
      </c>
      <c r="C12691" s="1">
        <f>HYPERLINK("https://cao.dolgi.msk.ru/account/1011206324/", 1011206324)</f>
        <v>1011206324</v>
      </c>
      <c r="D12691">
        <v>0</v>
      </c>
    </row>
    <row r="12692" spans="1:4" x14ac:dyDescent="0.3">
      <c r="A12692" t="s">
        <v>902</v>
      </c>
      <c r="B12692" t="s">
        <v>24</v>
      </c>
      <c r="C12692" s="1">
        <f>HYPERLINK("https://cao.dolgi.msk.ru/account/1011206412/", 1011206412)</f>
        <v>1011206412</v>
      </c>
      <c r="D12692">
        <v>13526.18</v>
      </c>
    </row>
    <row r="12693" spans="1:4" x14ac:dyDescent="0.3">
      <c r="A12693" t="s">
        <v>902</v>
      </c>
      <c r="B12693" t="s">
        <v>24</v>
      </c>
      <c r="C12693" s="1">
        <f>HYPERLINK("https://cao.dolgi.msk.ru/account/1011206439/", 1011206439)</f>
        <v>1011206439</v>
      </c>
      <c r="D12693">
        <v>11108.99</v>
      </c>
    </row>
    <row r="12694" spans="1:4" hidden="1" x14ac:dyDescent="0.3">
      <c r="A12694" t="s">
        <v>902</v>
      </c>
      <c r="B12694" t="s">
        <v>25</v>
      </c>
      <c r="C12694" s="1">
        <f>HYPERLINK("https://cao.dolgi.msk.ru/account/1011206332/", 1011206332)</f>
        <v>1011206332</v>
      </c>
      <c r="D12694">
        <v>0</v>
      </c>
    </row>
    <row r="12695" spans="1:4" hidden="1" x14ac:dyDescent="0.3">
      <c r="A12695" t="s">
        <v>902</v>
      </c>
      <c r="B12695" t="s">
        <v>26</v>
      </c>
      <c r="C12695" s="1">
        <f>HYPERLINK("https://cao.dolgi.msk.ru/account/1011206308/", 1011206308)</f>
        <v>1011206308</v>
      </c>
      <c r="D12695">
        <v>0</v>
      </c>
    </row>
    <row r="12696" spans="1:4" x14ac:dyDescent="0.3">
      <c r="A12696" t="s">
        <v>902</v>
      </c>
      <c r="B12696" t="s">
        <v>903</v>
      </c>
      <c r="C12696" s="1">
        <f>HYPERLINK("https://cao.dolgi.msk.ru/account/1011526715/", 1011526715)</f>
        <v>1011526715</v>
      </c>
      <c r="D12696">
        <v>3503.39</v>
      </c>
    </row>
    <row r="12697" spans="1:4" hidden="1" x14ac:dyDescent="0.3">
      <c r="A12697" t="s">
        <v>902</v>
      </c>
      <c r="B12697" t="s">
        <v>904</v>
      </c>
      <c r="C12697" s="1">
        <f>HYPERLINK("https://cao.dolgi.msk.ru/account/1011206447/", 1011206447)</f>
        <v>1011206447</v>
      </c>
      <c r="D12697">
        <v>0</v>
      </c>
    </row>
    <row r="12698" spans="1:4" hidden="1" x14ac:dyDescent="0.3">
      <c r="A12698" t="s">
        <v>902</v>
      </c>
      <c r="B12698" t="s">
        <v>335</v>
      </c>
      <c r="C12698" s="1">
        <f>HYPERLINK("https://cao.dolgi.msk.ru/account/1011206359/", 1011206359)</f>
        <v>1011206359</v>
      </c>
      <c r="D12698">
        <v>-145.6</v>
      </c>
    </row>
    <row r="12699" spans="1:4" hidden="1" x14ac:dyDescent="0.3">
      <c r="A12699" t="s">
        <v>905</v>
      </c>
      <c r="B12699" t="s">
        <v>55</v>
      </c>
      <c r="C12699" s="1">
        <f>HYPERLINK("https://cao.dolgi.msk.ru/account/1011331395/", 1011331395)</f>
        <v>1011331395</v>
      </c>
      <c r="D12699">
        <v>-10909.42</v>
      </c>
    </row>
    <row r="12700" spans="1:4" hidden="1" x14ac:dyDescent="0.3">
      <c r="A12700" t="s">
        <v>905</v>
      </c>
      <c r="B12700" t="s">
        <v>56</v>
      </c>
      <c r="C12700" s="1">
        <f>HYPERLINK("https://cao.dolgi.msk.ru/account/1011331408/", 1011331408)</f>
        <v>1011331408</v>
      </c>
      <c r="D12700">
        <v>0</v>
      </c>
    </row>
    <row r="12701" spans="1:4" x14ac:dyDescent="0.3">
      <c r="A12701" t="s">
        <v>905</v>
      </c>
      <c r="B12701" t="s">
        <v>87</v>
      </c>
      <c r="C12701" s="1">
        <f>HYPERLINK("https://cao.dolgi.msk.ru/account/1011331328/", 1011331328)</f>
        <v>1011331328</v>
      </c>
      <c r="D12701">
        <v>130261.71</v>
      </c>
    </row>
    <row r="12702" spans="1:4" hidden="1" x14ac:dyDescent="0.3">
      <c r="A12702" t="s">
        <v>905</v>
      </c>
      <c r="B12702" t="s">
        <v>88</v>
      </c>
      <c r="C12702" s="1">
        <f>HYPERLINK("https://cao.dolgi.msk.ru/account/1011331424/", 1011331424)</f>
        <v>1011331424</v>
      </c>
      <c r="D12702">
        <v>-3014.06</v>
      </c>
    </row>
    <row r="12703" spans="1:4" hidden="1" x14ac:dyDescent="0.3">
      <c r="A12703" t="s">
        <v>905</v>
      </c>
      <c r="B12703" t="s">
        <v>89</v>
      </c>
      <c r="C12703" s="1">
        <f>HYPERLINK("https://cao.dolgi.msk.ru/account/1011331432/", 1011331432)</f>
        <v>1011331432</v>
      </c>
      <c r="D12703">
        <v>-14517.03</v>
      </c>
    </row>
    <row r="12704" spans="1:4" hidden="1" x14ac:dyDescent="0.3">
      <c r="A12704" t="s">
        <v>905</v>
      </c>
      <c r="B12704" t="s">
        <v>90</v>
      </c>
      <c r="C12704" s="1">
        <f>HYPERLINK("https://cao.dolgi.msk.ru/account/1011331336/", 1011331336)</f>
        <v>1011331336</v>
      </c>
      <c r="D12704">
        <v>0</v>
      </c>
    </row>
    <row r="12705" spans="1:4" hidden="1" x14ac:dyDescent="0.3">
      <c r="A12705" t="s">
        <v>905</v>
      </c>
      <c r="B12705" t="s">
        <v>96</v>
      </c>
      <c r="C12705" s="1">
        <f>HYPERLINK("https://cao.dolgi.msk.ru/account/1011331379/", 1011331379)</f>
        <v>1011331379</v>
      </c>
      <c r="D12705">
        <v>0</v>
      </c>
    </row>
    <row r="12706" spans="1:4" x14ac:dyDescent="0.3">
      <c r="A12706" t="s">
        <v>905</v>
      </c>
      <c r="B12706" t="s">
        <v>97</v>
      </c>
      <c r="C12706" s="1">
        <f>HYPERLINK("https://cao.dolgi.msk.ru/account/1011331459/", 1011331459)</f>
        <v>1011331459</v>
      </c>
      <c r="D12706">
        <v>263210.84999999998</v>
      </c>
    </row>
    <row r="12707" spans="1:4" hidden="1" x14ac:dyDescent="0.3">
      <c r="A12707" t="s">
        <v>905</v>
      </c>
      <c r="B12707" t="s">
        <v>98</v>
      </c>
      <c r="C12707" s="1">
        <f>HYPERLINK("https://cao.dolgi.msk.ru/account/1011331344/", 1011331344)</f>
        <v>1011331344</v>
      </c>
      <c r="D12707">
        <v>0</v>
      </c>
    </row>
    <row r="12708" spans="1:4" hidden="1" x14ac:dyDescent="0.3">
      <c r="A12708" t="s">
        <v>905</v>
      </c>
      <c r="B12708" t="s">
        <v>58</v>
      </c>
      <c r="C12708" s="1">
        <f>HYPERLINK("https://cao.dolgi.msk.ru/account/1011331387/", 1011331387)</f>
        <v>1011331387</v>
      </c>
      <c r="D12708">
        <v>-18761.61</v>
      </c>
    </row>
    <row r="12709" spans="1:4" hidden="1" x14ac:dyDescent="0.3">
      <c r="A12709" t="s">
        <v>905</v>
      </c>
      <c r="B12709" t="s">
        <v>59</v>
      </c>
      <c r="C12709" s="1">
        <f>HYPERLINK("https://cao.dolgi.msk.ru/account/1011331352/", 1011331352)</f>
        <v>1011331352</v>
      </c>
      <c r="D12709">
        <v>-19306.04</v>
      </c>
    </row>
    <row r="12710" spans="1:4" hidden="1" x14ac:dyDescent="0.3">
      <c r="A12710" t="s">
        <v>905</v>
      </c>
      <c r="B12710" t="s">
        <v>60</v>
      </c>
      <c r="C12710" s="1">
        <f>HYPERLINK("https://cao.dolgi.msk.ru/account/1011331416/", 1011331416)</f>
        <v>1011331416</v>
      </c>
      <c r="D12710">
        <v>0</v>
      </c>
    </row>
    <row r="12711" spans="1:4" hidden="1" x14ac:dyDescent="0.3">
      <c r="A12711" t="s">
        <v>906</v>
      </c>
      <c r="B12711" t="s">
        <v>20</v>
      </c>
      <c r="C12711" s="1">
        <f>HYPERLINK("https://cao.dolgi.msk.ru/account/1011206498/", 1011206498)</f>
        <v>1011206498</v>
      </c>
      <c r="D12711">
        <v>0</v>
      </c>
    </row>
    <row r="12712" spans="1:4" x14ac:dyDescent="0.3">
      <c r="A12712" t="s">
        <v>906</v>
      </c>
      <c r="B12712" t="s">
        <v>582</v>
      </c>
      <c r="C12712" s="1">
        <f>HYPERLINK("https://cao.dolgi.msk.ru/account/1011206463/", 1011206463)</f>
        <v>1011206463</v>
      </c>
      <c r="D12712">
        <v>29192.959999999999</v>
      </c>
    </row>
    <row r="12713" spans="1:4" x14ac:dyDescent="0.3">
      <c r="A12713" t="s">
        <v>906</v>
      </c>
      <c r="B12713" t="s">
        <v>22</v>
      </c>
      <c r="C12713" s="1">
        <f>HYPERLINK("https://cao.dolgi.msk.ru/account/1011206471/", 1011206471)</f>
        <v>1011206471</v>
      </c>
      <c r="D12713">
        <v>17901.669999999998</v>
      </c>
    </row>
    <row r="12714" spans="1:4" hidden="1" x14ac:dyDescent="0.3">
      <c r="A12714" t="s">
        <v>906</v>
      </c>
      <c r="B12714" t="s">
        <v>907</v>
      </c>
      <c r="C12714" s="1">
        <f>HYPERLINK("https://cao.dolgi.msk.ru/account/1011206455/", 1011206455)</f>
        <v>1011206455</v>
      </c>
      <c r="D12714">
        <v>0</v>
      </c>
    </row>
    <row r="12715" spans="1:4" hidden="1" x14ac:dyDescent="0.3">
      <c r="A12715" t="s">
        <v>908</v>
      </c>
      <c r="B12715" t="s">
        <v>6</v>
      </c>
      <c r="C12715" s="1">
        <f>HYPERLINK("https://cao.dolgi.msk.ru/account/1011206527/", 1011206527)</f>
        <v>1011206527</v>
      </c>
      <c r="D12715">
        <v>0</v>
      </c>
    </row>
    <row r="12716" spans="1:4" hidden="1" x14ac:dyDescent="0.3">
      <c r="A12716" t="s">
        <v>908</v>
      </c>
      <c r="B12716" t="s">
        <v>6</v>
      </c>
      <c r="C12716" s="1">
        <f>HYPERLINK("https://cao.dolgi.msk.ru/account/1011206543/", 1011206543)</f>
        <v>1011206543</v>
      </c>
      <c r="D12716">
        <v>0</v>
      </c>
    </row>
    <row r="12717" spans="1:4" x14ac:dyDescent="0.3">
      <c r="A12717" t="s">
        <v>908</v>
      </c>
      <c r="B12717" t="s">
        <v>28</v>
      </c>
      <c r="C12717" s="1">
        <f>HYPERLINK("https://cao.dolgi.msk.ru/account/1011206535/", 1011206535)</f>
        <v>1011206535</v>
      </c>
      <c r="D12717">
        <v>28263.57</v>
      </c>
    </row>
    <row r="12718" spans="1:4" hidden="1" x14ac:dyDescent="0.3">
      <c r="A12718" t="s">
        <v>908</v>
      </c>
      <c r="B12718" t="s">
        <v>35</v>
      </c>
      <c r="C12718" s="1">
        <f>HYPERLINK("https://cao.dolgi.msk.ru/account/1011206519/", 1011206519)</f>
        <v>1011206519</v>
      </c>
      <c r="D12718">
        <v>-1398.44</v>
      </c>
    </row>
    <row r="12719" spans="1:4" x14ac:dyDescent="0.3">
      <c r="A12719" t="s">
        <v>908</v>
      </c>
      <c r="B12719" t="s">
        <v>5</v>
      </c>
      <c r="C12719" s="1">
        <f>HYPERLINK("https://cao.dolgi.msk.ru/account/1011206551/", 1011206551)</f>
        <v>1011206551</v>
      </c>
      <c r="D12719">
        <v>17135.52</v>
      </c>
    </row>
    <row r="12720" spans="1:4" x14ac:dyDescent="0.3">
      <c r="A12720" t="s">
        <v>909</v>
      </c>
      <c r="B12720" t="s">
        <v>6</v>
      </c>
      <c r="C12720" s="1">
        <f>HYPERLINK("https://cao.dolgi.msk.ru/account/1011439697/", 1011439697)</f>
        <v>1011439697</v>
      </c>
      <c r="D12720">
        <v>13944.55</v>
      </c>
    </row>
    <row r="12721" spans="1:4" hidden="1" x14ac:dyDescent="0.3">
      <c r="A12721" t="s">
        <v>909</v>
      </c>
      <c r="B12721" t="s">
        <v>6</v>
      </c>
      <c r="C12721" s="1">
        <f>HYPERLINK("https://cao.dolgi.msk.ru/account/1011439857/", 1011439857)</f>
        <v>1011439857</v>
      </c>
      <c r="D12721">
        <v>-5045.2</v>
      </c>
    </row>
    <row r="12722" spans="1:4" hidden="1" x14ac:dyDescent="0.3">
      <c r="A12722" t="s">
        <v>909</v>
      </c>
      <c r="B12722" t="s">
        <v>35</v>
      </c>
      <c r="C12722" s="1">
        <f>HYPERLINK("https://cao.dolgi.msk.ru/account/1011439718/", 1011439718)</f>
        <v>1011439718</v>
      </c>
      <c r="D12722">
        <v>-11204.33</v>
      </c>
    </row>
    <row r="12723" spans="1:4" hidden="1" x14ac:dyDescent="0.3">
      <c r="A12723" t="s">
        <v>909</v>
      </c>
      <c r="B12723" t="s">
        <v>35</v>
      </c>
      <c r="C12723" s="1">
        <f>HYPERLINK("https://cao.dolgi.msk.ru/account/1011439726/", 1011439726)</f>
        <v>1011439726</v>
      </c>
      <c r="D12723">
        <v>0</v>
      </c>
    </row>
    <row r="12724" spans="1:4" x14ac:dyDescent="0.3">
      <c r="A12724" t="s">
        <v>909</v>
      </c>
      <c r="B12724" t="s">
        <v>35</v>
      </c>
      <c r="C12724" s="1">
        <f>HYPERLINK("https://cao.dolgi.msk.ru/account/1011439777/", 1011439777)</f>
        <v>1011439777</v>
      </c>
      <c r="D12724">
        <v>53772.49</v>
      </c>
    </row>
    <row r="12725" spans="1:4" hidden="1" x14ac:dyDescent="0.3">
      <c r="A12725" t="s">
        <v>909</v>
      </c>
      <c r="B12725" t="s">
        <v>35</v>
      </c>
      <c r="C12725" s="1">
        <f>HYPERLINK("https://cao.dolgi.msk.ru/account/1011439814/", 1011439814)</f>
        <v>1011439814</v>
      </c>
      <c r="D12725">
        <v>0</v>
      </c>
    </row>
    <row r="12726" spans="1:4" hidden="1" x14ac:dyDescent="0.3">
      <c r="A12726" t="s">
        <v>909</v>
      </c>
      <c r="B12726" t="s">
        <v>35</v>
      </c>
      <c r="C12726" s="1">
        <f>HYPERLINK("https://cao.dolgi.msk.ru/account/1011439873/", 1011439873)</f>
        <v>1011439873</v>
      </c>
      <c r="D12726">
        <v>0</v>
      </c>
    </row>
    <row r="12727" spans="1:4" x14ac:dyDescent="0.3">
      <c r="A12727" t="s">
        <v>909</v>
      </c>
      <c r="B12727" t="s">
        <v>35</v>
      </c>
      <c r="C12727" s="1">
        <f>HYPERLINK("https://cao.dolgi.msk.ru/account/1011439881/", 1011439881)</f>
        <v>1011439881</v>
      </c>
      <c r="D12727">
        <v>80674.63</v>
      </c>
    </row>
    <row r="12728" spans="1:4" hidden="1" x14ac:dyDescent="0.3">
      <c r="A12728" t="s">
        <v>909</v>
      </c>
      <c r="B12728" t="s">
        <v>35</v>
      </c>
      <c r="C12728" s="1">
        <f>HYPERLINK("https://cao.dolgi.msk.ru/account/1011514474/", 1011514474)</f>
        <v>1011514474</v>
      </c>
      <c r="D12728">
        <v>0</v>
      </c>
    </row>
    <row r="12729" spans="1:4" hidden="1" x14ac:dyDescent="0.3">
      <c r="A12729" t="s">
        <v>909</v>
      </c>
      <c r="B12729" t="s">
        <v>5</v>
      </c>
      <c r="C12729" s="1">
        <f>HYPERLINK("https://cao.dolgi.msk.ru/account/1011439742/", 1011439742)</f>
        <v>1011439742</v>
      </c>
      <c r="D12729">
        <v>-23359.200000000001</v>
      </c>
    </row>
    <row r="12730" spans="1:4" hidden="1" x14ac:dyDescent="0.3">
      <c r="A12730" t="s">
        <v>909</v>
      </c>
      <c r="B12730" t="s">
        <v>7</v>
      </c>
      <c r="C12730" s="1">
        <f>HYPERLINK("https://cao.dolgi.msk.ru/account/1011439806/", 1011439806)</f>
        <v>1011439806</v>
      </c>
      <c r="D12730">
        <v>-539.42999999999995</v>
      </c>
    </row>
    <row r="12731" spans="1:4" hidden="1" x14ac:dyDescent="0.3">
      <c r="A12731" t="s">
        <v>909</v>
      </c>
      <c r="B12731" t="s">
        <v>8</v>
      </c>
      <c r="C12731" s="1">
        <f>HYPERLINK("https://cao.dolgi.msk.ru/account/1011439902/", 1011439902)</f>
        <v>1011439902</v>
      </c>
      <c r="D12731">
        <v>0</v>
      </c>
    </row>
    <row r="12732" spans="1:4" hidden="1" x14ac:dyDescent="0.3">
      <c r="A12732" t="s">
        <v>909</v>
      </c>
      <c r="B12732" t="s">
        <v>12</v>
      </c>
      <c r="C12732" s="1">
        <f>HYPERLINK("https://cao.dolgi.msk.ru/account/1011439769/", 1011439769)</f>
        <v>1011439769</v>
      </c>
      <c r="D12732">
        <v>0</v>
      </c>
    </row>
    <row r="12733" spans="1:4" x14ac:dyDescent="0.3">
      <c r="A12733" t="s">
        <v>909</v>
      </c>
      <c r="B12733" t="s">
        <v>23</v>
      </c>
      <c r="C12733" s="1">
        <f>HYPERLINK("https://cao.dolgi.msk.ru/account/1011439822/", 1011439822)</f>
        <v>1011439822</v>
      </c>
      <c r="D12733">
        <v>43377.36</v>
      </c>
    </row>
    <row r="12734" spans="1:4" hidden="1" x14ac:dyDescent="0.3">
      <c r="A12734" t="s">
        <v>909</v>
      </c>
      <c r="B12734" t="s">
        <v>13</v>
      </c>
      <c r="C12734" s="1">
        <f>HYPERLINK("https://cao.dolgi.msk.ru/account/1011439849/", 1011439849)</f>
        <v>1011439849</v>
      </c>
      <c r="D12734">
        <v>-8191.37</v>
      </c>
    </row>
    <row r="12735" spans="1:4" hidden="1" x14ac:dyDescent="0.3">
      <c r="A12735" t="s">
        <v>909</v>
      </c>
      <c r="B12735" t="s">
        <v>14</v>
      </c>
      <c r="C12735" s="1">
        <f>HYPERLINK("https://cao.dolgi.msk.ru/account/1011439689/", 1011439689)</f>
        <v>1011439689</v>
      </c>
      <c r="D12735">
        <v>0</v>
      </c>
    </row>
    <row r="12736" spans="1:4" hidden="1" x14ac:dyDescent="0.3">
      <c r="A12736" t="s">
        <v>909</v>
      </c>
      <c r="B12736" t="s">
        <v>16</v>
      </c>
      <c r="C12736" s="1">
        <f>HYPERLINK("https://cao.dolgi.msk.ru/account/1011439793/", 1011439793)</f>
        <v>1011439793</v>
      </c>
      <c r="D12736">
        <v>0</v>
      </c>
    </row>
    <row r="12737" spans="1:4" hidden="1" x14ac:dyDescent="0.3">
      <c r="A12737" t="s">
        <v>909</v>
      </c>
      <c r="B12737" t="s">
        <v>16</v>
      </c>
      <c r="C12737" s="1">
        <f>HYPERLINK("https://cao.dolgi.msk.ru/account/1011439865/", 1011439865)</f>
        <v>1011439865</v>
      </c>
      <c r="D12737">
        <v>0</v>
      </c>
    </row>
    <row r="12738" spans="1:4" hidden="1" x14ac:dyDescent="0.3">
      <c r="A12738" t="s">
        <v>909</v>
      </c>
      <c r="B12738" t="s">
        <v>17</v>
      </c>
      <c r="C12738" s="1">
        <f>HYPERLINK("https://cao.dolgi.msk.ru/account/1011439785/", 1011439785)</f>
        <v>1011439785</v>
      </c>
      <c r="D12738">
        <v>0</v>
      </c>
    </row>
    <row r="12739" spans="1:4" hidden="1" x14ac:dyDescent="0.3">
      <c r="A12739" t="s">
        <v>909</v>
      </c>
      <c r="B12739" t="s">
        <v>18</v>
      </c>
      <c r="C12739" s="1">
        <f>HYPERLINK("https://cao.dolgi.msk.ru/account/1011439734/", 1011439734)</f>
        <v>1011439734</v>
      </c>
      <c r="D12739">
        <v>0</v>
      </c>
    </row>
    <row r="12740" spans="1:4" x14ac:dyDescent="0.3">
      <c r="A12740" t="s">
        <v>910</v>
      </c>
      <c r="B12740" t="s">
        <v>6</v>
      </c>
      <c r="C12740" s="1">
        <f>HYPERLINK("https://cao.dolgi.msk.ru/account/1011407126/", 1011407126)</f>
        <v>1011407126</v>
      </c>
      <c r="D12740">
        <v>19250.09</v>
      </c>
    </row>
    <row r="12741" spans="1:4" x14ac:dyDescent="0.3">
      <c r="A12741" t="s">
        <v>910</v>
      </c>
      <c r="B12741" t="s">
        <v>28</v>
      </c>
      <c r="C12741" s="1">
        <f>HYPERLINK("https://cao.dolgi.msk.ru/account/1011407396/", 1011407396)</f>
        <v>1011407396</v>
      </c>
      <c r="D12741">
        <v>11675.1</v>
      </c>
    </row>
    <row r="12742" spans="1:4" hidden="1" x14ac:dyDescent="0.3">
      <c r="A12742" t="s">
        <v>910</v>
      </c>
      <c r="B12742" t="s">
        <v>35</v>
      </c>
      <c r="C12742" s="1">
        <f>HYPERLINK("https://cao.dolgi.msk.ru/account/1011407206/", 1011407206)</f>
        <v>1011407206</v>
      </c>
      <c r="D12742">
        <v>0</v>
      </c>
    </row>
    <row r="12743" spans="1:4" hidden="1" x14ac:dyDescent="0.3">
      <c r="A12743" t="s">
        <v>910</v>
      </c>
      <c r="B12743" t="s">
        <v>5</v>
      </c>
      <c r="C12743" s="1">
        <f>HYPERLINK("https://cao.dolgi.msk.ru/account/1011407054/", 1011407054)</f>
        <v>1011407054</v>
      </c>
      <c r="D12743">
        <v>0</v>
      </c>
    </row>
    <row r="12744" spans="1:4" hidden="1" x14ac:dyDescent="0.3">
      <c r="A12744" t="s">
        <v>910</v>
      </c>
      <c r="B12744" t="s">
        <v>7</v>
      </c>
      <c r="C12744" s="1">
        <f>HYPERLINK("https://cao.dolgi.msk.ru/account/1011406799/", 1011406799)</f>
        <v>1011406799</v>
      </c>
      <c r="D12744">
        <v>-10615.33</v>
      </c>
    </row>
    <row r="12745" spans="1:4" x14ac:dyDescent="0.3">
      <c r="A12745" t="s">
        <v>910</v>
      </c>
      <c r="B12745" t="s">
        <v>8</v>
      </c>
      <c r="C12745" s="1">
        <f>HYPERLINK("https://cao.dolgi.msk.ru/account/1011406481/", 1011406481)</f>
        <v>1011406481</v>
      </c>
      <c r="D12745">
        <v>411.29</v>
      </c>
    </row>
    <row r="12746" spans="1:4" x14ac:dyDescent="0.3">
      <c r="A12746" t="s">
        <v>910</v>
      </c>
      <c r="B12746" t="s">
        <v>8</v>
      </c>
      <c r="C12746" s="1">
        <f>HYPERLINK("https://cao.dolgi.msk.ru/account/1011407417/", 1011407417)</f>
        <v>1011407417</v>
      </c>
      <c r="D12746">
        <v>16890.560000000001</v>
      </c>
    </row>
    <row r="12747" spans="1:4" hidden="1" x14ac:dyDescent="0.3">
      <c r="A12747" t="s">
        <v>910</v>
      </c>
      <c r="B12747" t="s">
        <v>31</v>
      </c>
      <c r="C12747" s="1">
        <f>HYPERLINK("https://cao.dolgi.msk.ru/account/1011406887/", 1011406887)</f>
        <v>1011406887</v>
      </c>
      <c r="D12747">
        <v>0</v>
      </c>
    </row>
    <row r="12748" spans="1:4" x14ac:dyDescent="0.3">
      <c r="A12748" t="s">
        <v>910</v>
      </c>
      <c r="B12748" t="s">
        <v>31</v>
      </c>
      <c r="C12748" s="1">
        <f>HYPERLINK("https://cao.dolgi.msk.ru/account/1011407281/", 1011407281)</f>
        <v>1011407281</v>
      </c>
      <c r="D12748">
        <v>349.51</v>
      </c>
    </row>
    <row r="12749" spans="1:4" x14ac:dyDescent="0.3">
      <c r="A12749" t="s">
        <v>910</v>
      </c>
      <c r="B12749" t="s">
        <v>9</v>
      </c>
      <c r="C12749" s="1">
        <f>HYPERLINK("https://cao.dolgi.msk.ru/account/1011406561/", 1011406561)</f>
        <v>1011406561</v>
      </c>
      <c r="D12749">
        <v>9849.61</v>
      </c>
    </row>
    <row r="12750" spans="1:4" hidden="1" x14ac:dyDescent="0.3">
      <c r="A12750" t="s">
        <v>910</v>
      </c>
      <c r="B12750" t="s">
        <v>10</v>
      </c>
      <c r="C12750" s="1">
        <f>HYPERLINK("https://cao.dolgi.msk.ru/account/1011406553/", 1011406553)</f>
        <v>1011406553</v>
      </c>
      <c r="D12750">
        <v>0</v>
      </c>
    </row>
    <row r="12751" spans="1:4" hidden="1" x14ac:dyDescent="0.3">
      <c r="A12751" t="s">
        <v>910</v>
      </c>
      <c r="B12751" t="s">
        <v>11</v>
      </c>
      <c r="C12751" s="1">
        <f>HYPERLINK("https://cao.dolgi.msk.ru/account/1011406895/", 1011406895)</f>
        <v>1011406895</v>
      </c>
      <c r="D12751">
        <v>0</v>
      </c>
    </row>
    <row r="12752" spans="1:4" hidden="1" x14ac:dyDescent="0.3">
      <c r="A12752" t="s">
        <v>910</v>
      </c>
      <c r="B12752" t="s">
        <v>12</v>
      </c>
      <c r="C12752" s="1">
        <f>HYPERLINK("https://cao.dolgi.msk.ru/account/1011406959/", 1011406959)</f>
        <v>1011406959</v>
      </c>
      <c r="D12752">
        <v>0</v>
      </c>
    </row>
    <row r="12753" spans="1:4" hidden="1" x14ac:dyDescent="0.3">
      <c r="A12753" t="s">
        <v>910</v>
      </c>
      <c r="B12753" t="s">
        <v>23</v>
      </c>
      <c r="C12753" s="1">
        <f>HYPERLINK("https://cao.dolgi.msk.ru/account/1011407011/", 1011407011)</f>
        <v>1011407011</v>
      </c>
      <c r="D12753">
        <v>0</v>
      </c>
    </row>
    <row r="12754" spans="1:4" hidden="1" x14ac:dyDescent="0.3">
      <c r="A12754" t="s">
        <v>910</v>
      </c>
      <c r="B12754" t="s">
        <v>13</v>
      </c>
      <c r="C12754" s="1">
        <f>HYPERLINK("https://cao.dolgi.msk.ru/account/1011407409/", 1011407409)</f>
        <v>1011407409</v>
      </c>
      <c r="D12754">
        <v>0</v>
      </c>
    </row>
    <row r="12755" spans="1:4" hidden="1" x14ac:dyDescent="0.3">
      <c r="A12755" t="s">
        <v>910</v>
      </c>
      <c r="B12755" t="s">
        <v>14</v>
      </c>
      <c r="C12755" s="1">
        <f>HYPERLINK("https://cao.dolgi.msk.ru/account/1011407038/", 1011407038)</f>
        <v>1011407038</v>
      </c>
      <c r="D12755">
        <v>0</v>
      </c>
    </row>
    <row r="12756" spans="1:4" hidden="1" x14ac:dyDescent="0.3">
      <c r="A12756" t="s">
        <v>910</v>
      </c>
      <c r="B12756" t="s">
        <v>16</v>
      </c>
      <c r="C12756" s="1">
        <f>HYPERLINK("https://cao.dolgi.msk.ru/account/1011406908/", 1011406908)</f>
        <v>1011406908</v>
      </c>
      <c r="D12756">
        <v>0</v>
      </c>
    </row>
    <row r="12757" spans="1:4" x14ac:dyDescent="0.3">
      <c r="A12757" t="s">
        <v>910</v>
      </c>
      <c r="B12757" t="s">
        <v>17</v>
      </c>
      <c r="C12757" s="1">
        <f>HYPERLINK("https://cao.dolgi.msk.ru/account/1011406692/", 1011406692)</f>
        <v>1011406692</v>
      </c>
      <c r="D12757">
        <v>5390.27</v>
      </c>
    </row>
    <row r="12758" spans="1:4" hidden="1" x14ac:dyDescent="0.3">
      <c r="A12758" t="s">
        <v>910</v>
      </c>
      <c r="B12758" t="s">
        <v>18</v>
      </c>
      <c r="C12758" s="1">
        <f>HYPERLINK("https://cao.dolgi.msk.ru/account/1011407097/", 1011407097)</f>
        <v>1011407097</v>
      </c>
      <c r="D12758">
        <v>0</v>
      </c>
    </row>
    <row r="12759" spans="1:4" hidden="1" x14ac:dyDescent="0.3">
      <c r="A12759" t="s">
        <v>910</v>
      </c>
      <c r="B12759" t="s">
        <v>19</v>
      </c>
      <c r="C12759" s="1">
        <f>HYPERLINK("https://cao.dolgi.msk.ru/account/1011407185/", 1011407185)</f>
        <v>1011407185</v>
      </c>
      <c r="D12759">
        <v>0</v>
      </c>
    </row>
    <row r="12760" spans="1:4" hidden="1" x14ac:dyDescent="0.3">
      <c r="A12760" t="s">
        <v>910</v>
      </c>
      <c r="B12760" t="s">
        <v>20</v>
      </c>
      <c r="C12760" s="1">
        <f>HYPERLINK("https://cao.dolgi.msk.ru/account/1011406625/", 1011406625)</f>
        <v>1011406625</v>
      </c>
      <c r="D12760">
        <v>0</v>
      </c>
    </row>
    <row r="12761" spans="1:4" hidden="1" x14ac:dyDescent="0.3">
      <c r="A12761" t="s">
        <v>910</v>
      </c>
      <c r="B12761" t="s">
        <v>21</v>
      </c>
      <c r="C12761" s="1">
        <f>HYPERLINK("https://cao.dolgi.msk.ru/account/1011406844/", 1011406844)</f>
        <v>1011406844</v>
      </c>
      <c r="D12761">
        <v>0</v>
      </c>
    </row>
    <row r="12762" spans="1:4" hidden="1" x14ac:dyDescent="0.3">
      <c r="A12762" t="s">
        <v>910</v>
      </c>
      <c r="B12762" t="s">
        <v>22</v>
      </c>
      <c r="C12762" s="1">
        <f>HYPERLINK("https://cao.dolgi.msk.ru/account/1011407134/", 1011407134)</f>
        <v>1011407134</v>
      </c>
      <c r="D12762">
        <v>-1311.78</v>
      </c>
    </row>
    <row r="12763" spans="1:4" hidden="1" x14ac:dyDescent="0.3">
      <c r="A12763" t="s">
        <v>910</v>
      </c>
      <c r="B12763" t="s">
        <v>24</v>
      </c>
      <c r="C12763" s="1">
        <f>HYPERLINK("https://cao.dolgi.msk.ru/account/1011406879/", 1011406879)</f>
        <v>1011406879</v>
      </c>
      <c r="D12763">
        <v>0</v>
      </c>
    </row>
    <row r="12764" spans="1:4" hidden="1" x14ac:dyDescent="0.3">
      <c r="A12764" t="s">
        <v>910</v>
      </c>
      <c r="B12764" t="s">
        <v>25</v>
      </c>
      <c r="C12764" s="1">
        <f>HYPERLINK("https://cao.dolgi.msk.ru/account/1011407337/", 1011407337)</f>
        <v>1011407337</v>
      </c>
      <c r="D12764">
        <v>-709.24</v>
      </c>
    </row>
    <row r="12765" spans="1:4" hidden="1" x14ac:dyDescent="0.3">
      <c r="A12765" t="s">
        <v>910</v>
      </c>
      <c r="B12765" t="s">
        <v>26</v>
      </c>
      <c r="C12765" s="1">
        <f>HYPERLINK("https://cao.dolgi.msk.ru/account/1011407222/", 1011407222)</f>
        <v>1011407222</v>
      </c>
      <c r="D12765">
        <v>0</v>
      </c>
    </row>
    <row r="12766" spans="1:4" hidden="1" x14ac:dyDescent="0.3">
      <c r="A12766" t="s">
        <v>910</v>
      </c>
      <c r="B12766" t="s">
        <v>27</v>
      </c>
      <c r="C12766" s="1">
        <f>HYPERLINK("https://cao.dolgi.msk.ru/account/1011406836/", 1011406836)</f>
        <v>1011406836</v>
      </c>
      <c r="D12766">
        <v>-5568.16</v>
      </c>
    </row>
    <row r="12767" spans="1:4" hidden="1" x14ac:dyDescent="0.3">
      <c r="A12767" t="s">
        <v>910</v>
      </c>
      <c r="B12767" t="s">
        <v>29</v>
      </c>
      <c r="C12767" s="1">
        <f>HYPERLINK("https://cao.dolgi.msk.ru/account/1011407361/", 1011407361)</f>
        <v>1011407361</v>
      </c>
      <c r="D12767">
        <v>-673.76</v>
      </c>
    </row>
    <row r="12768" spans="1:4" x14ac:dyDescent="0.3">
      <c r="A12768" t="s">
        <v>910</v>
      </c>
      <c r="B12768" t="s">
        <v>38</v>
      </c>
      <c r="C12768" s="1">
        <f>HYPERLINK("https://cao.dolgi.msk.ru/account/1011406967/", 1011406967)</f>
        <v>1011406967</v>
      </c>
      <c r="D12768">
        <v>8099.77</v>
      </c>
    </row>
    <row r="12769" spans="1:4" hidden="1" x14ac:dyDescent="0.3">
      <c r="A12769" t="s">
        <v>910</v>
      </c>
      <c r="B12769" t="s">
        <v>39</v>
      </c>
      <c r="C12769" s="1">
        <f>HYPERLINK("https://cao.dolgi.msk.ru/account/1011407193/", 1011407193)</f>
        <v>1011407193</v>
      </c>
      <c r="D12769">
        <v>0</v>
      </c>
    </row>
    <row r="12770" spans="1:4" hidden="1" x14ac:dyDescent="0.3">
      <c r="A12770" t="s">
        <v>910</v>
      </c>
      <c r="B12770" t="s">
        <v>40</v>
      </c>
      <c r="C12770" s="1">
        <f>HYPERLINK("https://cao.dolgi.msk.ru/account/1011407257/", 1011407257)</f>
        <v>1011407257</v>
      </c>
      <c r="D12770">
        <v>-5525.87</v>
      </c>
    </row>
    <row r="12771" spans="1:4" x14ac:dyDescent="0.3">
      <c r="A12771" t="s">
        <v>910</v>
      </c>
      <c r="B12771" t="s">
        <v>41</v>
      </c>
      <c r="C12771" s="1">
        <f>HYPERLINK("https://cao.dolgi.msk.ru/account/1011406668/", 1011406668)</f>
        <v>1011406668</v>
      </c>
      <c r="D12771">
        <v>8102.55</v>
      </c>
    </row>
    <row r="12772" spans="1:4" hidden="1" x14ac:dyDescent="0.3">
      <c r="A12772" t="s">
        <v>910</v>
      </c>
      <c r="B12772" t="s">
        <v>51</v>
      </c>
      <c r="C12772" s="1">
        <f>HYPERLINK("https://cao.dolgi.msk.ru/account/1011407345/", 1011407345)</f>
        <v>1011407345</v>
      </c>
      <c r="D12772">
        <v>0</v>
      </c>
    </row>
    <row r="12773" spans="1:4" x14ac:dyDescent="0.3">
      <c r="A12773" t="s">
        <v>910</v>
      </c>
      <c r="B12773" t="s">
        <v>52</v>
      </c>
      <c r="C12773" s="1">
        <f>HYPERLINK("https://cao.dolgi.msk.ru/account/1011406748/", 1011406748)</f>
        <v>1011406748</v>
      </c>
      <c r="D12773">
        <v>3037.18</v>
      </c>
    </row>
    <row r="12774" spans="1:4" hidden="1" x14ac:dyDescent="0.3">
      <c r="A12774" t="s">
        <v>910</v>
      </c>
      <c r="B12774" t="s">
        <v>53</v>
      </c>
      <c r="C12774" s="1">
        <f>HYPERLINK("https://cao.dolgi.msk.ru/account/1011407118/", 1011407118)</f>
        <v>1011407118</v>
      </c>
      <c r="D12774">
        <v>-6316.88</v>
      </c>
    </row>
    <row r="12775" spans="1:4" hidden="1" x14ac:dyDescent="0.3">
      <c r="A12775" t="s">
        <v>910</v>
      </c>
      <c r="B12775" t="s">
        <v>54</v>
      </c>
      <c r="C12775" s="1">
        <f>HYPERLINK("https://cao.dolgi.msk.ru/account/1011407062/", 1011407062)</f>
        <v>1011407062</v>
      </c>
      <c r="D12775">
        <v>0</v>
      </c>
    </row>
    <row r="12776" spans="1:4" hidden="1" x14ac:dyDescent="0.3">
      <c r="A12776" t="s">
        <v>910</v>
      </c>
      <c r="B12776" t="s">
        <v>55</v>
      </c>
      <c r="C12776" s="1">
        <f>HYPERLINK("https://cao.dolgi.msk.ru/account/1011406772/", 1011406772)</f>
        <v>1011406772</v>
      </c>
      <c r="D12776">
        <v>0</v>
      </c>
    </row>
    <row r="12777" spans="1:4" hidden="1" x14ac:dyDescent="0.3">
      <c r="A12777" t="s">
        <v>910</v>
      </c>
      <c r="B12777" t="s">
        <v>56</v>
      </c>
      <c r="C12777" s="1">
        <f>HYPERLINK("https://cao.dolgi.msk.ru/account/1011406676/", 1011406676)</f>
        <v>1011406676</v>
      </c>
      <c r="D12777">
        <v>0</v>
      </c>
    </row>
    <row r="12778" spans="1:4" hidden="1" x14ac:dyDescent="0.3">
      <c r="A12778" t="s">
        <v>910</v>
      </c>
      <c r="B12778" t="s">
        <v>87</v>
      </c>
      <c r="C12778" s="1">
        <f>HYPERLINK("https://cao.dolgi.msk.ru/account/1011406924/", 1011406924)</f>
        <v>1011406924</v>
      </c>
      <c r="D12778">
        <v>0</v>
      </c>
    </row>
    <row r="12779" spans="1:4" hidden="1" x14ac:dyDescent="0.3">
      <c r="A12779" t="s">
        <v>910</v>
      </c>
      <c r="B12779" t="s">
        <v>88</v>
      </c>
      <c r="C12779" s="1">
        <f>HYPERLINK("https://cao.dolgi.msk.ru/account/1011406473/", 1011406473)</f>
        <v>1011406473</v>
      </c>
      <c r="D12779">
        <v>0</v>
      </c>
    </row>
    <row r="12780" spans="1:4" hidden="1" x14ac:dyDescent="0.3">
      <c r="A12780" t="s">
        <v>910</v>
      </c>
      <c r="B12780" t="s">
        <v>89</v>
      </c>
      <c r="C12780" s="1">
        <f>HYPERLINK("https://cao.dolgi.msk.ru/account/1011407142/", 1011407142)</f>
        <v>1011407142</v>
      </c>
      <c r="D12780">
        <v>0</v>
      </c>
    </row>
    <row r="12781" spans="1:4" hidden="1" x14ac:dyDescent="0.3">
      <c r="A12781" t="s">
        <v>910</v>
      </c>
      <c r="B12781" t="s">
        <v>90</v>
      </c>
      <c r="C12781" s="1">
        <f>HYPERLINK("https://cao.dolgi.msk.ru/account/1011407046/", 1011407046)</f>
        <v>1011407046</v>
      </c>
      <c r="D12781">
        <v>-8677.5400000000009</v>
      </c>
    </row>
    <row r="12782" spans="1:4" hidden="1" x14ac:dyDescent="0.3">
      <c r="A12782" t="s">
        <v>910</v>
      </c>
      <c r="B12782" t="s">
        <v>96</v>
      </c>
      <c r="C12782" s="1">
        <f>HYPERLINK("https://cao.dolgi.msk.ru/account/1011407169/", 1011407169)</f>
        <v>1011407169</v>
      </c>
      <c r="D12782">
        <v>0</v>
      </c>
    </row>
    <row r="12783" spans="1:4" hidden="1" x14ac:dyDescent="0.3">
      <c r="A12783" t="s">
        <v>910</v>
      </c>
      <c r="B12783" t="s">
        <v>97</v>
      </c>
      <c r="C12783" s="1">
        <f>HYPERLINK("https://cao.dolgi.msk.ru/account/1011407353/", 1011407353)</f>
        <v>1011407353</v>
      </c>
      <c r="D12783">
        <v>-6702.76</v>
      </c>
    </row>
    <row r="12784" spans="1:4" hidden="1" x14ac:dyDescent="0.3">
      <c r="A12784" t="s">
        <v>910</v>
      </c>
      <c r="B12784" t="s">
        <v>98</v>
      </c>
      <c r="C12784" s="1">
        <f>HYPERLINK("https://cao.dolgi.msk.ru/account/1011406801/", 1011406801)</f>
        <v>1011406801</v>
      </c>
      <c r="D12784">
        <v>0</v>
      </c>
    </row>
    <row r="12785" spans="1:4" hidden="1" x14ac:dyDescent="0.3">
      <c r="A12785" t="s">
        <v>910</v>
      </c>
      <c r="B12785" t="s">
        <v>58</v>
      </c>
      <c r="C12785" s="1">
        <f>HYPERLINK("https://cao.dolgi.msk.ru/account/1011406502/", 1011406502)</f>
        <v>1011406502</v>
      </c>
      <c r="D12785">
        <v>0</v>
      </c>
    </row>
    <row r="12786" spans="1:4" hidden="1" x14ac:dyDescent="0.3">
      <c r="A12786" t="s">
        <v>910</v>
      </c>
      <c r="B12786" t="s">
        <v>59</v>
      </c>
      <c r="C12786" s="1">
        <f>HYPERLINK("https://cao.dolgi.msk.ru/account/1011406684/", 1011406684)</f>
        <v>1011406684</v>
      </c>
      <c r="D12786">
        <v>0</v>
      </c>
    </row>
    <row r="12787" spans="1:4" hidden="1" x14ac:dyDescent="0.3">
      <c r="A12787" t="s">
        <v>910</v>
      </c>
      <c r="B12787" t="s">
        <v>60</v>
      </c>
      <c r="C12787" s="1">
        <f>HYPERLINK("https://cao.dolgi.msk.ru/account/1011407388/", 1011407388)</f>
        <v>1011407388</v>
      </c>
      <c r="D12787">
        <v>-12050.72</v>
      </c>
    </row>
    <row r="12788" spans="1:4" hidden="1" x14ac:dyDescent="0.3">
      <c r="A12788" t="s">
        <v>910</v>
      </c>
      <c r="B12788" t="s">
        <v>61</v>
      </c>
      <c r="C12788" s="1">
        <f>HYPERLINK("https://cao.dolgi.msk.ru/account/1011406991/", 1011406991)</f>
        <v>1011406991</v>
      </c>
      <c r="D12788">
        <v>0</v>
      </c>
    </row>
    <row r="12789" spans="1:4" hidden="1" x14ac:dyDescent="0.3">
      <c r="A12789" t="s">
        <v>910</v>
      </c>
      <c r="B12789" t="s">
        <v>62</v>
      </c>
      <c r="C12789" s="1">
        <f>HYPERLINK("https://cao.dolgi.msk.ru/account/1011406633/", 1011406633)</f>
        <v>1011406633</v>
      </c>
      <c r="D12789">
        <v>0</v>
      </c>
    </row>
    <row r="12790" spans="1:4" hidden="1" x14ac:dyDescent="0.3">
      <c r="A12790" t="s">
        <v>910</v>
      </c>
      <c r="B12790" t="s">
        <v>63</v>
      </c>
      <c r="C12790" s="1">
        <f>HYPERLINK("https://cao.dolgi.msk.ru/account/1011406975/", 1011406975)</f>
        <v>1011406975</v>
      </c>
      <c r="D12790">
        <v>0</v>
      </c>
    </row>
    <row r="12791" spans="1:4" hidden="1" x14ac:dyDescent="0.3">
      <c r="A12791" t="s">
        <v>910</v>
      </c>
      <c r="B12791" t="s">
        <v>64</v>
      </c>
      <c r="C12791" s="1">
        <f>HYPERLINK("https://cao.dolgi.msk.ru/account/1011406609/", 1011406609)</f>
        <v>1011406609</v>
      </c>
      <c r="D12791">
        <v>-27472.84</v>
      </c>
    </row>
    <row r="12792" spans="1:4" hidden="1" x14ac:dyDescent="0.3">
      <c r="A12792" t="s">
        <v>910</v>
      </c>
      <c r="B12792" t="s">
        <v>65</v>
      </c>
      <c r="C12792" s="1">
        <f>HYPERLINK("https://cao.dolgi.msk.ru/account/1011407089/", 1011407089)</f>
        <v>1011407089</v>
      </c>
      <c r="D12792">
        <v>0</v>
      </c>
    </row>
    <row r="12793" spans="1:4" x14ac:dyDescent="0.3">
      <c r="A12793" t="s">
        <v>910</v>
      </c>
      <c r="B12793" t="s">
        <v>66</v>
      </c>
      <c r="C12793" s="1">
        <f>HYPERLINK("https://cao.dolgi.msk.ru/account/1011406764/", 1011406764)</f>
        <v>1011406764</v>
      </c>
      <c r="D12793">
        <v>63419.18</v>
      </c>
    </row>
    <row r="12794" spans="1:4" hidden="1" x14ac:dyDescent="0.3">
      <c r="A12794" t="s">
        <v>910</v>
      </c>
      <c r="B12794" t="s">
        <v>67</v>
      </c>
      <c r="C12794" s="1">
        <f>HYPERLINK("https://cao.dolgi.msk.ru/account/1011406705/", 1011406705)</f>
        <v>1011406705</v>
      </c>
      <c r="D12794">
        <v>-22772.94</v>
      </c>
    </row>
    <row r="12795" spans="1:4" hidden="1" x14ac:dyDescent="0.3">
      <c r="A12795" t="s">
        <v>910</v>
      </c>
      <c r="B12795" t="s">
        <v>68</v>
      </c>
      <c r="C12795" s="1">
        <f>HYPERLINK("https://cao.dolgi.msk.ru/account/1011406983/", 1011406983)</f>
        <v>1011406983</v>
      </c>
      <c r="D12795">
        <v>-3401.37</v>
      </c>
    </row>
    <row r="12796" spans="1:4" hidden="1" x14ac:dyDescent="0.3">
      <c r="A12796" t="s">
        <v>910</v>
      </c>
      <c r="B12796" t="s">
        <v>68</v>
      </c>
      <c r="C12796" s="1">
        <f>HYPERLINK("https://cao.dolgi.msk.ru/account/1011407214/", 1011407214)</f>
        <v>1011407214</v>
      </c>
      <c r="D12796">
        <v>-3015.19</v>
      </c>
    </row>
    <row r="12797" spans="1:4" hidden="1" x14ac:dyDescent="0.3">
      <c r="A12797" t="s">
        <v>910</v>
      </c>
      <c r="B12797" t="s">
        <v>69</v>
      </c>
      <c r="C12797" s="1">
        <f>HYPERLINK("https://cao.dolgi.msk.ru/account/1011407177/", 1011407177)</f>
        <v>1011407177</v>
      </c>
      <c r="D12797">
        <v>0</v>
      </c>
    </row>
    <row r="12798" spans="1:4" x14ac:dyDescent="0.3">
      <c r="A12798" t="s">
        <v>910</v>
      </c>
      <c r="B12798" t="s">
        <v>70</v>
      </c>
      <c r="C12798" s="1">
        <f>HYPERLINK("https://cao.dolgi.msk.ru/account/1011406529/", 1011406529)</f>
        <v>1011406529</v>
      </c>
      <c r="D12798">
        <v>7179.96</v>
      </c>
    </row>
    <row r="12799" spans="1:4" hidden="1" x14ac:dyDescent="0.3">
      <c r="A12799" t="s">
        <v>910</v>
      </c>
      <c r="B12799" t="s">
        <v>259</v>
      </c>
      <c r="C12799" s="1">
        <f>HYPERLINK("https://cao.dolgi.msk.ru/account/1011406537/", 1011406537)</f>
        <v>1011406537</v>
      </c>
      <c r="D12799">
        <v>0</v>
      </c>
    </row>
    <row r="12800" spans="1:4" x14ac:dyDescent="0.3">
      <c r="A12800" t="s">
        <v>910</v>
      </c>
      <c r="B12800" t="s">
        <v>100</v>
      </c>
      <c r="C12800" s="1">
        <f>HYPERLINK("https://cao.dolgi.msk.ru/account/1011406641/", 1011406641)</f>
        <v>1011406641</v>
      </c>
      <c r="D12800">
        <v>6668.64</v>
      </c>
    </row>
    <row r="12801" spans="1:4" hidden="1" x14ac:dyDescent="0.3">
      <c r="A12801" t="s">
        <v>910</v>
      </c>
      <c r="B12801" t="s">
        <v>72</v>
      </c>
      <c r="C12801" s="1">
        <f>HYPERLINK("https://cao.dolgi.msk.ru/account/1011407003/", 1011407003)</f>
        <v>1011407003</v>
      </c>
      <c r="D12801">
        <v>-5605.64</v>
      </c>
    </row>
    <row r="12802" spans="1:4" hidden="1" x14ac:dyDescent="0.3">
      <c r="A12802" t="s">
        <v>910</v>
      </c>
      <c r="B12802" t="s">
        <v>73</v>
      </c>
      <c r="C12802" s="1">
        <f>HYPERLINK("https://cao.dolgi.msk.ru/account/1011406828/", 1011406828)</f>
        <v>1011406828</v>
      </c>
      <c r="D12802">
        <v>-13450.47</v>
      </c>
    </row>
    <row r="12803" spans="1:4" hidden="1" x14ac:dyDescent="0.3">
      <c r="A12803" t="s">
        <v>910</v>
      </c>
      <c r="B12803" t="s">
        <v>74</v>
      </c>
      <c r="C12803" s="1">
        <f>HYPERLINK("https://cao.dolgi.msk.ru/account/1011407265/", 1011407265)</f>
        <v>1011407265</v>
      </c>
      <c r="D12803">
        <v>0</v>
      </c>
    </row>
    <row r="12804" spans="1:4" hidden="1" x14ac:dyDescent="0.3">
      <c r="A12804" t="s">
        <v>910</v>
      </c>
      <c r="B12804" t="s">
        <v>75</v>
      </c>
      <c r="C12804" s="1">
        <f>HYPERLINK("https://cao.dolgi.msk.ru/account/1011407249/", 1011407249)</f>
        <v>1011407249</v>
      </c>
      <c r="D12804">
        <v>-8844.2999999999993</v>
      </c>
    </row>
    <row r="12805" spans="1:4" hidden="1" x14ac:dyDescent="0.3">
      <c r="A12805" t="s">
        <v>910</v>
      </c>
      <c r="B12805" t="s">
        <v>76</v>
      </c>
      <c r="C12805" s="1">
        <f>HYPERLINK("https://cao.dolgi.msk.ru/account/1011407302/", 1011407302)</f>
        <v>1011407302</v>
      </c>
      <c r="D12805">
        <v>0</v>
      </c>
    </row>
    <row r="12806" spans="1:4" hidden="1" x14ac:dyDescent="0.3">
      <c r="A12806" t="s">
        <v>910</v>
      </c>
      <c r="B12806" t="s">
        <v>77</v>
      </c>
      <c r="C12806" s="1">
        <f>HYPERLINK("https://cao.dolgi.msk.ru/account/1011406756/", 1011406756)</f>
        <v>1011406756</v>
      </c>
      <c r="D12806">
        <v>0</v>
      </c>
    </row>
    <row r="12807" spans="1:4" x14ac:dyDescent="0.3">
      <c r="A12807" t="s">
        <v>910</v>
      </c>
      <c r="B12807" t="s">
        <v>78</v>
      </c>
      <c r="C12807" s="1">
        <f>HYPERLINK("https://cao.dolgi.msk.ru/account/1011406588/", 1011406588)</f>
        <v>1011406588</v>
      </c>
      <c r="D12807">
        <v>4989.17</v>
      </c>
    </row>
    <row r="12808" spans="1:4" hidden="1" x14ac:dyDescent="0.3">
      <c r="A12808" t="s">
        <v>910</v>
      </c>
      <c r="B12808" t="s">
        <v>79</v>
      </c>
      <c r="C12808" s="1">
        <f>HYPERLINK("https://cao.dolgi.msk.ru/account/1011407329/", 1011407329)</f>
        <v>1011407329</v>
      </c>
      <c r="D12808">
        <v>0</v>
      </c>
    </row>
    <row r="12809" spans="1:4" hidden="1" x14ac:dyDescent="0.3">
      <c r="A12809" t="s">
        <v>910</v>
      </c>
      <c r="B12809" t="s">
        <v>80</v>
      </c>
      <c r="C12809" s="1">
        <f>HYPERLINK("https://cao.dolgi.msk.ru/account/1011406932/", 1011406932)</f>
        <v>1011406932</v>
      </c>
      <c r="D12809">
        <v>-363.77</v>
      </c>
    </row>
    <row r="12810" spans="1:4" hidden="1" x14ac:dyDescent="0.3">
      <c r="A12810" t="s">
        <v>910</v>
      </c>
      <c r="B12810" t="s">
        <v>81</v>
      </c>
      <c r="C12810" s="1">
        <f>HYPERLINK("https://cao.dolgi.msk.ru/account/1011406713/", 1011406713)</f>
        <v>1011406713</v>
      </c>
      <c r="D12810">
        <v>-3875.36</v>
      </c>
    </row>
    <row r="12811" spans="1:4" x14ac:dyDescent="0.3">
      <c r="A12811" t="s">
        <v>910</v>
      </c>
      <c r="B12811" t="s">
        <v>101</v>
      </c>
      <c r="C12811" s="1">
        <f>HYPERLINK("https://cao.dolgi.msk.ru/account/1011406721/", 1011406721)</f>
        <v>1011406721</v>
      </c>
      <c r="D12811">
        <v>8364.18</v>
      </c>
    </row>
    <row r="12812" spans="1:4" hidden="1" x14ac:dyDescent="0.3">
      <c r="A12812" t="s">
        <v>910</v>
      </c>
      <c r="B12812" t="s">
        <v>82</v>
      </c>
      <c r="C12812" s="1">
        <f>HYPERLINK("https://cao.dolgi.msk.ru/account/1011406617/", 1011406617)</f>
        <v>1011406617</v>
      </c>
      <c r="D12812">
        <v>-4063.26</v>
      </c>
    </row>
    <row r="12813" spans="1:4" hidden="1" x14ac:dyDescent="0.3">
      <c r="A12813" t="s">
        <v>910</v>
      </c>
      <c r="B12813" t="s">
        <v>83</v>
      </c>
      <c r="C12813" s="1">
        <f>HYPERLINK("https://cao.dolgi.msk.ru/account/1011406852/", 1011406852)</f>
        <v>1011406852</v>
      </c>
      <c r="D12813">
        <v>0</v>
      </c>
    </row>
    <row r="12814" spans="1:4" hidden="1" x14ac:dyDescent="0.3">
      <c r="A12814" t="s">
        <v>910</v>
      </c>
      <c r="B12814" t="s">
        <v>84</v>
      </c>
      <c r="C12814" s="1">
        <f>HYPERLINK("https://cao.dolgi.msk.ru/account/1011407273/", 1011407273)</f>
        <v>1011407273</v>
      </c>
      <c r="D12814">
        <v>0</v>
      </c>
    </row>
    <row r="12815" spans="1:4" hidden="1" x14ac:dyDescent="0.3">
      <c r="A12815" t="s">
        <v>910</v>
      </c>
      <c r="B12815" t="s">
        <v>85</v>
      </c>
      <c r="C12815" s="1">
        <f>HYPERLINK("https://cao.dolgi.msk.ru/account/1011406596/", 1011406596)</f>
        <v>1011406596</v>
      </c>
      <c r="D12815">
        <v>0</v>
      </c>
    </row>
    <row r="12816" spans="1:4" hidden="1" x14ac:dyDescent="0.3">
      <c r="A12816" t="s">
        <v>910</v>
      </c>
      <c r="B12816" t="s">
        <v>102</v>
      </c>
      <c r="C12816" s="1">
        <f>HYPERLINK("https://cao.dolgi.msk.ru/account/1011406545/", 1011406545)</f>
        <v>1011406545</v>
      </c>
      <c r="D12816">
        <v>0</v>
      </c>
    </row>
    <row r="12817" spans="1:4" x14ac:dyDescent="0.3">
      <c r="A12817" t="s">
        <v>911</v>
      </c>
      <c r="B12817" t="s">
        <v>105</v>
      </c>
      <c r="C12817" s="1">
        <f>HYPERLINK("https://cao.dolgi.msk.ru/account/1011480227/", 1011480227)</f>
        <v>1011480227</v>
      </c>
      <c r="D12817">
        <v>8958.66</v>
      </c>
    </row>
    <row r="12818" spans="1:4" x14ac:dyDescent="0.3">
      <c r="A12818" t="s">
        <v>911</v>
      </c>
      <c r="B12818" t="s">
        <v>106</v>
      </c>
      <c r="C12818" s="1">
        <f>HYPERLINK("https://cao.dolgi.msk.ru/account/1011480016/", 1011480016)</f>
        <v>1011480016</v>
      </c>
      <c r="D12818">
        <v>24704.59</v>
      </c>
    </row>
    <row r="12819" spans="1:4" hidden="1" x14ac:dyDescent="0.3">
      <c r="A12819" t="s">
        <v>911</v>
      </c>
      <c r="B12819" t="s">
        <v>107</v>
      </c>
      <c r="C12819" s="1">
        <f>HYPERLINK("https://cao.dolgi.msk.ru/account/1011480294/", 1011480294)</f>
        <v>1011480294</v>
      </c>
      <c r="D12819">
        <v>0</v>
      </c>
    </row>
    <row r="12820" spans="1:4" hidden="1" x14ac:dyDescent="0.3">
      <c r="A12820" t="s">
        <v>911</v>
      </c>
      <c r="B12820" t="s">
        <v>108</v>
      </c>
      <c r="C12820" s="1">
        <f>HYPERLINK("https://cao.dolgi.msk.ru/account/1011480235/", 1011480235)</f>
        <v>1011480235</v>
      </c>
      <c r="D12820">
        <v>-2543.63</v>
      </c>
    </row>
    <row r="12821" spans="1:4" x14ac:dyDescent="0.3">
      <c r="A12821" t="s">
        <v>911</v>
      </c>
      <c r="B12821" t="s">
        <v>109</v>
      </c>
      <c r="C12821" s="1">
        <f>HYPERLINK("https://cao.dolgi.msk.ru/account/1011480198/", 1011480198)</f>
        <v>1011480198</v>
      </c>
      <c r="D12821">
        <v>11055.18</v>
      </c>
    </row>
    <row r="12822" spans="1:4" hidden="1" x14ac:dyDescent="0.3">
      <c r="A12822" t="s">
        <v>911</v>
      </c>
      <c r="B12822" t="s">
        <v>110</v>
      </c>
      <c r="C12822" s="1">
        <f>HYPERLINK("https://cao.dolgi.msk.ru/account/1011479963/", 1011479963)</f>
        <v>1011479963</v>
      </c>
      <c r="D12822">
        <v>0</v>
      </c>
    </row>
    <row r="12823" spans="1:4" hidden="1" x14ac:dyDescent="0.3">
      <c r="A12823" t="s">
        <v>911</v>
      </c>
      <c r="B12823" t="s">
        <v>111</v>
      </c>
      <c r="C12823" s="1">
        <f>HYPERLINK("https://cao.dolgi.msk.ru/account/1011480243/", 1011480243)</f>
        <v>1011480243</v>
      </c>
      <c r="D12823">
        <v>0</v>
      </c>
    </row>
    <row r="12824" spans="1:4" x14ac:dyDescent="0.3">
      <c r="A12824" t="s">
        <v>911</v>
      </c>
      <c r="B12824" t="s">
        <v>112</v>
      </c>
      <c r="C12824" s="1">
        <f>HYPERLINK("https://cao.dolgi.msk.ru/account/1011480059/", 1011480059)</f>
        <v>1011480059</v>
      </c>
      <c r="D12824">
        <v>431.58</v>
      </c>
    </row>
    <row r="12825" spans="1:4" hidden="1" x14ac:dyDescent="0.3">
      <c r="A12825" t="s">
        <v>911</v>
      </c>
      <c r="B12825" t="s">
        <v>113</v>
      </c>
      <c r="C12825" s="1">
        <f>HYPERLINK("https://cao.dolgi.msk.ru/account/1011480251/", 1011480251)</f>
        <v>1011480251</v>
      </c>
      <c r="D12825">
        <v>0</v>
      </c>
    </row>
    <row r="12826" spans="1:4" hidden="1" x14ac:dyDescent="0.3">
      <c r="A12826" t="s">
        <v>911</v>
      </c>
      <c r="B12826" t="s">
        <v>114</v>
      </c>
      <c r="C12826" s="1">
        <f>HYPERLINK("https://cao.dolgi.msk.ru/account/1011479971/", 1011479971)</f>
        <v>1011479971</v>
      </c>
      <c r="D12826">
        <v>0</v>
      </c>
    </row>
    <row r="12827" spans="1:4" hidden="1" x14ac:dyDescent="0.3">
      <c r="A12827" t="s">
        <v>911</v>
      </c>
      <c r="B12827" t="s">
        <v>115</v>
      </c>
      <c r="C12827" s="1">
        <f>HYPERLINK("https://cao.dolgi.msk.ru/account/1011480024/", 1011480024)</f>
        <v>1011480024</v>
      </c>
      <c r="D12827">
        <v>0</v>
      </c>
    </row>
    <row r="12828" spans="1:4" hidden="1" x14ac:dyDescent="0.3">
      <c r="A12828" t="s">
        <v>911</v>
      </c>
      <c r="B12828" t="s">
        <v>116</v>
      </c>
      <c r="C12828" s="1">
        <f>HYPERLINK("https://cao.dolgi.msk.ru/account/1011480307/", 1011480307)</f>
        <v>1011480307</v>
      </c>
      <c r="D12828">
        <v>0</v>
      </c>
    </row>
    <row r="12829" spans="1:4" hidden="1" x14ac:dyDescent="0.3">
      <c r="A12829" t="s">
        <v>911</v>
      </c>
      <c r="B12829" t="s">
        <v>266</v>
      </c>
      <c r="C12829" s="1">
        <f>HYPERLINK("https://cao.dolgi.msk.ru/account/1011480067/", 1011480067)</f>
        <v>1011480067</v>
      </c>
      <c r="D12829">
        <v>-12577.32</v>
      </c>
    </row>
    <row r="12830" spans="1:4" x14ac:dyDescent="0.3">
      <c r="A12830" t="s">
        <v>911</v>
      </c>
      <c r="B12830" t="s">
        <v>117</v>
      </c>
      <c r="C12830" s="1">
        <f>HYPERLINK("https://cao.dolgi.msk.ru/account/1011480091/", 1011480091)</f>
        <v>1011480091</v>
      </c>
      <c r="D12830">
        <v>11845.53</v>
      </c>
    </row>
    <row r="12831" spans="1:4" x14ac:dyDescent="0.3">
      <c r="A12831" t="s">
        <v>911</v>
      </c>
      <c r="B12831" t="s">
        <v>118</v>
      </c>
      <c r="C12831" s="1">
        <f>HYPERLINK("https://cao.dolgi.msk.ru/account/1011480075/", 1011480075)</f>
        <v>1011480075</v>
      </c>
      <c r="D12831">
        <v>10801.4</v>
      </c>
    </row>
    <row r="12832" spans="1:4" hidden="1" x14ac:dyDescent="0.3">
      <c r="A12832" t="s">
        <v>911</v>
      </c>
      <c r="B12832" t="s">
        <v>912</v>
      </c>
      <c r="C12832" s="1">
        <f>HYPERLINK("https://cao.dolgi.msk.ru/account/1011480083/", 1011480083)</f>
        <v>1011480083</v>
      </c>
      <c r="D12832">
        <v>0</v>
      </c>
    </row>
    <row r="12833" spans="1:4" x14ac:dyDescent="0.3">
      <c r="A12833" t="s">
        <v>911</v>
      </c>
      <c r="B12833" t="s">
        <v>119</v>
      </c>
      <c r="C12833" s="1">
        <f>HYPERLINK("https://cao.dolgi.msk.ru/account/1011480032/", 1011480032)</f>
        <v>1011480032</v>
      </c>
      <c r="D12833">
        <v>3768.82</v>
      </c>
    </row>
    <row r="12834" spans="1:4" x14ac:dyDescent="0.3">
      <c r="A12834" t="s">
        <v>911</v>
      </c>
      <c r="B12834" t="s">
        <v>119</v>
      </c>
      <c r="C12834" s="1">
        <f>HYPERLINK("https://cao.dolgi.msk.ru/account/1011480147/", 1011480147)</f>
        <v>1011480147</v>
      </c>
      <c r="D12834">
        <v>14894.72</v>
      </c>
    </row>
    <row r="12835" spans="1:4" hidden="1" x14ac:dyDescent="0.3">
      <c r="A12835" t="s">
        <v>911</v>
      </c>
      <c r="B12835" t="s">
        <v>913</v>
      </c>
      <c r="C12835" s="1">
        <f>HYPERLINK("https://cao.dolgi.msk.ru/account/1011480155/", 1011480155)</f>
        <v>1011480155</v>
      </c>
      <c r="D12835">
        <v>0</v>
      </c>
    </row>
    <row r="12836" spans="1:4" x14ac:dyDescent="0.3">
      <c r="A12836" t="s">
        <v>911</v>
      </c>
      <c r="B12836" t="s">
        <v>120</v>
      </c>
      <c r="C12836" s="1">
        <f>HYPERLINK("https://cao.dolgi.msk.ru/account/1011480104/", 1011480104)</f>
        <v>1011480104</v>
      </c>
      <c r="D12836">
        <v>9371.81</v>
      </c>
    </row>
    <row r="12837" spans="1:4" hidden="1" x14ac:dyDescent="0.3">
      <c r="A12837" t="s">
        <v>911</v>
      </c>
      <c r="B12837" t="s">
        <v>121</v>
      </c>
      <c r="C12837" s="1">
        <f>HYPERLINK("https://cao.dolgi.msk.ru/account/1011480219/", 1011480219)</f>
        <v>1011480219</v>
      </c>
      <c r="D12837">
        <v>0</v>
      </c>
    </row>
    <row r="12838" spans="1:4" hidden="1" x14ac:dyDescent="0.3">
      <c r="A12838" t="s">
        <v>911</v>
      </c>
      <c r="B12838" t="s">
        <v>122</v>
      </c>
      <c r="C12838" s="1">
        <f>HYPERLINK("https://cao.dolgi.msk.ru/account/1011479998/", 1011479998)</f>
        <v>1011479998</v>
      </c>
      <c r="D12838">
        <v>0</v>
      </c>
    </row>
    <row r="12839" spans="1:4" hidden="1" x14ac:dyDescent="0.3">
      <c r="A12839" t="s">
        <v>911</v>
      </c>
      <c r="B12839" t="s">
        <v>123</v>
      </c>
      <c r="C12839" s="1">
        <f>HYPERLINK("https://cao.dolgi.msk.ru/account/1011480278/", 1011480278)</f>
        <v>1011480278</v>
      </c>
      <c r="D12839">
        <v>0</v>
      </c>
    </row>
    <row r="12840" spans="1:4" hidden="1" x14ac:dyDescent="0.3">
      <c r="A12840" t="s">
        <v>911</v>
      </c>
      <c r="B12840" t="s">
        <v>124</v>
      </c>
      <c r="C12840" s="1">
        <f>HYPERLINK("https://cao.dolgi.msk.ru/account/1011480008/", 1011480008)</f>
        <v>1011480008</v>
      </c>
      <c r="D12840">
        <v>-7281.86</v>
      </c>
    </row>
    <row r="12841" spans="1:4" hidden="1" x14ac:dyDescent="0.3">
      <c r="A12841" t="s">
        <v>911</v>
      </c>
      <c r="B12841" t="s">
        <v>125</v>
      </c>
      <c r="C12841" s="1">
        <f>HYPERLINK("https://cao.dolgi.msk.ru/account/1011480163/", 1011480163)</f>
        <v>1011480163</v>
      </c>
      <c r="D12841">
        <v>0</v>
      </c>
    </row>
    <row r="12842" spans="1:4" x14ac:dyDescent="0.3">
      <c r="A12842" t="s">
        <v>911</v>
      </c>
      <c r="B12842" t="s">
        <v>126</v>
      </c>
      <c r="C12842" s="1">
        <f>HYPERLINK("https://cao.dolgi.msk.ru/account/1011480286/", 1011480286)</f>
        <v>1011480286</v>
      </c>
      <c r="D12842">
        <v>3261.45</v>
      </c>
    </row>
    <row r="12843" spans="1:4" hidden="1" x14ac:dyDescent="0.3">
      <c r="A12843" t="s">
        <v>911</v>
      </c>
      <c r="B12843" t="s">
        <v>126</v>
      </c>
      <c r="C12843" s="1">
        <f>HYPERLINK("https://cao.dolgi.msk.ru/account/1011480315/", 1011480315)</f>
        <v>1011480315</v>
      </c>
      <c r="D12843">
        <v>-181.46</v>
      </c>
    </row>
    <row r="12844" spans="1:4" hidden="1" x14ac:dyDescent="0.3">
      <c r="A12844" t="s">
        <v>911</v>
      </c>
      <c r="B12844" t="s">
        <v>914</v>
      </c>
      <c r="C12844" s="1">
        <f>HYPERLINK("https://cao.dolgi.msk.ru/account/1011480171/", 1011480171)</f>
        <v>1011480171</v>
      </c>
      <c r="D12844">
        <v>-121.4</v>
      </c>
    </row>
    <row r="12845" spans="1:4" hidden="1" x14ac:dyDescent="0.3">
      <c r="A12845" t="s">
        <v>911</v>
      </c>
      <c r="B12845" t="s">
        <v>127</v>
      </c>
      <c r="C12845" s="1">
        <f>HYPERLINK("https://cao.dolgi.msk.ru/account/1011480323/", 1011480323)</f>
        <v>1011480323</v>
      </c>
      <c r="D12845">
        <v>-7033.42</v>
      </c>
    </row>
    <row r="12846" spans="1:4" x14ac:dyDescent="0.3">
      <c r="A12846" t="s">
        <v>911</v>
      </c>
      <c r="B12846" t="s">
        <v>915</v>
      </c>
      <c r="C12846" s="1">
        <f>HYPERLINK("https://cao.dolgi.msk.ru/account/1011480139/", 1011480139)</f>
        <v>1011480139</v>
      </c>
      <c r="D12846">
        <v>3998.79</v>
      </c>
    </row>
    <row r="12847" spans="1:4" hidden="1" x14ac:dyDescent="0.3">
      <c r="A12847" t="s">
        <v>916</v>
      </c>
      <c r="B12847" t="s">
        <v>6</v>
      </c>
      <c r="C12847" s="1">
        <f>HYPERLINK("https://cao.dolgi.msk.ru/account/1011206789/", 1011206789)</f>
        <v>1011206789</v>
      </c>
      <c r="D12847">
        <v>0</v>
      </c>
    </row>
    <row r="12848" spans="1:4" hidden="1" x14ac:dyDescent="0.3">
      <c r="A12848" t="s">
        <v>916</v>
      </c>
      <c r="B12848" t="s">
        <v>28</v>
      </c>
      <c r="C12848" s="1">
        <f>HYPERLINK("https://cao.dolgi.msk.ru/account/1011207001/", 1011207001)</f>
        <v>1011207001</v>
      </c>
      <c r="D12848">
        <v>0</v>
      </c>
    </row>
    <row r="12849" spans="1:4" hidden="1" x14ac:dyDescent="0.3">
      <c r="A12849" t="s">
        <v>916</v>
      </c>
      <c r="B12849" t="s">
        <v>35</v>
      </c>
      <c r="C12849" s="1">
        <f>HYPERLINK("https://cao.dolgi.msk.ru/account/1011206877/", 1011206877)</f>
        <v>1011206877</v>
      </c>
      <c r="D12849">
        <v>-7771.19</v>
      </c>
    </row>
    <row r="12850" spans="1:4" hidden="1" x14ac:dyDescent="0.3">
      <c r="A12850" t="s">
        <v>916</v>
      </c>
      <c r="B12850" t="s">
        <v>5</v>
      </c>
      <c r="C12850" s="1">
        <f>HYPERLINK("https://cao.dolgi.msk.ru/account/1011206885/", 1011206885)</f>
        <v>1011206885</v>
      </c>
      <c r="D12850">
        <v>0</v>
      </c>
    </row>
    <row r="12851" spans="1:4" hidden="1" x14ac:dyDescent="0.3">
      <c r="A12851" t="s">
        <v>916</v>
      </c>
      <c r="B12851" t="s">
        <v>7</v>
      </c>
      <c r="C12851" s="1">
        <f>HYPERLINK("https://cao.dolgi.msk.ru/account/1011206797/", 1011206797)</f>
        <v>1011206797</v>
      </c>
      <c r="D12851">
        <v>0</v>
      </c>
    </row>
    <row r="12852" spans="1:4" hidden="1" x14ac:dyDescent="0.3">
      <c r="A12852" t="s">
        <v>916</v>
      </c>
      <c r="B12852" t="s">
        <v>8</v>
      </c>
      <c r="C12852" s="1">
        <f>HYPERLINK("https://cao.dolgi.msk.ru/account/1011206818/", 1011206818)</f>
        <v>1011206818</v>
      </c>
      <c r="D12852">
        <v>0</v>
      </c>
    </row>
    <row r="12853" spans="1:4" x14ac:dyDescent="0.3">
      <c r="A12853" t="s">
        <v>916</v>
      </c>
      <c r="B12853" t="s">
        <v>31</v>
      </c>
      <c r="C12853" s="1">
        <f>HYPERLINK("https://cao.dolgi.msk.ru/account/1011206893/", 1011206893)</f>
        <v>1011206893</v>
      </c>
      <c r="D12853">
        <v>12138.05</v>
      </c>
    </row>
    <row r="12854" spans="1:4" hidden="1" x14ac:dyDescent="0.3">
      <c r="A12854" t="s">
        <v>916</v>
      </c>
      <c r="B12854" t="s">
        <v>9</v>
      </c>
      <c r="C12854" s="1">
        <f>HYPERLINK("https://cao.dolgi.msk.ru/account/1011206578/", 1011206578)</f>
        <v>1011206578</v>
      </c>
      <c r="D12854">
        <v>0</v>
      </c>
    </row>
    <row r="12855" spans="1:4" hidden="1" x14ac:dyDescent="0.3">
      <c r="A12855" t="s">
        <v>916</v>
      </c>
      <c r="B12855" t="s">
        <v>10</v>
      </c>
      <c r="C12855" s="1">
        <f>HYPERLINK("https://cao.dolgi.msk.ru/account/1011206623/", 1011206623)</f>
        <v>1011206623</v>
      </c>
      <c r="D12855">
        <v>-7940.93</v>
      </c>
    </row>
    <row r="12856" spans="1:4" x14ac:dyDescent="0.3">
      <c r="A12856" t="s">
        <v>916</v>
      </c>
      <c r="B12856" t="s">
        <v>11</v>
      </c>
      <c r="C12856" s="1">
        <f>HYPERLINK("https://cao.dolgi.msk.ru/account/1011206631/", 1011206631)</f>
        <v>1011206631</v>
      </c>
      <c r="D12856">
        <v>13296.08</v>
      </c>
    </row>
    <row r="12857" spans="1:4" hidden="1" x14ac:dyDescent="0.3">
      <c r="A12857" t="s">
        <v>916</v>
      </c>
      <c r="B12857" t="s">
        <v>12</v>
      </c>
      <c r="C12857" s="1">
        <f>HYPERLINK("https://cao.dolgi.msk.ru/account/1011206586/", 1011206586)</f>
        <v>1011206586</v>
      </c>
      <c r="D12857">
        <v>0</v>
      </c>
    </row>
    <row r="12858" spans="1:4" x14ac:dyDescent="0.3">
      <c r="A12858" t="s">
        <v>916</v>
      </c>
      <c r="B12858" t="s">
        <v>23</v>
      </c>
      <c r="C12858" s="1">
        <f>HYPERLINK("https://cao.dolgi.msk.ru/account/1011207028/", 1011207028)</f>
        <v>1011207028</v>
      </c>
      <c r="D12858">
        <v>17831.7</v>
      </c>
    </row>
    <row r="12859" spans="1:4" hidden="1" x14ac:dyDescent="0.3">
      <c r="A12859" t="s">
        <v>916</v>
      </c>
      <c r="B12859" t="s">
        <v>13</v>
      </c>
      <c r="C12859" s="1">
        <f>HYPERLINK("https://cao.dolgi.msk.ru/account/1011207036/", 1011207036)</f>
        <v>1011207036</v>
      </c>
      <c r="D12859">
        <v>-3382.26</v>
      </c>
    </row>
    <row r="12860" spans="1:4" hidden="1" x14ac:dyDescent="0.3">
      <c r="A12860" t="s">
        <v>916</v>
      </c>
      <c r="B12860" t="s">
        <v>14</v>
      </c>
      <c r="C12860" s="1">
        <f>HYPERLINK("https://cao.dolgi.msk.ru/account/1011206658/", 1011206658)</f>
        <v>1011206658</v>
      </c>
      <c r="D12860">
        <v>0</v>
      </c>
    </row>
    <row r="12861" spans="1:4" hidden="1" x14ac:dyDescent="0.3">
      <c r="A12861" t="s">
        <v>916</v>
      </c>
      <c r="B12861" t="s">
        <v>16</v>
      </c>
      <c r="C12861" s="1">
        <f>HYPERLINK("https://cao.dolgi.msk.ru/account/1011207052/", 1011207052)</f>
        <v>1011207052</v>
      </c>
      <c r="D12861">
        <v>0</v>
      </c>
    </row>
    <row r="12862" spans="1:4" hidden="1" x14ac:dyDescent="0.3">
      <c r="A12862" t="s">
        <v>916</v>
      </c>
      <c r="B12862" t="s">
        <v>17</v>
      </c>
      <c r="C12862" s="1">
        <f>HYPERLINK("https://cao.dolgi.msk.ru/account/1011207079/", 1011207079)</f>
        <v>1011207079</v>
      </c>
      <c r="D12862">
        <v>0</v>
      </c>
    </row>
    <row r="12863" spans="1:4" x14ac:dyDescent="0.3">
      <c r="A12863" t="s">
        <v>916</v>
      </c>
      <c r="B12863" t="s">
        <v>18</v>
      </c>
      <c r="C12863" s="1">
        <f>HYPERLINK("https://cao.dolgi.msk.ru/account/1011206666/", 1011206666)</f>
        <v>1011206666</v>
      </c>
      <c r="D12863">
        <v>622.1</v>
      </c>
    </row>
    <row r="12864" spans="1:4" hidden="1" x14ac:dyDescent="0.3">
      <c r="A12864" t="s">
        <v>916</v>
      </c>
      <c r="B12864" t="s">
        <v>19</v>
      </c>
      <c r="C12864" s="1">
        <f>HYPERLINK("https://cao.dolgi.msk.ru/account/1011206594/", 1011206594)</f>
        <v>1011206594</v>
      </c>
      <c r="D12864">
        <v>-5440.86</v>
      </c>
    </row>
    <row r="12865" spans="1:4" x14ac:dyDescent="0.3">
      <c r="A12865" t="s">
        <v>916</v>
      </c>
      <c r="B12865" t="s">
        <v>20</v>
      </c>
      <c r="C12865" s="1">
        <f>HYPERLINK("https://cao.dolgi.msk.ru/account/1011206906/", 1011206906)</f>
        <v>1011206906</v>
      </c>
      <c r="D12865">
        <v>482.35</v>
      </c>
    </row>
    <row r="12866" spans="1:4" x14ac:dyDescent="0.3">
      <c r="A12866" t="s">
        <v>916</v>
      </c>
      <c r="B12866" t="s">
        <v>21</v>
      </c>
      <c r="C12866" s="1">
        <f>HYPERLINK("https://cao.dolgi.msk.ru/account/1011206981/", 1011206981)</f>
        <v>1011206981</v>
      </c>
      <c r="D12866">
        <v>938.72</v>
      </c>
    </row>
    <row r="12867" spans="1:4" hidden="1" x14ac:dyDescent="0.3">
      <c r="A12867" t="s">
        <v>916</v>
      </c>
      <c r="B12867" t="s">
        <v>22</v>
      </c>
      <c r="C12867" s="1">
        <f>HYPERLINK("https://cao.dolgi.msk.ru/account/1011206914/", 1011206914)</f>
        <v>1011206914</v>
      </c>
      <c r="D12867">
        <v>-6594.04</v>
      </c>
    </row>
    <row r="12868" spans="1:4" hidden="1" x14ac:dyDescent="0.3">
      <c r="A12868" t="s">
        <v>916</v>
      </c>
      <c r="B12868" t="s">
        <v>24</v>
      </c>
      <c r="C12868" s="1">
        <f>HYPERLINK("https://cao.dolgi.msk.ru/account/1011206826/", 1011206826)</f>
        <v>1011206826</v>
      </c>
      <c r="D12868">
        <v>-11109.41</v>
      </c>
    </row>
    <row r="12869" spans="1:4" hidden="1" x14ac:dyDescent="0.3">
      <c r="A12869" t="s">
        <v>916</v>
      </c>
      <c r="B12869" t="s">
        <v>25</v>
      </c>
      <c r="C12869" s="1">
        <f>HYPERLINK("https://cao.dolgi.msk.ru/account/1011206922/", 1011206922)</f>
        <v>1011206922</v>
      </c>
      <c r="D12869">
        <v>0</v>
      </c>
    </row>
    <row r="12870" spans="1:4" hidden="1" x14ac:dyDescent="0.3">
      <c r="A12870" t="s">
        <v>916</v>
      </c>
      <c r="B12870" t="s">
        <v>26</v>
      </c>
      <c r="C12870" s="1">
        <f>HYPERLINK("https://cao.dolgi.msk.ru/account/1011207087/", 1011207087)</f>
        <v>1011207087</v>
      </c>
      <c r="D12870">
        <v>0</v>
      </c>
    </row>
    <row r="12871" spans="1:4" hidden="1" x14ac:dyDescent="0.3">
      <c r="A12871" t="s">
        <v>916</v>
      </c>
      <c r="B12871" t="s">
        <v>27</v>
      </c>
      <c r="C12871" s="1">
        <f>HYPERLINK("https://cao.dolgi.msk.ru/account/1011206949/", 1011206949)</f>
        <v>1011206949</v>
      </c>
      <c r="D12871">
        <v>0</v>
      </c>
    </row>
    <row r="12872" spans="1:4" hidden="1" x14ac:dyDescent="0.3">
      <c r="A12872" t="s">
        <v>916</v>
      </c>
      <c r="B12872" t="s">
        <v>29</v>
      </c>
      <c r="C12872" s="1">
        <f>HYPERLINK("https://cao.dolgi.msk.ru/account/1011206674/", 1011206674)</f>
        <v>1011206674</v>
      </c>
      <c r="D12872">
        <v>-168.38</v>
      </c>
    </row>
    <row r="12873" spans="1:4" hidden="1" x14ac:dyDescent="0.3">
      <c r="A12873" t="s">
        <v>916</v>
      </c>
      <c r="B12873" t="s">
        <v>38</v>
      </c>
      <c r="C12873" s="1">
        <f>HYPERLINK("https://cao.dolgi.msk.ru/account/1011206682/", 1011206682)</f>
        <v>1011206682</v>
      </c>
      <c r="D12873">
        <v>-5939.82</v>
      </c>
    </row>
    <row r="12874" spans="1:4" x14ac:dyDescent="0.3">
      <c r="A12874" t="s">
        <v>916</v>
      </c>
      <c r="B12874" t="s">
        <v>39</v>
      </c>
      <c r="C12874" s="1">
        <f>HYPERLINK("https://cao.dolgi.msk.ru/account/1011206607/", 1011206607)</f>
        <v>1011206607</v>
      </c>
      <c r="D12874">
        <v>10742.21</v>
      </c>
    </row>
    <row r="12875" spans="1:4" x14ac:dyDescent="0.3">
      <c r="A12875" t="s">
        <v>916</v>
      </c>
      <c r="B12875" t="s">
        <v>40</v>
      </c>
      <c r="C12875" s="1">
        <f>HYPERLINK("https://cao.dolgi.msk.ru/account/1011206738/", 1011206738)</f>
        <v>1011206738</v>
      </c>
      <c r="D12875">
        <v>26840.13</v>
      </c>
    </row>
    <row r="12876" spans="1:4" hidden="1" x14ac:dyDescent="0.3">
      <c r="A12876" t="s">
        <v>916</v>
      </c>
      <c r="B12876" t="s">
        <v>41</v>
      </c>
      <c r="C12876" s="1">
        <f>HYPERLINK("https://cao.dolgi.msk.ru/account/1011206957/", 1011206957)</f>
        <v>1011206957</v>
      </c>
      <c r="D12876">
        <v>-215.63</v>
      </c>
    </row>
    <row r="12877" spans="1:4" x14ac:dyDescent="0.3">
      <c r="A12877" t="s">
        <v>916</v>
      </c>
      <c r="B12877" t="s">
        <v>51</v>
      </c>
      <c r="C12877" s="1">
        <f>HYPERLINK("https://cao.dolgi.msk.ru/account/1011207095/", 1011207095)</f>
        <v>1011207095</v>
      </c>
      <c r="D12877">
        <v>34647.839999999997</v>
      </c>
    </row>
    <row r="12878" spans="1:4" hidden="1" x14ac:dyDescent="0.3">
      <c r="A12878" t="s">
        <v>916</v>
      </c>
      <c r="B12878" t="s">
        <v>52</v>
      </c>
      <c r="C12878" s="1">
        <f>HYPERLINK("https://cao.dolgi.msk.ru/account/1011206834/", 1011206834)</f>
        <v>1011206834</v>
      </c>
      <c r="D12878">
        <v>0</v>
      </c>
    </row>
    <row r="12879" spans="1:4" hidden="1" x14ac:dyDescent="0.3">
      <c r="A12879" t="s">
        <v>916</v>
      </c>
      <c r="B12879" t="s">
        <v>53</v>
      </c>
      <c r="C12879" s="1">
        <f>HYPERLINK("https://cao.dolgi.msk.ru/account/1011207044/", 1011207044)</f>
        <v>1011207044</v>
      </c>
      <c r="D12879">
        <v>0</v>
      </c>
    </row>
    <row r="12880" spans="1:4" hidden="1" x14ac:dyDescent="0.3">
      <c r="A12880" t="s">
        <v>916</v>
      </c>
      <c r="B12880" t="s">
        <v>54</v>
      </c>
      <c r="C12880" s="1">
        <f>HYPERLINK("https://cao.dolgi.msk.ru/account/1011206746/", 1011206746)</f>
        <v>1011206746</v>
      </c>
      <c r="D12880">
        <v>0</v>
      </c>
    </row>
    <row r="12881" spans="1:4" x14ac:dyDescent="0.3">
      <c r="A12881" t="s">
        <v>916</v>
      </c>
      <c r="B12881" t="s">
        <v>55</v>
      </c>
      <c r="C12881" s="1">
        <f>HYPERLINK("https://cao.dolgi.msk.ru/account/1011206965/", 1011206965)</f>
        <v>1011206965</v>
      </c>
      <c r="D12881">
        <v>4633.5</v>
      </c>
    </row>
    <row r="12882" spans="1:4" hidden="1" x14ac:dyDescent="0.3">
      <c r="A12882" t="s">
        <v>916</v>
      </c>
      <c r="B12882" t="s">
        <v>55</v>
      </c>
      <c r="C12882" s="1">
        <f>HYPERLINK("https://cao.dolgi.msk.ru/account/1011515119/", 1011515119)</f>
        <v>1011515119</v>
      </c>
      <c r="D12882">
        <v>0</v>
      </c>
    </row>
    <row r="12883" spans="1:4" x14ac:dyDescent="0.3">
      <c r="A12883" t="s">
        <v>916</v>
      </c>
      <c r="B12883" t="s">
        <v>56</v>
      </c>
      <c r="C12883" s="1">
        <f>HYPERLINK("https://cao.dolgi.msk.ru/account/1011206842/", 1011206842)</f>
        <v>1011206842</v>
      </c>
      <c r="D12883">
        <v>1962.5</v>
      </c>
    </row>
    <row r="12884" spans="1:4" hidden="1" x14ac:dyDescent="0.3">
      <c r="A12884" t="s">
        <v>916</v>
      </c>
      <c r="B12884" t="s">
        <v>87</v>
      </c>
      <c r="C12884" s="1">
        <f>HYPERLINK("https://cao.dolgi.msk.ru/account/1011207108/", 1011207108)</f>
        <v>1011207108</v>
      </c>
      <c r="D12884">
        <v>0</v>
      </c>
    </row>
    <row r="12885" spans="1:4" hidden="1" x14ac:dyDescent="0.3">
      <c r="A12885" t="s">
        <v>916</v>
      </c>
      <c r="B12885" t="s">
        <v>88</v>
      </c>
      <c r="C12885" s="1">
        <f>HYPERLINK("https://cao.dolgi.msk.ru/account/1011206703/", 1011206703)</f>
        <v>1011206703</v>
      </c>
      <c r="D12885">
        <v>0</v>
      </c>
    </row>
    <row r="12886" spans="1:4" hidden="1" x14ac:dyDescent="0.3">
      <c r="A12886" t="s">
        <v>916</v>
      </c>
      <c r="B12886" t="s">
        <v>89</v>
      </c>
      <c r="C12886" s="1">
        <f>HYPERLINK("https://cao.dolgi.msk.ru/account/1011206754/", 1011206754)</f>
        <v>1011206754</v>
      </c>
      <c r="D12886">
        <v>0</v>
      </c>
    </row>
    <row r="12887" spans="1:4" hidden="1" x14ac:dyDescent="0.3">
      <c r="A12887" t="s">
        <v>916</v>
      </c>
      <c r="B12887" t="s">
        <v>90</v>
      </c>
      <c r="C12887" s="1">
        <f>HYPERLINK("https://cao.dolgi.msk.ru/account/1011206973/", 1011206973)</f>
        <v>1011206973</v>
      </c>
      <c r="D12887">
        <v>-340.24</v>
      </c>
    </row>
    <row r="12888" spans="1:4" hidden="1" x14ac:dyDescent="0.3">
      <c r="A12888" t="s">
        <v>916</v>
      </c>
      <c r="B12888" t="s">
        <v>96</v>
      </c>
      <c r="C12888" s="1">
        <f>HYPERLINK("https://cao.dolgi.msk.ru/account/1011206869/", 1011206869)</f>
        <v>1011206869</v>
      </c>
      <c r="D12888">
        <v>0</v>
      </c>
    </row>
    <row r="12889" spans="1:4" x14ac:dyDescent="0.3">
      <c r="A12889" t="s">
        <v>916</v>
      </c>
      <c r="B12889" t="s">
        <v>97</v>
      </c>
      <c r="C12889" s="1">
        <f>HYPERLINK("https://cao.dolgi.msk.ru/account/1011206762/", 1011206762)</f>
        <v>1011206762</v>
      </c>
      <c r="D12889">
        <v>13924.56</v>
      </c>
    </row>
    <row r="12890" spans="1:4" hidden="1" x14ac:dyDescent="0.3">
      <c r="A12890" t="s">
        <v>916</v>
      </c>
      <c r="B12890" t="s">
        <v>98</v>
      </c>
      <c r="C12890" s="1">
        <f>HYPERLINK("https://cao.dolgi.msk.ru/account/1011206615/", 1011206615)</f>
        <v>1011206615</v>
      </c>
      <c r="D12890">
        <v>0</v>
      </c>
    </row>
    <row r="12891" spans="1:4" hidden="1" x14ac:dyDescent="0.3">
      <c r="A12891" t="s">
        <v>916</v>
      </c>
      <c r="B12891" t="s">
        <v>58</v>
      </c>
      <c r="C12891" s="1">
        <f>HYPERLINK("https://cao.dolgi.msk.ru/account/1011206711/", 1011206711)</f>
        <v>1011206711</v>
      </c>
      <c r="D12891">
        <v>0</v>
      </c>
    </row>
    <row r="12892" spans="1:4" hidden="1" x14ac:dyDescent="0.3">
      <c r="A12892" t="s">
        <v>917</v>
      </c>
      <c r="B12892" t="s">
        <v>6</v>
      </c>
      <c r="C12892" s="1">
        <f>HYPERLINK("https://cao.dolgi.msk.ru/account/1011225082/", 1011225082)</f>
        <v>1011225082</v>
      </c>
      <c r="D12892">
        <v>0</v>
      </c>
    </row>
    <row r="12893" spans="1:4" x14ac:dyDescent="0.3">
      <c r="A12893" t="s">
        <v>917</v>
      </c>
      <c r="B12893" t="s">
        <v>28</v>
      </c>
      <c r="C12893" s="1">
        <f>HYPERLINK("https://cao.dolgi.msk.ru/account/1011225154/", 1011225154)</f>
        <v>1011225154</v>
      </c>
      <c r="D12893">
        <v>61832.6</v>
      </c>
    </row>
    <row r="12894" spans="1:4" x14ac:dyDescent="0.3">
      <c r="A12894" t="s">
        <v>917</v>
      </c>
      <c r="B12894" t="s">
        <v>28</v>
      </c>
      <c r="C12894" s="1">
        <f>HYPERLINK("https://cao.dolgi.msk.ru/account/1011225226/", 1011225226)</f>
        <v>1011225226</v>
      </c>
      <c r="D12894">
        <v>88205.85</v>
      </c>
    </row>
    <row r="12895" spans="1:4" x14ac:dyDescent="0.3">
      <c r="A12895" t="s">
        <v>917</v>
      </c>
      <c r="B12895" t="s">
        <v>28</v>
      </c>
      <c r="C12895" s="1">
        <f>HYPERLINK("https://cao.dolgi.msk.ru/account/1011225234/", 1011225234)</f>
        <v>1011225234</v>
      </c>
      <c r="D12895">
        <v>162520.01</v>
      </c>
    </row>
    <row r="12896" spans="1:4" x14ac:dyDescent="0.3">
      <c r="A12896" t="s">
        <v>917</v>
      </c>
      <c r="B12896" t="s">
        <v>35</v>
      </c>
      <c r="C12896" s="1">
        <f>HYPERLINK("https://cao.dolgi.msk.ru/account/1011224952/", 1011224952)</f>
        <v>1011224952</v>
      </c>
      <c r="D12896">
        <v>109053.68</v>
      </c>
    </row>
    <row r="12897" spans="1:4" x14ac:dyDescent="0.3">
      <c r="A12897" t="s">
        <v>917</v>
      </c>
      <c r="B12897" t="s">
        <v>35</v>
      </c>
      <c r="C12897" s="1">
        <f>HYPERLINK("https://cao.dolgi.msk.ru/account/1011225007/", 1011225007)</f>
        <v>1011225007</v>
      </c>
      <c r="D12897">
        <v>11268.01</v>
      </c>
    </row>
    <row r="12898" spans="1:4" x14ac:dyDescent="0.3">
      <c r="A12898" t="s">
        <v>917</v>
      </c>
      <c r="B12898" t="s">
        <v>35</v>
      </c>
      <c r="C12898" s="1">
        <f>HYPERLINK("https://cao.dolgi.msk.ru/account/1011225023/", 1011225023)</f>
        <v>1011225023</v>
      </c>
      <c r="D12898">
        <v>28028.91</v>
      </c>
    </row>
    <row r="12899" spans="1:4" x14ac:dyDescent="0.3">
      <c r="A12899" t="s">
        <v>917</v>
      </c>
      <c r="B12899" t="s">
        <v>35</v>
      </c>
      <c r="C12899" s="1">
        <f>HYPERLINK("https://cao.dolgi.msk.ru/account/1011225031/", 1011225031)</f>
        <v>1011225031</v>
      </c>
      <c r="D12899">
        <v>35951.79</v>
      </c>
    </row>
    <row r="12900" spans="1:4" x14ac:dyDescent="0.3">
      <c r="A12900" t="s">
        <v>917</v>
      </c>
      <c r="B12900" t="s">
        <v>5</v>
      </c>
      <c r="C12900" s="1">
        <f>HYPERLINK("https://cao.dolgi.msk.ru/account/1011224901/", 1011224901)</f>
        <v>1011224901</v>
      </c>
      <c r="D12900">
        <v>129253.57</v>
      </c>
    </row>
    <row r="12901" spans="1:4" x14ac:dyDescent="0.3">
      <c r="A12901" t="s">
        <v>917</v>
      </c>
      <c r="B12901" t="s">
        <v>5</v>
      </c>
      <c r="C12901" s="1">
        <f>HYPERLINK("https://cao.dolgi.msk.ru/account/1011224928/", 1011224928)</f>
        <v>1011224928</v>
      </c>
      <c r="D12901">
        <v>70835.81</v>
      </c>
    </row>
    <row r="12902" spans="1:4" x14ac:dyDescent="0.3">
      <c r="A12902" t="s">
        <v>917</v>
      </c>
      <c r="B12902" t="s">
        <v>5</v>
      </c>
      <c r="C12902" s="1">
        <f>HYPERLINK("https://cao.dolgi.msk.ru/account/1011225058/", 1011225058)</f>
        <v>1011225058</v>
      </c>
      <c r="D12902">
        <v>52396.45</v>
      </c>
    </row>
    <row r="12903" spans="1:4" hidden="1" x14ac:dyDescent="0.3">
      <c r="A12903" t="s">
        <v>917</v>
      </c>
      <c r="B12903" t="s">
        <v>5</v>
      </c>
      <c r="C12903" s="1">
        <f>HYPERLINK("https://cao.dolgi.msk.ru/account/1011225103/", 1011225103)</f>
        <v>1011225103</v>
      </c>
      <c r="D12903">
        <v>0</v>
      </c>
    </row>
    <row r="12904" spans="1:4" x14ac:dyDescent="0.3">
      <c r="A12904" t="s">
        <v>917</v>
      </c>
      <c r="B12904" t="s">
        <v>7</v>
      </c>
      <c r="C12904" s="1">
        <f>HYPERLINK("https://cao.dolgi.msk.ru/account/1011224936/", 1011224936)</f>
        <v>1011224936</v>
      </c>
      <c r="D12904">
        <v>24386.12</v>
      </c>
    </row>
    <row r="12905" spans="1:4" x14ac:dyDescent="0.3">
      <c r="A12905" t="s">
        <v>917</v>
      </c>
      <c r="B12905" t="s">
        <v>7</v>
      </c>
      <c r="C12905" s="1">
        <f>HYPERLINK("https://cao.dolgi.msk.ru/account/1011224944/", 1011224944)</f>
        <v>1011224944</v>
      </c>
      <c r="D12905">
        <v>16363.98</v>
      </c>
    </row>
    <row r="12906" spans="1:4" x14ac:dyDescent="0.3">
      <c r="A12906" t="s">
        <v>917</v>
      </c>
      <c r="B12906" t="s">
        <v>7</v>
      </c>
      <c r="C12906" s="1">
        <f>HYPERLINK("https://cao.dolgi.msk.ru/account/1011224979/", 1011224979)</f>
        <v>1011224979</v>
      </c>
      <c r="D12906">
        <v>53985.62</v>
      </c>
    </row>
    <row r="12907" spans="1:4" x14ac:dyDescent="0.3">
      <c r="A12907" t="s">
        <v>917</v>
      </c>
      <c r="B12907" t="s">
        <v>7</v>
      </c>
      <c r="C12907" s="1">
        <f>HYPERLINK("https://cao.dolgi.msk.ru/account/1011225146/", 1011225146)</f>
        <v>1011225146</v>
      </c>
      <c r="D12907">
        <v>52792.52</v>
      </c>
    </row>
    <row r="12908" spans="1:4" x14ac:dyDescent="0.3">
      <c r="A12908" t="s">
        <v>917</v>
      </c>
      <c r="B12908" t="s">
        <v>7</v>
      </c>
      <c r="C12908" s="1">
        <f>HYPERLINK("https://cao.dolgi.msk.ru/account/1011225218/", 1011225218)</f>
        <v>1011225218</v>
      </c>
      <c r="D12908">
        <v>18978.080000000002</v>
      </c>
    </row>
    <row r="12909" spans="1:4" x14ac:dyDescent="0.3">
      <c r="A12909" t="s">
        <v>917</v>
      </c>
      <c r="B12909" t="s">
        <v>8</v>
      </c>
      <c r="C12909" s="1">
        <f>HYPERLINK("https://cao.dolgi.msk.ru/account/1011225015/", 1011225015)</f>
        <v>1011225015</v>
      </c>
      <c r="D12909">
        <v>2477.81</v>
      </c>
    </row>
    <row r="12910" spans="1:4" x14ac:dyDescent="0.3">
      <c r="A12910" t="s">
        <v>917</v>
      </c>
      <c r="B12910" t="s">
        <v>8</v>
      </c>
      <c r="C12910" s="1">
        <f>HYPERLINK("https://cao.dolgi.msk.ru/account/1011225162/", 1011225162)</f>
        <v>1011225162</v>
      </c>
      <c r="D12910">
        <v>41603.440000000002</v>
      </c>
    </row>
    <row r="12911" spans="1:4" x14ac:dyDescent="0.3">
      <c r="A12911" t="s">
        <v>917</v>
      </c>
      <c r="B12911" t="s">
        <v>31</v>
      </c>
      <c r="C12911" s="1">
        <f>HYPERLINK("https://cao.dolgi.msk.ru/account/1011225066/", 1011225066)</f>
        <v>1011225066</v>
      </c>
      <c r="D12911">
        <v>9176.64</v>
      </c>
    </row>
    <row r="12912" spans="1:4" x14ac:dyDescent="0.3">
      <c r="A12912" t="s">
        <v>917</v>
      </c>
      <c r="B12912" t="s">
        <v>31</v>
      </c>
      <c r="C12912" s="1">
        <f>HYPERLINK("https://cao.dolgi.msk.ru/account/1011225074/", 1011225074)</f>
        <v>1011225074</v>
      </c>
      <c r="D12912">
        <v>5903.4</v>
      </c>
    </row>
    <row r="12913" spans="1:4" x14ac:dyDescent="0.3">
      <c r="A12913" t="s">
        <v>917</v>
      </c>
      <c r="B12913" t="s">
        <v>31</v>
      </c>
      <c r="C12913" s="1">
        <f>HYPERLINK("https://cao.dolgi.msk.ru/account/1011225189/", 1011225189)</f>
        <v>1011225189</v>
      </c>
      <c r="D12913">
        <v>50694.73</v>
      </c>
    </row>
    <row r="12914" spans="1:4" x14ac:dyDescent="0.3">
      <c r="A12914" t="s">
        <v>917</v>
      </c>
      <c r="B12914" t="s">
        <v>31</v>
      </c>
      <c r="C12914" s="1">
        <f>HYPERLINK("https://cao.dolgi.msk.ru/account/1011225197/", 1011225197)</f>
        <v>1011225197</v>
      </c>
      <c r="D12914">
        <v>2616.62</v>
      </c>
    </row>
    <row r="12915" spans="1:4" x14ac:dyDescent="0.3">
      <c r="A12915" t="s">
        <v>917</v>
      </c>
      <c r="B12915" t="s">
        <v>31</v>
      </c>
      <c r="C12915" s="1">
        <f>HYPERLINK("https://cao.dolgi.msk.ru/account/1011225269/", 1011225269)</f>
        <v>1011225269</v>
      </c>
      <c r="D12915">
        <v>114159.15</v>
      </c>
    </row>
    <row r="12916" spans="1:4" x14ac:dyDescent="0.3">
      <c r="A12916" t="s">
        <v>917</v>
      </c>
      <c r="B12916" t="s">
        <v>9</v>
      </c>
      <c r="C12916" s="1">
        <f>HYPERLINK("https://cao.dolgi.msk.ru/account/1011224987/", 1011224987)</f>
        <v>1011224987</v>
      </c>
      <c r="D12916">
        <v>115631.95</v>
      </c>
    </row>
    <row r="12917" spans="1:4" x14ac:dyDescent="0.3">
      <c r="A12917" t="s">
        <v>917</v>
      </c>
      <c r="B12917" t="s">
        <v>9</v>
      </c>
      <c r="C12917" s="1">
        <f>HYPERLINK("https://cao.dolgi.msk.ru/account/1011224995/", 1011224995)</f>
        <v>1011224995</v>
      </c>
      <c r="D12917">
        <v>55394.44</v>
      </c>
    </row>
    <row r="12918" spans="1:4" x14ac:dyDescent="0.3">
      <c r="A12918" t="s">
        <v>917</v>
      </c>
      <c r="B12918" t="s">
        <v>9</v>
      </c>
      <c r="C12918" s="1">
        <f>HYPERLINK("https://cao.dolgi.msk.ru/account/1011225111/", 1011225111)</f>
        <v>1011225111</v>
      </c>
      <c r="D12918">
        <v>71739.83</v>
      </c>
    </row>
    <row r="12919" spans="1:4" x14ac:dyDescent="0.3">
      <c r="A12919" t="s">
        <v>917</v>
      </c>
      <c r="B12919" t="s">
        <v>9</v>
      </c>
      <c r="C12919" s="1">
        <f>HYPERLINK("https://cao.dolgi.msk.ru/account/1011225138/", 1011225138)</f>
        <v>1011225138</v>
      </c>
      <c r="D12919">
        <v>35451.49</v>
      </c>
    </row>
    <row r="12920" spans="1:4" x14ac:dyDescent="0.3">
      <c r="A12920" t="s">
        <v>918</v>
      </c>
      <c r="B12920" t="s">
        <v>35</v>
      </c>
      <c r="C12920" s="1">
        <f>HYPERLINK("https://cao.dolgi.msk.ru/account/1011487891/", 1011487891)</f>
        <v>1011487891</v>
      </c>
      <c r="D12920">
        <v>25831.14</v>
      </c>
    </row>
    <row r="12921" spans="1:4" hidden="1" x14ac:dyDescent="0.3">
      <c r="A12921" t="s">
        <v>918</v>
      </c>
      <c r="B12921" t="s">
        <v>5</v>
      </c>
      <c r="C12921" s="1">
        <f>HYPERLINK("https://cao.dolgi.msk.ru/account/1011487998/", 1011487998)</f>
        <v>1011487998</v>
      </c>
      <c r="D12921">
        <v>0</v>
      </c>
    </row>
    <row r="12922" spans="1:4" hidden="1" x14ac:dyDescent="0.3">
      <c r="A12922" t="s">
        <v>918</v>
      </c>
      <c r="B12922" t="s">
        <v>7</v>
      </c>
      <c r="C12922" s="1">
        <f>HYPERLINK("https://cao.dolgi.msk.ru/account/1011488202/", 1011488202)</f>
        <v>1011488202</v>
      </c>
      <c r="D12922">
        <v>-3913.05</v>
      </c>
    </row>
    <row r="12923" spans="1:4" hidden="1" x14ac:dyDescent="0.3">
      <c r="A12923" t="s">
        <v>918</v>
      </c>
      <c r="B12923" t="s">
        <v>8</v>
      </c>
      <c r="C12923" s="1">
        <f>HYPERLINK("https://cao.dolgi.msk.ru/account/1011488114/", 1011488114)</f>
        <v>1011488114</v>
      </c>
      <c r="D12923">
        <v>-713.24</v>
      </c>
    </row>
    <row r="12924" spans="1:4" x14ac:dyDescent="0.3">
      <c r="A12924" t="s">
        <v>918</v>
      </c>
      <c r="B12924" t="s">
        <v>31</v>
      </c>
      <c r="C12924" s="1">
        <f>HYPERLINK("https://cao.dolgi.msk.ru/account/1011488106/", 1011488106)</f>
        <v>1011488106</v>
      </c>
      <c r="D12924">
        <v>3022.72</v>
      </c>
    </row>
    <row r="12925" spans="1:4" hidden="1" x14ac:dyDescent="0.3">
      <c r="A12925" t="s">
        <v>918</v>
      </c>
      <c r="B12925" t="s">
        <v>9</v>
      </c>
      <c r="C12925" s="1">
        <f>HYPERLINK("https://cao.dolgi.msk.ru/account/1011488122/", 1011488122)</f>
        <v>1011488122</v>
      </c>
      <c r="D12925">
        <v>0</v>
      </c>
    </row>
    <row r="12926" spans="1:4" hidden="1" x14ac:dyDescent="0.3">
      <c r="A12926" t="s">
        <v>918</v>
      </c>
      <c r="B12926" t="s">
        <v>10</v>
      </c>
      <c r="C12926" s="1">
        <f>HYPERLINK("https://cao.dolgi.msk.ru/account/1011487904/", 1011487904)</f>
        <v>1011487904</v>
      </c>
      <c r="D12926">
        <v>-11898.43</v>
      </c>
    </row>
    <row r="12927" spans="1:4" x14ac:dyDescent="0.3">
      <c r="A12927" t="s">
        <v>918</v>
      </c>
      <c r="B12927" t="s">
        <v>11</v>
      </c>
      <c r="C12927" s="1">
        <f>HYPERLINK("https://cao.dolgi.msk.ru/account/1011487947/", 1011487947)</f>
        <v>1011487947</v>
      </c>
      <c r="D12927">
        <v>35585.57</v>
      </c>
    </row>
    <row r="12928" spans="1:4" hidden="1" x14ac:dyDescent="0.3">
      <c r="A12928" t="s">
        <v>918</v>
      </c>
      <c r="B12928" t="s">
        <v>12</v>
      </c>
      <c r="C12928" s="1">
        <f>HYPERLINK("https://cao.dolgi.msk.ru/account/1011488173/", 1011488173)</f>
        <v>1011488173</v>
      </c>
      <c r="D12928">
        <v>-222.91</v>
      </c>
    </row>
    <row r="12929" spans="1:4" hidden="1" x14ac:dyDescent="0.3">
      <c r="A12929" t="s">
        <v>918</v>
      </c>
      <c r="B12929" t="s">
        <v>23</v>
      </c>
      <c r="C12929" s="1">
        <f>HYPERLINK("https://cao.dolgi.msk.ru/account/1011488077/", 1011488077)</f>
        <v>1011488077</v>
      </c>
      <c r="D12929">
        <v>-10531.39</v>
      </c>
    </row>
    <row r="12930" spans="1:4" x14ac:dyDescent="0.3">
      <c r="A12930" t="s">
        <v>918</v>
      </c>
      <c r="B12930" t="s">
        <v>13</v>
      </c>
      <c r="C12930" s="1">
        <f>HYPERLINK("https://cao.dolgi.msk.ru/account/1011487939/", 1011487939)</f>
        <v>1011487939</v>
      </c>
      <c r="D12930">
        <v>3300.83</v>
      </c>
    </row>
    <row r="12931" spans="1:4" hidden="1" x14ac:dyDescent="0.3">
      <c r="A12931" t="s">
        <v>918</v>
      </c>
      <c r="B12931" t="s">
        <v>14</v>
      </c>
      <c r="C12931" s="1">
        <f>HYPERLINK("https://cao.dolgi.msk.ru/account/1011488018/", 1011488018)</f>
        <v>1011488018</v>
      </c>
      <c r="D12931">
        <v>0</v>
      </c>
    </row>
    <row r="12932" spans="1:4" x14ac:dyDescent="0.3">
      <c r="A12932" t="s">
        <v>918</v>
      </c>
      <c r="B12932" t="s">
        <v>919</v>
      </c>
      <c r="C12932" s="1">
        <f>HYPERLINK("https://cao.dolgi.msk.ru/account/1011488069/", 1011488069)</f>
        <v>1011488069</v>
      </c>
      <c r="D12932">
        <v>24381.74</v>
      </c>
    </row>
    <row r="12933" spans="1:4" hidden="1" x14ac:dyDescent="0.3">
      <c r="A12933" t="s">
        <v>918</v>
      </c>
      <c r="B12933" t="s">
        <v>20</v>
      </c>
      <c r="C12933" s="1">
        <f>HYPERLINK("https://cao.dolgi.msk.ru/account/1011487955/", 1011487955)</f>
        <v>1011487955</v>
      </c>
      <c r="D12933">
        <v>-5682.39</v>
      </c>
    </row>
    <row r="12934" spans="1:4" x14ac:dyDescent="0.3">
      <c r="A12934" t="s">
        <v>918</v>
      </c>
      <c r="B12934" t="s">
        <v>21</v>
      </c>
      <c r="C12934" s="1">
        <f>HYPERLINK("https://cao.dolgi.msk.ru/account/1011488026/", 1011488026)</f>
        <v>1011488026</v>
      </c>
      <c r="D12934">
        <v>168819.7</v>
      </c>
    </row>
    <row r="12935" spans="1:4" x14ac:dyDescent="0.3">
      <c r="A12935" t="s">
        <v>918</v>
      </c>
      <c r="B12935" t="s">
        <v>22</v>
      </c>
      <c r="C12935" s="1">
        <f>HYPERLINK("https://cao.dolgi.msk.ru/account/1011488085/", 1011488085)</f>
        <v>1011488085</v>
      </c>
      <c r="D12935">
        <v>36888.58</v>
      </c>
    </row>
    <row r="12936" spans="1:4" x14ac:dyDescent="0.3">
      <c r="A12936" t="s">
        <v>918</v>
      </c>
      <c r="B12936" t="s">
        <v>24</v>
      </c>
      <c r="C12936" s="1">
        <f>HYPERLINK("https://cao.dolgi.msk.ru/account/1011487963/", 1011487963)</f>
        <v>1011487963</v>
      </c>
      <c r="D12936">
        <v>37677.230000000003</v>
      </c>
    </row>
    <row r="12937" spans="1:4" hidden="1" x14ac:dyDescent="0.3">
      <c r="A12937" t="s">
        <v>918</v>
      </c>
      <c r="B12937" t="s">
        <v>584</v>
      </c>
      <c r="C12937" s="1">
        <f>HYPERLINK("https://cao.dolgi.msk.ru/account/1011488042/", 1011488042)</f>
        <v>1011488042</v>
      </c>
      <c r="D12937">
        <v>0</v>
      </c>
    </row>
    <row r="12938" spans="1:4" hidden="1" x14ac:dyDescent="0.3">
      <c r="A12938" t="s">
        <v>918</v>
      </c>
      <c r="B12938" t="s">
        <v>25</v>
      </c>
      <c r="C12938" s="1">
        <f>HYPERLINK("https://cao.dolgi.msk.ru/account/1011488093/", 1011488093)</f>
        <v>1011488093</v>
      </c>
      <c r="D12938">
        <v>-308.23</v>
      </c>
    </row>
    <row r="12939" spans="1:4" hidden="1" x14ac:dyDescent="0.3">
      <c r="A12939" t="s">
        <v>918</v>
      </c>
      <c r="B12939" t="s">
        <v>26</v>
      </c>
      <c r="C12939" s="1">
        <f>HYPERLINK("https://cao.dolgi.msk.ru/account/1011487912/", 1011487912)</f>
        <v>1011487912</v>
      </c>
      <c r="D12939">
        <v>0</v>
      </c>
    </row>
    <row r="12940" spans="1:4" hidden="1" x14ac:dyDescent="0.3">
      <c r="A12940" t="s">
        <v>918</v>
      </c>
      <c r="B12940" t="s">
        <v>27</v>
      </c>
      <c r="C12940" s="1">
        <f>HYPERLINK("https://cao.dolgi.msk.ru/account/1011488034/", 1011488034)</f>
        <v>1011488034</v>
      </c>
      <c r="D12940">
        <v>0</v>
      </c>
    </row>
    <row r="12941" spans="1:4" hidden="1" x14ac:dyDescent="0.3">
      <c r="A12941" t="s">
        <v>918</v>
      </c>
      <c r="B12941" t="s">
        <v>29</v>
      </c>
      <c r="C12941" s="1">
        <f>HYPERLINK("https://cao.dolgi.msk.ru/account/1011488149/", 1011488149)</f>
        <v>1011488149</v>
      </c>
      <c r="D12941">
        <v>-5536.43</v>
      </c>
    </row>
    <row r="12942" spans="1:4" hidden="1" x14ac:dyDescent="0.3">
      <c r="A12942" t="s">
        <v>918</v>
      </c>
      <c r="B12942" t="s">
        <v>38</v>
      </c>
      <c r="C12942" s="1">
        <f>HYPERLINK("https://cao.dolgi.msk.ru/account/1011487971/", 1011487971)</f>
        <v>1011487971</v>
      </c>
      <c r="D12942">
        <v>0</v>
      </c>
    </row>
    <row r="12943" spans="1:4" hidden="1" x14ac:dyDescent="0.3">
      <c r="A12943" t="s">
        <v>918</v>
      </c>
      <c r="B12943" t="s">
        <v>39</v>
      </c>
      <c r="C12943" s="1">
        <f>HYPERLINK("https://cao.dolgi.msk.ru/account/1011488181/", 1011488181)</f>
        <v>1011488181</v>
      </c>
      <c r="D12943">
        <v>0</v>
      </c>
    </row>
    <row r="12944" spans="1:4" hidden="1" x14ac:dyDescent="0.3">
      <c r="A12944" t="s">
        <v>918</v>
      </c>
      <c r="B12944" t="s">
        <v>40</v>
      </c>
      <c r="C12944" s="1">
        <f>HYPERLINK("https://cao.dolgi.msk.ru/account/1011488157/", 1011488157)</f>
        <v>1011488157</v>
      </c>
      <c r="D12944">
        <v>0</v>
      </c>
    </row>
    <row r="12945" spans="1:4" hidden="1" x14ac:dyDescent="0.3">
      <c r="A12945" t="s">
        <v>918</v>
      </c>
      <c r="B12945" t="s">
        <v>832</v>
      </c>
      <c r="C12945" s="1">
        <f>HYPERLINK("https://cao.dolgi.msk.ru/account/1011488165/", 1011488165)</f>
        <v>1011488165</v>
      </c>
      <c r="D12945">
        <v>-54.86</v>
      </c>
    </row>
    <row r="12946" spans="1:4" hidden="1" x14ac:dyDescent="0.3">
      <c r="A12946" t="s">
        <v>920</v>
      </c>
      <c r="B12946" t="s">
        <v>52</v>
      </c>
      <c r="C12946" s="1">
        <f>HYPERLINK("https://cao.dolgi.msk.ru/account/1011207159/", 1011207159)</f>
        <v>1011207159</v>
      </c>
      <c r="D12946">
        <v>0</v>
      </c>
    </row>
    <row r="12947" spans="1:4" hidden="1" x14ac:dyDescent="0.3">
      <c r="A12947" t="s">
        <v>920</v>
      </c>
      <c r="B12947" t="s">
        <v>53</v>
      </c>
      <c r="C12947" s="1">
        <f>HYPERLINK("https://cao.dolgi.msk.ru/account/1011207343/", 1011207343)</f>
        <v>1011207343</v>
      </c>
      <c r="D12947">
        <v>0</v>
      </c>
    </row>
    <row r="12948" spans="1:4" hidden="1" x14ac:dyDescent="0.3">
      <c r="A12948" t="s">
        <v>920</v>
      </c>
      <c r="B12948" t="s">
        <v>54</v>
      </c>
      <c r="C12948" s="1">
        <f>HYPERLINK("https://cao.dolgi.msk.ru/account/1011207415/", 1011207415)</f>
        <v>1011207415</v>
      </c>
      <c r="D12948">
        <v>0</v>
      </c>
    </row>
    <row r="12949" spans="1:4" hidden="1" x14ac:dyDescent="0.3">
      <c r="A12949" t="s">
        <v>920</v>
      </c>
      <c r="B12949" t="s">
        <v>55</v>
      </c>
      <c r="C12949" s="1">
        <f>HYPERLINK("https://cao.dolgi.msk.ru/account/1011207116/", 1011207116)</f>
        <v>1011207116</v>
      </c>
      <c r="D12949">
        <v>0</v>
      </c>
    </row>
    <row r="12950" spans="1:4" hidden="1" x14ac:dyDescent="0.3">
      <c r="A12950" t="s">
        <v>920</v>
      </c>
      <c r="B12950" t="s">
        <v>56</v>
      </c>
      <c r="C12950" s="1">
        <f>HYPERLINK("https://cao.dolgi.msk.ru/account/1011207351/", 1011207351)</f>
        <v>1011207351</v>
      </c>
      <c r="D12950">
        <v>-5255.5</v>
      </c>
    </row>
    <row r="12951" spans="1:4" x14ac:dyDescent="0.3">
      <c r="A12951" t="s">
        <v>920</v>
      </c>
      <c r="B12951" t="s">
        <v>87</v>
      </c>
      <c r="C12951" s="1">
        <f>HYPERLINK("https://cao.dolgi.msk.ru/account/1011207562/", 1011207562)</f>
        <v>1011207562</v>
      </c>
      <c r="D12951">
        <v>13132.87</v>
      </c>
    </row>
    <row r="12952" spans="1:4" x14ac:dyDescent="0.3">
      <c r="A12952" t="s">
        <v>920</v>
      </c>
      <c r="B12952" t="s">
        <v>88</v>
      </c>
      <c r="C12952" s="1">
        <f>HYPERLINK("https://cao.dolgi.msk.ru/account/1011207271/", 1011207271)</f>
        <v>1011207271</v>
      </c>
      <c r="D12952">
        <v>16073.45</v>
      </c>
    </row>
    <row r="12953" spans="1:4" hidden="1" x14ac:dyDescent="0.3">
      <c r="A12953" t="s">
        <v>920</v>
      </c>
      <c r="B12953" t="s">
        <v>89</v>
      </c>
      <c r="C12953" s="1">
        <f>HYPERLINK("https://cao.dolgi.msk.ru/account/1011207298/", 1011207298)</f>
        <v>1011207298</v>
      </c>
      <c r="D12953">
        <v>-1220.6199999999999</v>
      </c>
    </row>
    <row r="12954" spans="1:4" hidden="1" x14ac:dyDescent="0.3">
      <c r="A12954" t="s">
        <v>920</v>
      </c>
      <c r="B12954" t="s">
        <v>90</v>
      </c>
      <c r="C12954" s="1">
        <f>HYPERLINK("https://cao.dolgi.msk.ru/account/1011207378/", 1011207378)</f>
        <v>1011207378</v>
      </c>
      <c r="D12954">
        <v>0</v>
      </c>
    </row>
    <row r="12955" spans="1:4" hidden="1" x14ac:dyDescent="0.3">
      <c r="A12955" t="s">
        <v>920</v>
      </c>
      <c r="B12955" t="s">
        <v>96</v>
      </c>
      <c r="C12955" s="1">
        <f>HYPERLINK("https://cao.dolgi.msk.ru/account/1011207124/", 1011207124)</f>
        <v>1011207124</v>
      </c>
      <c r="D12955">
        <v>-10211.65</v>
      </c>
    </row>
    <row r="12956" spans="1:4" x14ac:dyDescent="0.3">
      <c r="A12956" t="s">
        <v>920</v>
      </c>
      <c r="B12956" t="s">
        <v>97</v>
      </c>
      <c r="C12956" s="1">
        <f>HYPERLINK("https://cao.dolgi.msk.ru/account/1011207386/", 1011207386)</f>
        <v>1011207386</v>
      </c>
      <c r="D12956">
        <v>11500.75</v>
      </c>
    </row>
    <row r="12957" spans="1:4" hidden="1" x14ac:dyDescent="0.3">
      <c r="A12957" t="s">
        <v>920</v>
      </c>
      <c r="B12957" t="s">
        <v>98</v>
      </c>
      <c r="C12957" s="1">
        <f>HYPERLINK("https://cao.dolgi.msk.ru/account/1011207204/", 1011207204)</f>
        <v>1011207204</v>
      </c>
      <c r="D12957">
        <v>0</v>
      </c>
    </row>
    <row r="12958" spans="1:4" x14ac:dyDescent="0.3">
      <c r="A12958" t="s">
        <v>920</v>
      </c>
      <c r="B12958" t="s">
        <v>58</v>
      </c>
      <c r="C12958" s="1">
        <f>HYPERLINK("https://cao.dolgi.msk.ru/account/1011207423/", 1011207423)</f>
        <v>1011207423</v>
      </c>
      <c r="D12958">
        <v>11018.56</v>
      </c>
    </row>
    <row r="12959" spans="1:4" hidden="1" x14ac:dyDescent="0.3">
      <c r="A12959" t="s">
        <v>920</v>
      </c>
      <c r="B12959" t="s">
        <v>59</v>
      </c>
      <c r="C12959" s="1">
        <f>HYPERLINK("https://cao.dolgi.msk.ru/account/1011207431/", 1011207431)</f>
        <v>1011207431</v>
      </c>
      <c r="D12959">
        <v>0</v>
      </c>
    </row>
    <row r="12960" spans="1:4" hidden="1" x14ac:dyDescent="0.3">
      <c r="A12960" t="s">
        <v>920</v>
      </c>
      <c r="B12960" t="s">
        <v>60</v>
      </c>
      <c r="C12960" s="1">
        <f>HYPERLINK("https://cao.dolgi.msk.ru/account/1011207458/", 1011207458)</f>
        <v>1011207458</v>
      </c>
      <c r="D12960">
        <v>0</v>
      </c>
    </row>
    <row r="12961" spans="1:4" x14ac:dyDescent="0.3">
      <c r="A12961" t="s">
        <v>920</v>
      </c>
      <c r="B12961" t="s">
        <v>61</v>
      </c>
      <c r="C12961" s="1">
        <f>HYPERLINK("https://cao.dolgi.msk.ru/account/1011207466/", 1011207466)</f>
        <v>1011207466</v>
      </c>
      <c r="D12961">
        <v>1973.85</v>
      </c>
    </row>
    <row r="12962" spans="1:4" hidden="1" x14ac:dyDescent="0.3">
      <c r="A12962" t="s">
        <v>920</v>
      </c>
      <c r="B12962" t="s">
        <v>62</v>
      </c>
      <c r="C12962" s="1">
        <f>HYPERLINK("https://cao.dolgi.msk.ru/account/1011207474/", 1011207474)</f>
        <v>1011207474</v>
      </c>
      <c r="D12962">
        <v>-12106.51</v>
      </c>
    </row>
    <row r="12963" spans="1:4" hidden="1" x14ac:dyDescent="0.3">
      <c r="A12963" t="s">
        <v>920</v>
      </c>
      <c r="B12963" t="s">
        <v>63</v>
      </c>
      <c r="C12963" s="1">
        <f>HYPERLINK("https://cao.dolgi.msk.ru/account/1011207538/", 1011207538)</f>
        <v>1011207538</v>
      </c>
      <c r="D12963">
        <v>0</v>
      </c>
    </row>
    <row r="12964" spans="1:4" hidden="1" x14ac:dyDescent="0.3">
      <c r="A12964" t="s">
        <v>920</v>
      </c>
      <c r="B12964" t="s">
        <v>64</v>
      </c>
      <c r="C12964" s="1">
        <f>HYPERLINK("https://cao.dolgi.msk.ru/account/1011207327/", 1011207327)</f>
        <v>1011207327</v>
      </c>
      <c r="D12964">
        <v>-4857.67</v>
      </c>
    </row>
    <row r="12965" spans="1:4" hidden="1" x14ac:dyDescent="0.3">
      <c r="A12965" t="s">
        <v>920</v>
      </c>
      <c r="B12965" t="s">
        <v>65</v>
      </c>
      <c r="C12965" s="1">
        <f>HYPERLINK("https://cao.dolgi.msk.ru/account/1011207167/", 1011207167)</f>
        <v>1011207167</v>
      </c>
      <c r="D12965">
        <v>0</v>
      </c>
    </row>
    <row r="12966" spans="1:4" hidden="1" x14ac:dyDescent="0.3">
      <c r="A12966" t="s">
        <v>920</v>
      </c>
      <c r="B12966" t="s">
        <v>65</v>
      </c>
      <c r="C12966" s="1">
        <f>HYPERLINK("https://cao.dolgi.msk.ru/account/1011207546/", 1011207546)</f>
        <v>1011207546</v>
      </c>
      <c r="D12966">
        <v>-8527.74</v>
      </c>
    </row>
    <row r="12967" spans="1:4" hidden="1" x14ac:dyDescent="0.3">
      <c r="A12967" t="s">
        <v>920</v>
      </c>
      <c r="B12967" t="s">
        <v>66</v>
      </c>
      <c r="C12967" s="1">
        <f>HYPERLINK("https://cao.dolgi.msk.ru/account/1011207319/", 1011207319)</f>
        <v>1011207319</v>
      </c>
      <c r="D12967">
        <v>0</v>
      </c>
    </row>
    <row r="12968" spans="1:4" hidden="1" x14ac:dyDescent="0.3">
      <c r="A12968" t="s">
        <v>920</v>
      </c>
      <c r="B12968" t="s">
        <v>67</v>
      </c>
      <c r="C12968" s="1">
        <f>HYPERLINK("https://cao.dolgi.msk.ru/account/1011207239/", 1011207239)</f>
        <v>1011207239</v>
      </c>
      <c r="D12968">
        <v>0</v>
      </c>
    </row>
    <row r="12969" spans="1:4" x14ac:dyDescent="0.3">
      <c r="A12969" t="s">
        <v>920</v>
      </c>
      <c r="B12969" t="s">
        <v>68</v>
      </c>
      <c r="C12969" s="1">
        <f>HYPERLINK("https://cao.dolgi.msk.ru/account/1011207394/", 1011207394)</f>
        <v>1011207394</v>
      </c>
      <c r="D12969">
        <v>8557.69</v>
      </c>
    </row>
    <row r="12970" spans="1:4" hidden="1" x14ac:dyDescent="0.3">
      <c r="A12970" t="s">
        <v>920</v>
      </c>
      <c r="B12970" t="s">
        <v>69</v>
      </c>
      <c r="C12970" s="1">
        <f>HYPERLINK("https://cao.dolgi.msk.ru/account/1011207482/", 1011207482)</f>
        <v>1011207482</v>
      </c>
      <c r="D12970">
        <v>0</v>
      </c>
    </row>
    <row r="12971" spans="1:4" hidden="1" x14ac:dyDescent="0.3">
      <c r="A12971" t="s">
        <v>920</v>
      </c>
      <c r="B12971" t="s">
        <v>70</v>
      </c>
      <c r="C12971" s="1">
        <f>HYPERLINK("https://cao.dolgi.msk.ru/account/1011207175/", 1011207175)</f>
        <v>1011207175</v>
      </c>
      <c r="D12971">
        <v>0</v>
      </c>
    </row>
    <row r="12972" spans="1:4" hidden="1" x14ac:dyDescent="0.3">
      <c r="A12972" t="s">
        <v>920</v>
      </c>
      <c r="B12972" t="s">
        <v>70</v>
      </c>
      <c r="C12972" s="1">
        <f>HYPERLINK("https://cao.dolgi.msk.ru/account/1011207183/", 1011207183)</f>
        <v>1011207183</v>
      </c>
      <c r="D12972">
        <v>0</v>
      </c>
    </row>
    <row r="12973" spans="1:4" x14ac:dyDescent="0.3">
      <c r="A12973" t="s">
        <v>920</v>
      </c>
      <c r="B12973" t="s">
        <v>70</v>
      </c>
      <c r="C12973" s="1">
        <f>HYPERLINK("https://cao.dolgi.msk.ru/account/1011207191/", 1011207191)</f>
        <v>1011207191</v>
      </c>
      <c r="D12973">
        <v>1051.01</v>
      </c>
    </row>
    <row r="12974" spans="1:4" x14ac:dyDescent="0.3">
      <c r="A12974" t="s">
        <v>920</v>
      </c>
      <c r="B12974" t="s">
        <v>70</v>
      </c>
      <c r="C12974" s="1">
        <f>HYPERLINK("https://cao.dolgi.msk.ru/account/1011207247/", 1011207247)</f>
        <v>1011207247</v>
      </c>
      <c r="D12974">
        <v>846.18</v>
      </c>
    </row>
    <row r="12975" spans="1:4" hidden="1" x14ac:dyDescent="0.3">
      <c r="A12975" t="s">
        <v>920</v>
      </c>
      <c r="B12975" t="s">
        <v>259</v>
      </c>
      <c r="C12975" s="1">
        <f>HYPERLINK("https://cao.dolgi.msk.ru/account/1011207255/", 1011207255)</f>
        <v>1011207255</v>
      </c>
      <c r="D12975">
        <v>-374.03</v>
      </c>
    </row>
    <row r="12976" spans="1:4" x14ac:dyDescent="0.3">
      <c r="A12976" t="s">
        <v>920</v>
      </c>
      <c r="B12976" t="s">
        <v>100</v>
      </c>
      <c r="C12976" s="1">
        <f>HYPERLINK("https://cao.dolgi.msk.ru/account/1011207132/", 1011207132)</f>
        <v>1011207132</v>
      </c>
      <c r="D12976">
        <v>884.7</v>
      </c>
    </row>
    <row r="12977" spans="1:4" x14ac:dyDescent="0.3">
      <c r="A12977" t="s">
        <v>920</v>
      </c>
      <c r="B12977" t="s">
        <v>72</v>
      </c>
      <c r="C12977" s="1">
        <f>HYPERLINK("https://cao.dolgi.msk.ru/account/1011207554/", 1011207554)</f>
        <v>1011207554</v>
      </c>
      <c r="D12977">
        <v>15420.05</v>
      </c>
    </row>
    <row r="12978" spans="1:4" hidden="1" x14ac:dyDescent="0.3">
      <c r="A12978" t="s">
        <v>920</v>
      </c>
      <c r="B12978" t="s">
        <v>73</v>
      </c>
      <c r="C12978" s="1">
        <f>HYPERLINK("https://cao.dolgi.msk.ru/account/1011207503/", 1011207503)</f>
        <v>1011207503</v>
      </c>
      <c r="D12978">
        <v>-38114.83</v>
      </c>
    </row>
    <row r="12979" spans="1:4" hidden="1" x14ac:dyDescent="0.3">
      <c r="A12979" t="s">
        <v>920</v>
      </c>
      <c r="B12979" t="s">
        <v>74</v>
      </c>
      <c r="C12979" s="1">
        <f>HYPERLINK("https://cao.dolgi.msk.ru/account/1011207263/", 1011207263)</f>
        <v>1011207263</v>
      </c>
      <c r="D12979">
        <v>0</v>
      </c>
    </row>
    <row r="12980" spans="1:4" hidden="1" x14ac:dyDescent="0.3">
      <c r="A12980" t="s">
        <v>920</v>
      </c>
      <c r="B12980" t="s">
        <v>75</v>
      </c>
      <c r="C12980" s="1">
        <f>HYPERLINK("https://cao.dolgi.msk.ru/account/1011207335/", 1011207335)</f>
        <v>1011207335</v>
      </c>
      <c r="D12980">
        <v>0</v>
      </c>
    </row>
    <row r="12981" spans="1:4" hidden="1" x14ac:dyDescent="0.3">
      <c r="A12981" t="s">
        <v>920</v>
      </c>
      <c r="B12981" t="s">
        <v>76</v>
      </c>
      <c r="C12981" s="1">
        <f>HYPERLINK("https://cao.dolgi.msk.ru/account/1011207511/", 1011207511)</f>
        <v>1011207511</v>
      </c>
      <c r="D12981">
        <v>0</v>
      </c>
    </row>
    <row r="12982" spans="1:4" x14ac:dyDescent="0.3">
      <c r="A12982" t="s">
        <v>920</v>
      </c>
      <c r="B12982" t="s">
        <v>77</v>
      </c>
      <c r="C12982" s="1">
        <f>HYPERLINK("https://cao.dolgi.msk.ru/account/1011207589/", 1011207589)</f>
        <v>1011207589</v>
      </c>
      <c r="D12982">
        <v>15925</v>
      </c>
    </row>
    <row r="12983" spans="1:4" hidden="1" x14ac:dyDescent="0.3">
      <c r="A12983" t="s">
        <v>921</v>
      </c>
      <c r="B12983" t="s">
        <v>79</v>
      </c>
      <c r="C12983" s="1">
        <f>HYPERLINK("https://cao.dolgi.msk.ru/account/1011207896/", 1011207896)</f>
        <v>1011207896</v>
      </c>
      <c r="D12983">
        <v>-9319.0499999999993</v>
      </c>
    </row>
    <row r="12984" spans="1:4" hidden="1" x14ac:dyDescent="0.3">
      <c r="A12984" t="s">
        <v>921</v>
      </c>
      <c r="B12984" t="s">
        <v>80</v>
      </c>
      <c r="C12984" s="1">
        <f>HYPERLINK("https://cao.dolgi.msk.ru/account/1011208186/", 1011208186)</f>
        <v>1011208186</v>
      </c>
      <c r="D12984">
        <v>0</v>
      </c>
    </row>
    <row r="12985" spans="1:4" hidden="1" x14ac:dyDescent="0.3">
      <c r="A12985" t="s">
        <v>921</v>
      </c>
      <c r="B12985" t="s">
        <v>81</v>
      </c>
      <c r="C12985" s="1">
        <f>HYPERLINK("https://cao.dolgi.msk.ru/account/1011208063/", 1011208063)</f>
        <v>1011208063</v>
      </c>
      <c r="D12985">
        <v>-84.24</v>
      </c>
    </row>
    <row r="12986" spans="1:4" x14ac:dyDescent="0.3">
      <c r="A12986" t="s">
        <v>921</v>
      </c>
      <c r="B12986" t="s">
        <v>101</v>
      </c>
      <c r="C12986" s="1">
        <f>HYPERLINK("https://cao.dolgi.msk.ru/account/1011207909/", 1011207909)</f>
        <v>1011207909</v>
      </c>
      <c r="D12986">
        <v>4350.9799999999996</v>
      </c>
    </row>
    <row r="12987" spans="1:4" hidden="1" x14ac:dyDescent="0.3">
      <c r="A12987" t="s">
        <v>921</v>
      </c>
      <c r="B12987" t="s">
        <v>82</v>
      </c>
      <c r="C12987" s="1">
        <f>HYPERLINK("https://cao.dolgi.msk.ru/account/1011207992/", 1011207992)</f>
        <v>1011207992</v>
      </c>
      <c r="D12987">
        <v>0</v>
      </c>
    </row>
    <row r="12988" spans="1:4" hidden="1" x14ac:dyDescent="0.3">
      <c r="A12988" t="s">
        <v>921</v>
      </c>
      <c r="B12988" t="s">
        <v>83</v>
      </c>
      <c r="C12988" s="1">
        <f>HYPERLINK("https://cao.dolgi.msk.ru/account/1011207669/", 1011207669)</f>
        <v>1011207669</v>
      </c>
      <c r="D12988">
        <v>-17.14</v>
      </c>
    </row>
    <row r="12989" spans="1:4" hidden="1" x14ac:dyDescent="0.3">
      <c r="A12989" t="s">
        <v>921</v>
      </c>
      <c r="B12989" t="s">
        <v>84</v>
      </c>
      <c r="C12989" s="1">
        <f>HYPERLINK("https://cao.dolgi.msk.ru/account/1011207677/", 1011207677)</f>
        <v>1011207677</v>
      </c>
      <c r="D12989">
        <v>0</v>
      </c>
    </row>
    <row r="12990" spans="1:4" hidden="1" x14ac:dyDescent="0.3">
      <c r="A12990" t="s">
        <v>921</v>
      </c>
      <c r="B12990" t="s">
        <v>85</v>
      </c>
      <c r="C12990" s="1">
        <f>HYPERLINK("https://cao.dolgi.msk.ru/account/1011208071/", 1011208071)</f>
        <v>1011208071</v>
      </c>
      <c r="D12990">
        <v>0</v>
      </c>
    </row>
    <row r="12991" spans="1:4" hidden="1" x14ac:dyDescent="0.3">
      <c r="A12991" t="s">
        <v>921</v>
      </c>
      <c r="B12991" t="s">
        <v>102</v>
      </c>
      <c r="C12991" s="1">
        <f>HYPERLINK("https://cao.dolgi.msk.ru/account/1011207749/", 1011207749)</f>
        <v>1011207749</v>
      </c>
      <c r="D12991">
        <v>-17720.580000000002</v>
      </c>
    </row>
    <row r="12992" spans="1:4" hidden="1" x14ac:dyDescent="0.3">
      <c r="A12992" t="s">
        <v>921</v>
      </c>
      <c r="B12992" t="s">
        <v>103</v>
      </c>
      <c r="C12992" s="1">
        <f>HYPERLINK("https://cao.dolgi.msk.ru/account/1011208098/", 1011208098)</f>
        <v>1011208098</v>
      </c>
      <c r="D12992">
        <v>-2153.2199999999998</v>
      </c>
    </row>
    <row r="12993" spans="1:4" hidden="1" x14ac:dyDescent="0.3">
      <c r="A12993" t="s">
        <v>921</v>
      </c>
      <c r="B12993" t="s">
        <v>104</v>
      </c>
      <c r="C12993" s="1">
        <f>HYPERLINK("https://cao.dolgi.msk.ru/account/1011208266/", 1011208266)</f>
        <v>1011208266</v>
      </c>
      <c r="D12993">
        <v>-1969.25</v>
      </c>
    </row>
    <row r="12994" spans="1:4" hidden="1" x14ac:dyDescent="0.3">
      <c r="A12994" t="s">
        <v>921</v>
      </c>
      <c r="B12994" t="s">
        <v>105</v>
      </c>
      <c r="C12994" s="1">
        <f>HYPERLINK("https://cao.dolgi.msk.ru/account/1011207597/", 1011207597)</f>
        <v>1011207597</v>
      </c>
      <c r="D12994">
        <v>-12217.71</v>
      </c>
    </row>
    <row r="12995" spans="1:4" x14ac:dyDescent="0.3">
      <c r="A12995" t="s">
        <v>921</v>
      </c>
      <c r="B12995" t="s">
        <v>106</v>
      </c>
      <c r="C12995" s="1">
        <f>HYPERLINK("https://cao.dolgi.msk.ru/account/1011207757/", 1011207757)</f>
        <v>1011207757</v>
      </c>
      <c r="D12995">
        <v>12538.5</v>
      </c>
    </row>
    <row r="12996" spans="1:4" hidden="1" x14ac:dyDescent="0.3">
      <c r="A12996" t="s">
        <v>921</v>
      </c>
      <c r="B12996" t="s">
        <v>107</v>
      </c>
      <c r="C12996" s="1">
        <f>HYPERLINK("https://cao.dolgi.msk.ru/account/1011207685/", 1011207685)</f>
        <v>1011207685</v>
      </c>
      <c r="D12996">
        <v>-3324.25</v>
      </c>
    </row>
    <row r="12997" spans="1:4" hidden="1" x14ac:dyDescent="0.3">
      <c r="A12997" t="s">
        <v>921</v>
      </c>
      <c r="B12997" t="s">
        <v>107</v>
      </c>
      <c r="C12997" s="1">
        <f>HYPERLINK("https://cao.dolgi.msk.ru/account/1011208194/", 1011208194)</f>
        <v>1011208194</v>
      </c>
      <c r="D12997">
        <v>0</v>
      </c>
    </row>
    <row r="12998" spans="1:4" hidden="1" x14ac:dyDescent="0.3">
      <c r="A12998" t="s">
        <v>921</v>
      </c>
      <c r="B12998" t="s">
        <v>108</v>
      </c>
      <c r="C12998" s="1">
        <f>HYPERLINK("https://cao.dolgi.msk.ru/account/1011208274/", 1011208274)</f>
        <v>1011208274</v>
      </c>
      <c r="D12998">
        <v>0</v>
      </c>
    </row>
    <row r="12999" spans="1:4" x14ac:dyDescent="0.3">
      <c r="A12999" t="s">
        <v>921</v>
      </c>
      <c r="B12999" t="s">
        <v>109</v>
      </c>
      <c r="C12999" s="1">
        <f>HYPERLINK("https://cao.dolgi.msk.ru/account/1011208207/", 1011208207)</f>
        <v>1011208207</v>
      </c>
      <c r="D12999">
        <v>5439.67</v>
      </c>
    </row>
    <row r="13000" spans="1:4" hidden="1" x14ac:dyDescent="0.3">
      <c r="A13000" t="s">
        <v>921</v>
      </c>
      <c r="B13000" t="s">
        <v>110</v>
      </c>
      <c r="C13000" s="1">
        <f>HYPERLINK("https://cao.dolgi.msk.ru/account/1011207917/", 1011207917)</f>
        <v>1011207917</v>
      </c>
      <c r="D13000">
        <v>0</v>
      </c>
    </row>
    <row r="13001" spans="1:4" hidden="1" x14ac:dyDescent="0.3">
      <c r="A13001" t="s">
        <v>921</v>
      </c>
      <c r="B13001" t="s">
        <v>111</v>
      </c>
      <c r="C13001" s="1">
        <f>HYPERLINK("https://cao.dolgi.msk.ru/account/1011208215/", 1011208215)</f>
        <v>1011208215</v>
      </c>
      <c r="D13001">
        <v>0</v>
      </c>
    </row>
    <row r="13002" spans="1:4" hidden="1" x14ac:dyDescent="0.3">
      <c r="A13002" t="s">
        <v>921</v>
      </c>
      <c r="B13002" t="s">
        <v>112</v>
      </c>
      <c r="C13002" s="1">
        <f>HYPERLINK("https://cao.dolgi.msk.ru/account/1011208004/", 1011208004)</f>
        <v>1011208004</v>
      </c>
      <c r="D13002">
        <v>0</v>
      </c>
    </row>
    <row r="13003" spans="1:4" hidden="1" x14ac:dyDescent="0.3">
      <c r="A13003" t="s">
        <v>921</v>
      </c>
      <c r="B13003" t="s">
        <v>113</v>
      </c>
      <c r="C13003" s="1">
        <f>HYPERLINK("https://cao.dolgi.msk.ru/account/1011207765/", 1011207765)</f>
        <v>1011207765</v>
      </c>
      <c r="D13003">
        <v>0</v>
      </c>
    </row>
    <row r="13004" spans="1:4" hidden="1" x14ac:dyDescent="0.3">
      <c r="A13004" t="s">
        <v>921</v>
      </c>
      <c r="B13004" t="s">
        <v>114</v>
      </c>
      <c r="C13004" s="1">
        <f>HYPERLINK("https://cao.dolgi.msk.ru/account/1011207693/", 1011207693)</f>
        <v>1011207693</v>
      </c>
      <c r="D13004">
        <v>-26208.84</v>
      </c>
    </row>
    <row r="13005" spans="1:4" hidden="1" x14ac:dyDescent="0.3">
      <c r="A13005" t="s">
        <v>921</v>
      </c>
      <c r="B13005" t="s">
        <v>115</v>
      </c>
      <c r="C13005" s="1">
        <f>HYPERLINK("https://cao.dolgi.msk.ru/account/1011207773/", 1011207773)</f>
        <v>1011207773</v>
      </c>
      <c r="D13005">
        <v>-5489.06</v>
      </c>
    </row>
    <row r="13006" spans="1:4" hidden="1" x14ac:dyDescent="0.3">
      <c r="A13006" t="s">
        <v>921</v>
      </c>
      <c r="B13006" t="s">
        <v>116</v>
      </c>
      <c r="C13006" s="1">
        <f>HYPERLINK("https://cao.dolgi.msk.ru/account/1011207781/", 1011207781)</f>
        <v>1011207781</v>
      </c>
      <c r="D13006">
        <v>-4558.58</v>
      </c>
    </row>
    <row r="13007" spans="1:4" hidden="1" x14ac:dyDescent="0.3">
      <c r="A13007" t="s">
        <v>921</v>
      </c>
      <c r="B13007" t="s">
        <v>266</v>
      </c>
      <c r="C13007" s="1">
        <f>HYPERLINK("https://cao.dolgi.msk.ru/account/1011207618/", 1011207618)</f>
        <v>1011207618</v>
      </c>
      <c r="D13007">
        <v>0</v>
      </c>
    </row>
    <row r="13008" spans="1:4" hidden="1" x14ac:dyDescent="0.3">
      <c r="A13008" t="s">
        <v>921</v>
      </c>
      <c r="B13008" t="s">
        <v>117</v>
      </c>
      <c r="C13008" s="1">
        <f>HYPERLINK("https://cao.dolgi.msk.ru/account/1011208119/", 1011208119)</f>
        <v>1011208119</v>
      </c>
      <c r="D13008">
        <v>-4442.74</v>
      </c>
    </row>
    <row r="13009" spans="1:4" x14ac:dyDescent="0.3">
      <c r="A13009" t="s">
        <v>921</v>
      </c>
      <c r="B13009" t="s">
        <v>118</v>
      </c>
      <c r="C13009" s="1">
        <f>HYPERLINK("https://cao.dolgi.msk.ru/account/1011207626/", 1011207626)</f>
        <v>1011207626</v>
      </c>
      <c r="D13009">
        <v>8136.58</v>
      </c>
    </row>
    <row r="13010" spans="1:4" hidden="1" x14ac:dyDescent="0.3">
      <c r="A13010" t="s">
        <v>921</v>
      </c>
      <c r="B13010" t="s">
        <v>119</v>
      </c>
      <c r="C13010" s="1">
        <f>HYPERLINK("https://cao.dolgi.msk.ru/account/1011208127/", 1011208127)</f>
        <v>1011208127</v>
      </c>
      <c r="D13010">
        <v>0</v>
      </c>
    </row>
    <row r="13011" spans="1:4" x14ac:dyDescent="0.3">
      <c r="A13011" t="s">
        <v>921</v>
      </c>
      <c r="B13011" t="s">
        <v>120</v>
      </c>
      <c r="C13011" s="1">
        <f>HYPERLINK("https://cao.dolgi.msk.ru/account/1011207706/", 1011207706)</f>
        <v>1011207706</v>
      </c>
      <c r="D13011">
        <v>7116.24</v>
      </c>
    </row>
    <row r="13012" spans="1:4" hidden="1" x14ac:dyDescent="0.3">
      <c r="A13012" t="s">
        <v>921</v>
      </c>
      <c r="B13012" t="s">
        <v>121</v>
      </c>
      <c r="C13012" s="1">
        <f>HYPERLINK("https://cao.dolgi.msk.ru/account/1011208012/", 1011208012)</f>
        <v>1011208012</v>
      </c>
      <c r="D13012">
        <v>0</v>
      </c>
    </row>
    <row r="13013" spans="1:4" hidden="1" x14ac:dyDescent="0.3">
      <c r="A13013" t="s">
        <v>921</v>
      </c>
      <c r="B13013" t="s">
        <v>122</v>
      </c>
      <c r="C13013" s="1">
        <f>HYPERLINK("https://cao.dolgi.msk.ru/account/1011208282/", 1011208282)</f>
        <v>1011208282</v>
      </c>
      <c r="D13013">
        <v>-7985.6</v>
      </c>
    </row>
    <row r="13014" spans="1:4" hidden="1" x14ac:dyDescent="0.3">
      <c r="A13014" t="s">
        <v>921</v>
      </c>
      <c r="B13014" t="s">
        <v>123</v>
      </c>
      <c r="C13014" s="1">
        <f>HYPERLINK("https://cao.dolgi.msk.ru/account/1011207802/", 1011207802)</f>
        <v>1011207802</v>
      </c>
      <c r="D13014">
        <v>-7408.38</v>
      </c>
    </row>
    <row r="13015" spans="1:4" hidden="1" x14ac:dyDescent="0.3">
      <c r="A13015" t="s">
        <v>921</v>
      </c>
      <c r="B13015" t="s">
        <v>124</v>
      </c>
      <c r="C13015" s="1">
        <f>HYPERLINK("https://cao.dolgi.msk.ru/account/1011208039/", 1011208039)</f>
        <v>1011208039</v>
      </c>
      <c r="D13015">
        <v>0</v>
      </c>
    </row>
    <row r="13016" spans="1:4" hidden="1" x14ac:dyDescent="0.3">
      <c r="A13016" t="s">
        <v>921</v>
      </c>
      <c r="B13016" t="s">
        <v>125</v>
      </c>
      <c r="C13016" s="1">
        <f>HYPERLINK("https://cao.dolgi.msk.ru/account/1011207714/", 1011207714)</f>
        <v>1011207714</v>
      </c>
      <c r="D13016">
        <v>0</v>
      </c>
    </row>
    <row r="13017" spans="1:4" hidden="1" x14ac:dyDescent="0.3">
      <c r="A13017" t="s">
        <v>921</v>
      </c>
      <c r="B13017" t="s">
        <v>126</v>
      </c>
      <c r="C13017" s="1">
        <f>HYPERLINK("https://cao.dolgi.msk.ru/account/1011207829/", 1011207829)</f>
        <v>1011207829</v>
      </c>
      <c r="D13017">
        <v>-319.27999999999997</v>
      </c>
    </row>
    <row r="13018" spans="1:4" hidden="1" x14ac:dyDescent="0.3">
      <c r="A13018" t="s">
        <v>921</v>
      </c>
      <c r="B13018" t="s">
        <v>127</v>
      </c>
      <c r="C13018" s="1">
        <f>HYPERLINK("https://cao.dolgi.msk.ru/account/1011208223/", 1011208223)</f>
        <v>1011208223</v>
      </c>
      <c r="D13018">
        <v>-1684.37</v>
      </c>
    </row>
    <row r="13019" spans="1:4" hidden="1" x14ac:dyDescent="0.3">
      <c r="A13019" t="s">
        <v>921</v>
      </c>
      <c r="B13019" t="s">
        <v>262</v>
      </c>
      <c r="C13019" s="1">
        <f>HYPERLINK("https://cao.dolgi.msk.ru/account/1011208047/", 1011208047)</f>
        <v>1011208047</v>
      </c>
      <c r="D13019">
        <v>0</v>
      </c>
    </row>
    <row r="13020" spans="1:4" hidden="1" x14ac:dyDescent="0.3">
      <c r="A13020" t="s">
        <v>921</v>
      </c>
      <c r="B13020" t="s">
        <v>128</v>
      </c>
      <c r="C13020" s="1">
        <f>HYPERLINK("https://cao.dolgi.msk.ru/account/1011207837/", 1011207837)</f>
        <v>1011207837</v>
      </c>
      <c r="D13020">
        <v>-7551.15</v>
      </c>
    </row>
    <row r="13021" spans="1:4" hidden="1" x14ac:dyDescent="0.3">
      <c r="A13021" t="s">
        <v>921</v>
      </c>
      <c r="B13021" t="s">
        <v>129</v>
      </c>
      <c r="C13021" s="1">
        <f>HYPERLINK("https://cao.dolgi.msk.ru/account/1011208231/", 1011208231)</f>
        <v>1011208231</v>
      </c>
      <c r="D13021">
        <v>0</v>
      </c>
    </row>
    <row r="13022" spans="1:4" hidden="1" x14ac:dyDescent="0.3">
      <c r="A13022" t="s">
        <v>921</v>
      </c>
      <c r="B13022" t="s">
        <v>130</v>
      </c>
      <c r="C13022" s="1">
        <f>HYPERLINK("https://cao.dolgi.msk.ru/account/1011208135/", 1011208135)</f>
        <v>1011208135</v>
      </c>
      <c r="D13022">
        <v>-6088.93</v>
      </c>
    </row>
    <row r="13023" spans="1:4" hidden="1" x14ac:dyDescent="0.3">
      <c r="A13023" t="s">
        <v>921</v>
      </c>
      <c r="B13023" t="s">
        <v>131</v>
      </c>
      <c r="C13023" s="1">
        <f>HYPERLINK("https://cao.dolgi.msk.ru/account/1011207984/", 1011207984)</f>
        <v>1011207984</v>
      </c>
      <c r="D13023">
        <v>-575.79</v>
      </c>
    </row>
    <row r="13024" spans="1:4" hidden="1" x14ac:dyDescent="0.3">
      <c r="A13024" t="s">
        <v>921</v>
      </c>
      <c r="B13024" t="s">
        <v>131</v>
      </c>
      <c r="C13024" s="1">
        <f>HYPERLINK("https://cao.dolgi.msk.ru/account/1011208055/", 1011208055)</f>
        <v>1011208055</v>
      </c>
      <c r="D13024">
        <v>-1356.36</v>
      </c>
    </row>
    <row r="13025" spans="1:4" hidden="1" x14ac:dyDescent="0.3">
      <c r="A13025" t="s">
        <v>921</v>
      </c>
      <c r="B13025" t="s">
        <v>131</v>
      </c>
      <c r="C13025" s="1">
        <f>HYPERLINK("https://cao.dolgi.msk.ru/account/1011208311/", 1011208311)</f>
        <v>1011208311</v>
      </c>
      <c r="D13025">
        <v>-834.99</v>
      </c>
    </row>
    <row r="13026" spans="1:4" hidden="1" x14ac:dyDescent="0.3">
      <c r="A13026" t="s">
        <v>921</v>
      </c>
      <c r="B13026" t="s">
        <v>132</v>
      </c>
      <c r="C13026" s="1">
        <f>HYPERLINK("https://cao.dolgi.msk.ru/account/1011207925/", 1011207925)</f>
        <v>1011207925</v>
      </c>
      <c r="D13026">
        <v>0</v>
      </c>
    </row>
    <row r="13027" spans="1:4" hidden="1" x14ac:dyDescent="0.3">
      <c r="A13027" t="s">
        <v>921</v>
      </c>
      <c r="B13027" t="s">
        <v>133</v>
      </c>
      <c r="C13027" s="1">
        <f>HYPERLINK("https://cao.dolgi.msk.ru/account/1011208143/", 1011208143)</f>
        <v>1011208143</v>
      </c>
      <c r="D13027">
        <v>-1910.85</v>
      </c>
    </row>
    <row r="13028" spans="1:4" hidden="1" x14ac:dyDescent="0.3">
      <c r="A13028" t="s">
        <v>921</v>
      </c>
      <c r="B13028" t="s">
        <v>134</v>
      </c>
      <c r="C13028" s="1">
        <f>HYPERLINK("https://cao.dolgi.msk.ru/account/1011207634/", 1011207634)</f>
        <v>1011207634</v>
      </c>
      <c r="D13028">
        <v>0</v>
      </c>
    </row>
    <row r="13029" spans="1:4" x14ac:dyDescent="0.3">
      <c r="A13029" t="s">
        <v>921</v>
      </c>
      <c r="B13029" t="s">
        <v>135</v>
      </c>
      <c r="C13029" s="1">
        <f>HYPERLINK("https://cao.dolgi.msk.ru/account/1011207845/", 1011207845)</f>
        <v>1011207845</v>
      </c>
      <c r="D13029">
        <v>96007.98</v>
      </c>
    </row>
    <row r="13030" spans="1:4" x14ac:dyDescent="0.3">
      <c r="A13030" t="s">
        <v>921</v>
      </c>
      <c r="B13030" t="s">
        <v>264</v>
      </c>
      <c r="C13030" s="1">
        <f>HYPERLINK("https://cao.dolgi.msk.ru/account/1011207642/", 1011207642)</f>
        <v>1011207642</v>
      </c>
      <c r="D13030">
        <v>2.4</v>
      </c>
    </row>
    <row r="13031" spans="1:4" hidden="1" x14ac:dyDescent="0.3">
      <c r="A13031" t="s">
        <v>921</v>
      </c>
      <c r="B13031" t="s">
        <v>136</v>
      </c>
      <c r="C13031" s="1">
        <f>HYPERLINK("https://cao.dolgi.msk.ru/account/1011208303/", 1011208303)</f>
        <v>1011208303</v>
      </c>
      <c r="D13031">
        <v>0</v>
      </c>
    </row>
    <row r="13032" spans="1:4" hidden="1" x14ac:dyDescent="0.3">
      <c r="A13032" t="s">
        <v>921</v>
      </c>
      <c r="B13032" t="s">
        <v>137</v>
      </c>
      <c r="C13032" s="1">
        <f>HYPERLINK("https://cao.dolgi.msk.ru/account/1011207853/", 1011207853)</f>
        <v>1011207853</v>
      </c>
      <c r="D13032">
        <v>-2652.66</v>
      </c>
    </row>
    <row r="13033" spans="1:4" hidden="1" x14ac:dyDescent="0.3">
      <c r="A13033" t="s">
        <v>921</v>
      </c>
      <c r="B13033" t="s">
        <v>138</v>
      </c>
      <c r="C13033" s="1">
        <f>HYPERLINK("https://cao.dolgi.msk.ru/account/1011207861/", 1011207861)</f>
        <v>1011207861</v>
      </c>
      <c r="D13033">
        <v>-447.11</v>
      </c>
    </row>
    <row r="13034" spans="1:4" hidden="1" x14ac:dyDescent="0.3">
      <c r="A13034" t="s">
        <v>921</v>
      </c>
      <c r="B13034" t="s">
        <v>139</v>
      </c>
      <c r="C13034" s="1">
        <f>HYPERLINK("https://cao.dolgi.msk.ru/account/1011207933/", 1011207933)</f>
        <v>1011207933</v>
      </c>
      <c r="D13034">
        <v>-3409.78</v>
      </c>
    </row>
    <row r="13035" spans="1:4" hidden="1" x14ac:dyDescent="0.3">
      <c r="A13035" t="s">
        <v>921</v>
      </c>
      <c r="B13035" t="s">
        <v>140</v>
      </c>
      <c r="C13035" s="1">
        <f>HYPERLINK("https://cao.dolgi.msk.ru/account/1011208151/", 1011208151)</f>
        <v>1011208151</v>
      </c>
      <c r="D13035">
        <v>-69208.14</v>
      </c>
    </row>
    <row r="13036" spans="1:4" hidden="1" x14ac:dyDescent="0.3">
      <c r="A13036" t="s">
        <v>921</v>
      </c>
      <c r="B13036" t="s">
        <v>141</v>
      </c>
      <c r="C13036" s="1">
        <f>HYPERLINK("https://cao.dolgi.msk.ru/account/1011207941/", 1011207941)</f>
        <v>1011207941</v>
      </c>
      <c r="D13036">
        <v>-15513.57</v>
      </c>
    </row>
    <row r="13037" spans="1:4" hidden="1" x14ac:dyDescent="0.3">
      <c r="A13037" t="s">
        <v>921</v>
      </c>
      <c r="B13037" t="s">
        <v>142</v>
      </c>
      <c r="C13037" s="1">
        <f>HYPERLINK("https://cao.dolgi.msk.ru/account/1011208258/", 1011208258)</f>
        <v>1011208258</v>
      </c>
      <c r="D13037">
        <v>0</v>
      </c>
    </row>
    <row r="13038" spans="1:4" hidden="1" x14ac:dyDescent="0.3">
      <c r="A13038" t="s">
        <v>921</v>
      </c>
      <c r="B13038" t="s">
        <v>143</v>
      </c>
      <c r="C13038" s="1">
        <f>HYPERLINK("https://cao.dolgi.msk.ru/account/1011207888/", 1011207888)</f>
        <v>1011207888</v>
      </c>
      <c r="D13038">
        <v>0</v>
      </c>
    </row>
    <row r="13039" spans="1:4" hidden="1" x14ac:dyDescent="0.3">
      <c r="A13039" t="s">
        <v>921</v>
      </c>
      <c r="B13039" t="s">
        <v>144</v>
      </c>
      <c r="C13039" s="1">
        <f>HYPERLINK("https://cao.dolgi.msk.ru/account/1011207968/", 1011207968)</f>
        <v>1011207968</v>
      </c>
      <c r="D13039">
        <v>-1828.17</v>
      </c>
    </row>
    <row r="13040" spans="1:4" hidden="1" x14ac:dyDescent="0.3">
      <c r="A13040" t="s">
        <v>921</v>
      </c>
      <c r="B13040" t="s">
        <v>145</v>
      </c>
      <c r="C13040" s="1">
        <f>HYPERLINK("https://cao.dolgi.msk.ru/account/1011207976/", 1011207976)</f>
        <v>1011207976</v>
      </c>
      <c r="D13040">
        <v>-13992.07</v>
      </c>
    </row>
    <row r="13041" spans="1:4" x14ac:dyDescent="0.3">
      <c r="A13041" t="s">
        <v>922</v>
      </c>
      <c r="B13041" t="s">
        <v>12</v>
      </c>
      <c r="C13041" s="1">
        <f>HYPERLINK("https://cao.dolgi.msk.ru/account/1010727785/", 1010727785)</f>
        <v>1010727785</v>
      </c>
      <c r="D13041">
        <v>29603.17</v>
      </c>
    </row>
    <row r="13042" spans="1:4" hidden="1" x14ac:dyDescent="0.3">
      <c r="A13042" t="s">
        <v>922</v>
      </c>
      <c r="B13042" t="s">
        <v>23</v>
      </c>
      <c r="C13042" s="1">
        <f>HYPERLINK("https://cao.dolgi.msk.ru/account/1011488341/", 1011488341)</f>
        <v>1011488341</v>
      </c>
      <c r="D13042">
        <v>0</v>
      </c>
    </row>
    <row r="13043" spans="1:4" hidden="1" x14ac:dyDescent="0.3">
      <c r="A13043" t="s">
        <v>922</v>
      </c>
      <c r="B13043" t="s">
        <v>13</v>
      </c>
      <c r="C13043" s="1">
        <f>HYPERLINK("https://cao.dolgi.msk.ru/account/1011488229/", 1011488229)</f>
        <v>1011488229</v>
      </c>
      <c r="D13043">
        <v>-603.20000000000005</v>
      </c>
    </row>
    <row r="13044" spans="1:4" hidden="1" x14ac:dyDescent="0.3">
      <c r="A13044" t="s">
        <v>922</v>
      </c>
      <c r="B13044" t="s">
        <v>14</v>
      </c>
      <c r="C13044" s="1">
        <f>HYPERLINK("https://cao.dolgi.msk.ru/account/1011488309/", 1011488309)</f>
        <v>1011488309</v>
      </c>
      <c r="D13044">
        <v>0</v>
      </c>
    </row>
    <row r="13045" spans="1:4" hidden="1" x14ac:dyDescent="0.3">
      <c r="A13045" t="s">
        <v>922</v>
      </c>
      <c r="B13045" t="s">
        <v>16</v>
      </c>
      <c r="C13045" s="1">
        <f>HYPERLINK("https://cao.dolgi.msk.ru/account/1011488237/", 1011488237)</f>
        <v>1011488237</v>
      </c>
      <c r="D13045">
        <v>0</v>
      </c>
    </row>
    <row r="13046" spans="1:4" hidden="1" x14ac:dyDescent="0.3">
      <c r="A13046" t="s">
        <v>922</v>
      </c>
      <c r="B13046" t="s">
        <v>16</v>
      </c>
      <c r="C13046" s="1">
        <f>HYPERLINK("https://cao.dolgi.msk.ru/account/1011488392/", 1011488392)</f>
        <v>1011488392</v>
      </c>
      <c r="D13046">
        <v>0</v>
      </c>
    </row>
    <row r="13047" spans="1:4" hidden="1" x14ac:dyDescent="0.3">
      <c r="A13047" t="s">
        <v>922</v>
      </c>
      <c r="B13047" t="s">
        <v>16</v>
      </c>
      <c r="C13047" s="1">
        <f>HYPERLINK("https://cao.dolgi.msk.ru/account/1011515055/", 1011515055)</f>
        <v>1011515055</v>
      </c>
      <c r="D13047">
        <v>0</v>
      </c>
    </row>
    <row r="13048" spans="1:4" hidden="1" x14ac:dyDescent="0.3">
      <c r="A13048" t="s">
        <v>922</v>
      </c>
      <c r="B13048" t="s">
        <v>17</v>
      </c>
      <c r="C13048" s="1">
        <f>HYPERLINK("https://cao.dolgi.msk.ru/account/1011488317/", 1011488317)</f>
        <v>1011488317</v>
      </c>
      <c r="D13048">
        <v>0</v>
      </c>
    </row>
    <row r="13049" spans="1:4" hidden="1" x14ac:dyDescent="0.3">
      <c r="A13049" t="s">
        <v>922</v>
      </c>
      <c r="B13049" t="s">
        <v>18</v>
      </c>
      <c r="C13049" s="1">
        <f>HYPERLINK("https://cao.dolgi.msk.ru/account/1011488376/", 1011488376)</f>
        <v>1011488376</v>
      </c>
      <c r="D13049">
        <v>-1683.89</v>
      </c>
    </row>
    <row r="13050" spans="1:4" hidden="1" x14ac:dyDescent="0.3">
      <c r="A13050" t="s">
        <v>922</v>
      </c>
      <c r="B13050" t="s">
        <v>19</v>
      </c>
      <c r="C13050" s="1">
        <f>HYPERLINK("https://cao.dolgi.msk.ru/account/1011488261/", 1011488261)</f>
        <v>1011488261</v>
      </c>
      <c r="D13050">
        <v>-18462.169999999998</v>
      </c>
    </row>
    <row r="13051" spans="1:4" hidden="1" x14ac:dyDescent="0.3">
      <c r="A13051" t="s">
        <v>922</v>
      </c>
      <c r="B13051" t="s">
        <v>20</v>
      </c>
      <c r="C13051" s="1">
        <f>HYPERLINK("https://cao.dolgi.msk.ru/account/1011488245/", 1011488245)</f>
        <v>1011488245</v>
      </c>
      <c r="D13051">
        <v>0</v>
      </c>
    </row>
    <row r="13052" spans="1:4" hidden="1" x14ac:dyDescent="0.3">
      <c r="A13052" t="s">
        <v>922</v>
      </c>
      <c r="B13052" t="s">
        <v>21</v>
      </c>
      <c r="C13052" s="1">
        <f>HYPERLINK("https://cao.dolgi.msk.ru/account/1011488288/", 1011488288)</f>
        <v>1011488288</v>
      </c>
      <c r="D13052">
        <v>-9421.86</v>
      </c>
    </row>
    <row r="13053" spans="1:4" hidden="1" x14ac:dyDescent="0.3">
      <c r="A13053" t="s">
        <v>922</v>
      </c>
      <c r="B13053" t="s">
        <v>22</v>
      </c>
      <c r="C13053" s="1">
        <f>HYPERLINK("https://cao.dolgi.msk.ru/account/1011488253/", 1011488253)</f>
        <v>1011488253</v>
      </c>
      <c r="D13053">
        <v>0</v>
      </c>
    </row>
    <row r="13054" spans="1:4" hidden="1" x14ac:dyDescent="0.3">
      <c r="A13054" t="s">
        <v>922</v>
      </c>
      <c r="B13054" t="s">
        <v>24</v>
      </c>
      <c r="C13054" s="1">
        <f>HYPERLINK("https://cao.dolgi.msk.ru/account/1011488413/", 1011488413)</f>
        <v>1011488413</v>
      </c>
      <c r="D13054">
        <v>-14999.9</v>
      </c>
    </row>
    <row r="13055" spans="1:4" hidden="1" x14ac:dyDescent="0.3">
      <c r="A13055" t="s">
        <v>922</v>
      </c>
      <c r="B13055" t="s">
        <v>25</v>
      </c>
      <c r="C13055" s="1">
        <f>HYPERLINK("https://cao.dolgi.msk.ru/account/1011488325/", 1011488325)</f>
        <v>1011488325</v>
      </c>
      <c r="D13055">
        <v>-45904.44</v>
      </c>
    </row>
    <row r="13056" spans="1:4" hidden="1" x14ac:dyDescent="0.3">
      <c r="A13056" t="s">
        <v>922</v>
      </c>
      <c r="B13056" t="s">
        <v>26</v>
      </c>
      <c r="C13056" s="1">
        <f>HYPERLINK("https://cao.dolgi.msk.ru/account/1011511433/", 1011511433)</f>
        <v>1011511433</v>
      </c>
      <c r="D13056">
        <v>-17299.990000000002</v>
      </c>
    </row>
    <row r="13057" spans="1:4" hidden="1" x14ac:dyDescent="0.3">
      <c r="A13057" t="s">
        <v>922</v>
      </c>
      <c r="B13057" t="s">
        <v>27</v>
      </c>
      <c r="C13057" s="1">
        <f>HYPERLINK("https://cao.dolgi.msk.ru/account/1011488384/", 1011488384)</f>
        <v>1011488384</v>
      </c>
      <c r="D13057">
        <v>0</v>
      </c>
    </row>
    <row r="13058" spans="1:4" hidden="1" x14ac:dyDescent="0.3">
      <c r="A13058" t="s">
        <v>922</v>
      </c>
      <c r="B13058" t="s">
        <v>29</v>
      </c>
      <c r="C13058" s="1">
        <f>HYPERLINK("https://cao.dolgi.msk.ru/account/1011488448/", 1011488448)</f>
        <v>1011488448</v>
      </c>
      <c r="D13058">
        <v>0</v>
      </c>
    </row>
    <row r="13059" spans="1:4" x14ac:dyDescent="0.3">
      <c r="A13059" t="s">
        <v>923</v>
      </c>
      <c r="B13059" t="s">
        <v>6</v>
      </c>
      <c r="C13059" s="1">
        <f>HYPERLINK("https://cao.dolgi.msk.ru/account/1011513957/", 1011513957)</f>
        <v>1011513957</v>
      </c>
      <c r="D13059">
        <v>18299.91</v>
      </c>
    </row>
    <row r="13060" spans="1:4" hidden="1" x14ac:dyDescent="0.3">
      <c r="A13060" t="s">
        <v>923</v>
      </c>
      <c r="B13060" t="s">
        <v>28</v>
      </c>
      <c r="C13060" s="1">
        <f>HYPERLINK("https://cao.dolgi.msk.ru/account/1011208557/", 1011208557)</f>
        <v>1011208557</v>
      </c>
      <c r="D13060">
        <v>-9.25</v>
      </c>
    </row>
    <row r="13061" spans="1:4" hidden="1" x14ac:dyDescent="0.3">
      <c r="A13061" t="s">
        <v>923</v>
      </c>
      <c r="B13061" t="s">
        <v>35</v>
      </c>
      <c r="C13061" s="1">
        <f>HYPERLINK("https://cao.dolgi.msk.ru/account/1011208338/", 1011208338)</f>
        <v>1011208338</v>
      </c>
      <c r="D13061">
        <v>-25994.27</v>
      </c>
    </row>
    <row r="13062" spans="1:4" hidden="1" x14ac:dyDescent="0.3">
      <c r="A13062" t="s">
        <v>923</v>
      </c>
      <c r="B13062" t="s">
        <v>35</v>
      </c>
      <c r="C13062" s="1">
        <f>HYPERLINK("https://cao.dolgi.msk.ru/account/1011208514/", 1011208514)</f>
        <v>1011208514</v>
      </c>
      <c r="D13062">
        <v>-77983.06</v>
      </c>
    </row>
    <row r="13063" spans="1:4" hidden="1" x14ac:dyDescent="0.3">
      <c r="A13063" t="s">
        <v>923</v>
      </c>
      <c r="B13063" t="s">
        <v>35</v>
      </c>
      <c r="C13063" s="1">
        <f>HYPERLINK("https://cao.dolgi.msk.ru/account/1011208573/", 1011208573)</f>
        <v>1011208573</v>
      </c>
      <c r="D13063">
        <v>-4625.2</v>
      </c>
    </row>
    <row r="13064" spans="1:4" hidden="1" x14ac:dyDescent="0.3">
      <c r="A13064" t="s">
        <v>923</v>
      </c>
      <c r="B13064" t="s">
        <v>5</v>
      </c>
      <c r="C13064" s="1">
        <f>HYPERLINK("https://cao.dolgi.msk.ru/account/1011208346/", 1011208346)</f>
        <v>1011208346</v>
      </c>
      <c r="D13064">
        <v>0</v>
      </c>
    </row>
    <row r="13065" spans="1:4" hidden="1" x14ac:dyDescent="0.3">
      <c r="A13065" t="s">
        <v>923</v>
      </c>
      <c r="B13065" t="s">
        <v>7</v>
      </c>
      <c r="C13065" s="1">
        <f>HYPERLINK("https://cao.dolgi.msk.ru/account/1011208354/", 1011208354)</f>
        <v>1011208354</v>
      </c>
      <c r="D13065">
        <v>0</v>
      </c>
    </row>
    <row r="13066" spans="1:4" hidden="1" x14ac:dyDescent="0.3">
      <c r="A13066" t="s">
        <v>923</v>
      </c>
      <c r="B13066" t="s">
        <v>7</v>
      </c>
      <c r="C13066" s="1">
        <f>HYPERLINK("https://cao.dolgi.msk.ru/account/1011208362/", 1011208362)</f>
        <v>1011208362</v>
      </c>
      <c r="D13066">
        <v>0</v>
      </c>
    </row>
    <row r="13067" spans="1:4" hidden="1" x14ac:dyDescent="0.3">
      <c r="A13067" t="s">
        <v>923</v>
      </c>
      <c r="B13067" t="s">
        <v>7</v>
      </c>
      <c r="C13067" s="1">
        <f>HYPERLINK("https://cao.dolgi.msk.ru/account/1011208389/", 1011208389)</f>
        <v>1011208389</v>
      </c>
      <c r="D13067">
        <v>-2046.44</v>
      </c>
    </row>
    <row r="13068" spans="1:4" hidden="1" x14ac:dyDescent="0.3">
      <c r="A13068" t="s">
        <v>923</v>
      </c>
      <c r="B13068" t="s">
        <v>7</v>
      </c>
      <c r="C13068" s="1">
        <f>HYPERLINK("https://cao.dolgi.msk.ru/account/1011208477/", 1011208477)</f>
        <v>1011208477</v>
      </c>
      <c r="D13068">
        <v>0</v>
      </c>
    </row>
    <row r="13069" spans="1:4" hidden="1" x14ac:dyDescent="0.3">
      <c r="A13069" t="s">
        <v>923</v>
      </c>
      <c r="B13069" t="s">
        <v>7</v>
      </c>
      <c r="C13069" s="1">
        <f>HYPERLINK("https://cao.dolgi.msk.ru/account/1011208493/", 1011208493)</f>
        <v>1011208493</v>
      </c>
      <c r="D13069">
        <v>0</v>
      </c>
    </row>
    <row r="13070" spans="1:4" hidden="1" x14ac:dyDescent="0.3">
      <c r="A13070" t="s">
        <v>923</v>
      </c>
      <c r="B13070" t="s">
        <v>7</v>
      </c>
      <c r="C13070" s="1">
        <f>HYPERLINK("https://cao.dolgi.msk.ru/account/1011208602/", 1011208602)</f>
        <v>1011208602</v>
      </c>
      <c r="D13070">
        <v>0</v>
      </c>
    </row>
    <row r="13071" spans="1:4" hidden="1" x14ac:dyDescent="0.3">
      <c r="A13071" t="s">
        <v>923</v>
      </c>
      <c r="B13071" t="s">
        <v>8</v>
      </c>
      <c r="C13071" s="1">
        <f>HYPERLINK("https://cao.dolgi.msk.ru/account/1011208565/", 1011208565)</f>
        <v>1011208565</v>
      </c>
      <c r="D13071">
        <v>-162.25</v>
      </c>
    </row>
    <row r="13072" spans="1:4" hidden="1" x14ac:dyDescent="0.3">
      <c r="A13072" t="s">
        <v>923</v>
      </c>
      <c r="B13072" t="s">
        <v>31</v>
      </c>
      <c r="C13072" s="1">
        <f>HYPERLINK("https://cao.dolgi.msk.ru/account/1011208629/", 1011208629)</f>
        <v>1011208629</v>
      </c>
      <c r="D13072">
        <v>-164.07</v>
      </c>
    </row>
    <row r="13073" spans="1:4" x14ac:dyDescent="0.3">
      <c r="A13073" t="s">
        <v>923</v>
      </c>
      <c r="B13073" t="s">
        <v>9</v>
      </c>
      <c r="C13073" s="1">
        <f>HYPERLINK("https://cao.dolgi.msk.ru/account/1011208397/", 1011208397)</f>
        <v>1011208397</v>
      </c>
      <c r="D13073">
        <v>9745.91</v>
      </c>
    </row>
    <row r="13074" spans="1:4" hidden="1" x14ac:dyDescent="0.3">
      <c r="A13074" t="s">
        <v>923</v>
      </c>
      <c r="B13074" t="s">
        <v>10</v>
      </c>
      <c r="C13074" s="1">
        <f>HYPERLINK("https://cao.dolgi.msk.ru/account/1011208549/", 1011208549)</f>
        <v>1011208549</v>
      </c>
      <c r="D13074">
        <v>0</v>
      </c>
    </row>
    <row r="13075" spans="1:4" hidden="1" x14ac:dyDescent="0.3">
      <c r="A13075" t="s">
        <v>923</v>
      </c>
      <c r="B13075" t="s">
        <v>11</v>
      </c>
      <c r="C13075" s="1">
        <f>HYPERLINK("https://cao.dolgi.msk.ru/account/1011208522/", 1011208522)</f>
        <v>1011208522</v>
      </c>
      <c r="D13075">
        <v>-18320.28</v>
      </c>
    </row>
    <row r="13076" spans="1:4" x14ac:dyDescent="0.3">
      <c r="A13076" t="s">
        <v>923</v>
      </c>
      <c r="B13076" t="s">
        <v>11</v>
      </c>
      <c r="C13076" s="1">
        <f>HYPERLINK("https://cao.dolgi.msk.ru/account/1011530511/", 1011530511)</f>
        <v>1011530511</v>
      </c>
      <c r="D13076">
        <v>18863.599999999999</v>
      </c>
    </row>
    <row r="13077" spans="1:4" x14ac:dyDescent="0.3">
      <c r="A13077" t="s">
        <v>923</v>
      </c>
      <c r="B13077" t="s">
        <v>11</v>
      </c>
      <c r="C13077" s="1">
        <f>HYPERLINK("https://cao.dolgi.msk.ru/account/1011530538/", 1011530538)</f>
        <v>1011530538</v>
      </c>
      <c r="D13077">
        <v>1558.11</v>
      </c>
    </row>
    <row r="13078" spans="1:4" x14ac:dyDescent="0.3">
      <c r="A13078" t="s">
        <v>923</v>
      </c>
      <c r="B13078" t="s">
        <v>11</v>
      </c>
      <c r="C13078" s="1">
        <f>HYPERLINK("https://cao.dolgi.msk.ru/account/1011530546/", 1011530546)</f>
        <v>1011530546</v>
      </c>
      <c r="D13078">
        <v>24429.4</v>
      </c>
    </row>
    <row r="13079" spans="1:4" hidden="1" x14ac:dyDescent="0.3">
      <c r="A13079" t="s">
        <v>923</v>
      </c>
      <c r="B13079" t="s">
        <v>12</v>
      </c>
      <c r="C13079" s="1">
        <f>HYPERLINK("https://cao.dolgi.msk.ru/account/1011208418/", 1011208418)</f>
        <v>1011208418</v>
      </c>
      <c r="D13079">
        <v>-4836.1099999999997</v>
      </c>
    </row>
    <row r="13080" spans="1:4" hidden="1" x14ac:dyDescent="0.3">
      <c r="A13080" t="s">
        <v>923</v>
      </c>
      <c r="B13080" t="s">
        <v>12</v>
      </c>
      <c r="C13080" s="1">
        <f>HYPERLINK("https://cao.dolgi.msk.ru/account/1011208485/", 1011208485)</f>
        <v>1011208485</v>
      </c>
      <c r="D13080">
        <v>-4315.55</v>
      </c>
    </row>
    <row r="13081" spans="1:4" hidden="1" x14ac:dyDescent="0.3">
      <c r="A13081" t="s">
        <v>923</v>
      </c>
      <c r="B13081" t="s">
        <v>23</v>
      </c>
      <c r="C13081" s="1">
        <f>HYPERLINK("https://cao.dolgi.msk.ru/account/1011208506/", 1011208506)</f>
        <v>1011208506</v>
      </c>
      <c r="D13081">
        <v>0</v>
      </c>
    </row>
    <row r="13082" spans="1:4" hidden="1" x14ac:dyDescent="0.3">
      <c r="A13082" t="s">
        <v>923</v>
      </c>
      <c r="B13082" t="s">
        <v>23</v>
      </c>
      <c r="C13082" s="1">
        <f>HYPERLINK("https://cao.dolgi.msk.ru/account/1011208637/", 1011208637)</f>
        <v>1011208637</v>
      </c>
      <c r="D13082">
        <v>-6397.47</v>
      </c>
    </row>
    <row r="13083" spans="1:4" hidden="1" x14ac:dyDescent="0.3">
      <c r="A13083" t="s">
        <v>924</v>
      </c>
      <c r="B13083" t="s">
        <v>7</v>
      </c>
      <c r="C13083" s="1">
        <f>HYPERLINK("https://cao.dolgi.msk.ru/account/1010134023/", 1010134023)</f>
        <v>1010134023</v>
      </c>
      <c r="D13083">
        <v>-1077.24</v>
      </c>
    </row>
    <row r="13084" spans="1:4" x14ac:dyDescent="0.3">
      <c r="A13084" t="s">
        <v>924</v>
      </c>
      <c r="B13084" t="s">
        <v>8</v>
      </c>
      <c r="C13084" s="1">
        <f>HYPERLINK("https://cao.dolgi.msk.ru/account/1010134357/", 1010134357)</f>
        <v>1010134357</v>
      </c>
      <c r="D13084">
        <v>8570.1200000000008</v>
      </c>
    </row>
    <row r="13085" spans="1:4" hidden="1" x14ac:dyDescent="0.3">
      <c r="A13085" t="s">
        <v>924</v>
      </c>
      <c r="B13085" t="s">
        <v>8</v>
      </c>
      <c r="C13085" s="1">
        <f>HYPERLINK("https://cao.dolgi.msk.ru/account/1011130446/", 1011130446)</f>
        <v>1011130446</v>
      </c>
      <c r="D13085">
        <v>-13734.03</v>
      </c>
    </row>
    <row r="13086" spans="1:4" hidden="1" x14ac:dyDescent="0.3">
      <c r="A13086" t="s">
        <v>924</v>
      </c>
      <c r="B13086" t="s">
        <v>8</v>
      </c>
      <c r="C13086" s="1">
        <f>HYPERLINK("https://cao.dolgi.msk.ru/account/1011130454/", 1011130454)</f>
        <v>1011130454</v>
      </c>
      <c r="D13086">
        <v>-7840.22</v>
      </c>
    </row>
    <row r="13087" spans="1:4" hidden="1" x14ac:dyDescent="0.3">
      <c r="A13087" t="s">
        <v>924</v>
      </c>
      <c r="B13087" t="s">
        <v>8</v>
      </c>
      <c r="C13087" s="1">
        <f>HYPERLINK("https://cao.dolgi.msk.ru/account/1011130462/", 1011130462)</f>
        <v>1011130462</v>
      </c>
      <c r="D13087">
        <v>-250.87</v>
      </c>
    </row>
    <row r="13088" spans="1:4" hidden="1" x14ac:dyDescent="0.3">
      <c r="A13088" t="s">
        <v>924</v>
      </c>
      <c r="B13088" t="s">
        <v>8</v>
      </c>
      <c r="C13088" s="1">
        <f>HYPERLINK("https://cao.dolgi.msk.ru/account/1011130489/", 1011130489)</f>
        <v>1011130489</v>
      </c>
      <c r="D13088">
        <v>-615.66999999999996</v>
      </c>
    </row>
    <row r="13089" spans="1:4" hidden="1" x14ac:dyDescent="0.3">
      <c r="A13089" t="s">
        <v>924</v>
      </c>
      <c r="B13089" t="s">
        <v>8</v>
      </c>
      <c r="C13089" s="1">
        <f>HYPERLINK("https://cao.dolgi.msk.ru/account/1011130497/", 1011130497)</f>
        <v>1011130497</v>
      </c>
      <c r="D13089">
        <v>-625.86</v>
      </c>
    </row>
    <row r="13090" spans="1:4" hidden="1" x14ac:dyDescent="0.3">
      <c r="A13090" t="s">
        <v>924</v>
      </c>
      <c r="B13090" t="s">
        <v>8</v>
      </c>
      <c r="C13090" s="1">
        <f>HYPERLINK("https://cao.dolgi.msk.ru/account/1011130518/", 1011130518)</f>
        <v>1011130518</v>
      </c>
      <c r="D13090">
        <v>-6847.02</v>
      </c>
    </row>
    <row r="13091" spans="1:4" hidden="1" x14ac:dyDescent="0.3">
      <c r="A13091" t="s">
        <v>924</v>
      </c>
      <c r="B13091" t="s">
        <v>8</v>
      </c>
      <c r="C13091" s="1">
        <f>HYPERLINK("https://cao.dolgi.msk.ru/account/1011130526/", 1011130526)</f>
        <v>1011130526</v>
      </c>
      <c r="D13091">
        <v>-8480.09</v>
      </c>
    </row>
    <row r="13092" spans="1:4" hidden="1" x14ac:dyDescent="0.3">
      <c r="A13092" t="s">
        <v>924</v>
      </c>
      <c r="B13092" t="s">
        <v>31</v>
      </c>
      <c r="C13092" s="1">
        <f>HYPERLINK("https://cao.dolgi.msk.ru/account/1010134138/", 1010134138)</f>
        <v>1010134138</v>
      </c>
      <c r="D13092">
        <v>-805.64</v>
      </c>
    </row>
    <row r="13093" spans="1:4" hidden="1" x14ac:dyDescent="0.3">
      <c r="A13093" t="s">
        <v>924</v>
      </c>
      <c r="B13093" t="s">
        <v>9</v>
      </c>
      <c r="C13093" s="1">
        <f>HYPERLINK("https://cao.dolgi.msk.ru/account/1011130307/", 1011130307)</f>
        <v>1011130307</v>
      </c>
      <c r="D13093">
        <v>-17456.68</v>
      </c>
    </row>
    <row r="13094" spans="1:4" x14ac:dyDescent="0.3">
      <c r="A13094" t="s">
        <v>924</v>
      </c>
      <c r="B13094" t="s">
        <v>10</v>
      </c>
      <c r="C13094" s="1">
        <f>HYPERLINK("https://cao.dolgi.msk.ru/account/1011130294/", 1011130294)</f>
        <v>1011130294</v>
      </c>
      <c r="D13094">
        <v>140.19</v>
      </c>
    </row>
    <row r="13095" spans="1:4" hidden="1" x14ac:dyDescent="0.3">
      <c r="A13095" t="s">
        <v>924</v>
      </c>
      <c r="B13095" t="s">
        <v>11</v>
      </c>
      <c r="C13095" s="1">
        <f>HYPERLINK("https://cao.dolgi.msk.ru/account/1011130286/", 1011130286)</f>
        <v>1011130286</v>
      </c>
      <c r="D13095">
        <v>-1043.08</v>
      </c>
    </row>
    <row r="13096" spans="1:4" hidden="1" x14ac:dyDescent="0.3">
      <c r="A13096" t="s">
        <v>924</v>
      </c>
      <c r="B13096" t="s">
        <v>12</v>
      </c>
      <c r="C13096" s="1">
        <f>HYPERLINK("https://cao.dolgi.msk.ru/account/1011130315/", 1011130315)</f>
        <v>1011130315</v>
      </c>
      <c r="D13096">
        <v>-3013.26</v>
      </c>
    </row>
    <row r="13097" spans="1:4" x14ac:dyDescent="0.3">
      <c r="A13097" t="s">
        <v>924</v>
      </c>
      <c r="B13097" t="s">
        <v>23</v>
      </c>
      <c r="C13097" s="1">
        <f>HYPERLINK("https://cao.dolgi.msk.ru/account/1010134269/", 1010134269)</f>
        <v>1010134269</v>
      </c>
      <c r="D13097">
        <v>9293.6</v>
      </c>
    </row>
    <row r="13098" spans="1:4" hidden="1" x14ac:dyDescent="0.3">
      <c r="A13098" t="s">
        <v>924</v>
      </c>
      <c r="B13098" t="s">
        <v>23</v>
      </c>
      <c r="C13098" s="1">
        <f>HYPERLINK("https://cao.dolgi.msk.ru/account/1011130366/", 1011130366)</f>
        <v>1011130366</v>
      </c>
      <c r="D13098">
        <v>-3530.73</v>
      </c>
    </row>
    <row r="13099" spans="1:4" hidden="1" x14ac:dyDescent="0.3">
      <c r="A13099" t="s">
        <v>924</v>
      </c>
      <c r="B13099" t="s">
        <v>23</v>
      </c>
      <c r="C13099" s="1">
        <f>HYPERLINK("https://cao.dolgi.msk.ru/account/1011130374/", 1011130374)</f>
        <v>1011130374</v>
      </c>
      <c r="D13099">
        <v>-6865.3</v>
      </c>
    </row>
    <row r="13100" spans="1:4" hidden="1" x14ac:dyDescent="0.3">
      <c r="A13100" t="s">
        <v>924</v>
      </c>
      <c r="B13100" t="s">
        <v>23</v>
      </c>
      <c r="C13100" s="1">
        <f>HYPERLINK("https://cao.dolgi.msk.ru/account/1011130382/", 1011130382)</f>
        <v>1011130382</v>
      </c>
      <c r="D13100">
        <v>-6922.17</v>
      </c>
    </row>
    <row r="13101" spans="1:4" hidden="1" x14ac:dyDescent="0.3">
      <c r="A13101" t="s">
        <v>924</v>
      </c>
      <c r="B13101" t="s">
        <v>23</v>
      </c>
      <c r="C13101" s="1">
        <f>HYPERLINK("https://cao.dolgi.msk.ru/account/1011130403/", 1011130403)</f>
        <v>1011130403</v>
      </c>
      <c r="D13101">
        <v>-12212.08</v>
      </c>
    </row>
    <row r="13102" spans="1:4" hidden="1" x14ac:dyDescent="0.3">
      <c r="A13102" t="s">
        <v>924</v>
      </c>
      <c r="B13102" t="s">
        <v>23</v>
      </c>
      <c r="C13102" s="1">
        <f>HYPERLINK("https://cao.dolgi.msk.ru/account/1011130411/", 1011130411)</f>
        <v>1011130411</v>
      </c>
      <c r="D13102">
        <v>-6524.4</v>
      </c>
    </row>
    <row r="13103" spans="1:4" hidden="1" x14ac:dyDescent="0.3">
      <c r="A13103" t="s">
        <v>924</v>
      </c>
      <c r="B13103" t="s">
        <v>23</v>
      </c>
      <c r="C13103" s="1">
        <f>HYPERLINK("https://cao.dolgi.msk.ru/account/1011130438/", 1011130438)</f>
        <v>1011130438</v>
      </c>
      <c r="D13103">
        <v>-9564.26</v>
      </c>
    </row>
    <row r="13104" spans="1:4" hidden="1" x14ac:dyDescent="0.3">
      <c r="A13104" t="s">
        <v>925</v>
      </c>
      <c r="B13104" t="s">
        <v>29</v>
      </c>
      <c r="C13104" s="1">
        <f>HYPERLINK("https://cao.dolgi.msk.ru/account/1011130323/", 1011130323)</f>
        <v>1011130323</v>
      </c>
      <c r="D13104">
        <v>-39370.800000000003</v>
      </c>
    </row>
    <row r="13105" spans="1:4" hidden="1" x14ac:dyDescent="0.3">
      <c r="A13105" t="s">
        <v>925</v>
      </c>
      <c r="B13105" t="s">
        <v>38</v>
      </c>
      <c r="C13105" s="1">
        <f>HYPERLINK("https://cao.dolgi.msk.ru/account/1011130331/", 1011130331)</f>
        <v>1011130331</v>
      </c>
      <c r="D13105">
        <v>-4496.34</v>
      </c>
    </row>
    <row r="13106" spans="1:4" hidden="1" x14ac:dyDescent="0.3">
      <c r="A13106" t="s">
        <v>925</v>
      </c>
      <c r="B13106" t="s">
        <v>39</v>
      </c>
      <c r="C13106" s="1">
        <f>HYPERLINK("https://cao.dolgi.msk.ru/account/1010134349/", 1010134349)</f>
        <v>1010134349</v>
      </c>
      <c r="D13106">
        <v>-37381.65</v>
      </c>
    </row>
    <row r="13107" spans="1:4" hidden="1" x14ac:dyDescent="0.3">
      <c r="A13107" t="s">
        <v>925</v>
      </c>
      <c r="B13107" t="s">
        <v>40</v>
      </c>
      <c r="C13107" s="1">
        <f>HYPERLINK("https://cao.dolgi.msk.ru/account/1011130358/", 1011130358)</f>
        <v>1011130358</v>
      </c>
      <c r="D13107">
        <v>-44795.519999999997</v>
      </c>
    </row>
    <row r="13108" spans="1:4" hidden="1" x14ac:dyDescent="0.3">
      <c r="A13108" t="s">
        <v>926</v>
      </c>
      <c r="B13108" t="s">
        <v>6</v>
      </c>
      <c r="C13108" s="1">
        <f>HYPERLINK("https://cao.dolgi.msk.ru/account/1011208813/", 1011208813)</f>
        <v>1011208813</v>
      </c>
      <c r="D13108">
        <v>-14580.21</v>
      </c>
    </row>
    <row r="13109" spans="1:4" hidden="1" x14ac:dyDescent="0.3">
      <c r="A13109" t="s">
        <v>926</v>
      </c>
      <c r="B13109" t="s">
        <v>28</v>
      </c>
      <c r="C13109" s="1">
        <f>HYPERLINK("https://cao.dolgi.msk.ru/account/1011208899/", 1011208899)</f>
        <v>1011208899</v>
      </c>
      <c r="D13109">
        <v>-11578.88</v>
      </c>
    </row>
    <row r="13110" spans="1:4" hidden="1" x14ac:dyDescent="0.3">
      <c r="A13110" t="s">
        <v>926</v>
      </c>
      <c r="B13110" t="s">
        <v>35</v>
      </c>
      <c r="C13110" s="1">
        <f>HYPERLINK("https://cao.dolgi.msk.ru/account/1011209015/", 1011209015)</f>
        <v>1011209015</v>
      </c>
      <c r="D13110">
        <v>0</v>
      </c>
    </row>
    <row r="13111" spans="1:4" x14ac:dyDescent="0.3">
      <c r="A13111" t="s">
        <v>926</v>
      </c>
      <c r="B13111" t="s">
        <v>5</v>
      </c>
      <c r="C13111" s="1">
        <f>HYPERLINK("https://cao.dolgi.msk.ru/account/1011208645/", 1011208645)</f>
        <v>1011208645</v>
      </c>
      <c r="D13111">
        <v>16565.099999999999</v>
      </c>
    </row>
    <row r="13112" spans="1:4" hidden="1" x14ac:dyDescent="0.3">
      <c r="A13112" t="s">
        <v>926</v>
      </c>
      <c r="B13112" t="s">
        <v>7</v>
      </c>
      <c r="C13112" s="1">
        <f>HYPERLINK("https://cao.dolgi.msk.ru/account/1011209023/", 1011209023)</f>
        <v>1011209023</v>
      </c>
      <c r="D13112">
        <v>-12364.35</v>
      </c>
    </row>
    <row r="13113" spans="1:4" hidden="1" x14ac:dyDescent="0.3">
      <c r="A13113" t="s">
        <v>926</v>
      </c>
      <c r="B13113" t="s">
        <v>8</v>
      </c>
      <c r="C13113" s="1">
        <f>HYPERLINK("https://cao.dolgi.msk.ru/account/1011208821/", 1011208821)</f>
        <v>1011208821</v>
      </c>
      <c r="D13113">
        <v>0</v>
      </c>
    </row>
    <row r="13114" spans="1:4" hidden="1" x14ac:dyDescent="0.3">
      <c r="A13114" t="s">
        <v>926</v>
      </c>
      <c r="B13114" t="s">
        <v>31</v>
      </c>
      <c r="C13114" s="1">
        <f>HYPERLINK("https://cao.dolgi.msk.ru/account/1011208901/", 1011208901)</f>
        <v>1011208901</v>
      </c>
      <c r="D13114">
        <v>-6164.85</v>
      </c>
    </row>
    <row r="13115" spans="1:4" hidden="1" x14ac:dyDescent="0.3">
      <c r="A13115" t="s">
        <v>926</v>
      </c>
      <c r="B13115" t="s">
        <v>9</v>
      </c>
      <c r="C13115" s="1">
        <f>HYPERLINK("https://cao.dolgi.msk.ru/account/1011208987/", 1011208987)</f>
        <v>1011208987</v>
      </c>
      <c r="D13115">
        <v>0</v>
      </c>
    </row>
    <row r="13116" spans="1:4" hidden="1" x14ac:dyDescent="0.3">
      <c r="A13116" t="s">
        <v>926</v>
      </c>
      <c r="B13116" t="s">
        <v>10</v>
      </c>
      <c r="C13116" s="1">
        <f>HYPERLINK("https://cao.dolgi.msk.ru/account/1011208776/", 1011208776)</f>
        <v>1011208776</v>
      </c>
      <c r="D13116">
        <v>-223.04</v>
      </c>
    </row>
    <row r="13117" spans="1:4" hidden="1" x14ac:dyDescent="0.3">
      <c r="A13117" t="s">
        <v>926</v>
      </c>
      <c r="B13117" t="s">
        <v>11</v>
      </c>
      <c r="C13117" s="1">
        <f>HYPERLINK("https://cao.dolgi.msk.ru/account/1011208784/", 1011208784)</f>
        <v>1011208784</v>
      </c>
      <c r="D13117">
        <v>-8433.76</v>
      </c>
    </row>
    <row r="13118" spans="1:4" hidden="1" x14ac:dyDescent="0.3">
      <c r="A13118" t="s">
        <v>926</v>
      </c>
      <c r="B13118" t="s">
        <v>12</v>
      </c>
      <c r="C13118" s="1">
        <f>HYPERLINK("https://cao.dolgi.msk.ru/account/1011208653/", 1011208653)</f>
        <v>1011208653</v>
      </c>
      <c r="D13118">
        <v>-12392.96</v>
      </c>
    </row>
    <row r="13119" spans="1:4" hidden="1" x14ac:dyDescent="0.3">
      <c r="A13119" t="s">
        <v>926</v>
      </c>
      <c r="B13119" t="s">
        <v>23</v>
      </c>
      <c r="C13119" s="1">
        <f>HYPERLINK("https://cao.dolgi.msk.ru/account/1011208696/", 1011208696)</f>
        <v>1011208696</v>
      </c>
      <c r="D13119">
        <v>-2224.31</v>
      </c>
    </row>
    <row r="13120" spans="1:4" hidden="1" x14ac:dyDescent="0.3">
      <c r="A13120" t="s">
        <v>926</v>
      </c>
      <c r="B13120" t="s">
        <v>13</v>
      </c>
      <c r="C13120" s="1">
        <f>HYPERLINK("https://cao.dolgi.msk.ru/account/1011208928/", 1011208928)</f>
        <v>1011208928</v>
      </c>
      <c r="D13120">
        <v>0</v>
      </c>
    </row>
    <row r="13121" spans="1:4" hidden="1" x14ac:dyDescent="0.3">
      <c r="A13121" t="s">
        <v>926</v>
      </c>
      <c r="B13121" t="s">
        <v>14</v>
      </c>
      <c r="C13121" s="1">
        <f>HYPERLINK("https://cao.dolgi.msk.ru/account/1011208936/", 1011208936)</f>
        <v>1011208936</v>
      </c>
      <c r="D13121">
        <v>0</v>
      </c>
    </row>
    <row r="13122" spans="1:4" hidden="1" x14ac:dyDescent="0.3">
      <c r="A13122" t="s">
        <v>926</v>
      </c>
      <c r="B13122" t="s">
        <v>16</v>
      </c>
      <c r="C13122" s="1">
        <f>HYPERLINK("https://cao.dolgi.msk.ru/account/1011208661/", 1011208661)</f>
        <v>1011208661</v>
      </c>
      <c r="D13122">
        <v>-1324.69</v>
      </c>
    </row>
    <row r="13123" spans="1:4" hidden="1" x14ac:dyDescent="0.3">
      <c r="A13123" t="s">
        <v>926</v>
      </c>
      <c r="B13123" t="s">
        <v>17</v>
      </c>
      <c r="C13123" s="1">
        <f>HYPERLINK("https://cao.dolgi.msk.ru/account/1011208944/", 1011208944)</f>
        <v>1011208944</v>
      </c>
      <c r="D13123">
        <v>0</v>
      </c>
    </row>
    <row r="13124" spans="1:4" hidden="1" x14ac:dyDescent="0.3">
      <c r="A13124" t="s">
        <v>926</v>
      </c>
      <c r="B13124" t="s">
        <v>18</v>
      </c>
      <c r="C13124" s="1">
        <f>HYPERLINK("https://cao.dolgi.msk.ru/account/1011208709/", 1011208709)</f>
        <v>1011208709</v>
      </c>
      <c r="D13124">
        <v>0</v>
      </c>
    </row>
    <row r="13125" spans="1:4" hidden="1" x14ac:dyDescent="0.3">
      <c r="A13125" t="s">
        <v>926</v>
      </c>
      <c r="B13125" t="s">
        <v>19</v>
      </c>
      <c r="C13125" s="1">
        <f>HYPERLINK("https://cao.dolgi.msk.ru/account/1011208792/", 1011208792)</f>
        <v>1011208792</v>
      </c>
      <c r="D13125">
        <v>-7366.31</v>
      </c>
    </row>
    <row r="13126" spans="1:4" hidden="1" x14ac:dyDescent="0.3">
      <c r="A13126" t="s">
        <v>926</v>
      </c>
      <c r="B13126" t="s">
        <v>20</v>
      </c>
      <c r="C13126" s="1">
        <f>HYPERLINK("https://cao.dolgi.msk.ru/account/1011208848/", 1011208848)</f>
        <v>1011208848</v>
      </c>
      <c r="D13126">
        <v>0</v>
      </c>
    </row>
    <row r="13127" spans="1:4" hidden="1" x14ac:dyDescent="0.3">
      <c r="A13127" t="s">
        <v>926</v>
      </c>
      <c r="B13127" t="s">
        <v>21</v>
      </c>
      <c r="C13127" s="1">
        <f>HYPERLINK("https://cao.dolgi.msk.ru/account/1011208995/", 1011208995)</f>
        <v>1011208995</v>
      </c>
      <c r="D13127">
        <v>0</v>
      </c>
    </row>
    <row r="13128" spans="1:4" x14ac:dyDescent="0.3">
      <c r="A13128" t="s">
        <v>926</v>
      </c>
      <c r="B13128" t="s">
        <v>22</v>
      </c>
      <c r="C13128" s="1">
        <f>HYPERLINK("https://cao.dolgi.msk.ru/account/1011208979/", 1011208979)</f>
        <v>1011208979</v>
      </c>
      <c r="D13128">
        <v>17636.259999999998</v>
      </c>
    </row>
    <row r="13129" spans="1:4" hidden="1" x14ac:dyDescent="0.3">
      <c r="A13129" t="s">
        <v>926</v>
      </c>
      <c r="B13129" t="s">
        <v>24</v>
      </c>
      <c r="C13129" s="1">
        <f>HYPERLINK("https://cao.dolgi.msk.ru/account/1011208856/", 1011208856)</f>
        <v>1011208856</v>
      </c>
      <c r="D13129">
        <v>0</v>
      </c>
    </row>
    <row r="13130" spans="1:4" hidden="1" x14ac:dyDescent="0.3">
      <c r="A13130" t="s">
        <v>926</v>
      </c>
      <c r="B13130" t="s">
        <v>25</v>
      </c>
      <c r="C13130" s="1">
        <f>HYPERLINK("https://cao.dolgi.msk.ru/account/1011208864/", 1011208864)</f>
        <v>1011208864</v>
      </c>
      <c r="D13130">
        <v>0</v>
      </c>
    </row>
    <row r="13131" spans="1:4" hidden="1" x14ac:dyDescent="0.3">
      <c r="A13131" t="s">
        <v>926</v>
      </c>
      <c r="B13131" t="s">
        <v>26</v>
      </c>
      <c r="C13131" s="1">
        <f>HYPERLINK("https://cao.dolgi.msk.ru/account/1011209007/", 1011209007)</f>
        <v>1011209007</v>
      </c>
      <c r="D13131">
        <v>-3980.4</v>
      </c>
    </row>
    <row r="13132" spans="1:4" hidden="1" x14ac:dyDescent="0.3">
      <c r="A13132" t="s">
        <v>926</v>
      </c>
      <c r="B13132" t="s">
        <v>27</v>
      </c>
      <c r="C13132" s="1">
        <f>HYPERLINK("https://cao.dolgi.msk.ru/account/1011208725/", 1011208725)</f>
        <v>1011208725</v>
      </c>
      <c r="D13132">
        <v>0</v>
      </c>
    </row>
    <row r="13133" spans="1:4" hidden="1" x14ac:dyDescent="0.3">
      <c r="A13133" t="s">
        <v>926</v>
      </c>
      <c r="B13133" t="s">
        <v>29</v>
      </c>
      <c r="C13133" s="1">
        <f>HYPERLINK("https://cao.dolgi.msk.ru/account/1011208733/", 1011208733)</f>
        <v>1011208733</v>
      </c>
      <c r="D13133">
        <v>-288.76</v>
      </c>
    </row>
    <row r="13134" spans="1:4" hidden="1" x14ac:dyDescent="0.3">
      <c r="A13134" t="s">
        <v>926</v>
      </c>
      <c r="B13134" t="s">
        <v>38</v>
      </c>
      <c r="C13134" s="1">
        <f>HYPERLINK("https://cao.dolgi.msk.ru/account/1011209031/", 1011209031)</f>
        <v>1011209031</v>
      </c>
      <c r="D13134">
        <v>-703.85</v>
      </c>
    </row>
    <row r="13135" spans="1:4" hidden="1" x14ac:dyDescent="0.3">
      <c r="A13135" t="s">
        <v>926</v>
      </c>
      <c r="B13135" t="s">
        <v>39</v>
      </c>
      <c r="C13135" s="1">
        <f>HYPERLINK("https://cao.dolgi.msk.ru/account/1011208872/", 1011208872)</f>
        <v>1011208872</v>
      </c>
      <c r="D13135">
        <v>0</v>
      </c>
    </row>
    <row r="13136" spans="1:4" hidden="1" x14ac:dyDescent="0.3">
      <c r="A13136" t="s">
        <v>926</v>
      </c>
      <c r="B13136" t="s">
        <v>40</v>
      </c>
      <c r="C13136" s="1">
        <f>HYPERLINK("https://cao.dolgi.msk.ru/account/1011208805/", 1011208805)</f>
        <v>1011208805</v>
      </c>
      <c r="D13136">
        <v>0</v>
      </c>
    </row>
    <row r="13137" spans="1:4" hidden="1" x14ac:dyDescent="0.3">
      <c r="A13137" t="s">
        <v>926</v>
      </c>
      <c r="B13137" t="s">
        <v>41</v>
      </c>
      <c r="C13137" s="1">
        <f>HYPERLINK("https://cao.dolgi.msk.ru/account/1011208717/", 1011208717)</f>
        <v>1011208717</v>
      </c>
      <c r="D13137">
        <v>-105.41</v>
      </c>
    </row>
    <row r="13138" spans="1:4" hidden="1" x14ac:dyDescent="0.3">
      <c r="A13138" t="s">
        <v>926</v>
      </c>
      <c r="B13138" t="s">
        <v>51</v>
      </c>
      <c r="C13138" s="1">
        <f>HYPERLINK("https://cao.dolgi.msk.ru/account/1011208688/", 1011208688)</f>
        <v>1011208688</v>
      </c>
      <c r="D13138">
        <v>0</v>
      </c>
    </row>
    <row r="13139" spans="1:4" hidden="1" x14ac:dyDescent="0.3">
      <c r="A13139" t="s">
        <v>926</v>
      </c>
      <c r="B13139" t="s">
        <v>52</v>
      </c>
      <c r="C13139" s="1">
        <f>HYPERLINK("https://cao.dolgi.msk.ru/account/1011208952/", 1011208952)</f>
        <v>1011208952</v>
      </c>
      <c r="D13139">
        <v>-5.82</v>
      </c>
    </row>
    <row r="13140" spans="1:4" hidden="1" x14ac:dyDescent="0.3">
      <c r="A13140" t="s">
        <v>927</v>
      </c>
      <c r="B13140" t="s">
        <v>9</v>
      </c>
      <c r="C13140" s="1">
        <f>HYPERLINK("https://cao.dolgi.msk.ru/account/1011377115/", 1011377115)</f>
        <v>1011377115</v>
      </c>
      <c r="D13140">
        <v>0</v>
      </c>
    </row>
    <row r="13141" spans="1:4" hidden="1" x14ac:dyDescent="0.3">
      <c r="A13141" t="s">
        <v>927</v>
      </c>
      <c r="B13141" t="s">
        <v>10</v>
      </c>
      <c r="C13141" s="1">
        <f>HYPERLINK("https://cao.dolgi.msk.ru/account/1011377123/", 1011377123)</f>
        <v>1011377123</v>
      </c>
      <c r="D13141">
        <v>0</v>
      </c>
    </row>
    <row r="13142" spans="1:4" hidden="1" x14ac:dyDescent="0.3">
      <c r="A13142" t="s">
        <v>927</v>
      </c>
      <c r="B13142" t="s">
        <v>11</v>
      </c>
      <c r="C13142" s="1">
        <f>HYPERLINK("https://cao.dolgi.msk.ru/account/1011377334/", 1011377334)</f>
        <v>1011377334</v>
      </c>
      <c r="D13142">
        <v>-1804.53</v>
      </c>
    </row>
    <row r="13143" spans="1:4" x14ac:dyDescent="0.3">
      <c r="A13143" t="s">
        <v>927</v>
      </c>
      <c r="B13143" t="s">
        <v>12</v>
      </c>
      <c r="C13143" s="1">
        <f>HYPERLINK("https://cao.dolgi.msk.ru/account/1011377262/", 1011377262)</f>
        <v>1011377262</v>
      </c>
      <c r="D13143">
        <v>46480.34</v>
      </c>
    </row>
    <row r="13144" spans="1:4" hidden="1" x14ac:dyDescent="0.3">
      <c r="A13144" t="s">
        <v>927</v>
      </c>
      <c r="B13144" t="s">
        <v>23</v>
      </c>
      <c r="C13144" s="1">
        <f>HYPERLINK("https://cao.dolgi.msk.ru/account/1011377131/", 1011377131)</f>
        <v>1011377131</v>
      </c>
      <c r="D13144">
        <v>0</v>
      </c>
    </row>
    <row r="13145" spans="1:4" hidden="1" x14ac:dyDescent="0.3">
      <c r="A13145" t="s">
        <v>927</v>
      </c>
      <c r="B13145" t="s">
        <v>777</v>
      </c>
      <c r="C13145" s="1">
        <f>HYPERLINK("https://cao.dolgi.msk.ru/account/1011377289/", 1011377289)</f>
        <v>1011377289</v>
      </c>
      <c r="D13145">
        <v>-506.2</v>
      </c>
    </row>
    <row r="13146" spans="1:4" hidden="1" x14ac:dyDescent="0.3">
      <c r="A13146" t="s">
        <v>927</v>
      </c>
      <c r="B13146" t="s">
        <v>14</v>
      </c>
      <c r="C13146" s="1">
        <f>HYPERLINK("https://cao.dolgi.msk.ru/account/1011377238/", 1011377238)</f>
        <v>1011377238</v>
      </c>
      <c r="D13146">
        <v>-9.86</v>
      </c>
    </row>
    <row r="13147" spans="1:4" hidden="1" x14ac:dyDescent="0.3">
      <c r="A13147" t="s">
        <v>927</v>
      </c>
      <c r="B13147" t="s">
        <v>16</v>
      </c>
      <c r="C13147" s="1">
        <f>HYPERLINK("https://cao.dolgi.msk.ru/account/1011377166/", 1011377166)</f>
        <v>1011377166</v>
      </c>
      <c r="D13147">
        <v>0</v>
      </c>
    </row>
    <row r="13148" spans="1:4" x14ac:dyDescent="0.3">
      <c r="A13148" t="s">
        <v>927</v>
      </c>
      <c r="B13148" t="s">
        <v>17</v>
      </c>
      <c r="C13148" s="1">
        <f>HYPERLINK("https://cao.dolgi.msk.ru/account/1011377174/", 1011377174)</f>
        <v>1011377174</v>
      </c>
      <c r="D13148">
        <v>299147.7</v>
      </c>
    </row>
    <row r="13149" spans="1:4" hidden="1" x14ac:dyDescent="0.3">
      <c r="A13149" t="s">
        <v>927</v>
      </c>
      <c r="B13149" t="s">
        <v>18</v>
      </c>
      <c r="C13149" s="1">
        <f>HYPERLINK("https://cao.dolgi.msk.ru/account/1011377182/", 1011377182)</f>
        <v>1011377182</v>
      </c>
      <c r="D13149">
        <v>0</v>
      </c>
    </row>
    <row r="13150" spans="1:4" hidden="1" x14ac:dyDescent="0.3">
      <c r="A13150" t="s">
        <v>927</v>
      </c>
      <c r="B13150" t="s">
        <v>19</v>
      </c>
      <c r="C13150" s="1">
        <f>HYPERLINK("https://cao.dolgi.msk.ru/account/1011377107/", 1011377107)</f>
        <v>1011377107</v>
      </c>
      <c r="D13150">
        <v>0</v>
      </c>
    </row>
    <row r="13151" spans="1:4" x14ac:dyDescent="0.3">
      <c r="A13151" t="s">
        <v>927</v>
      </c>
      <c r="B13151" t="s">
        <v>19</v>
      </c>
      <c r="C13151" s="1">
        <f>HYPERLINK("https://cao.dolgi.msk.ru/account/1011377203/", 1011377203)</f>
        <v>1011377203</v>
      </c>
      <c r="D13151">
        <v>125235.21</v>
      </c>
    </row>
    <row r="13152" spans="1:4" hidden="1" x14ac:dyDescent="0.3">
      <c r="A13152" t="s">
        <v>927</v>
      </c>
      <c r="B13152" t="s">
        <v>19</v>
      </c>
      <c r="C13152" s="1">
        <f>HYPERLINK("https://cao.dolgi.msk.ru/account/1011377211/", 1011377211)</f>
        <v>1011377211</v>
      </c>
      <c r="D13152">
        <v>0</v>
      </c>
    </row>
    <row r="13153" spans="1:4" x14ac:dyDescent="0.3">
      <c r="A13153" t="s">
        <v>927</v>
      </c>
      <c r="B13153" t="s">
        <v>19</v>
      </c>
      <c r="C13153" s="1">
        <f>HYPERLINK("https://cao.dolgi.msk.ru/account/1011377246/", 1011377246)</f>
        <v>1011377246</v>
      </c>
      <c r="D13153">
        <v>61498.89</v>
      </c>
    </row>
    <row r="13154" spans="1:4" x14ac:dyDescent="0.3">
      <c r="A13154" t="s">
        <v>927</v>
      </c>
      <c r="B13154" t="s">
        <v>19</v>
      </c>
      <c r="C13154" s="1">
        <f>HYPERLINK("https://cao.dolgi.msk.ru/account/1011377318/", 1011377318)</f>
        <v>1011377318</v>
      </c>
      <c r="D13154">
        <v>86424.13</v>
      </c>
    </row>
    <row r="13155" spans="1:4" hidden="1" x14ac:dyDescent="0.3">
      <c r="A13155" t="s">
        <v>927</v>
      </c>
      <c r="B13155" t="s">
        <v>19</v>
      </c>
      <c r="C13155" s="1">
        <f>HYPERLINK("https://cao.dolgi.msk.ru/account/1011514941/", 1011514941)</f>
        <v>1011514941</v>
      </c>
      <c r="D13155">
        <v>-2942.45</v>
      </c>
    </row>
    <row r="13156" spans="1:4" hidden="1" x14ac:dyDescent="0.3">
      <c r="A13156" t="s">
        <v>927</v>
      </c>
      <c r="B13156" t="s">
        <v>22</v>
      </c>
      <c r="C13156" s="1">
        <f>HYPERLINK("https://cao.dolgi.msk.ru/account/1011377158/", 1011377158)</f>
        <v>1011377158</v>
      </c>
      <c r="D13156">
        <v>-1451.05</v>
      </c>
    </row>
    <row r="13157" spans="1:4" hidden="1" x14ac:dyDescent="0.3">
      <c r="A13157" t="s">
        <v>927</v>
      </c>
      <c r="B13157" t="s">
        <v>22</v>
      </c>
      <c r="C13157" s="1">
        <f>HYPERLINK("https://cao.dolgi.msk.ru/account/1011377342/", 1011377342)</f>
        <v>1011377342</v>
      </c>
      <c r="D13157">
        <v>0</v>
      </c>
    </row>
    <row r="13158" spans="1:4" x14ac:dyDescent="0.3">
      <c r="A13158" t="s">
        <v>927</v>
      </c>
      <c r="B13158" t="s">
        <v>24</v>
      </c>
      <c r="C13158" s="1">
        <f>HYPERLINK("https://cao.dolgi.msk.ru/account/1011377326/", 1011377326)</f>
        <v>1011377326</v>
      </c>
      <c r="D13158">
        <v>6190.78</v>
      </c>
    </row>
    <row r="13159" spans="1:4" x14ac:dyDescent="0.3">
      <c r="A13159" t="s">
        <v>927</v>
      </c>
      <c r="B13159" t="s">
        <v>25</v>
      </c>
      <c r="C13159" s="1">
        <f>HYPERLINK("https://cao.dolgi.msk.ru/account/1011377369/", 1011377369)</f>
        <v>1011377369</v>
      </c>
      <c r="D13159">
        <v>16050.17</v>
      </c>
    </row>
    <row r="13160" spans="1:4" hidden="1" x14ac:dyDescent="0.3">
      <c r="A13160" t="s">
        <v>927</v>
      </c>
      <c r="B13160" t="s">
        <v>26</v>
      </c>
      <c r="C13160" s="1">
        <f>HYPERLINK("https://cao.dolgi.msk.ru/account/1011377254/", 1011377254)</f>
        <v>1011377254</v>
      </c>
      <c r="D13160">
        <v>-12856.49</v>
      </c>
    </row>
    <row r="13161" spans="1:4" hidden="1" x14ac:dyDescent="0.3">
      <c r="A13161" t="s">
        <v>927</v>
      </c>
      <c r="B13161" t="s">
        <v>26</v>
      </c>
      <c r="C13161" s="1">
        <f>HYPERLINK("https://cao.dolgi.msk.ru/account/1011377297/", 1011377297)</f>
        <v>1011377297</v>
      </c>
      <c r="D13161">
        <v>-215.06</v>
      </c>
    </row>
    <row r="13162" spans="1:4" hidden="1" x14ac:dyDescent="0.3">
      <c r="A13162" t="s">
        <v>927</v>
      </c>
      <c r="B13162" t="s">
        <v>26</v>
      </c>
      <c r="C13162" s="1">
        <f>HYPERLINK("https://cao.dolgi.msk.ru/account/1011526264/", 1011526264)</f>
        <v>1011526264</v>
      </c>
      <c r="D13162">
        <v>-216.87</v>
      </c>
    </row>
    <row r="13163" spans="1:4" hidden="1" x14ac:dyDescent="0.3">
      <c r="A13163" t="s">
        <v>928</v>
      </c>
      <c r="B13163" t="s">
        <v>29</v>
      </c>
      <c r="C13163" s="1">
        <f>HYPERLINK("https://cao.dolgi.msk.ru/account/1011051799/", 1011051799)</f>
        <v>1011051799</v>
      </c>
      <c r="D13163">
        <v>0</v>
      </c>
    </row>
    <row r="13164" spans="1:4" x14ac:dyDescent="0.3">
      <c r="A13164" t="s">
        <v>928</v>
      </c>
      <c r="B13164" t="s">
        <v>29</v>
      </c>
      <c r="C13164" s="1">
        <f>HYPERLINK("https://cao.dolgi.msk.ru/account/1011051828/", 1011051828)</f>
        <v>1011051828</v>
      </c>
      <c r="D13164">
        <v>3866.23</v>
      </c>
    </row>
    <row r="13165" spans="1:4" hidden="1" x14ac:dyDescent="0.3">
      <c r="A13165" t="s">
        <v>928</v>
      </c>
      <c r="B13165" t="s">
        <v>29</v>
      </c>
      <c r="C13165" s="1">
        <f>HYPERLINK("https://cao.dolgi.msk.ru/account/1011051836/", 1011051836)</f>
        <v>1011051836</v>
      </c>
      <c r="D13165">
        <v>-3965.77</v>
      </c>
    </row>
    <row r="13166" spans="1:4" hidden="1" x14ac:dyDescent="0.3">
      <c r="A13166" t="s">
        <v>928</v>
      </c>
      <c r="B13166" t="s">
        <v>29</v>
      </c>
      <c r="C13166" s="1">
        <f>HYPERLINK("https://cao.dolgi.msk.ru/account/1011051879/", 1011051879)</f>
        <v>1011051879</v>
      </c>
      <c r="D13166">
        <v>-1089.49</v>
      </c>
    </row>
    <row r="13167" spans="1:4" hidden="1" x14ac:dyDescent="0.3">
      <c r="A13167" t="s">
        <v>928</v>
      </c>
      <c r="B13167" t="s">
        <v>29</v>
      </c>
      <c r="C13167" s="1">
        <f>HYPERLINK("https://cao.dolgi.msk.ru/account/1011051916/", 1011051916)</f>
        <v>1011051916</v>
      </c>
      <c r="D13167">
        <v>0</v>
      </c>
    </row>
    <row r="13168" spans="1:4" hidden="1" x14ac:dyDescent="0.3">
      <c r="A13168" t="s">
        <v>928</v>
      </c>
      <c r="B13168" t="s">
        <v>38</v>
      </c>
      <c r="C13168" s="1">
        <f>HYPERLINK("https://cao.dolgi.msk.ru/account/1011051721/", 1011051721)</f>
        <v>1011051721</v>
      </c>
      <c r="D13168">
        <v>0</v>
      </c>
    </row>
    <row r="13169" spans="1:4" hidden="1" x14ac:dyDescent="0.3">
      <c r="A13169" t="s">
        <v>928</v>
      </c>
      <c r="B13169" t="s">
        <v>39</v>
      </c>
      <c r="C13169" s="1">
        <f>HYPERLINK("https://cao.dolgi.msk.ru/account/1011051684/", 1011051684)</f>
        <v>1011051684</v>
      </c>
      <c r="D13169">
        <v>0</v>
      </c>
    </row>
    <row r="13170" spans="1:4" hidden="1" x14ac:dyDescent="0.3">
      <c r="A13170" t="s">
        <v>928</v>
      </c>
      <c r="B13170" t="s">
        <v>39</v>
      </c>
      <c r="C13170" s="1">
        <f>HYPERLINK("https://cao.dolgi.msk.ru/account/1011051748/", 1011051748)</f>
        <v>1011051748</v>
      </c>
      <c r="D13170">
        <v>-4757.66</v>
      </c>
    </row>
    <row r="13171" spans="1:4" x14ac:dyDescent="0.3">
      <c r="A13171" t="s">
        <v>928</v>
      </c>
      <c r="B13171" t="s">
        <v>39</v>
      </c>
      <c r="C13171" s="1">
        <f>HYPERLINK("https://cao.dolgi.msk.ru/account/1011051844/", 1011051844)</f>
        <v>1011051844</v>
      </c>
      <c r="D13171">
        <v>7579.32</v>
      </c>
    </row>
    <row r="13172" spans="1:4" hidden="1" x14ac:dyDescent="0.3">
      <c r="A13172" t="s">
        <v>928</v>
      </c>
      <c r="B13172" t="s">
        <v>39</v>
      </c>
      <c r="C13172" s="1">
        <f>HYPERLINK("https://cao.dolgi.msk.ru/account/1011051887/", 1011051887)</f>
        <v>1011051887</v>
      </c>
      <c r="D13172">
        <v>-4008.28</v>
      </c>
    </row>
    <row r="13173" spans="1:4" hidden="1" x14ac:dyDescent="0.3">
      <c r="A13173" t="s">
        <v>928</v>
      </c>
      <c r="B13173" t="s">
        <v>39</v>
      </c>
      <c r="C13173" s="1">
        <f>HYPERLINK("https://cao.dolgi.msk.ru/account/1011051924/", 1011051924)</f>
        <v>1011051924</v>
      </c>
      <c r="D13173">
        <v>0</v>
      </c>
    </row>
    <row r="13174" spans="1:4" hidden="1" x14ac:dyDescent="0.3">
      <c r="A13174" t="s">
        <v>928</v>
      </c>
      <c r="B13174" t="s">
        <v>40</v>
      </c>
      <c r="C13174" s="1">
        <f>HYPERLINK("https://cao.dolgi.msk.ru/account/1011051692/", 1011051692)</f>
        <v>1011051692</v>
      </c>
      <c r="D13174">
        <v>0</v>
      </c>
    </row>
    <row r="13175" spans="1:4" hidden="1" x14ac:dyDescent="0.3">
      <c r="A13175" t="s">
        <v>928</v>
      </c>
      <c r="B13175" t="s">
        <v>40</v>
      </c>
      <c r="C13175" s="1">
        <f>HYPERLINK("https://cao.dolgi.msk.ru/account/1011051705/", 1011051705)</f>
        <v>1011051705</v>
      </c>
      <c r="D13175">
        <v>-1371.39</v>
      </c>
    </row>
    <row r="13176" spans="1:4" hidden="1" x14ac:dyDescent="0.3">
      <c r="A13176" t="s">
        <v>928</v>
      </c>
      <c r="B13176" t="s">
        <v>40</v>
      </c>
      <c r="C13176" s="1">
        <f>HYPERLINK("https://cao.dolgi.msk.ru/account/1011051764/", 1011051764)</f>
        <v>1011051764</v>
      </c>
      <c r="D13176">
        <v>0</v>
      </c>
    </row>
    <row r="13177" spans="1:4" hidden="1" x14ac:dyDescent="0.3">
      <c r="A13177" t="s">
        <v>928</v>
      </c>
      <c r="B13177" t="s">
        <v>40</v>
      </c>
      <c r="C13177" s="1">
        <f>HYPERLINK("https://cao.dolgi.msk.ru/account/1011051772/", 1011051772)</f>
        <v>1011051772</v>
      </c>
      <c r="D13177">
        <v>0</v>
      </c>
    </row>
    <row r="13178" spans="1:4" x14ac:dyDescent="0.3">
      <c r="A13178" t="s">
        <v>928</v>
      </c>
      <c r="B13178" t="s">
        <v>41</v>
      </c>
      <c r="C13178" s="1">
        <f>HYPERLINK("https://cao.dolgi.msk.ru/account/1011051852/", 1011051852)</f>
        <v>1011051852</v>
      </c>
      <c r="D13178">
        <v>10889.66</v>
      </c>
    </row>
    <row r="13179" spans="1:4" x14ac:dyDescent="0.3">
      <c r="A13179" t="s">
        <v>928</v>
      </c>
      <c r="B13179" t="s">
        <v>41</v>
      </c>
      <c r="C13179" s="1">
        <f>HYPERLINK("https://cao.dolgi.msk.ru/account/1011051932/", 1011051932)</f>
        <v>1011051932</v>
      </c>
      <c r="D13179">
        <v>13311.76</v>
      </c>
    </row>
    <row r="13180" spans="1:4" x14ac:dyDescent="0.3">
      <c r="A13180" t="s">
        <v>928</v>
      </c>
      <c r="B13180" t="s">
        <v>41</v>
      </c>
      <c r="C13180" s="1">
        <f>HYPERLINK("https://cao.dolgi.msk.ru/account/1011051959/", 1011051959)</f>
        <v>1011051959</v>
      </c>
      <c r="D13180">
        <v>141779.5</v>
      </c>
    </row>
    <row r="13181" spans="1:4" hidden="1" x14ac:dyDescent="0.3">
      <c r="A13181" t="s">
        <v>928</v>
      </c>
      <c r="B13181" t="s">
        <v>53</v>
      </c>
      <c r="C13181" s="1">
        <f>HYPERLINK("https://cao.dolgi.msk.ru/account/1011051895/", 1011051895)</f>
        <v>1011051895</v>
      </c>
      <c r="D13181">
        <v>-14844.39</v>
      </c>
    </row>
    <row r="13182" spans="1:4" hidden="1" x14ac:dyDescent="0.3">
      <c r="A13182" t="s">
        <v>928</v>
      </c>
      <c r="B13182" t="s">
        <v>53</v>
      </c>
      <c r="C13182" s="1">
        <f>HYPERLINK("https://cao.dolgi.msk.ru/account/1011051908/", 1011051908)</f>
        <v>1011051908</v>
      </c>
      <c r="D13182">
        <v>0</v>
      </c>
    </row>
    <row r="13183" spans="1:4" hidden="1" x14ac:dyDescent="0.3">
      <c r="A13183" t="s">
        <v>928</v>
      </c>
      <c r="B13183" t="s">
        <v>54</v>
      </c>
      <c r="C13183" s="1">
        <f>HYPERLINK("https://cao.dolgi.msk.ru/account/1011051713/", 1011051713)</f>
        <v>1011051713</v>
      </c>
      <c r="D13183">
        <v>0</v>
      </c>
    </row>
    <row r="13184" spans="1:4" hidden="1" x14ac:dyDescent="0.3">
      <c r="A13184" t="s">
        <v>928</v>
      </c>
      <c r="B13184" t="s">
        <v>55</v>
      </c>
      <c r="C13184" s="1">
        <f>HYPERLINK("https://cao.dolgi.msk.ru/account/1011051756/", 1011051756)</f>
        <v>1011051756</v>
      </c>
      <c r="D13184">
        <v>0</v>
      </c>
    </row>
    <row r="13185" spans="1:4" x14ac:dyDescent="0.3">
      <c r="A13185" t="s">
        <v>928</v>
      </c>
      <c r="B13185" t="s">
        <v>56</v>
      </c>
      <c r="C13185" s="1">
        <f>HYPERLINK("https://cao.dolgi.msk.ru/account/1011051801/", 1011051801)</f>
        <v>1011051801</v>
      </c>
      <c r="D13185">
        <v>73038.92</v>
      </c>
    </row>
    <row r="13186" spans="1:4" x14ac:dyDescent="0.3">
      <c r="A13186" t="s">
        <v>928</v>
      </c>
      <c r="B13186" t="s">
        <v>56</v>
      </c>
      <c r="C13186" s="1">
        <f>HYPERLINK("https://cao.dolgi.msk.ru/account/1011051967/", 1011051967)</f>
        <v>1011051967</v>
      </c>
      <c r="D13186">
        <v>12166.1</v>
      </c>
    </row>
    <row r="13187" spans="1:4" x14ac:dyDescent="0.3">
      <c r="A13187" t="s">
        <v>928</v>
      </c>
      <c r="B13187" t="s">
        <v>56</v>
      </c>
      <c r="C13187" s="1">
        <f>HYPERLINK("https://cao.dolgi.msk.ru/account/1011051975/", 1011051975)</f>
        <v>1011051975</v>
      </c>
      <c r="D13187">
        <v>18084.439999999999</v>
      </c>
    </row>
    <row r="13188" spans="1:4" x14ac:dyDescent="0.3">
      <c r="A13188" t="s">
        <v>929</v>
      </c>
      <c r="B13188" t="s">
        <v>105</v>
      </c>
      <c r="C13188" s="1">
        <f>HYPERLINK("https://cao.dolgi.msk.ru/account/1011315897/", 1011315897)</f>
        <v>1011315897</v>
      </c>
      <c r="D13188">
        <v>6055.9</v>
      </c>
    </row>
    <row r="13189" spans="1:4" hidden="1" x14ac:dyDescent="0.3">
      <c r="A13189" t="s">
        <v>929</v>
      </c>
      <c r="B13189" t="s">
        <v>106</v>
      </c>
      <c r="C13189" s="1">
        <f>HYPERLINK("https://cao.dolgi.msk.ru/account/1011315889/", 1011315889)</f>
        <v>1011315889</v>
      </c>
      <c r="D13189">
        <v>-4583.66</v>
      </c>
    </row>
    <row r="13190" spans="1:4" hidden="1" x14ac:dyDescent="0.3">
      <c r="A13190" t="s">
        <v>929</v>
      </c>
      <c r="B13190" t="s">
        <v>930</v>
      </c>
      <c r="C13190" s="1">
        <f>HYPERLINK("https://cao.dolgi.msk.ru/account/1011315811/", 1011315811)</f>
        <v>1011315811</v>
      </c>
      <c r="D13190">
        <v>0</v>
      </c>
    </row>
    <row r="13191" spans="1:4" hidden="1" x14ac:dyDescent="0.3">
      <c r="A13191" t="s">
        <v>929</v>
      </c>
      <c r="B13191" t="s">
        <v>110</v>
      </c>
      <c r="C13191" s="1">
        <f>HYPERLINK("https://cao.dolgi.msk.ru/account/1011315854/", 1011315854)</f>
        <v>1011315854</v>
      </c>
      <c r="D13191">
        <v>0</v>
      </c>
    </row>
    <row r="13192" spans="1:4" hidden="1" x14ac:dyDescent="0.3">
      <c r="A13192" t="s">
        <v>929</v>
      </c>
      <c r="B13192" t="s">
        <v>111</v>
      </c>
      <c r="C13192" s="1">
        <f>HYPERLINK("https://cao.dolgi.msk.ru/account/1011315766/", 1011315766)</f>
        <v>1011315766</v>
      </c>
      <c r="D13192">
        <v>0</v>
      </c>
    </row>
    <row r="13193" spans="1:4" hidden="1" x14ac:dyDescent="0.3">
      <c r="A13193" t="s">
        <v>929</v>
      </c>
      <c r="B13193" t="s">
        <v>113</v>
      </c>
      <c r="C13193" s="1">
        <f>HYPERLINK("https://cao.dolgi.msk.ru/account/1011315838/", 1011315838)</f>
        <v>1011315838</v>
      </c>
      <c r="D13193">
        <v>0</v>
      </c>
    </row>
    <row r="13194" spans="1:4" hidden="1" x14ac:dyDescent="0.3">
      <c r="A13194" t="s">
        <v>929</v>
      </c>
      <c r="B13194" t="s">
        <v>114</v>
      </c>
      <c r="C13194" s="1">
        <f>HYPERLINK("https://cao.dolgi.msk.ru/account/1011315862/", 1011315862)</f>
        <v>1011315862</v>
      </c>
      <c r="D13194">
        <v>-7464.51</v>
      </c>
    </row>
    <row r="13195" spans="1:4" hidden="1" x14ac:dyDescent="0.3">
      <c r="A13195" t="s">
        <v>929</v>
      </c>
      <c r="B13195" t="s">
        <v>115</v>
      </c>
      <c r="C13195" s="1">
        <f>HYPERLINK("https://cao.dolgi.msk.ru/account/1011315782/", 1011315782)</f>
        <v>1011315782</v>
      </c>
      <c r="D13195">
        <v>-1365.22</v>
      </c>
    </row>
    <row r="13196" spans="1:4" hidden="1" x14ac:dyDescent="0.3">
      <c r="A13196" t="s">
        <v>929</v>
      </c>
      <c r="B13196" t="s">
        <v>116</v>
      </c>
      <c r="C13196" s="1">
        <f>HYPERLINK("https://cao.dolgi.msk.ru/account/1011315731/", 1011315731)</f>
        <v>1011315731</v>
      </c>
      <c r="D13196">
        <v>-9417.7900000000009</v>
      </c>
    </row>
    <row r="13197" spans="1:4" hidden="1" x14ac:dyDescent="0.3">
      <c r="A13197" t="s">
        <v>929</v>
      </c>
      <c r="B13197" t="s">
        <v>266</v>
      </c>
      <c r="C13197" s="1">
        <f>HYPERLINK("https://cao.dolgi.msk.ru/account/1011315846/", 1011315846)</f>
        <v>1011315846</v>
      </c>
      <c r="D13197">
        <v>0</v>
      </c>
    </row>
    <row r="13198" spans="1:4" hidden="1" x14ac:dyDescent="0.3">
      <c r="A13198" t="s">
        <v>929</v>
      </c>
      <c r="B13198" t="s">
        <v>117</v>
      </c>
      <c r="C13198" s="1">
        <f>HYPERLINK("https://cao.dolgi.msk.ru/account/1011315758/", 1011315758)</f>
        <v>1011315758</v>
      </c>
      <c r="D13198">
        <v>0</v>
      </c>
    </row>
    <row r="13199" spans="1:4" x14ac:dyDescent="0.3">
      <c r="A13199" t="s">
        <v>929</v>
      </c>
      <c r="B13199" t="s">
        <v>119</v>
      </c>
      <c r="C13199" s="1">
        <f>HYPERLINK("https://cao.dolgi.msk.ru/account/1011315803/", 1011315803)</f>
        <v>1011315803</v>
      </c>
      <c r="D13199">
        <v>51128.639999999999</v>
      </c>
    </row>
    <row r="13200" spans="1:4" hidden="1" x14ac:dyDescent="0.3">
      <c r="A13200" t="s">
        <v>931</v>
      </c>
      <c r="B13200" t="s">
        <v>6</v>
      </c>
      <c r="C13200" s="1">
        <f>HYPERLINK("https://cao.dolgi.msk.ru/account/1010046736/", 1010046736)</f>
        <v>1010046736</v>
      </c>
      <c r="D13200">
        <v>0</v>
      </c>
    </row>
    <row r="13201" spans="1:4" hidden="1" x14ac:dyDescent="0.3">
      <c r="A13201" t="s">
        <v>931</v>
      </c>
      <c r="B13201" t="s">
        <v>28</v>
      </c>
      <c r="C13201" s="1">
        <f>HYPERLINK("https://cao.dolgi.msk.ru/account/1010046744/", 1010046744)</f>
        <v>1010046744</v>
      </c>
      <c r="D13201">
        <v>-5.05</v>
      </c>
    </row>
    <row r="13202" spans="1:4" hidden="1" x14ac:dyDescent="0.3">
      <c r="A13202" t="s">
        <v>931</v>
      </c>
      <c r="B13202" t="s">
        <v>35</v>
      </c>
      <c r="C13202" s="1">
        <f>HYPERLINK("https://cao.dolgi.msk.ru/account/1010046752/", 1010046752)</f>
        <v>1010046752</v>
      </c>
      <c r="D13202">
        <v>-151.21</v>
      </c>
    </row>
    <row r="13203" spans="1:4" hidden="1" x14ac:dyDescent="0.3">
      <c r="A13203" t="s">
        <v>931</v>
      </c>
      <c r="B13203" t="s">
        <v>7</v>
      </c>
      <c r="C13203" s="1">
        <f>HYPERLINK("https://cao.dolgi.msk.ru/account/1010046787/", 1010046787)</f>
        <v>1010046787</v>
      </c>
      <c r="D13203">
        <v>-6373.09</v>
      </c>
    </row>
    <row r="13204" spans="1:4" hidden="1" x14ac:dyDescent="0.3">
      <c r="A13204" t="s">
        <v>931</v>
      </c>
      <c r="B13204" t="s">
        <v>8</v>
      </c>
      <c r="C13204" s="1">
        <f>HYPERLINK("https://cao.dolgi.msk.ru/account/1010046795/", 1010046795)</f>
        <v>1010046795</v>
      </c>
      <c r="D13204">
        <v>0</v>
      </c>
    </row>
    <row r="13205" spans="1:4" hidden="1" x14ac:dyDescent="0.3">
      <c r="A13205" t="s">
        <v>931</v>
      </c>
      <c r="B13205" t="s">
        <v>31</v>
      </c>
      <c r="C13205" s="1">
        <f>HYPERLINK("https://cao.dolgi.msk.ru/account/1010046808/", 1010046808)</f>
        <v>1010046808</v>
      </c>
      <c r="D13205">
        <v>0</v>
      </c>
    </row>
    <row r="13206" spans="1:4" hidden="1" x14ac:dyDescent="0.3">
      <c r="A13206" t="s">
        <v>931</v>
      </c>
      <c r="B13206" t="s">
        <v>9</v>
      </c>
      <c r="C13206" s="1">
        <f>HYPERLINK("https://cao.dolgi.msk.ru/account/1010046816/", 1010046816)</f>
        <v>1010046816</v>
      </c>
      <c r="D13206">
        <v>-3007.74</v>
      </c>
    </row>
    <row r="13207" spans="1:4" hidden="1" x14ac:dyDescent="0.3">
      <c r="A13207" t="s">
        <v>931</v>
      </c>
      <c r="B13207" t="s">
        <v>9</v>
      </c>
      <c r="C13207" s="1">
        <f>HYPERLINK("https://cao.dolgi.msk.ru/account/1019022829/", 1019022829)</f>
        <v>1019022829</v>
      </c>
      <c r="D13207">
        <v>-12356.63</v>
      </c>
    </row>
    <row r="13208" spans="1:4" hidden="1" x14ac:dyDescent="0.3">
      <c r="A13208" t="s">
        <v>931</v>
      </c>
      <c r="B13208" t="s">
        <v>10</v>
      </c>
      <c r="C13208" s="1">
        <f>HYPERLINK("https://cao.dolgi.msk.ru/account/1010046824/", 1010046824)</f>
        <v>1010046824</v>
      </c>
      <c r="D13208">
        <v>0</v>
      </c>
    </row>
    <row r="13209" spans="1:4" hidden="1" x14ac:dyDescent="0.3">
      <c r="A13209" t="s">
        <v>931</v>
      </c>
      <c r="B13209" t="s">
        <v>11</v>
      </c>
      <c r="C13209" s="1">
        <f>HYPERLINK("https://cao.dolgi.msk.ru/account/1010046832/", 1010046832)</f>
        <v>1010046832</v>
      </c>
      <c r="D13209">
        <v>-31.72</v>
      </c>
    </row>
    <row r="13210" spans="1:4" hidden="1" x14ac:dyDescent="0.3">
      <c r="A13210" t="s">
        <v>931</v>
      </c>
      <c r="B13210" t="s">
        <v>12</v>
      </c>
      <c r="C13210" s="1">
        <f>HYPERLINK("https://cao.dolgi.msk.ru/account/1010046859/", 1010046859)</f>
        <v>1010046859</v>
      </c>
      <c r="D13210">
        <v>-8773.5300000000007</v>
      </c>
    </row>
    <row r="13211" spans="1:4" hidden="1" x14ac:dyDescent="0.3">
      <c r="A13211" t="s">
        <v>931</v>
      </c>
      <c r="B13211" t="s">
        <v>23</v>
      </c>
      <c r="C13211" s="1">
        <f>HYPERLINK("https://cao.dolgi.msk.ru/account/1010046867/", 1010046867)</f>
        <v>1010046867</v>
      </c>
      <c r="D13211">
        <v>-1385.81</v>
      </c>
    </row>
    <row r="13212" spans="1:4" hidden="1" x14ac:dyDescent="0.3">
      <c r="A13212" t="s">
        <v>931</v>
      </c>
      <c r="B13212" t="s">
        <v>13</v>
      </c>
      <c r="C13212" s="1">
        <f>HYPERLINK("https://cao.dolgi.msk.ru/account/1010046875/", 1010046875)</f>
        <v>1010046875</v>
      </c>
      <c r="D13212">
        <v>-28</v>
      </c>
    </row>
    <row r="13213" spans="1:4" hidden="1" x14ac:dyDescent="0.3">
      <c r="A13213" t="s">
        <v>931</v>
      </c>
      <c r="B13213" t="s">
        <v>14</v>
      </c>
      <c r="C13213" s="1">
        <f>HYPERLINK("https://cao.dolgi.msk.ru/account/1010046883/", 1010046883)</f>
        <v>1010046883</v>
      </c>
      <c r="D13213">
        <v>0</v>
      </c>
    </row>
    <row r="13214" spans="1:4" hidden="1" x14ac:dyDescent="0.3">
      <c r="A13214" t="s">
        <v>931</v>
      </c>
      <c r="B13214" t="s">
        <v>16</v>
      </c>
      <c r="C13214" s="1">
        <f>HYPERLINK("https://cao.dolgi.msk.ru/account/1010046891/", 1010046891)</f>
        <v>1010046891</v>
      </c>
      <c r="D13214">
        <v>-105</v>
      </c>
    </row>
    <row r="13215" spans="1:4" hidden="1" x14ac:dyDescent="0.3">
      <c r="A13215" t="s">
        <v>931</v>
      </c>
      <c r="B13215" t="s">
        <v>17</v>
      </c>
      <c r="C13215" s="1">
        <f>HYPERLINK("https://cao.dolgi.msk.ru/account/1010046904/", 1010046904)</f>
        <v>1010046904</v>
      </c>
      <c r="D13215">
        <v>0</v>
      </c>
    </row>
    <row r="13216" spans="1:4" hidden="1" x14ac:dyDescent="0.3">
      <c r="A13216" t="s">
        <v>932</v>
      </c>
      <c r="B13216" t="s">
        <v>11</v>
      </c>
      <c r="C13216" s="1">
        <f>HYPERLINK("https://cao.dolgi.msk.ru/account/1011407433/", 1011407433)</f>
        <v>1011407433</v>
      </c>
      <c r="D13216">
        <v>-10460.049999999999</v>
      </c>
    </row>
    <row r="13217" spans="1:4" hidden="1" x14ac:dyDescent="0.3">
      <c r="A13217" t="s">
        <v>932</v>
      </c>
      <c r="B13217" t="s">
        <v>11</v>
      </c>
      <c r="C13217" s="1">
        <f>HYPERLINK("https://cao.dolgi.msk.ru/account/1011407468/", 1011407468)</f>
        <v>1011407468</v>
      </c>
      <c r="D13217">
        <v>0</v>
      </c>
    </row>
    <row r="13218" spans="1:4" x14ac:dyDescent="0.3">
      <c r="A13218" t="s">
        <v>932</v>
      </c>
      <c r="B13218" t="s">
        <v>12</v>
      </c>
      <c r="C13218" s="1">
        <f>HYPERLINK("https://cao.dolgi.msk.ru/account/1011407513/", 1011407513)</f>
        <v>1011407513</v>
      </c>
      <c r="D13218">
        <v>14949.51</v>
      </c>
    </row>
    <row r="13219" spans="1:4" x14ac:dyDescent="0.3">
      <c r="A13219" t="s">
        <v>932</v>
      </c>
      <c r="B13219" t="s">
        <v>13</v>
      </c>
      <c r="C13219" s="1">
        <f>HYPERLINK("https://cao.dolgi.msk.ru/account/1011534475/", 1011534475)</f>
        <v>1011534475</v>
      </c>
      <c r="D13219">
        <v>116343.96</v>
      </c>
    </row>
    <row r="13220" spans="1:4" hidden="1" x14ac:dyDescent="0.3">
      <c r="A13220" t="s">
        <v>932</v>
      </c>
      <c r="B13220" t="s">
        <v>933</v>
      </c>
      <c r="C13220" s="1">
        <f>HYPERLINK("https://cao.dolgi.msk.ru/account/1011508058/", 1011508058)</f>
        <v>1011508058</v>
      </c>
      <c r="D13220">
        <v>-4392.49</v>
      </c>
    </row>
    <row r="13221" spans="1:4" hidden="1" x14ac:dyDescent="0.3">
      <c r="A13221" t="s">
        <v>932</v>
      </c>
      <c r="B13221" t="s">
        <v>934</v>
      </c>
      <c r="C13221" s="1">
        <f>HYPERLINK("https://cao.dolgi.msk.ru/account/1011507776/", 1011507776)</f>
        <v>1011507776</v>
      </c>
      <c r="D13221">
        <v>-2911.82</v>
      </c>
    </row>
    <row r="13222" spans="1:4" hidden="1" x14ac:dyDescent="0.3">
      <c r="A13222" t="s">
        <v>932</v>
      </c>
      <c r="B13222" t="s">
        <v>935</v>
      </c>
      <c r="C13222" s="1">
        <f>HYPERLINK("https://cao.dolgi.msk.ru/account/1011507856/", 1011507856)</f>
        <v>1011507856</v>
      </c>
      <c r="D13222">
        <v>-4185.22</v>
      </c>
    </row>
    <row r="13223" spans="1:4" hidden="1" x14ac:dyDescent="0.3">
      <c r="A13223" t="s">
        <v>932</v>
      </c>
      <c r="B13223" t="s">
        <v>936</v>
      </c>
      <c r="C13223" s="1">
        <f>HYPERLINK("https://cao.dolgi.msk.ru/account/1011507864/", 1011507864)</f>
        <v>1011507864</v>
      </c>
      <c r="D13223">
        <v>-2399.87</v>
      </c>
    </row>
    <row r="13224" spans="1:4" hidden="1" x14ac:dyDescent="0.3">
      <c r="A13224" t="s">
        <v>932</v>
      </c>
      <c r="B13224" t="s">
        <v>24</v>
      </c>
      <c r="C13224" s="1">
        <f>HYPERLINK("https://cao.dolgi.msk.ru/account/1011407441/", 1011407441)</f>
        <v>1011407441</v>
      </c>
      <c r="D13224">
        <v>0</v>
      </c>
    </row>
    <row r="13225" spans="1:4" x14ac:dyDescent="0.3">
      <c r="A13225" t="s">
        <v>932</v>
      </c>
      <c r="B13225" t="s">
        <v>584</v>
      </c>
      <c r="C13225" s="1">
        <f>HYPERLINK("https://cao.dolgi.msk.ru/account/1011407425/", 1011407425)</f>
        <v>1011407425</v>
      </c>
      <c r="D13225">
        <v>266302.05</v>
      </c>
    </row>
    <row r="13226" spans="1:4" hidden="1" x14ac:dyDescent="0.3">
      <c r="A13226" t="s">
        <v>932</v>
      </c>
      <c r="B13226" t="s">
        <v>25</v>
      </c>
      <c r="C13226" s="1">
        <f>HYPERLINK("https://cao.dolgi.msk.ru/account/1011407484/", 1011407484)</f>
        <v>1011407484</v>
      </c>
      <c r="D13226">
        <v>-15968.98</v>
      </c>
    </row>
    <row r="13227" spans="1:4" x14ac:dyDescent="0.3">
      <c r="A13227" t="s">
        <v>932</v>
      </c>
      <c r="B13227" t="s">
        <v>26</v>
      </c>
      <c r="C13227" s="1">
        <f>HYPERLINK("https://cao.dolgi.msk.ru/account/1011407476/", 1011407476)</f>
        <v>1011407476</v>
      </c>
      <c r="D13227">
        <v>21971.29</v>
      </c>
    </row>
    <row r="13228" spans="1:4" hidden="1" x14ac:dyDescent="0.3">
      <c r="A13228" t="s">
        <v>937</v>
      </c>
      <c r="B13228" t="s">
        <v>6</v>
      </c>
      <c r="C13228" s="1">
        <f>HYPERLINK("https://cao.dolgi.msk.ru/account/1011408655/", 1011408655)</f>
        <v>1011408655</v>
      </c>
      <c r="D13228">
        <v>0</v>
      </c>
    </row>
    <row r="13229" spans="1:4" hidden="1" x14ac:dyDescent="0.3">
      <c r="A13229" t="s">
        <v>937</v>
      </c>
      <c r="B13229" t="s">
        <v>28</v>
      </c>
      <c r="C13229" s="1">
        <f>HYPERLINK("https://cao.dolgi.msk.ru/account/1011407636/", 1011407636)</f>
        <v>1011407636</v>
      </c>
      <c r="D13229">
        <v>-40.53</v>
      </c>
    </row>
    <row r="13230" spans="1:4" hidden="1" x14ac:dyDescent="0.3">
      <c r="A13230" t="s">
        <v>937</v>
      </c>
      <c r="B13230" t="s">
        <v>35</v>
      </c>
      <c r="C13230" s="1">
        <f>HYPERLINK("https://cao.dolgi.msk.ru/account/1011408612/", 1011408612)</f>
        <v>1011408612</v>
      </c>
      <c r="D13230">
        <v>0</v>
      </c>
    </row>
    <row r="13231" spans="1:4" hidden="1" x14ac:dyDescent="0.3">
      <c r="A13231" t="s">
        <v>937</v>
      </c>
      <c r="B13231" t="s">
        <v>5</v>
      </c>
      <c r="C13231" s="1">
        <f>HYPERLINK("https://cao.dolgi.msk.ru/account/1011407521/", 1011407521)</f>
        <v>1011407521</v>
      </c>
      <c r="D13231">
        <v>0</v>
      </c>
    </row>
    <row r="13232" spans="1:4" hidden="1" x14ac:dyDescent="0.3">
      <c r="A13232" t="s">
        <v>937</v>
      </c>
      <c r="B13232" t="s">
        <v>7</v>
      </c>
      <c r="C13232" s="1">
        <f>HYPERLINK("https://cao.dolgi.msk.ru/account/1011408479/", 1011408479)</f>
        <v>1011408479</v>
      </c>
      <c r="D13232">
        <v>0</v>
      </c>
    </row>
    <row r="13233" spans="1:4" hidden="1" x14ac:dyDescent="0.3">
      <c r="A13233" t="s">
        <v>937</v>
      </c>
      <c r="B13233" t="s">
        <v>8</v>
      </c>
      <c r="C13233" s="1">
        <f>HYPERLINK("https://cao.dolgi.msk.ru/account/1011408129/", 1011408129)</f>
        <v>1011408129</v>
      </c>
      <c r="D13233">
        <v>0</v>
      </c>
    </row>
    <row r="13234" spans="1:4" hidden="1" x14ac:dyDescent="0.3">
      <c r="A13234" t="s">
        <v>937</v>
      </c>
      <c r="B13234" t="s">
        <v>31</v>
      </c>
      <c r="C13234" s="1">
        <f>HYPERLINK("https://cao.dolgi.msk.ru/account/1011408137/", 1011408137)</f>
        <v>1011408137</v>
      </c>
      <c r="D13234">
        <v>0</v>
      </c>
    </row>
    <row r="13235" spans="1:4" hidden="1" x14ac:dyDescent="0.3">
      <c r="A13235" t="s">
        <v>937</v>
      </c>
      <c r="B13235" t="s">
        <v>9</v>
      </c>
      <c r="C13235" s="1">
        <f>HYPERLINK("https://cao.dolgi.msk.ru/account/1011408727/", 1011408727)</f>
        <v>1011408727</v>
      </c>
      <c r="D13235">
        <v>0</v>
      </c>
    </row>
    <row r="13236" spans="1:4" hidden="1" x14ac:dyDescent="0.3">
      <c r="A13236" t="s">
        <v>937</v>
      </c>
      <c r="B13236" t="s">
        <v>10</v>
      </c>
      <c r="C13236" s="1">
        <f>HYPERLINK("https://cao.dolgi.msk.ru/account/1011408698/", 1011408698)</f>
        <v>1011408698</v>
      </c>
      <c r="D13236">
        <v>0</v>
      </c>
    </row>
    <row r="13237" spans="1:4" hidden="1" x14ac:dyDescent="0.3">
      <c r="A13237" t="s">
        <v>937</v>
      </c>
      <c r="B13237" t="s">
        <v>11</v>
      </c>
      <c r="C13237" s="1">
        <f>HYPERLINK("https://cao.dolgi.msk.ru/account/1011408153/", 1011408153)</f>
        <v>1011408153</v>
      </c>
      <c r="D13237">
        <v>0</v>
      </c>
    </row>
    <row r="13238" spans="1:4" hidden="1" x14ac:dyDescent="0.3">
      <c r="A13238" t="s">
        <v>937</v>
      </c>
      <c r="B13238" t="s">
        <v>12</v>
      </c>
      <c r="C13238" s="1">
        <f>HYPERLINK("https://cao.dolgi.msk.ru/account/1011408233/", 1011408233)</f>
        <v>1011408233</v>
      </c>
      <c r="D13238">
        <v>-6853.8</v>
      </c>
    </row>
    <row r="13239" spans="1:4" hidden="1" x14ac:dyDescent="0.3">
      <c r="A13239" t="s">
        <v>937</v>
      </c>
      <c r="B13239" t="s">
        <v>23</v>
      </c>
      <c r="C13239" s="1">
        <f>HYPERLINK("https://cao.dolgi.msk.ru/account/1011407564/", 1011407564)</f>
        <v>1011407564</v>
      </c>
      <c r="D13239">
        <v>0</v>
      </c>
    </row>
    <row r="13240" spans="1:4" hidden="1" x14ac:dyDescent="0.3">
      <c r="A13240" t="s">
        <v>937</v>
      </c>
      <c r="B13240" t="s">
        <v>13</v>
      </c>
      <c r="C13240" s="1">
        <f>HYPERLINK("https://cao.dolgi.msk.ru/account/1011408284/", 1011408284)</f>
        <v>1011408284</v>
      </c>
      <c r="D13240">
        <v>0</v>
      </c>
    </row>
    <row r="13241" spans="1:4" hidden="1" x14ac:dyDescent="0.3">
      <c r="A13241" t="s">
        <v>937</v>
      </c>
      <c r="B13241" t="s">
        <v>14</v>
      </c>
      <c r="C13241" s="1">
        <f>HYPERLINK("https://cao.dolgi.msk.ru/account/1011408735/", 1011408735)</f>
        <v>1011408735</v>
      </c>
      <c r="D13241">
        <v>0</v>
      </c>
    </row>
    <row r="13242" spans="1:4" hidden="1" x14ac:dyDescent="0.3">
      <c r="A13242" t="s">
        <v>937</v>
      </c>
      <c r="B13242" t="s">
        <v>16</v>
      </c>
      <c r="C13242" s="1">
        <f>HYPERLINK("https://cao.dolgi.msk.ru/account/1011408305/", 1011408305)</f>
        <v>1011408305</v>
      </c>
      <c r="D13242">
        <v>-5617.35</v>
      </c>
    </row>
    <row r="13243" spans="1:4" x14ac:dyDescent="0.3">
      <c r="A13243" t="s">
        <v>937</v>
      </c>
      <c r="B13243" t="s">
        <v>17</v>
      </c>
      <c r="C13243" s="1">
        <f>HYPERLINK("https://cao.dolgi.msk.ru/account/1011407855/", 1011407855)</f>
        <v>1011407855</v>
      </c>
      <c r="D13243">
        <v>361</v>
      </c>
    </row>
    <row r="13244" spans="1:4" hidden="1" x14ac:dyDescent="0.3">
      <c r="A13244" t="s">
        <v>937</v>
      </c>
      <c r="B13244" t="s">
        <v>18</v>
      </c>
      <c r="C13244" s="1">
        <f>HYPERLINK("https://cao.dolgi.msk.ru/account/1011408639/", 1011408639)</f>
        <v>1011408639</v>
      </c>
      <c r="D13244">
        <v>-12808.35</v>
      </c>
    </row>
    <row r="13245" spans="1:4" x14ac:dyDescent="0.3">
      <c r="A13245" t="s">
        <v>937</v>
      </c>
      <c r="B13245" t="s">
        <v>19</v>
      </c>
      <c r="C13245" s="1">
        <f>HYPERLINK("https://cao.dolgi.msk.ru/account/1011408663/", 1011408663)</f>
        <v>1011408663</v>
      </c>
      <c r="D13245">
        <v>36342.11</v>
      </c>
    </row>
    <row r="13246" spans="1:4" x14ac:dyDescent="0.3">
      <c r="A13246" t="s">
        <v>937</v>
      </c>
      <c r="B13246" t="s">
        <v>20</v>
      </c>
      <c r="C13246" s="1">
        <f>HYPERLINK("https://cao.dolgi.msk.ru/account/1011408313/", 1011408313)</f>
        <v>1011408313</v>
      </c>
      <c r="D13246">
        <v>17302.3</v>
      </c>
    </row>
    <row r="13247" spans="1:4" hidden="1" x14ac:dyDescent="0.3">
      <c r="A13247" t="s">
        <v>937</v>
      </c>
      <c r="B13247" t="s">
        <v>21</v>
      </c>
      <c r="C13247" s="1">
        <f>HYPERLINK("https://cao.dolgi.msk.ru/account/1011407572/", 1011407572)</f>
        <v>1011407572</v>
      </c>
      <c r="D13247">
        <v>-74.17</v>
      </c>
    </row>
    <row r="13248" spans="1:4" x14ac:dyDescent="0.3">
      <c r="A13248" t="s">
        <v>937</v>
      </c>
      <c r="B13248" t="s">
        <v>22</v>
      </c>
      <c r="C13248" s="1">
        <f>HYPERLINK("https://cao.dolgi.msk.ru/account/1011407695/", 1011407695)</f>
        <v>1011407695</v>
      </c>
      <c r="D13248">
        <v>11661.41</v>
      </c>
    </row>
    <row r="13249" spans="1:4" hidden="1" x14ac:dyDescent="0.3">
      <c r="A13249" t="s">
        <v>937</v>
      </c>
      <c r="B13249" t="s">
        <v>24</v>
      </c>
      <c r="C13249" s="1">
        <f>HYPERLINK("https://cao.dolgi.msk.ru/account/1011408516/", 1011408516)</f>
        <v>1011408516</v>
      </c>
      <c r="D13249">
        <v>-520.89</v>
      </c>
    </row>
    <row r="13250" spans="1:4" hidden="1" x14ac:dyDescent="0.3">
      <c r="A13250" t="s">
        <v>937</v>
      </c>
      <c r="B13250" t="s">
        <v>25</v>
      </c>
      <c r="C13250" s="1">
        <f>HYPERLINK("https://cao.dolgi.msk.ru/account/1011408356/", 1011408356)</f>
        <v>1011408356</v>
      </c>
      <c r="D13250">
        <v>0</v>
      </c>
    </row>
    <row r="13251" spans="1:4" hidden="1" x14ac:dyDescent="0.3">
      <c r="A13251" t="s">
        <v>937</v>
      </c>
      <c r="B13251" t="s">
        <v>25</v>
      </c>
      <c r="C13251" s="1">
        <f>HYPERLINK("https://cao.dolgi.msk.ru/account/1011408591/", 1011408591)</f>
        <v>1011408591</v>
      </c>
      <c r="D13251">
        <v>0</v>
      </c>
    </row>
    <row r="13252" spans="1:4" x14ac:dyDescent="0.3">
      <c r="A13252" t="s">
        <v>937</v>
      </c>
      <c r="B13252" t="s">
        <v>26</v>
      </c>
      <c r="C13252" s="1">
        <f>HYPERLINK("https://cao.dolgi.msk.ru/account/1011408065/", 1011408065)</f>
        <v>1011408065</v>
      </c>
      <c r="D13252">
        <v>26753.439999999999</v>
      </c>
    </row>
    <row r="13253" spans="1:4" hidden="1" x14ac:dyDescent="0.3">
      <c r="A13253" t="s">
        <v>937</v>
      </c>
      <c r="B13253" t="s">
        <v>27</v>
      </c>
      <c r="C13253" s="1">
        <f>HYPERLINK("https://cao.dolgi.msk.ru/account/1011408401/", 1011408401)</f>
        <v>1011408401</v>
      </c>
      <c r="D13253">
        <v>0</v>
      </c>
    </row>
    <row r="13254" spans="1:4" hidden="1" x14ac:dyDescent="0.3">
      <c r="A13254" t="s">
        <v>937</v>
      </c>
      <c r="B13254" t="s">
        <v>29</v>
      </c>
      <c r="C13254" s="1">
        <f>HYPERLINK("https://cao.dolgi.msk.ru/account/1011407599/", 1011407599)</f>
        <v>1011407599</v>
      </c>
      <c r="D13254">
        <v>0</v>
      </c>
    </row>
    <row r="13255" spans="1:4" hidden="1" x14ac:dyDescent="0.3">
      <c r="A13255" t="s">
        <v>937</v>
      </c>
      <c r="B13255" t="s">
        <v>38</v>
      </c>
      <c r="C13255" s="1">
        <f>HYPERLINK("https://cao.dolgi.msk.ru/account/1011407724/", 1011407724)</f>
        <v>1011407724</v>
      </c>
      <c r="D13255">
        <v>-6954.35</v>
      </c>
    </row>
    <row r="13256" spans="1:4" hidden="1" x14ac:dyDescent="0.3">
      <c r="A13256" t="s">
        <v>937</v>
      </c>
      <c r="B13256" t="s">
        <v>39</v>
      </c>
      <c r="C13256" s="1">
        <f>HYPERLINK("https://cao.dolgi.msk.ru/account/1011408532/", 1011408532)</f>
        <v>1011408532</v>
      </c>
      <c r="D13256">
        <v>0</v>
      </c>
    </row>
    <row r="13257" spans="1:4" x14ac:dyDescent="0.3">
      <c r="A13257" t="s">
        <v>937</v>
      </c>
      <c r="B13257" t="s">
        <v>40</v>
      </c>
      <c r="C13257" s="1">
        <f>HYPERLINK("https://cao.dolgi.msk.ru/account/1011408268/", 1011408268)</f>
        <v>1011408268</v>
      </c>
      <c r="D13257">
        <v>60565.46</v>
      </c>
    </row>
    <row r="13258" spans="1:4" x14ac:dyDescent="0.3">
      <c r="A13258" t="s">
        <v>937</v>
      </c>
      <c r="B13258" t="s">
        <v>41</v>
      </c>
      <c r="C13258" s="1">
        <f>HYPERLINK("https://cao.dolgi.msk.ru/account/1011408428/", 1011408428)</f>
        <v>1011408428</v>
      </c>
      <c r="D13258">
        <v>11327.95</v>
      </c>
    </row>
    <row r="13259" spans="1:4" hidden="1" x14ac:dyDescent="0.3">
      <c r="A13259" t="s">
        <v>937</v>
      </c>
      <c r="B13259" t="s">
        <v>51</v>
      </c>
      <c r="C13259" s="1">
        <f>HYPERLINK("https://cao.dolgi.msk.ru/account/1011408647/", 1011408647)</f>
        <v>1011408647</v>
      </c>
      <c r="D13259">
        <v>0</v>
      </c>
    </row>
    <row r="13260" spans="1:4" hidden="1" x14ac:dyDescent="0.3">
      <c r="A13260" t="s">
        <v>937</v>
      </c>
      <c r="B13260" t="s">
        <v>52</v>
      </c>
      <c r="C13260" s="1">
        <f>HYPERLINK("https://cao.dolgi.msk.ru/account/1011408073/", 1011408073)</f>
        <v>1011408073</v>
      </c>
      <c r="D13260">
        <v>0</v>
      </c>
    </row>
    <row r="13261" spans="1:4" hidden="1" x14ac:dyDescent="0.3">
      <c r="A13261" t="s">
        <v>937</v>
      </c>
      <c r="B13261" t="s">
        <v>53</v>
      </c>
      <c r="C13261" s="1">
        <f>HYPERLINK("https://cao.dolgi.msk.ru/account/1011408292/", 1011408292)</f>
        <v>1011408292</v>
      </c>
      <c r="D13261">
        <v>0</v>
      </c>
    </row>
    <row r="13262" spans="1:4" hidden="1" x14ac:dyDescent="0.3">
      <c r="A13262" t="s">
        <v>937</v>
      </c>
      <c r="B13262" t="s">
        <v>938</v>
      </c>
      <c r="C13262" s="1">
        <f>HYPERLINK("https://cao.dolgi.msk.ru/account/1011407644/", 1011407644)</f>
        <v>1011407644</v>
      </c>
      <c r="D13262">
        <v>-846.67</v>
      </c>
    </row>
    <row r="13263" spans="1:4" x14ac:dyDescent="0.3">
      <c r="A13263" t="s">
        <v>937</v>
      </c>
      <c r="B13263" t="s">
        <v>54</v>
      </c>
      <c r="C13263" s="1">
        <f>HYPERLINK("https://cao.dolgi.msk.ru/account/1011407812/", 1011407812)</f>
        <v>1011407812</v>
      </c>
      <c r="D13263">
        <v>5382.8</v>
      </c>
    </row>
    <row r="13264" spans="1:4" x14ac:dyDescent="0.3">
      <c r="A13264" t="s">
        <v>937</v>
      </c>
      <c r="B13264" t="s">
        <v>55</v>
      </c>
      <c r="C13264" s="1">
        <f>HYPERLINK("https://cao.dolgi.msk.ru/account/1011408743/", 1011408743)</f>
        <v>1011408743</v>
      </c>
      <c r="D13264">
        <v>948.61</v>
      </c>
    </row>
    <row r="13265" spans="1:4" hidden="1" x14ac:dyDescent="0.3">
      <c r="A13265" t="s">
        <v>937</v>
      </c>
      <c r="B13265" t="s">
        <v>56</v>
      </c>
      <c r="C13265" s="1">
        <f>HYPERLINK("https://cao.dolgi.msk.ru/account/1011407839/", 1011407839)</f>
        <v>1011407839</v>
      </c>
      <c r="D13265">
        <v>-1245.31</v>
      </c>
    </row>
    <row r="13266" spans="1:4" hidden="1" x14ac:dyDescent="0.3">
      <c r="A13266" t="s">
        <v>937</v>
      </c>
      <c r="B13266" t="s">
        <v>87</v>
      </c>
      <c r="C13266" s="1">
        <f>HYPERLINK("https://cao.dolgi.msk.ru/account/1011408321/", 1011408321)</f>
        <v>1011408321</v>
      </c>
      <c r="D13266">
        <v>0</v>
      </c>
    </row>
    <row r="13267" spans="1:4" x14ac:dyDescent="0.3">
      <c r="A13267" t="s">
        <v>937</v>
      </c>
      <c r="B13267" t="s">
        <v>88</v>
      </c>
      <c r="C13267" s="1">
        <f>HYPERLINK("https://cao.dolgi.msk.ru/account/1011408006/", 1011408006)</f>
        <v>1011408006</v>
      </c>
      <c r="D13267">
        <v>12547.78</v>
      </c>
    </row>
    <row r="13268" spans="1:4" hidden="1" x14ac:dyDescent="0.3">
      <c r="A13268" t="s">
        <v>937</v>
      </c>
      <c r="B13268" t="s">
        <v>89</v>
      </c>
      <c r="C13268" s="1">
        <f>HYPERLINK("https://cao.dolgi.msk.ru/account/1011407548/", 1011407548)</f>
        <v>1011407548</v>
      </c>
      <c r="D13268">
        <v>0</v>
      </c>
    </row>
    <row r="13269" spans="1:4" hidden="1" x14ac:dyDescent="0.3">
      <c r="A13269" t="s">
        <v>937</v>
      </c>
      <c r="B13269" t="s">
        <v>90</v>
      </c>
      <c r="C13269" s="1">
        <f>HYPERLINK("https://cao.dolgi.msk.ru/account/1011407847/", 1011407847)</f>
        <v>1011407847</v>
      </c>
      <c r="D13269">
        <v>-490</v>
      </c>
    </row>
    <row r="13270" spans="1:4" x14ac:dyDescent="0.3">
      <c r="A13270" t="s">
        <v>937</v>
      </c>
      <c r="B13270" t="s">
        <v>96</v>
      </c>
      <c r="C13270" s="1">
        <f>HYPERLINK("https://cao.dolgi.msk.ru/account/1011407994/", 1011407994)</f>
        <v>1011407994</v>
      </c>
      <c r="D13270">
        <v>47092.32</v>
      </c>
    </row>
    <row r="13271" spans="1:4" hidden="1" x14ac:dyDescent="0.3">
      <c r="A13271" t="s">
        <v>937</v>
      </c>
      <c r="B13271" t="s">
        <v>97</v>
      </c>
      <c r="C13271" s="1">
        <f>HYPERLINK("https://cao.dolgi.msk.ru/account/1011408081/", 1011408081)</f>
        <v>1011408081</v>
      </c>
      <c r="D13271">
        <v>0</v>
      </c>
    </row>
    <row r="13272" spans="1:4" hidden="1" x14ac:dyDescent="0.3">
      <c r="A13272" t="s">
        <v>937</v>
      </c>
      <c r="B13272" t="s">
        <v>98</v>
      </c>
      <c r="C13272" s="1">
        <f>HYPERLINK("https://cao.dolgi.msk.ru/account/1011407652/", 1011407652)</f>
        <v>1011407652</v>
      </c>
      <c r="D13272">
        <v>-4873.33</v>
      </c>
    </row>
    <row r="13273" spans="1:4" hidden="1" x14ac:dyDescent="0.3">
      <c r="A13273" t="s">
        <v>937</v>
      </c>
      <c r="B13273" t="s">
        <v>58</v>
      </c>
      <c r="C13273" s="1">
        <f>HYPERLINK("https://cao.dolgi.msk.ru/account/1011407767/", 1011407767)</f>
        <v>1011407767</v>
      </c>
      <c r="D13273">
        <v>0</v>
      </c>
    </row>
    <row r="13274" spans="1:4" hidden="1" x14ac:dyDescent="0.3">
      <c r="A13274" t="s">
        <v>937</v>
      </c>
      <c r="B13274" t="s">
        <v>59</v>
      </c>
      <c r="C13274" s="1">
        <f>HYPERLINK("https://cao.dolgi.msk.ru/account/1011408145/", 1011408145)</f>
        <v>1011408145</v>
      </c>
      <c r="D13274">
        <v>0</v>
      </c>
    </row>
    <row r="13275" spans="1:4" x14ac:dyDescent="0.3">
      <c r="A13275" t="s">
        <v>937</v>
      </c>
      <c r="B13275" t="s">
        <v>60</v>
      </c>
      <c r="C13275" s="1">
        <f>HYPERLINK("https://cao.dolgi.msk.ru/account/1011407687/", 1011407687)</f>
        <v>1011407687</v>
      </c>
      <c r="D13275">
        <v>40329.08</v>
      </c>
    </row>
    <row r="13276" spans="1:4" hidden="1" x14ac:dyDescent="0.3">
      <c r="A13276" t="s">
        <v>937</v>
      </c>
      <c r="B13276" t="s">
        <v>60</v>
      </c>
      <c r="C13276" s="1">
        <f>HYPERLINK("https://cao.dolgi.msk.ru/account/1011407759/", 1011407759)</f>
        <v>1011407759</v>
      </c>
      <c r="D13276">
        <v>0</v>
      </c>
    </row>
    <row r="13277" spans="1:4" hidden="1" x14ac:dyDescent="0.3">
      <c r="A13277" t="s">
        <v>937</v>
      </c>
      <c r="B13277" t="s">
        <v>60</v>
      </c>
      <c r="C13277" s="1">
        <f>HYPERLINK("https://cao.dolgi.msk.ru/account/1011407986/", 1011407986)</f>
        <v>1011407986</v>
      </c>
      <c r="D13277">
        <v>0</v>
      </c>
    </row>
    <row r="13278" spans="1:4" hidden="1" x14ac:dyDescent="0.3">
      <c r="A13278" t="s">
        <v>937</v>
      </c>
      <c r="B13278" t="s">
        <v>60</v>
      </c>
      <c r="C13278" s="1">
        <f>HYPERLINK("https://cao.dolgi.msk.ru/account/1011408022/", 1011408022)</f>
        <v>1011408022</v>
      </c>
      <c r="D13278">
        <v>-4489.5</v>
      </c>
    </row>
    <row r="13279" spans="1:4" hidden="1" x14ac:dyDescent="0.3">
      <c r="A13279" t="s">
        <v>937</v>
      </c>
      <c r="B13279" t="s">
        <v>61</v>
      </c>
      <c r="C13279" s="1">
        <f>HYPERLINK("https://cao.dolgi.msk.ru/account/1011407863/", 1011407863)</f>
        <v>1011407863</v>
      </c>
      <c r="D13279">
        <v>-7489.29</v>
      </c>
    </row>
    <row r="13280" spans="1:4" hidden="1" x14ac:dyDescent="0.3">
      <c r="A13280" t="s">
        <v>937</v>
      </c>
      <c r="B13280" t="s">
        <v>62</v>
      </c>
      <c r="C13280" s="1">
        <f>HYPERLINK("https://cao.dolgi.msk.ru/account/1011407898/", 1011407898)</f>
        <v>1011407898</v>
      </c>
      <c r="D13280">
        <v>0</v>
      </c>
    </row>
    <row r="13281" spans="1:4" hidden="1" x14ac:dyDescent="0.3">
      <c r="A13281" t="s">
        <v>937</v>
      </c>
      <c r="B13281" t="s">
        <v>63</v>
      </c>
      <c r="C13281" s="1">
        <f>HYPERLINK("https://cao.dolgi.msk.ru/account/1011407978/", 1011407978)</f>
        <v>1011407978</v>
      </c>
      <c r="D13281">
        <v>0</v>
      </c>
    </row>
    <row r="13282" spans="1:4" hidden="1" x14ac:dyDescent="0.3">
      <c r="A13282" t="s">
        <v>937</v>
      </c>
      <c r="B13282" t="s">
        <v>64</v>
      </c>
      <c r="C13282" s="1">
        <f>HYPERLINK("https://cao.dolgi.msk.ru/account/1011408487/", 1011408487)</f>
        <v>1011408487</v>
      </c>
      <c r="D13282">
        <v>-30345.23</v>
      </c>
    </row>
    <row r="13283" spans="1:4" hidden="1" x14ac:dyDescent="0.3">
      <c r="A13283" t="s">
        <v>937</v>
      </c>
      <c r="B13283" t="s">
        <v>65</v>
      </c>
      <c r="C13283" s="1">
        <f>HYPERLINK("https://cao.dolgi.msk.ru/account/1011407871/", 1011407871)</f>
        <v>1011407871</v>
      </c>
      <c r="D13283">
        <v>-1566.1</v>
      </c>
    </row>
    <row r="13284" spans="1:4" hidden="1" x14ac:dyDescent="0.3">
      <c r="A13284" t="s">
        <v>937</v>
      </c>
      <c r="B13284" t="s">
        <v>66</v>
      </c>
      <c r="C13284" s="1">
        <f>HYPERLINK("https://cao.dolgi.msk.ru/account/1011408495/", 1011408495)</f>
        <v>1011408495</v>
      </c>
      <c r="D13284">
        <v>-3828.6</v>
      </c>
    </row>
    <row r="13285" spans="1:4" x14ac:dyDescent="0.3">
      <c r="A13285" t="s">
        <v>937</v>
      </c>
      <c r="B13285" t="s">
        <v>67</v>
      </c>
      <c r="C13285" s="1">
        <f>HYPERLINK("https://cao.dolgi.msk.ru/account/1011407708/", 1011407708)</f>
        <v>1011407708</v>
      </c>
      <c r="D13285">
        <v>13076.09</v>
      </c>
    </row>
    <row r="13286" spans="1:4" hidden="1" x14ac:dyDescent="0.3">
      <c r="A13286" t="s">
        <v>937</v>
      </c>
      <c r="B13286" t="s">
        <v>68</v>
      </c>
      <c r="C13286" s="1">
        <f>HYPERLINK("https://cao.dolgi.msk.ru/account/1011407775/", 1011407775)</f>
        <v>1011407775</v>
      </c>
      <c r="D13286">
        <v>0</v>
      </c>
    </row>
    <row r="13287" spans="1:4" hidden="1" x14ac:dyDescent="0.3">
      <c r="A13287" t="s">
        <v>937</v>
      </c>
      <c r="B13287" t="s">
        <v>69</v>
      </c>
      <c r="C13287" s="1">
        <f>HYPERLINK("https://cao.dolgi.msk.ru/account/1011408751/", 1011408751)</f>
        <v>1011408751</v>
      </c>
      <c r="D13287">
        <v>-13967.85</v>
      </c>
    </row>
    <row r="13288" spans="1:4" hidden="1" x14ac:dyDescent="0.3">
      <c r="A13288" t="s">
        <v>937</v>
      </c>
      <c r="B13288" t="s">
        <v>70</v>
      </c>
      <c r="C13288" s="1">
        <f>HYPERLINK("https://cao.dolgi.msk.ru/account/1011407951/", 1011407951)</f>
        <v>1011407951</v>
      </c>
      <c r="D13288">
        <v>-19479.580000000002</v>
      </c>
    </row>
    <row r="13289" spans="1:4" hidden="1" x14ac:dyDescent="0.3">
      <c r="A13289" t="s">
        <v>937</v>
      </c>
      <c r="B13289" t="s">
        <v>259</v>
      </c>
      <c r="C13289" s="1">
        <f>HYPERLINK("https://cao.dolgi.msk.ru/account/1011408583/", 1011408583)</f>
        <v>1011408583</v>
      </c>
      <c r="D13289">
        <v>-11584.25</v>
      </c>
    </row>
    <row r="13290" spans="1:4" x14ac:dyDescent="0.3">
      <c r="A13290" t="s">
        <v>937</v>
      </c>
      <c r="B13290" t="s">
        <v>100</v>
      </c>
      <c r="C13290" s="1">
        <f>HYPERLINK("https://cao.dolgi.msk.ru/account/1011408364/", 1011408364)</f>
        <v>1011408364</v>
      </c>
      <c r="D13290">
        <v>203.01</v>
      </c>
    </row>
    <row r="13291" spans="1:4" hidden="1" x14ac:dyDescent="0.3">
      <c r="A13291" t="s">
        <v>937</v>
      </c>
      <c r="B13291" t="s">
        <v>72</v>
      </c>
      <c r="C13291" s="1">
        <f>HYPERLINK("https://cao.dolgi.msk.ru/account/1011408049/", 1011408049)</f>
        <v>1011408049</v>
      </c>
      <c r="D13291">
        <v>-8723.7199999999993</v>
      </c>
    </row>
    <row r="13292" spans="1:4" hidden="1" x14ac:dyDescent="0.3">
      <c r="A13292" t="s">
        <v>937</v>
      </c>
      <c r="B13292" t="s">
        <v>73</v>
      </c>
      <c r="C13292" s="1">
        <f>HYPERLINK("https://cao.dolgi.msk.ru/account/1011407716/", 1011407716)</f>
        <v>1011407716</v>
      </c>
      <c r="D13292">
        <v>0</v>
      </c>
    </row>
    <row r="13293" spans="1:4" x14ac:dyDescent="0.3">
      <c r="A13293" t="s">
        <v>937</v>
      </c>
      <c r="B13293" t="s">
        <v>74</v>
      </c>
      <c r="C13293" s="1">
        <f>HYPERLINK("https://cao.dolgi.msk.ru/account/1011408452/", 1011408452)</f>
        <v>1011408452</v>
      </c>
      <c r="D13293">
        <v>14404.52</v>
      </c>
    </row>
    <row r="13294" spans="1:4" x14ac:dyDescent="0.3">
      <c r="A13294" t="s">
        <v>937</v>
      </c>
      <c r="B13294" t="s">
        <v>75</v>
      </c>
      <c r="C13294" s="1">
        <f>HYPERLINK("https://cao.dolgi.msk.ru/account/1011408161/", 1011408161)</f>
        <v>1011408161</v>
      </c>
      <c r="D13294">
        <v>5292.62</v>
      </c>
    </row>
    <row r="13295" spans="1:4" x14ac:dyDescent="0.3">
      <c r="A13295" t="s">
        <v>937</v>
      </c>
      <c r="B13295" t="s">
        <v>76</v>
      </c>
      <c r="C13295" s="1">
        <f>HYPERLINK("https://cao.dolgi.msk.ru/account/1011407935/", 1011407935)</f>
        <v>1011407935</v>
      </c>
      <c r="D13295">
        <v>24143.38</v>
      </c>
    </row>
    <row r="13296" spans="1:4" hidden="1" x14ac:dyDescent="0.3">
      <c r="A13296" t="s">
        <v>937</v>
      </c>
      <c r="B13296" t="s">
        <v>77</v>
      </c>
      <c r="C13296" s="1">
        <f>HYPERLINK("https://cao.dolgi.msk.ru/account/1011407804/", 1011407804)</f>
        <v>1011407804</v>
      </c>
      <c r="D13296">
        <v>0</v>
      </c>
    </row>
    <row r="13297" spans="1:4" hidden="1" x14ac:dyDescent="0.3">
      <c r="A13297" t="s">
        <v>937</v>
      </c>
      <c r="B13297" t="s">
        <v>77</v>
      </c>
      <c r="C13297" s="1">
        <f>HYPERLINK("https://cao.dolgi.msk.ru/account/1011408436/", 1011408436)</f>
        <v>1011408436</v>
      </c>
      <c r="D13297">
        <v>0</v>
      </c>
    </row>
    <row r="13298" spans="1:4" hidden="1" x14ac:dyDescent="0.3">
      <c r="A13298" t="s">
        <v>937</v>
      </c>
      <c r="B13298" t="s">
        <v>78</v>
      </c>
      <c r="C13298" s="1">
        <f>HYPERLINK("https://cao.dolgi.msk.ru/account/1011408217/", 1011408217)</f>
        <v>1011408217</v>
      </c>
      <c r="D13298">
        <v>-9439.25</v>
      </c>
    </row>
    <row r="13299" spans="1:4" x14ac:dyDescent="0.3">
      <c r="A13299" t="s">
        <v>937</v>
      </c>
      <c r="B13299" t="s">
        <v>79</v>
      </c>
      <c r="C13299" s="1">
        <f>HYPERLINK("https://cao.dolgi.msk.ru/account/1011407679/", 1011407679)</f>
        <v>1011407679</v>
      </c>
      <c r="D13299">
        <v>4731.58</v>
      </c>
    </row>
    <row r="13300" spans="1:4" x14ac:dyDescent="0.3">
      <c r="A13300" t="s">
        <v>937</v>
      </c>
      <c r="B13300" t="s">
        <v>80</v>
      </c>
      <c r="C13300" s="1">
        <f>HYPERLINK("https://cao.dolgi.msk.ru/account/1011407783/", 1011407783)</f>
        <v>1011407783</v>
      </c>
      <c r="D13300">
        <v>5812.13</v>
      </c>
    </row>
    <row r="13301" spans="1:4" hidden="1" x14ac:dyDescent="0.3">
      <c r="A13301" t="s">
        <v>937</v>
      </c>
      <c r="B13301" t="s">
        <v>81</v>
      </c>
      <c r="C13301" s="1">
        <f>HYPERLINK("https://cao.dolgi.msk.ru/account/1011407732/", 1011407732)</f>
        <v>1011407732</v>
      </c>
      <c r="D13301">
        <v>0</v>
      </c>
    </row>
    <row r="13302" spans="1:4" hidden="1" x14ac:dyDescent="0.3">
      <c r="A13302" t="s">
        <v>937</v>
      </c>
      <c r="B13302" t="s">
        <v>81</v>
      </c>
      <c r="C13302" s="1">
        <f>HYPERLINK("https://cao.dolgi.msk.ru/account/1011408225/", 1011408225)</f>
        <v>1011408225</v>
      </c>
      <c r="D13302">
        <v>0</v>
      </c>
    </row>
    <row r="13303" spans="1:4" hidden="1" x14ac:dyDescent="0.3">
      <c r="A13303" t="s">
        <v>937</v>
      </c>
      <c r="B13303" t="s">
        <v>81</v>
      </c>
      <c r="C13303" s="1">
        <f>HYPERLINK("https://cao.dolgi.msk.ru/account/1011408604/", 1011408604)</f>
        <v>1011408604</v>
      </c>
      <c r="D13303">
        <v>0</v>
      </c>
    </row>
    <row r="13304" spans="1:4" hidden="1" x14ac:dyDescent="0.3">
      <c r="A13304" t="s">
        <v>937</v>
      </c>
      <c r="B13304" t="s">
        <v>101</v>
      </c>
      <c r="C13304" s="1">
        <f>HYPERLINK("https://cao.dolgi.msk.ru/account/1011408372/", 1011408372)</f>
        <v>1011408372</v>
      </c>
      <c r="D13304">
        <v>0</v>
      </c>
    </row>
    <row r="13305" spans="1:4" hidden="1" x14ac:dyDescent="0.3">
      <c r="A13305" t="s">
        <v>937</v>
      </c>
      <c r="B13305" t="s">
        <v>82</v>
      </c>
      <c r="C13305" s="1">
        <f>HYPERLINK("https://cao.dolgi.msk.ru/account/1011408276/", 1011408276)</f>
        <v>1011408276</v>
      </c>
      <c r="D13305">
        <v>0</v>
      </c>
    </row>
    <row r="13306" spans="1:4" x14ac:dyDescent="0.3">
      <c r="A13306" t="s">
        <v>937</v>
      </c>
      <c r="B13306" t="s">
        <v>83</v>
      </c>
      <c r="C13306" s="1">
        <f>HYPERLINK("https://cao.dolgi.msk.ru/account/1011408559/", 1011408559)</f>
        <v>1011408559</v>
      </c>
      <c r="D13306">
        <v>30138.959999999999</v>
      </c>
    </row>
    <row r="13307" spans="1:4" x14ac:dyDescent="0.3">
      <c r="A13307" t="s">
        <v>937</v>
      </c>
      <c r="B13307" t="s">
        <v>84</v>
      </c>
      <c r="C13307" s="1">
        <f>HYPERLINK("https://cao.dolgi.msk.ru/account/1011408567/", 1011408567)</f>
        <v>1011408567</v>
      </c>
      <c r="D13307">
        <v>4571.24</v>
      </c>
    </row>
    <row r="13308" spans="1:4" hidden="1" x14ac:dyDescent="0.3">
      <c r="A13308" t="s">
        <v>937</v>
      </c>
      <c r="B13308" t="s">
        <v>85</v>
      </c>
      <c r="C13308" s="1">
        <f>HYPERLINK("https://cao.dolgi.msk.ru/account/1011407601/", 1011407601)</f>
        <v>1011407601</v>
      </c>
      <c r="D13308">
        <v>0</v>
      </c>
    </row>
    <row r="13309" spans="1:4" hidden="1" x14ac:dyDescent="0.3">
      <c r="A13309" t="s">
        <v>937</v>
      </c>
      <c r="B13309" t="s">
        <v>102</v>
      </c>
      <c r="C13309" s="1">
        <f>HYPERLINK("https://cao.dolgi.msk.ru/account/1011408508/", 1011408508)</f>
        <v>1011408508</v>
      </c>
      <c r="D13309">
        <v>-6370.85</v>
      </c>
    </row>
    <row r="13310" spans="1:4" hidden="1" x14ac:dyDescent="0.3">
      <c r="A13310" t="s">
        <v>937</v>
      </c>
      <c r="B13310" t="s">
        <v>103</v>
      </c>
      <c r="C13310" s="1">
        <f>HYPERLINK("https://cao.dolgi.msk.ru/account/1011408188/", 1011408188)</f>
        <v>1011408188</v>
      </c>
      <c r="D13310">
        <v>0</v>
      </c>
    </row>
    <row r="13311" spans="1:4" hidden="1" x14ac:dyDescent="0.3">
      <c r="A13311" t="s">
        <v>937</v>
      </c>
      <c r="B13311" t="s">
        <v>104</v>
      </c>
      <c r="C13311" s="1">
        <f>HYPERLINK("https://cao.dolgi.msk.ru/account/1011408102/", 1011408102)</f>
        <v>1011408102</v>
      </c>
      <c r="D13311">
        <v>-8785.09</v>
      </c>
    </row>
    <row r="13312" spans="1:4" hidden="1" x14ac:dyDescent="0.3">
      <c r="A13312" t="s">
        <v>937</v>
      </c>
      <c r="B13312" t="s">
        <v>105</v>
      </c>
      <c r="C13312" s="1">
        <f>HYPERLINK("https://cao.dolgi.msk.ru/account/1011408399/", 1011408399)</f>
        <v>1011408399</v>
      </c>
      <c r="D13312">
        <v>-129.9</v>
      </c>
    </row>
    <row r="13313" spans="1:4" x14ac:dyDescent="0.3">
      <c r="A13313" t="s">
        <v>937</v>
      </c>
      <c r="B13313" t="s">
        <v>106</v>
      </c>
      <c r="C13313" s="1">
        <f>HYPERLINK("https://cao.dolgi.msk.ru/account/1011408671/", 1011408671)</f>
        <v>1011408671</v>
      </c>
      <c r="D13313">
        <v>13465.6</v>
      </c>
    </row>
    <row r="13314" spans="1:4" hidden="1" x14ac:dyDescent="0.3">
      <c r="A13314" t="s">
        <v>937</v>
      </c>
      <c r="B13314" t="s">
        <v>107</v>
      </c>
      <c r="C13314" s="1">
        <f>HYPERLINK("https://cao.dolgi.msk.ru/account/1011407628/", 1011407628)</f>
        <v>1011407628</v>
      </c>
      <c r="D13314">
        <v>-7998.75</v>
      </c>
    </row>
    <row r="13315" spans="1:4" hidden="1" x14ac:dyDescent="0.3">
      <c r="A13315" t="s">
        <v>937</v>
      </c>
      <c r="B13315" t="s">
        <v>108</v>
      </c>
      <c r="C13315" s="1">
        <f>HYPERLINK("https://cao.dolgi.msk.ru/account/1011408524/", 1011408524)</f>
        <v>1011408524</v>
      </c>
      <c r="D13315">
        <v>0</v>
      </c>
    </row>
    <row r="13316" spans="1:4" hidden="1" x14ac:dyDescent="0.3">
      <c r="A13316" t="s">
        <v>937</v>
      </c>
      <c r="B13316" t="s">
        <v>109</v>
      </c>
      <c r="C13316" s="1">
        <f>HYPERLINK("https://cao.dolgi.msk.ru/account/1011407791/", 1011407791)</f>
        <v>1011407791</v>
      </c>
      <c r="D13316">
        <v>-457.42</v>
      </c>
    </row>
    <row r="13317" spans="1:4" x14ac:dyDescent="0.3">
      <c r="A13317" t="s">
        <v>937</v>
      </c>
      <c r="B13317" t="s">
        <v>110</v>
      </c>
      <c r="C13317" s="1">
        <f>HYPERLINK("https://cao.dolgi.msk.ru/account/1011408575/", 1011408575)</f>
        <v>1011408575</v>
      </c>
      <c r="D13317">
        <v>13455.36</v>
      </c>
    </row>
    <row r="13318" spans="1:4" x14ac:dyDescent="0.3">
      <c r="A13318" t="s">
        <v>937</v>
      </c>
      <c r="B13318" t="s">
        <v>111</v>
      </c>
      <c r="C13318" s="1">
        <f>HYPERLINK("https://cao.dolgi.msk.ru/account/1011408348/", 1011408348)</f>
        <v>1011408348</v>
      </c>
      <c r="D13318">
        <v>333409.64</v>
      </c>
    </row>
    <row r="13319" spans="1:4" hidden="1" x14ac:dyDescent="0.3">
      <c r="A13319" t="s">
        <v>937</v>
      </c>
      <c r="B13319" t="s">
        <v>112</v>
      </c>
      <c r="C13319" s="1">
        <f>HYPERLINK("https://cao.dolgi.msk.ru/account/1011407919/", 1011407919)</f>
        <v>1011407919</v>
      </c>
      <c r="D13319">
        <v>0</v>
      </c>
    </row>
    <row r="13320" spans="1:4" x14ac:dyDescent="0.3">
      <c r="A13320" t="s">
        <v>937</v>
      </c>
      <c r="B13320" t="s">
        <v>113</v>
      </c>
      <c r="C13320" s="1">
        <f>HYPERLINK("https://cao.dolgi.msk.ru/account/1011407556/", 1011407556)</f>
        <v>1011407556</v>
      </c>
      <c r="D13320">
        <v>682.13</v>
      </c>
    </row>
    <row r="13321" spans="1:4" hidden="1" x14ac:dyDescent="0.3">
      <c r="A13321" t="s">
        <v>937</v>
      </c>
      <c r="B13321" t="s">
        <v>114</v>
      </c>
      <c r="C13321" s="1">
        <f>HYPERLINK("https://cao.dolgi.msk.ru/account/1011408241/", 1011408241)</f>
        <v>1011408241</v>
      </c>
      <c r="D13321">
        <v>0</v>
      </c>
    </row>
    <row r="13322" spans="1:4" hidden="1" x14ac:dyDescent="0.3">
      <c r="A13322" t="s">
        <v>937</v>
      </c>
      <c r="B13322" t="s">
        <v>115</v>
      </c>
      <c r="C13322" s="1">
        <f>HYPERLINK("https://cao.dolgi.msk.ru/account/1011407927/", 1011407927)</f>
        <v>1011407927</v>
      </c>
      <c r="D13322">
        <v>0</v>
      </c>
    </row>
    <row r="13323" spans="1:4" hidden="1" x14ac:dyDescent="0.3">
      <c r="A13323" t="s">
        <v>937</v>
      </c>
      <c r="B13323" t="s">
        <v>116</v>
      </c>
      <c r="C13323" s="1">
        <f>HYPERLINK("https://cao.dolgi.msk.ru/account/1011407943/", 1011407943)</f>
        <v>1011407943</v>
      </c>
      <c r="D13323">
        <v>-7824.11</v>
      </c>
    </row>
    <row r="13324" spans="1:4" hidden="1" x14ac:dyDescent="0.3">
      <c r="A13324" t="s">
        <v>937</v>
      </c>
      <c r="B13324" t="s">
        <v>266</v>
      </c>
      <c r="C13324" s="1">
        <f>HYPERLINK("https://cao.dolgi.msk.ru/account/1011408057/", 1011408057)</f>
        <v>1011408057</v>
      </c>
      <c r="D13324">
        <v>-7956.46</v>
      </c>
    </row>
    <row r="13325" spans="1:4" hidden="1" x14ac:dyDescent="0.3">
      <c r="A13325" t="s">
        <v>937</v>
      </c>
      <c r="B13325" t="s">
        <v>117</v>
      </c>
      <c r="C13325" s="1">
        <f>HYPERLINK("https://cao.dolgi.msk.ru/account/1011408196/", 1011408196)</f>
        <v>1011408196</v>
      </c>
      <c r="D13325">
        <v>-4270.26</v>
      </c>
    </row>
    <row r="13326" spans="1:4" hidden="1" x14ac:dyDescent="0.3">
      <c r="A13326" t="s">
        <v>937</v>
      </c>
      <c r="B13326" t="s">
        <v>118</v>
      </c>
      <c r="C13326" s="1">
        <f>HYPERLINK("https://cao.dolgi.msk.ru/account/1011408444/", 1011408444)</f>
        <v>1011408444</v>
      </c>
      <c r="D13326">
        <v>0</v>
      </c>
    </row>
    <row r="13327" spans="1:4" x14ac:dyDescent="0.3">
      <c r="A13327" t="s">
        <v>937</v>
      </c>
      <c r="B13327" t="s">
        <v>118</v>
      </c>
      <c r="C13327" s="1">
        <f>HYPERLINK("https://cao.dolgi.msk.ru/account/1011408719/", 1011408719)</f>
        <v>1011408719</v>
      </c>
      <c r="D13327">
        <v>27228.720000000001</v>
      </c>
    </row>
    <row r="13328" spans="1:4" hidden="1" x14ac:dyDescent="0.3">
      <c r="A13328" t="s">
        <v>937</v>
      </c>
      <c r="B13328" t="s">
        <v>119</v>
      </c>
      <c r="C13328" s="1">
        <f>HYPERLINK("https://cao.dolgi.msk.ru/account/1011408209/", 1011408209)</f>
        <v>1011408209</v>
      </c>
      <c r="D13328">
        <v>-7601.51</v>
      </c>
    </row>
    <row r="13329" spans="1:4" hidden="1" x14ac:dyDescent="0.3">
      <c r="A13329" t="s">
        <v>937</v>
      </c>
      <c r="B13329" t="s">
        <v>120</v>
      </c>
      <c r="C13329" s="1">
        <f>HYPERLINK("https://cao.dolgi.msk.ru/account/1011511441/", 1011511441)</f>
        <v>1011511441</v>
      </c>
      <c r="D13329">
        <v>0</v>
      </c>
    </row>
    <row r="13330" spans="1:4" hidden="1" x14ac:dyDescent="0.3">
      <c r="A13330" t="s">
        <v>939</v>
      </c>
      <c r="B13330" t="s">
        <v>28</v>
      </c>
      <c r="C13330" s="1">
        <f>HYPERLINK("https://cao.dolgi.msk.ru/account/1011209218/", 1011209218)</f>
        <v>1011209218</v>
      </c>
      <c r="D13330">
        <v>0</v>
      </c>
    </row>
    <row r="13331" spans="1:4" hidden="1" x14ac:dyDescent="0.3">
      <c r="A13331" t="s">
        <v>939</v>
      </c>
      <c r="B13331" t="s">
        <v>35</v>
      </c>
      <c r="C13331" s="1">
        <f>HYPERLINK("https://cao.dolgi.msk.ru/account/1011209058/", 1011209058)</f>
        <v>1011209058</v>
      </c>
      <c r="D13331">
        <v>0</v>
      </c>
    </row>
    <row r="13332" spans="1:4" hidden="1" x14ac:dyDescent="0.3">
      <c r="A13332" t="s">
        <v>939</v>
      </c>
      <c r="B13332" t="s">
        <v>5</v>
      </c>
      <c r="C13332" s="1">
        <f>HYPERLINK("https://cao.dolgi.msk.ru/account/1011209066/", 1011209066)</f>
        <v>1011209066</v>
      </c>
      <c r="D13332">
        <v>0</v>
      </c>
    </row>
    <row r="13333" spans="1:4" x14ac:dyDescent="0.3">
      <c r="A13333" t="s">
        <v>939</v>
      </c>
      <c r="B13333" t="s">
        <v>7</v>
      </c>
      <c r="C13333" s="1">
        <f>HYPERLINK("https://cao.dolgi.msk.ru/account/1011209277/", 1011209277)</f>
        <v>1011209277</v>
      </c>
      <c r="D13333">
        <v>61285.74</v>
      </c>
    </row>
    <row r="13334" spans="1:4" x14ac:dyDescent="0.3">
      <c r="A13334" t="s">
        <v>939</v>
      </c>
      <c r="B13334" t="s">
        <v>7</v>
      </c>
      <c r="C13334" s="1">
        <f>HYPERLINK("https://cao.dolgi.msk.ru/account/1011209349/", 1011209349)</f>
        <v>1011209349</v>
      </c>
      <c r="D13334">
        <v>78076.75</v>
      </c>
    </row>
    <row r="13335" spans="1:4" hidden="1" x14ac:dyDescent="0.3">
      <c r="A13335" t="s">
        <v>939</v>
      </c>
      <c r="B13335" t="s">
        <v>31</v>
      </c>
      <c r="C13335" s="1">
        <f>HYPERLINK("https://cao.dolgi.msk.ru/account/1011209357/", 1011209357)</f>
        <v>1011209357</v>
      </c>
      <c r="D13335">
        <v>0</v>
      </c>
    </row>
    <row r="13336" spans="1:4" hidden="1" x14ac:dyDescent="0.3">
      <c r="A13336" t="s">
        <v>939</v>
      </c>
      <c r="B13336" t="s">
        <v>10</v>
      </c>
      <c r="C13336" s="1">
        <f>HYPERLINK("https://cao.dolgi.msk.ru/account/1011209365/", 1011209365)</f>
        <v>1011209365</v>
      </c>
      <c r="D13336">
        <v>-20484.53</v>
      </c>
    </row>
    <row r="13337" spans="1:4" x14ac:dyDescent="0.3">
      <c r="A13337" t="s">
        <v>939</v>
      </c>
      <c r="B13337" t="s">
        <v>11</v>
      </c>
      <c r="C13337" s="1">
        <f>HYPERLINK("https://cao.dolgi.msk.ru/account/1011209074/", 1011209074)</f>
        <v>1011209074</v>
      </c>
      <c r="D13337">
        <v>19473.91</v>
      </c>
    </row>
    <row r="13338" spans="1:4" x14ac:dyDescent="0.3">
      <c r="A13338" t="s">
        <v>939</v>
      </c>
      <c r="B13338" t="s">
        <v>12</v>
      </c>
      <c r="C13338" s="1">
        <f>HYPERLINK("https://cao.dolgi.msk.ru/account/1011209285/", 1011209285)</f>
        <v>1011209285</v>
      </c>
      <c r="D13338">
        <v>36296.07</v>
      </c>
    </row>
    <row r="13339" spans="1:4" hidden="1" x14ac:dyDescent="0.3">
      <c r="A13339" t="s">
        <v>939</v>
      </c>
      <c r="B13339" t="s">
        <v>23</v>
      </c>
      <c r="C13339" s="1">
        <f>HYPERLINK("https://cao.dolgi.msk.ru/account/1011209103/", 1011209103)</f>
        <v>1011209103</v>
      </c>
      <c r="D13339">
        <v>0</v>
      </c>
    </row>
    <row r="13340" spans="1:4" hidden="1" x14ac:dyDescent="0.3">
      <c r="A13340" t="s">
        <v>939</v>
      </c>
      <c r="B13340" t="s">
        <v>13</v>
      </c>
      <c r="C13340" s="1">
        <f>HYPERLINK("https://cao.dolgi.msk.ru/account/1011209226/", 1011209226)</f>
        <v>1011209226</v>
      </c>
      <c r="D13340">
        <v>0</v>
      </c>
    </row>
    <row r="13341" spans="1:4" x14ac:dyDescent="0.3">
      <c r="A13341" t="s">
        <v>939</v>
      </c>
      <c r="B13341" t="s">
        <v>14</v>
      </c>
      <c r="C13341" s="1">
        <f>HYPERLINK("https://cao.dolgi.msk.ru/account/1011209162/", 1011209162)</f>
        <v>1011209162</v>
      </c>
      <c r="D13341">
        <v>331.92</v>
      </c>
    </row>
    <row r="13342" spans="1:4" hidden="1" x14ac:dyDescent="0.3">
      <c r="A13342" t="s">
        <v>939</v>
      </c>
      <c r="B13342" t="s">
        <v>16</v>
      </c>
      <c r="C13342" s="1">
        <f>HYPERLINK("https://cao.dolgi.msk.ru/account/1011209234/", 1011209234)</f>
        <v>1011209234</v>
      </c>
      <c r="D13342">
        <v>-33592</v>
      </c>
    </row>
    <row r="13343" spans="1:4" hidden="1" x14ac:dyDescent="0.3">
      <c r="A13343" t="s">
        <v>939</v>
      </c>
      <c r="B13343" t="s">
        <v>19</v>
      </c>
      <c r="C13343" s="1">
        <f>HYPERLINK("https://cao.dolgi.msk.ru/account/1011209111/", 1011209111)</f>
        <v>1011209111</v>
      </c>
      <c r="D13343">
        <v>0</v>
      </c>
    </row>
    <row r="13344" spans="1:4" hidden="1" x14ac:dyDescent="0.3">
      <c r="A13344" t="s">
        <v>939</v>
      </c>
      <c r="B13344" t="s">
        <v>20</v>
      </c>
      <c r="C13344" s="1">
        <f>HYPERLINK("https://cao.dolgi.msk.ru/account/1011209293/", 1011209293)</f>
        <v>1011209293</v>
      </c>
      <c r="D13344">
        <v>0</v>
      </c>
    </row>
    <row r="13345" spans="1:4" hidden="1" x14ac:dyDescent="0.3">
      <c r="A13345" t="s">
        <v>939</v>
      </c>
      <c r="B13345" t="s">
        <v>786</v>
      </c>
      <c r="C13345" s="1">
        <f>HYPERLINK("https://cao.dolgi.msk.ru/account/1011209269/", 1011209269)</f>
        <v>1011209269</v>
      </c>
      <c r="D13345">
        <v>0</v>
      </c>
    </row>
    <row r="13346" spans="1:4" hidden="1" x14ac:dyDescent="0.3">
      <c r="A13346" t="s">
        <v>939</v>
      </c>
      <c r="B13346" t="s">
        <v>21</v>
      </c>
      <c r="C13346" s="1">
        <f>HYPERLINK("https://cao.dolgi.msk.ru/account/1011209082/", 1011209082)</f>
        <v>1011209082</v>
      </c>
      <c r="D13346">
        <v>0</v>
      </c>
    </row>
    <row r="13347" spans="1:4" hidden="1" x14ac:dyDescent="0.3">
      <c r="A13347" t="s">
        <v>939</v>
      </c>
      <c r="B13347" t="s">
        <v>21</v>
      </c>
      <c r="C13347" s="1">
        <f>HYPERLINK("https://cao.dolgi.msk.ru/account/1011209138/", 1011209138)</f>
        <v>1011209138</v>
      </c>
      <c r="D13347">
        <v>0</v>
      </c>
    </row>
    <row r="13348" spans="1:4" hidden="1" x14ac:dyDescent="0.3">
      <c r="A13348" t="s">
        <v>939</v>
      </c>
      <c r="B13348" t="s">
        <v>21</v>
      </c>
      <c r="C13348" s="1">
        <f>HYPERLINK("https://cao.dolgi.msk.ru/account/1011209146/", 1011209146)</f>
        <v>1011209146</v>
      </c>
      <c r="D13348">
        <v>0</v>
      </c>
    </row>
    <row r="13349" spans="1:4" hidden="1" x14ac:dyDescent="0.3">
      <c r="A13349" t="s">
        <v>939</v>
      </c>
      <c r="B13349" t="s">
        <v>21</v>
      </c>
      <c r="C13349" s="1">
        <f>HYPERLINK("https://cao.dolgi.msk.ru/account/1011209242/", 1011209242)</f>
        <v>1011209242</v>
      </c>
      <c r="D13349">
        <v>0</v>
      </c>
    </row>
    <row r="13350" spans="1:4" hidden="1" x14ac:dyDescent="0.3">
      <c r="A13350" t="s">
        <v>939</v>
      </c>
      <c r="B13350" t="s">
        <v>21</v>
      </c>
      <c r="C13350" s="1">
        <f>HYPERLINK("https://cao.dolgi.msk.ru/account/1011209314/", 1011209314)</f>
        <v>1011209314</v>
      </c>
      <c r="D13350">
        <v>0</v>
      </c>
    </row>
    <row r="13351" spans="1:4" hidden="1" x14ac:dyDescent="0.3">
      <c r="A13351" t="s">
        <v>939</v>
      </c>
      <c r="B13351" t="s">
        <v>22</v>
      </c>
      <c r="C13351" s="1">
        <f>HYPERLINK("https://cao.dolgi.msk.ru/account/1011209189/", 1011209189)</f>
        <v>1011209189</v>
      </c>
      <c r="D13351">
        <v>0</v>
      </c>
    </row>
    <row r="13352" spans="1:4" x14ac:dyDescent="0.3">
      <c r="A13352" t="s">
        <v>939</v>
      </c>
      <c r="B13352" t="s">
        <v>24</v>
      </c>
      <c r="C13352" s="1">
        <f>HYPERLINK("https://cao.dolgi.msk.ru/account/1011209154/", 1011209154)</f>
        <v>1011209154</v>
      </c>
      <c r="D13352">
        <v>1243212.19</v>
      </c>
    </row>
    <row r="13353" spans="1:4" hidden="1" x14ac:dyDescent="0.3">
      <c r="A13353" t="s">
        <v>939</v>
      </c>
      <c r="B13353" t="s">
        <v>25</v>
      </c>
      <c r="C13353" s="1">
        <f>HYPERLINK("https://cao.dolgi.msk.ru/account/1011209197/", 1011209197)</f>
        <v>1011209197</v>
      </c>
      <c r="D13353">
        <v>-31911.040000000001</v>
      </c>
    </row>
    <row r="13354" spans="1:4" hidden="1" x14ac:dyDescent="0.3">
      <c r="A13354" t="s">
        <v>939</v>
      </c>
      <c r="B13354" t="s">
        <v>26</v>
      </c>
      <c r="C13354" s="1">
        <f>HYPERLINK("https://cao.dolgi.msk.ru/account/1011209306/", 1011209306)</f>
        <v>1011209306</v>
      </c>
      <c r="D13354">
        <v>0</v>
      </c>
    </row>
    <row r="13355" spans="1:4" hidden="1" x14ac:dyDescent="0.3">
      <c r="A13355" t="s">
        <v>939</v>
      </c>
      <c r="B13355" t="s">
        <v>27</v>
      </c>
      <c r="C13355" s="1">
        <f>HYPERLINK("https://cao.dolgi.msk.ru/account/1011209322/", 1011209322)</f>
        <v>1011209322</v>
      </c>
      <c r="D13355">
        <v>-30318.91</v>
      </c>
    </row>
    <row r="13356" spans="1:4" hidden="1" x14ac:dyDescent="0.3">
      <c r="A13356" t="s">
        <v>940</v>
      </c>
      <c r="B13356" t="s">
        <v>97</v>
      </c>
      <c r="C13356" s="1">
        <f>HYPERLINK("https://cao.dolgi.msk.ru/account/1010054402/", 1010054402)</f>
        <v>1010054402</v>
      </c>
      <c r="D13356">
        <v>-42949.71</v>
      </c>
    </row>
    <row r="13357" spans="1:4" hidden="1" x14ac:dyDescent="0.3">
      <c r="A13357" t="s">
        <v>941</v>
      </c>
      <c r="B13357" t="s">
        <v>942</v>
      </c>
      <c r="C13357" s="1">
        <f>HYPERLINK("https://cao.dolgi.msk.ru/account/1011532007/", 1011532007)</f>
        <v>1011532007</v>
      </c>
      <c r="D13357">
        <v>0</v>
      </c>
    </row>
    <row r="13358" spans="1:4" hidden="1" x14ac:dyDescent="0.3">
      <c r="A13358" t="s">
        <v>941</v>
      </c>
      <c r="B13358" t="s">
        <v>943</v>
      </c>
      <c r="C13358" s="1">
        <f>HYPERLINK("https://cao.dolgi.msk.ru/account/1011532015/", 1011532015)</f>
        <v>1011532015</v>
      </c>
      <c r="D13358">
        <v>-14232.83</v>
      </c>
    </row>
    <row r="13359" spans="1:4" hidden="1" x14ac:dyDescent="0.3">
      <c r="A13359" t="s">
        <v>941</v>
      </c>
      <c r="B13359" t="s">
        <v>52</v>
      </c>
      <c r="C13359" s="1">
        <f>HYPERLINK("https://cao.dolgi.msk.ru/account/1011498726/", 1011498726)</f>
        <v>1011498726</v>
      </c>
      <c r="D13359">
        <v>-5260.39</v>
      </c>
    </row>
    <row r="13360" spans="1:4" hidden="1" x14ac:dyDescent="0.3">
      <c r="A13360" t="s">
        <v>941</v>
      </c>
      <c r="B13360" t="s">
        <v>56</v>
      </c>
      <c r="C13360" s="1">
        <f>HYPERLINK("https://cao.dolgi.msk.ru/account/1011498769/", 1011498769)</f>
        <v>1011498769</v>
      </c>
      <c r="D13360">
        <v>0</v>
      </c>
    </row>
    <row r="13361" spans="1:4" hidden="1" x14ac:dyDescent="0.3">
      <c r="A13361" t="s">
        <v>944</v>
      </c>
      <c r="B13361" t="s">
        <v>6</v>
      </c>
      <c r="C13361" s="1">
        <f>HYPERLINK("https://cao.dolgi.msk.ru/account/1011067627/", 1011067627)</f>
        <v>1011067627</v>
      </c>
      <c r="D13361">
        <v>0</v>
      </c>
    </row>
    <row r="13362" spans="1:4" hidden="1" x14ac:dyDescent="0.3">
      <c r="A13362" t="s">
        <v>944</v>
      </c>
      <c r="B13362" t="s">
        <v>28</v>
      </c>
      <c r="C13362" s="1">
        <f>HYPERLINK("https://cao.dolgi.msk.ru/account/1011066181/", 1011066181)</f>
        <v>1011066181</v>
      </c>
      <c r="D13362">
        <v>0</v>
      </c>
    </row>
    <row r="13363" spans="1:4" hidden="1" x14ac:dyDescent="0.3">
      <c r="A13363" t="s">
        <v>944</v>
      </c>
      <c r="B13363" t="s">
        <v>28</v>
      </c>
      <c r="C13363" s="1">
        <f>HYPERLINK("https://cao.dolgi.msk.ru/account/1011066202/", 1011066202)</f>
        <v>1011066202</v>
      </c>
      <c r="D13363">
        <v>0</v>
      </c>
    </row>
    <row r="13364" spans="1:4" hidden="1" x14ac:dyDescent="0.3">
      <c r="A13364" t="s">
        <v>944</v>
      </c>
      <c r="B13364" t="s">
        <v>28</v>
      </c>
      <c r="C13364" s="1">
        <f>HYPERLINK("https://cao.dolgi.msk.ru/account/1011066229/", 1011066229)</f>
        <v>1011066229</v>
      </c>
      <c r="D13364">
        <v>-7671.52</v>
      </c>
    </row>
    <row r="13365" spans="1:4" hidden="1" x14ac:dyDescent="0.3">
      <c r="A13365" t="s">
        <v>944</v>
      </c>
      <c r="B13365" t="s">
        <v>28</v>
      </c>
      <c r="C13365" s="1">
        <f>HYPERLINK("https://cao.dolgi.msk.ru/account/1011067619/", 1011067619)</f>
        <v>1011067619</v>
      </c>
      <c r="D13365">
        <v>0</v>
      </c>
    </row>
    <row r="13366" spans="1:4" x14ac:dyDescent="0.3">
      <c r="A13366" t="s">
        <v>944</v>
      </c>
      <c r="B13366" t="s">
        <v>35</v>
      </c>
      <c r="C13366" s="1">
        <f>HYPERLINK("https://cao.dolgi.msk.ru/account/1011066237/", 1011066237)</f>
        <v>1011066237</v>
      </c>
      <c r="D13366">
        <v>5665.81</v>
      </c>
    </row>
    <row r="13367" spans="1:4" hidden="1" x14ac:dyDescent="0.3">
      <c r="A13367" t="s">
        <v>944</v>
      </c>
      <c r="B13367" t="s">
        <v>35</v>
      </c>
      <c r="C13367" s="1">
        <f>HYPERLINK("https://cao.dolgi.msk.ru/account/1011066245/", 1011066245)</f>
        <v>1011066245</v>
      </c>
      <c r="D13367">
        <v>0</v>
      </c>
    </row>
    <row r="13368" spans="1:4" hidden="1" x14ac:dyDescent="0.3">
      <c r="A13368" t="s">
        <v>944</v>
      </c>
      <c r="B13368" t="s">
        <v>35</v>
      </c>
      <c r="C13368" s="1">
        <f>HYPERLINK("https://cao.dolgi.msk.ru/account/1011066253/", 1011066253)</f>
        <v>1011066253</v>
      </c>
      <c r="D13368">
        <v>0</v>
      </c>
    </row>
    <row r="13369" spans="1:4" hidden="1" x14ac:dyDescent="0.3">
      <c r="A13369" t="s">
        <v>944</v>
      </c>
      <c r="B13369" t="s">
        <v>35</v>
      </c>
      <c r="C13369" s="1">
        <f>HYPERLINK("https://cao.dolgi.msk.ru/account/1011066261/", 1011066261)</f>
        <v>1011066261</v>
      </c>
      <c r="D13369">
        <v>0</v>
      </c>
    </row>
    <row r="13370" spans="1:4" hidden="1" x14ac:dyDescent="0.3">
      <c r="A13370" t="s">
        <v>944</v>
      </c>
      <c r="B13370" t="s">
        <v>35</v>
      </c>
      <c r="C13370" s="1">
        <f>HYPERLINK("https://cao.dolgi.msk.ru/account/1011066288/", 1011066288)</f>
        <v>1011066288</v>
      </c>
      <c r="D13370">
        <v>-2893.18</v>
      </c>
    </row>
    <row r="13371" spans="1:4" x14ac:dyDescent="0.3">
      <c r="A13371" t="s">
        <v>944</v>
      </c>
      <c r="B13371" t="s">
        <v>35</v>
      </c>
      <c r="C13371" s="1">
        <f>HYPERLINK("https://cao.dolgi.msk.ru/account/1011109137/", 1011109137)</f>
        <v>1011109137</v>
      </c>
      <c r="D13371">
        <v>40742.160000000003</v>
      </c>
    </row>
    <row r="13372" spans="1:4" hidden="1" x14ac:dyDescent="0.3">
      <c r="A13372" t="s">
        <v>944</v>
      </c>
      <c r="B13372" t="s">
        <v>5</v>
      </c>
      <c r="C13372" s="1">
        <f>HYPERLINK("https://cao.dolgi.msk.ru/account/1011066296/", 1011066296)</f>
        <v>1011066296</v>
      </c>
      <c r="D13372">
        <v>-3620.82</v>
      </c>
    </row>
    <row r="13373" spans="1:4" hidden="1" x14ac:dyDescent="0.3">
      <c r="A13373" t="s">
        <v>944</v>
      </c>
      <c r="B13373" t="s">
        <v>5</v>
      </c>
      <c r="C13373" s="1">
        <f>HYPERLINK("https://cao.dolgi.msk.ru/account/1011066472/", 1011066472)</f>
        <v>1011066472</v>
      </c>
      <c r="D13373">
        <v>0</v>
      </c>
    </row>
    <row r="13374" spans="1:4" hidden="1" x14ac:dyDescent="0.3">
      <c r="A13374" t="s">
        <v>944</v>
      </c>
      <c r="B13374" t="s">
        <v>5</v>
      </c>
      <c r="C13374" s="1">
        <f>HYPERLINK("https://cao.dolgi.msk.ru/account/1011067694/", 1011067694)</f>
        <v>1011067694</v>
      </c>
      <c r="D13374">
        <v>-4551.72</v>
      </c>
    </row>
    <row r="13375" spans="1:4" hidden="1" x14ac:dyDescent="0.3">
      <c r="A13375" t="s">
        <v>944</v>
      </c>
      <c r="B13375" t="s">
        <v>5</v>
      </c>
      <c r="C13375" s="1">
        <f>HYPERLINK("https://cao.dolgi.msk.ru/account/1011067707/", 1011067707)</f>
        <v>1011067707</v>
      </c>
      <c r="D13375">
        <v>0</v>
      </c>
    </row>
    <row r="13376" spans="1:4" hidden="1" x14ac:dyDescent="0.3">
      <c r="A13376" t="s">
        <v>944</v>
      </c>
      <c r="B13376" t="s">
        <v>7</v>
      </c>
      <c r="C13376" s="1">
        <f>HYPERLINK("https://cao.dolgi.msk.ru/account/1011066317/", 1011066317)</f>
        <v>1011066317</v>
      </c>
      <c r="D13376">
        <v>-3442.49</v>
      </c>
    </row>
    <row r="13377" spans="1:4" hidden="1" x14ac:dyDescent="0.3">
      <c r="A13377" t="s">
        <v>944</v>
      </c>
      <c r="B13377" t="s">
        <v>7</v>
      </c>
      <c r="C13377" s="1">
        <f>HYPERLINK("https://cao.dolgi.msk.ru/account/1011066325/", 1011066325)</f>
        <v>1011066325</v>
      </c>
      <c r="D13377">
        <v>0</v>
      </c>
    </row>
    <row r="13378" spans="1:4" hidden="1" x14ac:dyDescent="0.3">
      <c r="A13378" t="s">
        <v>944</v>
      </c>
      <c r="B13378" t="s">
        <v>7</v>
      </c>
      <c r="C13378" s="1">
        <f>HYPERLINK("https://cao.dolgi.msk.ru/account/1011066499/", 1011066499)</f>
        <v>1011066499</v>
      </c>
      <c r="D13378">
        <v>0</v>
      </c>
    </row>
    <row r="13379" spans="1:4" hidden="1" x14ac:dyDescent="0.3">
      <c r="A13379" t="s">
        <v>944</v>
      </c>
      <c r="B13379" t="s">
        <v>7</v>
      </c>
      <c r="C13379" s="1">
        <f>HYPERLINK("https://cao.dolgi.msk.ru/account/1011067715/", 1011067715)</f>
        <v>1011067715</v>
      </c>
      <c r="D13379">
        <v>0</v>
      </c>
    </row>
    <row r="13380" spans="1:4" hidden="1" x14ac:dyDescent="0.3">
      <c r="A13380" t="s">
        <v>944</v>
      </c>
      <c r="B13380" t="s">
        <v>7</v>
      </c>
      <c r="C13380" s="1">
        <f>HYPERLINK("https://cao.dolgi.msk.ru/account/1011069892/", 1011069892)</f>
        <v>1011069892</v>
      </c>
      <c r="D13380">
        <v>0</v>
      </c>
    </row>
    <row r="13381" spans="1:4" hidden="1" x14ac:dyDescent="0.3">
      <c r="A13381" t="s">
        <v>944</v>
      </c>
      <c r="B13381" t="s">
        <v>8</v>
      </c>
      <c r="C13381" s="1">
        <f>HYPERLINK("https://cao.dolgi.msk.ru/account/1011066341/", 1011066341)</f>
        <v>1011066341</v>
      </c>
      <c r="D13381">
        <v>0</v>
      </c>
    </row>
    <row r="13382" spans="1:4" hidden="1" x14ac:dyDescent="0.3">
      <c r="A13382" t="s">
        <v>944</v>
      </c>
      <c r="B13382" t="s">
        <v>8</v>
      </c>
      <c r="C13382" s="1">
        <f>HYPERLINK("https://cao.dolgi.msk.ru/account/1011066368/", 1011066368)</f>
        <v>1011066368</v>
      </c>
      <c r="D13382">
        <v>0</v>
      </c>
    </row>
    <row r="13383" spans="1:4" hidden="1" x14ac:dyDescent="0.3">
      <c r="A13383" t="s">
        <v>944</v>
      </c>
      <c r="B13383" t="s">
        <v>8</v>
      </c>
      <c r="C13383" s="1">
        <f>HYPERLINK("https://cao.dolgi.msk.ru/account/1011066384/", 1011066384)</f>
        <v>1011066384</v>
      </c>
      <c r="D13383">
        <v>0</v>
      </c>
    </row>
    <row r="13384" spans="1:4" x14ac:dyDescent="0.3">
      <c r="A13384" t="s">
        <v>944</v>
      </c>
      <c r="B13384" t="s">
        <v>8</v>
      </c>
      <c r="C13384" s="1">
        <f>HYPERLINK("https://cao.dolgi.msk.ru/account/1011066392/", 1011066392)</f>
        <v>1011066392</v>
      </c>
      <c r="D13384">
        <v>43512.99</v>
      </c>
    </row>
    <row r="13385" spans="1:4" hidden="1" x14ac:dyDescent="0.3">
      <c r="A13385" t="s">
        <v>945</v>
      </c>
      <c r="B13385" t="s">
        <v>6</v>
      </c>
      <c r="C13385" s="1">
        <f>HYPERLINK("https://cao.dolgi.msk.ru/account/1011509317/", 1011509317)</f>
        <v>1011509317</v>
      </c>
      <c r="D13385">
        <v>0</v>
      </c>
    </row>
    <row r="13386" spans="1:4" hidden="1" x14ac:dyDescent="0.3">
      <c r="A13386" t="s">
        <v>945</v>
      </c>
      <c r="B13386" t="s">
        <v>28</v>
      </c>
      <c r="C13386" s="1">
        <f>HYPERLINK("https://cao.dolgi.msk.ru/account/1011508074/", 1011508074)</f>
        <v>1011508074</v>
      </c>
      <c r="D13386">
        <v>0</v>
      </c>
    </row>
    <row r="13387" spans="1:4" hidden="1" x14ac:dyDescent="0.3">
      <c r="A13387" t="s">
        <v>945</v>
      </c>
      <c r="B13387" t="s">
        <v>35</v>
      </c>
      <c r="C13387" s="1">
        <f>HYPERLINK("https://cao.dolgi.msk.ru/account/1011509026/", 1011509026)</f>
        <v>1011509026</v>
      </c>
      <c r="D13387">
        <v>0</v>
      </c>
    </row>
    <row r="13388" spans="1:4" hidden="1" x14ac:dyDescent="0.3">
      <c r="A13388" t="s">
        <v>945</v>
      </c>
      <c r="B13388" t="s">
        <v>5</v>
      </c>
      <c r="C13388" s="1">
        <f>HYPERLINK("https://cao.dolgi.msk.ru/account/1011509325/", 1011509325)</f>
        <v>1011509325</v>
      </c>
      <c r="D13388">
        <v>0</v>
      </c>
    </row>
    <row r="13389" spans="1:4" hidden="1" x14ac:dyDescent="0.3">
      <c r="A13389" t="s">
        <v>945</v>
      </c>
      <c r="B13389" t="s">
        <v>7</v>
      </c>
      <c r="C13389" s="1">
        <f>HYPERLINK("https://cao.dolgi.msk.ru/account/1011509333/", 1011509333)</f>
        <v>1011509333</v>
      </c>
      <c r="D13389">
        <v>0</v>
      </c>
    </row>
    <row r="13390" spans="1:4" hidden="1" x14ac:dyDescent="0.3">
      <c r="A13390" t="s">
        <v>945</v>
      </c>
      <c r="B13390" t="s">
        <v>8</v>
      </c>
      <c r="C13390" s="1">
        <f>HYPERLINK("https://cao.dolgi.msk.ru/account/1011508808/", 1011508808)</f>
        <v>1011508808</v>
      </c>
      <c r="D13390">
        <v>0</v>
      </c>
    </row>
    <row r="13391" spans="1:4" hidden="1" x14ac:dyDescent="0.3">
      <c r="A13391" t="s">
        <v>945</v>
      </c>
      <c r="B13391" t="s">
        <v>31</v>
      </c>
      <c r="C13391" s="1">
        <f>HYPERLINK("https://cao.dolgi.msk.ru/account/1011509034/", 1011509034)</f>
        <v>1011509034</v>
      </c>
      <c r="D13391">
        <v>0</v>
      </c>
    </row>
    <row r="13392" spans="1:4" hidden="1" x14ac:dyDescent="0.3">
      <c r="A13392" t="s">
        <v>945</v>
      </c>
      <c r="B13392" t="s">
        <v>9</v>
      </c>
      <c r="C13392" s="1">
        <f>HYPERLINK("https://cao.dolgi.msk.ru/account/1011508816/", 1011508816)</f>
        <v>1011508816</v>
      </c>
      <c r="D13392">
        <v>0</v>
      </c>
    </row>
    <row r="13393" spans="1:4" hidden="1" x14ac:dyDescent="0.3">
      <c r="A13393" t="s">
        <v>945</v>
      </c>
      <c r="B13393" t="s">
        <v>10</v>
      </c>
      <c r="C13393" s="1">
        <f>HYPERLINK("https://cao.dolgi.msk.ru/account/1011509704/", 1011509704)</f>
        <v>1011509704</v>
      </c>
      <c r="D13393">
        <v>0</v>
      </c>
    </row>
    <row r="13394" spans="1:4" hidden="1" x14ac:dyDescent="0.3">
      <c r="A13394" t="s">
        <v>945</v>
      </c>
      <c r="B13394" t="s">
        <v>11</v>
      </c>
      <c r="C13394" s="1">
        <f>HYPERLINK("https://cao.dolgi.msk.ru/account/1011508576/", 1011508576)</f>
        <v>1011508576</v>
      </c>
      <c r="D13394">
        <v>0</v>
      </c>
    </row>
    <row r="13395" spans="1:4" hidden="1" x14ac:dyDescent="0.3">
      <c r="A13395" t="s">
        <v>945</v>
      </c>
      <c r="B13395" t="s">
        <v>11</v>
      </c>
      <c r="C13395" s="1">
        <f>HYPERLINK("https://cao.dolgi.msk.ru/account/1011509309/", 1011509309)</f>
        <v>1011509309</v>
      </c>
      <c r="D13395">
        <v>0</v>
      </c>
    </row>
    <row r="13396" spans="1:4" hidden="1" x14ac:dyDescent="0.3">
      <c r="A13396" t="s">
        <v>945</v>
      </c>
      <c r="B13396" t="s">
        <v>12</v>
      </c>
      <c r="C13396" s="1">
        <f>HYPERLINK("https://cao.dolgi.msk.ru/account/1011509712/", 1011509712)</f>
        <v>1011509712</v>
      </c>
      <c r="D13396">
        <v>-18.489999999999998</v>
      </c>
    </row>
    <row r="13397" spans="1:4" hidden="1" x14ac:dyDescent="0.3">
      <c r="A13397" t="s">
        <v>945</v>
      </c>
      <c r="B13397" t="s">
        <v>23</v>
      </c>
      <c r="C13397" s="1">
        <f>HYPERLINK("https://cao.dolgi.msk.ru/account/1011509341/", 1011509341)</f>
        <v>1011509341</v>
      </c>
      <c r="D13397">
        <v>0</v>
      </c>
    </row>
    <row r="13398" spans="1:4" hidden="1" x14ac:dyDescent="0.3">
      <c r="A13398" t="s">
        <v>945</v>
      </c>
      <c r="B13398" t="s">
        <v>13</v>
      </c>
      <c r="C13398" s="1">
        <f>HYPERLINK("https://cao.dolgi.msk.ru/account/1011509966/", 1011509966)</f>
        <v>1011509966</v>
      </c>
      <c r="D13398">
        <v>-5425.64</v>
      </c>
    </row>
    <row r="13399" spans="1:4" x14ac:dyDescent="0.3">
      <c r="A13399" t="s">
        <v>945</v>
      </c>
      <c r="B13399" t="s">
        <v>14</v>
      </c>
      <c r="C13399" s="1">
        <f>HYPERLINK("https://cao.dolgi.msk.ru/account/1011509739/", 1011509739)</f>
        <v>1011509739</v>
      </c>
      <c r="D13399">
        <v>5008.72</v>
      </c>
    </row>
    <row r="13400" spans="1:4" x14ac:dyDescent="0.3">
      <c r="A13400" t="s">
        <v>945</v>
      </c>
      <c r="B13400" t="s">
        <v>16</v>
      </c>
      <c r="C13400" s="1">
        <f>HYPERLINK("https://cao.dolgi.msk.ru/account/1011509747/", 1011509747)</f>
        <v>1011509747</v>
      </c>
      <c r="D13400">
        <v>19454.099999999999</v>
      </c>
    </row>
    <row r="13401" spans="1:4" hidden="1" x14ac:dyDescent="0.3">
      <c r="A13401" t="s">
        <v>945</v>
      </c>
      <c r="B13401" t="s">
        <v>17</v>
      </c>
      <c r="C13401" s="1">
        <f>HYPERLINK("https://cao.dolgi.msk.ru/account/1011508293/", 1011508293)</f>
        <v>1011508293</v>
      </c>
      <c r="D13401">
        <v>0</v>
      </c>
    </row>
    <row r="13402" spans="1:4" hidden="1" x14ac:dyDescent="0.3">
      <c r="A13402" t="s">
        <v>945</v>
      </c>
      <c r="B13402" t="s">
        <v>18</v>
      </c>
      <c r="C13402" s="1">
        <f>HYPERLINK("https://cao.dolgi.msk.ru/account/1011509042/", 1011509042)</f>
        <v>1011509042</v>
      </c>
      <c r="D13402">
        <v>0</v>
      </c>
    </row>
    <row r="13403" spans="1:4" hidden="1" x14ac:dyDescent="0.3">
      <c r="A13403" t="s">
        <v>945</v>
      </c>
      <c r="B13403" t="s">
        <v>19</v>
      </c>
      <c r="C13403" s="1">
        <f>HYPERLINK("https://cao.dolgi.msk.ru/account/1011508584/", 1011508584)</f>
        <v>1011508584</v>
      </c>
      <c r="D13403">
        <v>0</v>
      </c>
    </row>
    <row r="13404" spans="1:4" hidden="1" x14ac:dyDescent="0.3">
      <c r="A13404" t="s">
        <v>945</v>
      </c>
      <c r="B13404" t="s">
        <v>20</v>
      </c>
      <c r="C13404" s="1">
        <f>HYPERLINK("https://cao.dolgi.msk.ru/account/1011508082/", 1011508082)</f>
        <v>1011508082</v>
      </c>
      <c r="D13404">
        <v>-4932.62</v>
      </c>
    </row>
    <row r="13405" spans="1:4" hidden="1" x14ac:dyDescent="0.3">
      <c r="A13405" t="s">
        <v>945</v>
      </c>
      <c r="B13405" t="s">
        <v>21</v>
      </c>
      <c r="C13405" s="1">
        <f>HYPERLINK("https://cao.dolgi.msk.ru/account/1011508306/", 1011508306)</f>
        <v>1011508306</v>
      </c>
      <c r="D13405">
        <v>-6284.25</v>
      </c>
    </row>
    <row r="13406" spans="1:4" hidden="1" x14ac:dyDescent="0.3">
      <c r="A13406" t="s">
        <v>945</v>
      </c>
      <c r="B13406" t="s">
        <v>22</v>
      </c>
      <c r="C13406" s="1">
        <f>HYPERLINK("https://cao.dolgi.msk.ru/account/1011508103/", 1011508103)</f>
        <v>1011508103</v>
      </c>
      <c r="D13406">
        <v>-3908.56</v>
      </c>
    </row>
    <row r="13407" spans="1:4" hidden="1" x14ac:dyDescent="0.3">
      <c r="A13407" t="s">
        <v>945</v>
      </c>
      <c r="B13407" t="s">
        <v>24</v>
      </c>
      <c r="C13407" s="1">
        <f>HYPERLINK("https://cao.dolgi.msk.ru/account/1011509368/", 1011509368)</f>
        <v>1011509368</v>
      </c>
      <c r="D13407">
        <v>0</v>
      </c>
    </row>
    <row r="13408" spans="1:4" hidden="1" x14ac:dyDescent="0.3">
      <c r="A13408" t="s">
        <v>945</v>
      </c>
      <c r="B13408" t="s">
        <v>25</v>
      </c>
      <c r="C13408" s="1">
        <f>HYPERLINK("https://cao.dolgi.msk.ru/account/1011508824/", 1011508824)</f>
        <v>1011508824</v>
      </c>
      <c r="D13408">
        <v>0</v>
      </c>
    </row>
    <row r="13409" spans="1:4" hidden="1" x14ac:dyDescent="0.3">
      <c r="A13409" t="s">
        <v>945</v>
      </c>
      <c r="B13409" t="s">
        <v>26</v>
      </c>
      <c r="C13409" s="1">
        <f>HYPERLINK("https://cao.dolgi.msk.ru/account/1011509376/", 1011509376)</f>
        <v>1011509376</v>
      </c>
      <c r="D13409">
        <v>0</v>
      </c>
    </row>
    <row r="13410" spans="1:4" hidden="1" x14ac:dyDescent="0.3">
      <c r="A13410" t="s">
        <v>945</v>
      </c>
      <c r="B13410" t="s">
        <v>26</v>
      </c>
      <c r="C13410" s="1">
        <f>HYPERLINK("https://cao.dolgi.msk.ru/account/1011509958/", 1011509958)</f>
        <v>1011509958</v>
      </c>
      <c r="D13410">
        <v>0</v>
      </c>
    </row>
    <row r="13411" spans="1:4" hidden="1" x14ac:dyDescent="0.3">
      <c r="A13411" t="s">
        <v>945</v>
      </c>
      <c r="B13411" t="s">
        <v>27</v>
      </c>
      <c r="C13411" s="1">
        <f>HYPERLINK("https://cao.dolgi.msk.ru/account/1011508832/", 1011508832)</f>
        <v>1011508832</v>
      </c>
      <c r="D13411">
        <v>-4276.76</v>
      </c>
    </row>
    <row r="13412" spans="1:4" x14ac:dyDescent="0.3">
      <c r="A13412" t="s">
        <v>945</v>
      </c>
      <c r="B13412" t="s">
        <v>29</v>
      </c>
      <c r="C13412" s="1">
        <f>HYPERLINK("https://cao.dolgi.msk.ru/account/1011509384/", 1011509384)</f>
        <v>1011509384</v>
      </c>
      <c r="D13412">
        <v>4775.04</v>
      </c>
    </row>
    <row r="13413" spans="1:4" hidden="1" x14ac:dyDescent="0.3">
      <c r="A13413" t="s">
        <v>945</v>
      </c>
      <c r="B13413" t="s">
        <v>38</v>
      </c>
      <c r="C13413" s="1">
        <f>HYPERLINK("https://cao.dolgi.msk.ru/account/1011509392/", 1011509392)</f>
        <v>1011509392</v>
      </c>
      <c r="D13413">
        <v>-4791.1099999999997</v>
      </c>
    </row>
    <row r="13414" spans="1:4" hidden="1" x14ac:dyDescent="0.3">
      <c r="A13414" t="s">
        <v>945</v>
      </c>
      <c r="B13414" t="s">
        <v>39</v>
      </c>
      <c r="C13414" s="1">
        <f>HYPERLINK("https://cao.dolgi.msk.ru/account/1011508592/", 1011508592)</f>
        <v>1011508592</v>
      </c>
      <c r="D13414">
        <v>-135.97</v>
      </c>
    </row>
    <row r="13415" spans="1:4" hidden="1" x14ac:dyDescent="0.3">
      <c r="A13415" t="s">
        <v>945</v>
      </c>
      <c r="B13415" t="s">
        <v>40</v>
      </c>
      <c r="C13415" s="1">
        <f>HYPERLINK("https://cao.dolgi.msk.ru/account/1011508568/", 1011508568)</f>
        <v>1011508568</v>
      </c>
      <c r="D13415">
        <v>-283.69</v>
      </c>
    </row>
    <row r="13416" spans="1:4" hidden="1" x14ac:dyDescent="0.3">
      <c r="A13416" t="s">
        <v>945</v>
      </c>
      <c r="B13416" t="s">
        <v>41</v>
      </c>
      <c r="C13416" s="1">
        <f>HYPERLINK("https://cao.dolgi.msk.ru/account/1011509069/", 1011509069)</f>
        <v>1011509069</v>
      </c>
      <c r="D13416">
        <v>0</v>
      </c>
    </row>
    <row r="13417" spans="1:4" hidden="1" x14ac:dyDescent="0.3">
      <c r="A13417" t="s">
        <v>945</v>
      </c>
      <c r="B13417" t="s">
        <v>51</v>
      </c>
      <c r="C13417" s="1">
        <f>HYPERLINK("https://cao.dolgi.msk.ru/account/1011509405/", 1011509405)</f>
        <v>1011509405</v>
      </c>
      <c r="D13417">
        <v>-421.09</v>
      </c>
    </row>
    <row r="13418" spans="1:4" hidden="1" x14ac:dyDescent="0.3">
      <c r="A13418" t="s">
        <v>945</v>
      </c>
      <c r="B13418" t="s">
        <v>52</v>
      </c>
      <c r="C13418" s="1">
        <f>HYPERLINK("https://cao.dolgi.msk.ru/account/1011509755/", 1011509755)</f>
        <v>1011509755</v>
      </c>
      <c r="D13418">
        <v>0</v>
      </c>
    </row>
    <row r="13419" spans="1:4" hidden="1" x14ac:dyDescent="0.3">
      <c r="A13419" t="s">
        <v>945</v>
      </c>
      <c r="B13419" t="s">
        <v>53</v>
      </c>
      <c r="C13419" s="1">
        <f>HYPERLINK("https://cao.dolgi.msk.ru/account/1011508605/", 1011508605)</f>
        <v>1011508605</v>
      </c>
      <c r="D13419">
        <v>-93.66</v>
      </c>
    </row>
    <row r="13420" spans="1:4" hidden="1" x14ac:dyDescent="0.3">
      <c r="A13420" t="s">
        <v>945</v>
      </c>
      <c r="B13420" t="s">
        <v>54</v>
      </c>
      <c r="C13420" s="1">
        <f>HYPERLINK("https://cao.dolgi.msk.ru/account/1011509413/", 1011509413)</f>
        <v>1011509413</v>
      </c>
      <c r="D13420">
        <v>0</v>
      </c>
    </row>
    <row r="13421" spans="1:4" hidden="1" x14ac:dyDescent="0.3">
      <c r="A13421" t="s">
        <v>945</v>
      </c>
      <c r="B13421" t="s">
        <v>55</v>
      </c>
      <c r="C13421" s="1">
        <f>HYPERLINK("https://cao.dolgi.msk.ru/account/1011508314/", 1011508314)</f>
        <v>1011508314</v>
      </c>
      <c r="D13421">
        <v>0</v>
      </c>
    </row>
    <row r="13422" spans="1:4" hidden="1" x14ac:dyDescent="0.3">
      <c r="A13422" t="s">
        <v>945</v>
      </c>
      <c r="B13422" t="s">
        <v>56</v>
      </c>
      <c r="C13422" s="1">
        <f>HYPERLINK("https://cao.dolgi.msk.ru/account/1011509077/", 1011509077)</f>
        <v>1011509077</v>
      </c>
      <c r="D13422">
        <v>0</v>
      </c>
    </row>
    <row r="13423" spans="1:4" hidden="1" x14ac:dyDescent="0.3">
      <c r="A13423" t="s">
        <v>945</v>
      </c>
      <c r="B13423" t="s">
        <v>87</v>
      </c>
      <c r="C13423" s="1">
        <f>HYPERLINK("https://cao.dolgi.msk.ru/account/1011509763/", 1011509763)</f>
        <v>1011509763</v>
      </c>
      <c r="D13423">
        <v>-21213.65</v>
      </c>
    </row>
    <row r="13424" spans="1:4" hidden="1" x14ac:dyDescent="0.3">
      <c r="A13424" t="s">
        <v>945</v>
      </c>
      <c r="B13424" t="s">
        <v>88</v>
      </c>
      <c r="C13424" s="1">
        <f>HYPERLINK("https://cao.dolgi.msk.ru/account/1011509421/", 1011509421)</f>
        <v>1011509421</v>
      </c>
      <c r="D13424">
        <v>0</v>
      </c>
    </row>
    <row r="13425" spans="1:4" x14ac:dyDescent="0.3">
      <c r="A13425" t="s">
        <v>945</v>
      </c>
      <c r="B13425" t="s">
        <v>89</v>
      </c>
      <c r="C13425" s="1">
        <f>HYPERLINK("https://cao.dolgi.msk.ru/account/1011508613/", 1011508613)</f>
        <v>1011508613</v>
      </c>
      <c r="D13425">
        <v>13274.11</v>
      </c>
    </row>
    <row r="13426" spans="1:4" hidden="1" x14ac:dyDescent="0.3">
      <c r="A13426" t="s">
        <v>945</v>
      </c>
      <c r="B13426" t="s">
        <v>90</v>
      </c>
      <c r="C13426" s="1">
        <f>HYPERLINK("https://cao.dolgi.msk.ru/account/1011509771/", 1011509771)</f>
        <v>1011509771</v>
      </c>
      <c r="D13426">
        <v>0</v>
      </c>
    </row>
    <row r="13427" spans="1:4" hidden="1" x14ac:dyDescent="0.3">
      <c r="A13427" t="s">
        <v>945</v>
      </c>
      <c r="B13427" t="s">
        <v>90</v>
      </c>
      <c r="C13427" s="1">
        <f>HYPERLINK("https://cao.dolgi.msk.ru/account/1011510377/", 1011510377)</f>
        <v>1011510377</v>
      </c>
      <c r="D13427">
        <v>-2315.31</v>
      </c>
    </row>
    <row r="13428" spans="1:4" x14ac:dyDescent="0.3">
      <c r="A13428" t="s">
        <v>945</v>
      </c>
      <c r="B13428" t="s">
        <v>96</v>
      </c>
      <c r="C13428" s="1">
        <f>HYPERLINK("https://cao.dolgi.msk.ru/account/1011509085/", 1011509085)</f>
        <v>1011509085</v>
      </c>
      <c r="D13428">
        <v>10534.86</v>
      </c>
    </row>
    <row r="13429" spans="1:4" hidden="1" x14ac:dyDescent="0.3">
      <c r="A13429" t="s">
        <v>945</v>
      </c>
      <c r="B13429" t="s">
        <v>97</v>
      </c>
      <c r="C13429" s="1">
        <f>HYPERLINK("https://cao.dolgi.msk.ru/account/1011508322/", 1011508322)</f>
        <v>1011508322</v>
      </c>
      <c r="D13429">
        <v>0</v>
      </c>
    </row>
    <row r="13430" spans="1:4" hidden="1" x14ac:dyDescent="0.3">
      <c r="A13430" t="s">
        <v>945</v>
      </c>
      <c r="B13430" t="s">
        <v>98</v>
      </c>
      <c r="C13430" s="1">
        <f>HYPERLINK("https://cao.dolgi.msk.ru/account/1011509288/", 1011509288)</f>
        <v>1011509288</v>
      </c>
      <c r="D13430">
        <v>0</v>
      </c>
    </row>
    <row r="13431" spans="1:4" hidden="1" x14ac:dyDescent="0.3">
      <c r="A13431" t="s">
        <v>945</v>
      </c>
      <c r="B13431" t="s">
        <v>58</v>
      </c>
      <c r="C13431" s="1">
        <f>HYPERLINK("https://cao.dolgi.msk.ru/account/1011509448/", 1011509448)</f>
        <v>1011509448</v>
      </c>
      <c r="D13431">
        <v>-247.59</v>
      </c>
    </row>
    <row r="13432" spans="1:4" hidden="1" x14ac:dyDescent="0.3">
      <c r="A13432" t="s">
        <v>945</v>
      </c>
      <c r="B13432" t="s">
        <v>59</v>
      </c>
      <c r="C13432" s="1">
        <f>HYPERLINK("https://cao.dolgi.msk.ru/account/1011508111/", 1011508111)</f>
        <v>1011508111</v>
      </c>
      <c r="D13432">
        <v>-6521.93</v>
      </c>
    </row>
    <row r="13433" spans="1:4" hidden="1" x14ac:dyDescent="0.3">
      <c r="A13433" t="s">
        <v>945</v>
      </c>
      <c r="B13433" t="s">
        <v>60</v>
      </c>
      <c r="C13433" s="1">
        <f>HYPERLINK("https://cao.dolgi.msk.ru/account/1011509798/", 1011509798)</f>
        <v>1011509798</v>
      </c>
      <c r="D13433">
        <v>-3996</v>
      </c>
    </row>
    <row r="13434" spans="1:4" hidden="1" x14ac:dyDescent="0.3">
      <c r="A13434" t="s">
        <v>945</v>
      </c>
      <c r="B13434" t="s">
        <v>61</v>
      </c>
      <c r="C13434" s="1">
        <f>HYPERLINK("https://cao.dolgi.msk.ru/account/1011509093/", 1011509093)</f>
        <v>1011509093</v>
      </c>
      <c r="D13434">
        <v>-8.2100000000000009</v>
      </c>
    </row>
    <row r="13435" spans="1:4" hidden="1" x14ac:dyDescent="0.3">
      <c r="A13435" t="s">
        <v>945</v>
      </c>
      <c r="B13435" t="s">
        <v>62</v>
      </c>
      <c r="C13435" s="1">
        <f>HYPERLINK("https://cao.dolgi.msk.ru/account/1011508138/", 1011508138)</f>
        <v>1011508138</v>
      </c>
      <c r="D13435">
        <v>0</v>
      </c>
    </row>
    <row r="13436" spans="1:4" hidden="1" x14ac:dyDescent="0.3">
      <c r="A13436" t="s">
        <v>945</v>
      </c>
      <c r="B13436" t="s">
        <v>63</v>
      </c>
      <c r="C13436" s="1">
        <f>HYPERLINK("https://cao.dolgi.msk.ru/account/1011509974/", 1011509974)</f>
        <v>1011509974</v>
      </c>
      <c r="D13436">
        <v>-2814.67</v>
      </c>
    </row>
    <row r="13437" spans="1:4" hidden="1" x14ac:dyDescent="0.3">
      <c r="A13437" t="s">
        <v>945</v>
      </c>
      <c r="B13437" t="s">
        <v>64</v>
      </c>
      <c r="C13437" s="1">
        <f>HYPERLINK("https://cao.dolgi.msk.ru/account/1011508146/", 1011508146)</f>
        <v>1011508146</v>
      </c>
      <c r="D13437">
        <v>0</v>
      </c>
    </row>
    <row r="13438" spans="1:4" hidden="1" x14ac:dyDescent="0.3">
      <c r="A13438" t="s">
        <v>945</v>
      </c>
      <c r="B13438" t="s">
        <v>65</v>
      </c>
      <c r="C13438" s="1">
        <f>HYPERLINK("https://cao.dolgi.msk.ru/account/1011508349/", 1011508349)</f>
        <v>1011508349</v>
      </c>
      <c r="D13438">
        <v>-9061.31</v>
      </c>
    </row>
    <row r="13439" spans="1:4" x14ac:dyDescent="0.3">
      <c r="A13439" t="s">
        <v>945</v>
      </c>
      <c r="B13439" t="s">
        <v>66</v>
      </c>
      <c r="C13439" s="1">
        <f>HYPERLINK("https://cao.dolgi.msk.ru/account/1011508154/", 1011508154)</f>
        <v>1011508154</v>
      </c>
      <c r="D13439">
        <v>21919</v>
      </c>
    </row>
    <row r="13440" spans="1:4" x14ac:dyDescent="0.3">
      <c r="A13440" t="s">
        <v>945</v>
      </c>
      <c r="B13440" t="s">
        <v>67</v>
      </c>
      <c r="C13440" s="1">
        <f>HYPERLINK("https://cao.dolgi.msk.ru/account/1011508621/", 1011508621)</f>
        <v>1011508621</v>
      </c>
      <c r="D13440">
        <v>6270.37</v>
      </c>
    </row>
    <row r="13441" spans="1:4" hidden="1" x14ac:dyDescent="0.3">
      <c r="A13441" t="s">
        <v>945</v>
      </c>
      <c r="B13441" t="s">
        <v>68</v>
      </c>
      <c r="C13441" s="1">
        <f>HYPERLINK("https://cao.dolgi.msk.ru/account/1011509819/", 1011509819)</f>
        <v>1011509819</v>
      </c>
      <c r="D13441">
        <v>0</v>
      </c>
    </row>
    <row r="13442" spans="1:4" hidden="1" x14ac:dyDescent="0.3">
      <c r="A13442" t="s">
        <v>945</v>
      </c>
      <c r="B13442" t="s">
        <v>69</v>
      </c>
      <c r="C13442" s="1">
        <f>HYPERLINK("https://cao.dolgi.msk.ru/account/1011508859/", 1011508859)</f>
        <v>1011508859</v>
      </c>
      <c r="D13442">
        <v>0</v>
      </c>
    </row>
    <row r="13443" spans="1:4" hidden="1" x14ac:dyDescent="0.3">
      <c r="A13443" t="s">
        <v>945</v>
      </c>
      <c r="B13443" t="s">
        <v>70</v>
      </c>
      <c r="C13443" s="1">
        <f>HYPERLINK("https://cao.dolgi.msk.ru/account/1011509456/", 1011509456)</f>
        <v>1011509456</v>
      </c>
      <c r="D13443">
        <v>0</v>
      </c>
    </row>
    <row r="13444" spans="1:4" hidden="1" x14ac:dyDescent="0.3">
      <c r="A13444" t="s">
        <v>945</v>
      </c>
      <c r="B13444" t="s">
        <v>259</v>
      </c>
      <c r="C13444" s="1">
        <f>HYPERLINK("https://cao.dolgi.msk.ru/account/1011508867/", 1011508867)</f>
        <v>1011508867</v>
      </c>
      <c r="D13444">
        <v>0</v>
      </c>
    </row>
    <row r="13445" spans="1:4" hidden="1" x14ac:dyDescent="0.3">
      <c r="A13445" t="s">
        <v>945</v>
      </c>
      <c r="B13445" t="s">
        <v>100</v>
      </c>
      <c r="C13445" s="1">
        <f>HYPERLINK("https://cao.dolgi.msk.ru/account/1011509106/", 1011509106)</f>
        <v>1011509106</v>
      </c>
      <c r="D13445">
        <v>-10826.61</v>
      </c>
    </row>
    <row r="13446" spans="1:4" hidden="1" x14ac:dyDescent="0.3">
      <c r="A13446" t="s">
        <v>945</v>
      </c>
      <c r="B13446" t="s">
        <v>72</v>
      </c>
      <c r="C13446" s="1">
        <f>HYPERLINK("https://cao.dolgi.msk.ru/account/1011509464/", 1011509464)</f>
        <v>1011509464</v>
      </c>
      <c r="D13446">
        <v>-5728.65</v>
      </c>
    </row>
    <row r="13447" spans="1:4" hidden="1" x14ac:dyDescent="0.3">
      <c r="A13447" t="s">
        <v>945</v>
      </c>
      <c r="B13447" t="s">
        <v>73</v>
      </c>
      <c r="C13447" s="1">
        <f>HYPERLINK("https://cao.dolgi.msk.ru/account/1011509827/", 1011509827)</f>
        <v>1011509827</v>
      </c>
      <c r="D13447">
        <v>-8399.8799999999992</v>
      </c>
    </row>
    <row r="13448" spans="1:4" hidden="1" x14ac:dyDescent="0.3">
      <c r="A13448" t="s">
        <v>945</v>
      </c>
      <c r="B13448" t="s">
        <v>74</v>
      </c>
      <c r="C13448" s="1">
        <f>HYPERLINK("https://cao.dolgi.msk.ru/account/1011509835/", 1011509835)</f>
        <v>1011509835</v>
      </c>
      <c r="D13448">
        <v>-8120.03</v>
      </c>
    </row>
    <row r="13449" spans="1:4" hidden="1" x14ac:dyDescent="0.3">
      <c r="A13449" t="s">
        <v>945</v>
      </c>
      <c r="B13449" t="s">
        <v>75</v>
      </c>
      <c r="C13449" s="1">
        <f>HYPERLINK("https://cao.dolgi.msk.ru/account/1011508357/", 1011508357)</f>
        <v>1011508357</v>
      </c>
      <c r="D13449">
        <v>0</v>
      </c>
    </row>
    <row r="13450" spans="1:4" x14ac:dyDescent="0.3">
      <c r="A13450" t="s">
        <v>945</v>
      </c>
      <c r="B13450" t="s">
        <v>76</v>
      </c>
      <c r="C13450" s="1">
        <f>HYPERLINK("https://cao.dolgi.msk.ru/account/1011509982/", 1011509982)</f>
        <v>1011509982</v>
      </c>
      <c r="D13450">
        <v>4637.53</v>
      </c>
    </row>
    <row r="13451" spans="1:4" hidden="1" x14ac:dyDescent="0.3">
      <c r="A13451" t="s">
        <v>945</v>
      </c>
      <c r="B13451" t="s">
        <v>77</v>
      </c>
      <c r="C13451" s="1">
        <f>HYPERLINK("https://cao.dolgi.msk.ru/account/1011509843/", 1011509843)</f>
        <v>1011509843</v>
      </c>
      <c r="D13451">
        <v>-18.489999999999998</v>
      </c>
    </row>
    <row r="13452" spans="1:4" x14ac:dyDescent="0.3">
      <c r="A13452" t="s">
        <v>945</v>
      </c>
      <c r="B13452" t="s">
        <v>78</v>
      </c>
      <c r="C13452" s="1">
        <f>HYPERLINK("https://cao.dolgi.msk.ru/account/1011508648/", 1011508648)</f>
        <v>1011508648</v>
      </c>
      <c r="D13452">
        <v>12574.22</v>
      </c>
    </row>
    <row r="13453" spans="1:4" hidden="1" x14ac:dyDescent="0.3">
      <c r="A13453" t="s">
        <v>945</v>
      </c>
      <c r="B13453" t="s">
        <v>79</v>
      </c>
      <c r="C13453" s="1">
        <f>HYPERLINK("https://cao.dolgi.msk.ru/account/1011508656/", 1011508656)</f>
        <v>1011508656</v>
      </c>
      <c r="D13453">
        <v>0</v>
      </c>
    </row>
    <row r="13454" spans="1:4" hidden="1" x14ac:dyDescent="0.3">
      <c r="A13454" t="s">
        <v>945</v>
      </c>
      <c r="B13454" t="s">
        <v>80</v>
      </c>
      <c r="C13454" s="1">
        <f>HYPERLINK("https://cao.dolgi.msk.ru/account/1011509114/", 1011509114)</f>
        <v>1011509114</v>
      </c>
      <c r="D13454">
        <v>-4846.07</v>
      </c>
    </row>
    <row r="13455" spans="1:4" hidden="1" x14ac:dyDescent="0.3">
      <c r="A13455" t="s">
        <v>945</v>
      </c>
      <c r="B13455" t="s">
        <v>81</v>
      </c>
      <c r="C13455" s="1">
        <f>HYPERLINK("https://cao.dolgi.msk.ru/account/1011508365/", 1011508365)</f>
        <v>1011508365</v>
      </c>
      <c r="D13455">
        <v>-4599.38</v>
      </c>
    </row>
    <row r="13456" spans="1:4" hidden="1" x14ac:dyDescent="0.3">
      <c r="A13456" t="s">
        <v>945</v>
      </c>
      <c r="B13456" t="s">
        <v>101</v>
      </c>
      <c r="C13456" s="1">
        <f>HYPERLINK("https://cao.dolgi.msk.ru/account/1011509691/", 1011509691)</f>
        <v>1011509691</v>
      </c>
      <c r="D13456">
        <v>-4681.2700000000004</v>
      </c>
    </row>
    <row r="13457" spans="1:4" hidden="1" x14ac:dyDescent="0.3">
      <c r="A13457" t="s">
        <v>945</v>
      </c>
      <c r="B13457" t="s">
        <v>82</v>
      </c>
      <c r="C13457" s="1">
        <f>HYPERLINK("https://cao.dolgi.msk.ru/account/1011510019/", 1011510019)</f>
        <v>1011510019</v>
      </c>
      <c r="D13457">
        <v>-4354.04</v>
      </c>
    </row>
    <row r="13458" spans="1:4" hidden="1" x14ac:dyDescent="0.3">
      <c r="A13458" t="s">
        <v>945</v>
      </c>
      <c r="B13458" t="s">
        <v>83</v>
      </c>
      <c r="C13458" s="1">
        <f>HYPERLINK("https://cao.dolgi.msk.ru/account/1011510027/", 1011510027)</f>
        <v>1011510027</v>
      </c>
      <c r="D13458">
        <v>-4259.46</v>
      </c>
    </row>
    <row r="13459" spans="1:4" x14ac:dyDescent="0.3">
      <c r="A13459" t="s">
        <v>945</v>
      </c>
      <c r="B13459" t="s">
        <v>84</v>
      </c>
      <c r="C13459" s="1">
        <f>HYPERLINK("https://cao.dolgi.msk.ru/account/1011508664/", 1011508664)</f>
        <v>1011508664</v>
      </c>
      <c r="D13459">
        <v>10017.780000000001</v>
      </c>
    </row>
    <row r="13460" spans="1:4" hidden="1" x14ac:dyDescent="0.3">
      <c r="A13460" t="s">
        <v>945</v>
      </c>
      <c r="B13460" t="s">
        <v>85</v>
      </c>
      <c r="C13460" s="1">
        <f>HYPERLINK("https://cao.dolgi.msk.ru/account/1011509122/", 1011509122)</f>
        <v>1011509122</v>
      </c>
      <c r="D13460">
        <v>-18.489999999999998</v>
      </c>
    </row>
    <row r="13461" spans="1:4" hidden="1" x14ac:dyDescent="0.3">
      <c r="A13461" t="s">
        <v>945</v>
      </c>
      <c r="B13461" t="s">
        <v>102</v>
      </c>
      <c r="C13461" s="1">
        <f>HYPERLINK("https://cao.dolgi.msk.ru/account/1011508672/", 1011508672)</f>
        <v>1011508672</v>
      </c>
      <c r="D13461">
        <v>-7529.74</v>
      </c>
    </row>
    <row r="13462" spans="1:4" hidden="1" x14ac:dyDescent="0.3">
      <c r="A13462" t="s">
        <v>945</v>
      </c>
      <c r="B13462" t="s">
        <v>103</v>
      </c>
      <c r="C13462" s="1">
        <f>HYPERLINK("https://cao.dolgi.msk.ru/account/1011508373/", 1011508373)</f>
        <v>1011508373</v>
      </c>
      <c r="D13462">
        <v>-8070.29</v>
      </c>
    </row>
    <row r="13463" spans="1:4" x14ac:dyDescent="0.3">
      <c r="A13463" t="s">
        <v>945</v>
      </c>
      <c r="B13463" t="s">
        <v>104</v>
      </c>
      <c r="C13463" s="1">
        <f>HYPERLINK("https://cao.dolgi.msk.ru/account/1011510035/", 1011510035)</f>
        <v>1011510035</v>
      </c>
      <c r="D13463">
        <v>6939.08</v>
      </c>
    </row>
    <row r="13464" spans="1:4" hidden="1" x14ac:dyDescent="0.3">
      <c r="A13464" t="s">
        <v>945</v>
      </c>
      <c r="B13464" t="s">
        <v>105</v>
      </c>
      <c r="C13464" s="1">
        <f>HYPERLINK("https://cao.dolgi.msk.ru/account/1011509472/", 1011509472)</f>
        <v>1011509472</v>
      </c>
      <c r="D13464">
        <v>-7860.58</v>
      </c>
    </row>
    <row r="13465" spans="1:4" hidden="1" x14ac:dyDescent="0.3">
      <c r="A13465" t="s">
        <v>945</v>
      </c>
      <c r="B13465" t="s">
        <v>106</v>
      </c>
      <c r="C13465" s="1">
        <f>HYPERLINK("https://cao.dolgi.msk.ru/account/1011508875/", 1011508875)</f>
        <v>1011508875</v>
      </c>
      <c r="D13465">
        <v>0</v>
      </c>
    </row>
    <row r="13466" spans="1:4" hidden="1" x14ac:dyDescent="0.3">
      <c r="A13466" t="s">
        <v>945</v>
      </c>
      <c r="B13466" t="s">
        <v>107</v>
      </c>
      <c r="C13466" s="1">
        <f>HYPERLINK("https://cao.dolgi.msk.ru/account/1011509499/", 1011509499)</f>
        <v>1011509499</v>
      </c>
      <c r="D13466">
        <v>-7991.96</v>
      </c>
    </row>
    <row r="13467" spans="1:4" hidden="1" x14ac:dyDescent="0.3">
      <c r="A13467" t="s">
        <v>945</v>
      </c>
      <c r="B13467" t="s">
        <v>108</v>
      </c>
      <c r="C13467" s="1">
        <f>HYPERLINK("https://cao.dolgi.msk.ru/account/1011508883/", 1011508883)</f>
        <v>1011508883</v>
      </c>
      <c r="D13467">
        <v>0</v>
      </c>
    </row>
    <row r="13468" spans="1:4" hidden="1" x14ac:dyDescent="0.3">
      <c r="A13468" t="s">
        <v>945</v>
      </c>
      <c r="B13468" t="s">
        <v>109</v>
      </c>
      <c r="C13468" s="1">
        <f>HYPERLINK("https://cao.dolgi.msk.ru/account/1011508699/", 1011508699)</f>
        <v>1011508699</v>
      </c>
      <c r="D13468">
        <v>0</v>
      </c>
    </row>
    <row r="13469" spans="1:4" hidden="1" x14ac:dyDescent="0.3">
      <c r="A13469" t="s">
        <v>945</v>
      </c>
      <c r="B13469" t="s">
        <v>111</v>
      </c>
      <c r="C13469" s="1">
        <f>HYPERLINK("https://cao.dolgi.msk.ru/account/1011510043/", 1011510043)</f>
        <v>1011510043</v>
      </c>
      <c r="D13469">
        <v>-3418.15</v>
      </c>
    </row>
    <row r="13470" spans="1:4" hidden="1" x14ac:dyDescent="0.3">
      <c r="A13470" t="s">
        <v>945</v>
      </c>
      <c r="B13470" t="s">
        <v>112</v>
      </c>
      <c r="C13470" s="1">
        <f>HYPERLINK("https://cao.dolgi.msk.ru/account/1011509149/", 1011509149)</f>
        <v>1011509149</v>
      </c>
      <c r="D13470">
        <v>-33.950000000000003</v>
      </c>
    </row>
    <row r="13471" spans="1:4" x14ac:dyDescent="0.3">
      <c r="A13471" t="s">
        <v>945</v>
      </c>
      <c r="B13471" t="s">
        <v>113</v>
      </c>
      <c r="C13471" s="1">
        <f>HYPERLINK("https://cao.dolgi.msk.ru/account/1011509501/", 1011509501)</f>
        <v>1011509501</v>
      </c>
      <c r="D13471">
        <v>10294.64</v>
      </c>
    </row>
    <row r="13472" spans="1:4" hidden="1" x14ac:dyDescent="0.3">
      <c r="A13472" t="s">
        <v>945</v>
      </c>
      <c r="B13472" t="s">
        <v>114</v>
      </c>
      <c r="C13472" s="1">
        <f>HYPERLINK("https://cao.dolgi.msk.ru/account/1011508162/", 1011508162)</f>
        <v>1011508162</v>
      </c>
      <c r="D13472">
        <v>0</v>
      </c>
    </row>
    <row r="13473" spans="1:4" hidden="1" x14ac:dyDescent="0.3">
      <c r="A13473" t="s">
        <v>945</v>
      </c>
      <c r="B13473" t="s">
        <v>115</v>
      </c>
      <c r="C13473" s="1">
        <f>HYPERLINK("https://cao.dolgi.msk.ru/account/1011509528/", 1011509528)</f>
        <v>1011509528</v>
      </c>
      <c r="D13473">
        <v>-3610.24</v>
      </c>
    </row>
    <row r="13474" spans="1:4" hidden="1" x14ac:dyDescent="0.3">
      <c r="A13474" t="s">
        <v>945</v>
      </c>
      <c r="B13474" t="s">
        <v>116</v>
      </c>
      <c r="C13474" s="1">
        <f>HYPERLINK("https://cao.dolgi.msk.ru/account/1011508381/", 1011508381)</f>
        <v>1011508381</v>
      </c>
      <c r="D13474">
        <v>0</v>
      </c>
    </row>
    <row r="13475" spans="1:4" hidden="1" x14ac:dyDescent="0.3">
      <c r="A13475" t="s">
        <v>945</v>
      </c>
      <c r="B13475" t="s">
        <v>266</v>
      </c>
      <c r="C13475" s="1">
        <f>HYPERLINK("https://cao.dolgi.msk.ru/account/1011508904/", 1011508904)</f>
        <v>1011508904</v>
      </c>
      <c r="D13475">
        <v>0</v>
      </c>
    </row>
    <row r="13476" spans="1:4" hidden="1" x14ac:dyDescent="0.3">
      <c r="A13476" t="s">
        <v>945</v>
      </c>
      <c r="B13476" t="s">
        <v>117</v>
      </c>
      <c r="C13476" s="1">
        <f>HYPERLINK("https://cao.dolgi.msk.ru/account/1011510051/", 1011510051)</f>
        <v>1011510051</v>
      </c>
      <c r="D13476">
        <v>0</v>
      </c>
    </row>
    <row r="13477" spans="1:4" hidden="1" x14ac:dyDescent="0.3">
      <c r="A13477" t="s">
        <v>945</v>
      </c>
      <c r="B13477" t="s">
        <v>118</v>
      </c>
      <c r="C13477" s="1">
        <f>HYPERLINK("https://cao.dolgi.msk.ru/account/1011509157/", 1011509157)</f>
        <v>1011509157</v>
      </c>
      <c r="D13477">
        <v>0</v>
      </c>
    </row>
    <row r="13478" spans="1:4" hidden="1" x14ac:dyDescent="0.3">
      <c r="A13478" t="s">
        <v>945</v>
      </c>
      <c r="B13478" t="s">
        <v>119</v>
      </c>
      <c r="C13478" s="1">
        <f>HYPERLINK("https://cao.dolgi.msk.ru/account/1011509536/", 1011509536)</f>
        <v>1011509536</v>
      </c>
      <c r="D13478">
        <v>0</v>
      </c>
    </row>
    <row r="13479" spans="1:4" hidden="1" x14ac:dyDescent="0.3">
      <c r="A13479" t="s">
        <v>945</v>
      </c>
      <c r="B13479" t="s">
        <v>120</v>
      </c>
      <c r="C13479" s="1">
        <f>HYPERLINK("https://cao.dolgi.msk.ru/account/1011508402/", 1011508402)</f>
        <v>1011508402</v>
      </c>
      <c r="D13479">
        <v>0</v>
      </c>
    </row>
    <row r="13480" spans="1:4" hidden="1" x14ac:dyDescent="0.3">
      <c r="A13480" t="s">
        <v>945</v>
      </c>
      <c r="B13480" t="s">
        <v>121</v>
      </c>
      <c r="C13480" s="1">
        <f>HYPERLINK("https://cao.dolgi.msk.ru/account/1011509544/", 1011509544)</f>
        <v>1011509544</v>
      </c>
      <c r="D13480">
        <v>0</v>
      </c>
    </row>
    <row r="13481" spans="1:4" hidden="1" x14ac:dyDescent="0.3">
      <c r="A13481" t="s">
        <v>945</v>
      </c>
      <c r="B13481" t="s">
        <v>122</v>
      </c>
      <c r="C13481" s="1">
        <f>HYPERLINK("https://cao.dolgi.msk.ru/account/1011508701/", 1011508701)</f>
        <v>1011508701</v>
      </c>
      <c r="D13481">
        <v>0</v>
      </c>
    </row>
    <row r="13482" spans="1:4" hidden="1" x14ac:dyDescent="0.3">
      <c r="A13482" t="s">
        <v>945</v>
      </c>
      <c r="B13482" t="s">
        <v>123</v>
      </c>
      <c r="C13482" s="1">
        <f>HYPERLINK("https://cao.dolgi.msk.ru/account/1011508728/", 1011508728)</f>
        <v>1011508728</v>
      </c>
      <c r="D13482">
        <v>0</v>
      </c>
    </row>
    <row r="13483" spans="1:4" hidden="1" x14ac:dyDescent="0.3">
      <c r="A13483" t="s">
        <v>945</v>
      </c>
      <c r="B13483" t="s">
        <v>124</v>
      </c>
      <c r="C13483" s="1">
        <f>HYPERLINK("https://cao.dolgi.msk.ru/account/1011509552/", 1011509552)</f>
        <v>1011509552</v>
      </c>
      <c r="D13483">
        <v>0</v>
      </c>
    </row>
    <row r="13484" spans="1:4" hidden="1" x14ac:dyDescent="0.3">
      <c r="A13484" t="s">
        <v>945</v>
      </c>
      <c r="B13484" t="s">
        <v>125</v>
      </c>
      <c r="C13484" s="1">
        <f>HYPERLINK("https://cao.dolgi.msk.ru/account/1011508429/", 1011508429)</f>
        <v>1011508429</v>
      </c>
      <c r="D13484">
        <v>-245</v>
      </c>
    </row>
    <row r="13485" spans="1:4" hidden="1" x14ac:dyDescent="0.3">
      <c r="A13485" t="s">
        <v>945</v>
      </c>
      <c r="B13485" t="s">
        <v>126</v>
      </c>
      <c r="C13485" s="1">
        <f>HYPERLINK("https://cao.dolgi.msk.ru/account/1011509165/", 1011509165)</f>
        <v>1011509165</v>
      </c>
      <c r="D13485">
        <v>-5241.0600000000004</v>
      </c>
    </row>
    <row r="13486" spans="1:4" hidden="1" x14ac:dyDescent="0.3">
      <c r="A13486" t="s">
        <v>945</v>
      </c>
      <c r="B13486" t="s">
        <v>127</v>
      </c>
      <c r="C13486" s="1">
        <f>HYPERLINK("https://cao.dolgi.msk.ru/account/1011510078/", 1011510078)</f>
        <v>1011510078</v>
      </c>
      <c r="D13486">
        <v>0</v>
      </c>
    </row>
    <row r="13487" spans="1:4" hidden="1" x14ac:dyDescent="0.3">
      <c r="A13487" t="s">
        <v>945</v>
      </c>
      <c r="B13487" t="s">
        <v>262</v>
      </c>
      <c r="C13487" s="1">
        <f>HYPERLINK("https://cao.dolgi.msk.ru/account/1011508189/", 1011508189)</f>
        <v>1011508189</v>
      </c>
      <c r="D13487">
        <v>0</v>
      </c>
    </row>
    <row r="13488" spans="1:4" hidden="1" x14ac:dyDescent="0.3">
      <c r="A13488" t="s">
        <v>945</v>
      </c>
      <c r="B13488" t="s">
        <v>128</v>
      </c>
      <c r="C13488" s="1">
        <f>HYPERLINK("https://cao.dolgi.msk.ru/account/1011508912/", 1011508912)</f>
        <v>1011508912</v>
      </c>
      <c r="D13488">
        <v>-5533.72</v>
      </c>
    </row>
    <row r="13489" spans="1:4" x14ac:dyDescent="0.3">
      <c r="A13489" t="s">
        <v>945</v>
      </c>
      <c r="B13489" t="s">
        <v>129</v>
      </c>
      <c r="C13489" s="1">
        <f>HYPERLINK("https://cao.dolgi.msk.ru/account/1011509851/", 1011509851)</f>
        <v>1011509851</v>
      </c>
      <c r="D13489">
        <v>4249.5600000000004</v>
      </c>
    </row>
    <row r="13490" spans="1:4" hidden="1" x14ac:dyDescent="0.3">
      <c r="A13490" t="s">
        <v>945</v>
      </c>
      <c r="B13490" t="s">
        <v>130</v>
      </c>
      <c r="C13490" s="1">
        <f>HYPERLINK("https://cao.dolgi.msk.ru/account/1011508197/", 1011508197)</f>
        <v>1011508197</v>
      </c>
      <c r="D13490">
        <v>0</v>
      </c>
    </row>
    <row r="13491" spans="1:4" hidden="1" x14ac:dyDescent="0.3">
      <c r="A13491" t="s">
        <v>945</v>
      </c>
      <c r="B13491" t="s">
        <v>131</v>
      </c>
      <c r="C13491" s="1">
        <f>HYPERLINK("https://cao.dolgi.msk.ru/account/1011509878/", 1011509878)</f>
        <v>1011509878</v>
      </c>
      <c r="D13491">
        <v>0</v>
      </c>
    </row>
    <row r="13492" spans="1:4" x14ac:dyDescent="0.3">
      <c r="A13492" t="s">
        <v>945</v>
      </c>
      <c r="B13492" t="s">
        <v>132</v>
      </c>
      <c r="C13492" s="1">
        <f>HYPERLINK("https://cao.dolgi.msk.ru/account/1011509579/", 1011509579)</f>
        <v>1011509579</v>
      </c>
      <c r="D13492">
        <v>3737.99</v>
      </c>
    </row>
    <row r="13493" spans="1:4" hidden="1" x14ac:dyDescent="0.3">
      <c r="A13493" t="s">
        <v>945</v>
      </c>
      <c r="B13493" t="s">
        <v>133</v>
      </c>
      <c r="C13493" s="1">
        <f>HYPERLINK("https://cao.dolgi.msk.ru/account/1011508736/", 1011508736)</f>
        <v>1011508736</v>
      </c>
      <c r="D13493">
        <v>0</v>
      </c>
    </row>
    <row r="13494" spans="1:4" hidden="1" x14ac:dyDescent="0.3">
      <c r="A13494" t="s">
        <v>945</v>
      </c>
      <c r="B13494" t="s">
        <v>134</v>
      </c>
      <c r="C13494" s="1">
        <f>HYPERLINK("https://cao.dolgi.msk.ru/account/1011509886/", 1011509886)</f>
        <v>1011509886</v>
      </c>
      <c r="D13494">
        <v>-855.41</v>
      </c>
    </row>
    <row r="13495" spans="1:4" x14ac:dyDescent="0.3">
      <c r="A13495" t="s">
        <v>945</v>
      </c>
      <c r="B13495" t="s">
        <v>135</v>
      </c>
      <c r="C13495" s="1">
        <f>HYPERLINK("https://cao.dolgi.msk.ru/account/1011508437/", 1011508437)</f>
        <v>1011508437</v>
      </c>
      <c r="D13495">
        <v>6844.79</v>
      </c>
    </row>
    <row r="13496" spans="1:4" x14ac:dyDescent="0.3">
      <c r="A13496" t="s">
        <v>945</v>
      </c>
      <c r="B13496" t="s">
        <v>135</v>
      </c>
      <c r="C13496" s="1">
        <f>HYPERLINK("https://cao.dolgi.msk.ru/account/1011508541/", 1011508541)</f>
        <v>1011508541</v>
      </c>
      <c r="D13496">
        <v>3782.83</v>
      </c>
    </row>
    <row r="13497" spans="1:4" hidden="1" x14ac:dyDescent="0.3">
      <c r="A13497" t="s">
        <v>945</v>
      </c>
      <c r="B13497" t="s">
        <v>264</v>
      </c>
      <c r="C13497" s="1">
        <f>HYPERLINK("https://cao.dolgi.msk.ru/account/1011509587/", 1011509587)</f>
        <v>1011509587</v>
      </c>
      <c r="D13497">
        <v>0</v>
      </c>
    </row>
    <row r="13498" spans="1:4" hidden="1" x14ac:dyDescent="0.3">
      <c r="A13498" t="s">
        <v>945</v>
      </c>
      <c r="B13498" t="s">
        <v>136</v>
      </c>
      <c r="C13498" s="1">
        <f>HYPERLINK("https://cao.dolgi.msk.ru/account/1011509173/", 1011509173)</f>
        <v>1011509173</v>
      </c>
      <c r="D13498">
        <v>0</v>
      </c>
    </row>
    <row r="13499" spans="1:4" hidden="1" x14ac:dyDescent="0.3">
      <c r="A13499" t="s">
        <v>945</v>
      </c>
      <c r="B13499" t="s">
        <v>137</v>
      </c>
      <c r="C13499" s="1">
        <f>HYPERLINK("https://cao.dolgi.msk.ru/account/1011508744/", 1011508744)</f>
        <v>1011508744</v>
      </c>
      <c r="D13499">
        <v>0</v>
      </c>
    </row>
    <row r="13500" spans="1:4" hidden="1" x14ac:dyDescent="0.3">
      <c r="A13500" t="s">
        <v>945</v>
      </c>
      <c r="B13500" t="s">
        <v>138</v>
      </c>
      <c r="C13500" s="1">
        <f>HYPERLINK("https://cao.dolgi.msk.ru/account/1011509181/", 1011509181)</f>
        <v>1011509181</v>
      </c>
      <c r="D13500">
        <v>0</v>
      </c>
    </row>
    <row r="13501" spans="1:4" hidden="1" x14ac:dyDescent="0.3">
      <c r="A13501" t="s">
        <v>945</v>
      </c>
      <c r="B13501" t="s">
        <v>139</v>
      </c>
      <c r="C13501" s="1">
        <f>HYPERLINK("https://cao.dolgi.msk.ru/account/1011508939/", 1011508939)</f>
        <v>1011508939</v>
      </c>
      <c r="D13501">
        <v>0</v>
      </c>
    </row>
    <row r="13502" spans="1:4" x14ac:dyDescent="0.3">
      <c r="A13502" t="s">
        <v>945</v>
      </c>
      <c r="B13502" t="s">
        <v>140</v>
      </c>
      <c r="C13502" s="1">
        <f>HYPERLINK("https://cao.dolgi.msk.ru/account/1011508795/", 1011508795)</f>
        <v>1011508795</v>
      </c>
      <c r="D13502">
        <v>95980.160000000003</v>
      </c>
    </row>
    <row r="13503" spans="1:4" x14ac:dyDescent="0.3">
      <c r="A13503" t="s">
        <v>945</v>
      </c>
      <c r="B13503" t="s">
        <v>141</v>
      </c>
      <c r="C13503" s="1">
        <f>HYPERLINK("https://cao.dolgi.msk.ru/account/1011509202/", 1011509202)</f>
        <v>1011509202</v>
      </c>
      <c r="D13503">
        <v>7137.22</v>
      </c>
    </row>
    <row r="13504" spans="1:4" hidden="1" x14ac:dyDescent="0.3">
      <c r="A13504" t="s">
        <v>945</v>
      </c>
      <c r="B13504" t="s">
        <v>142</v>
      </c>
      <c r="C13504" s="1">
        <f>HYPERLINK("https://cao.dolgi.msk.ru/account/1011509595/", 1011509595)</f>
        <v>1011509595</v>
      </c>
      <c r="D13504">
        <v>0</v>
      </c>
    </row>
    <row r="13505" spans="1:4" x14ac:dyDescent="0.3">
      <c r="A13505" t="s">
        <v>945</v>
      </c>
      <c r="B13505" t="s">
        <v>143</v>
      </c>
      <c r="C13505" s="1">
        <f>HYPERLINK("https://cao.dolgi.msk.ru/account/1011509229/", 1011509229)</f>
        <v>1011509229</v>
      </c>
      <c r="D13505">
        <v>7686.96</v>
      </c>
    </row>
    <row r="13506" spans="1:4" x14ac:dyDescent="0.3">
      <c r="A13506" t="s">
        <v>945</v>
      </c>
      <c r="B13506" t="s">
        <v>144</v>
      </c>
      <c r="C13506" s="1">
        <f>HYPERLINK("https://cao.dolgi.msk.ru/account/1011508752/", 1011508752)</f>
        <v>1011508752</v>
      </c>
      <c r="D13506">
        <v>4966.66</v>
      </c>
    </row>
    <row r="13507" spans="1:4" hidden="1" x14ac:dyDescent="0.3">
      <c r="A13507" t="s">
        <v>945</v>
      </c>
      <c r="B13507" t="s">
        <v>145</v>
      </c>
      <c r="C13507" s="1">
        <f>HYPERLINK("https://cao.dolgi.msk.ru/account/1011509608/", 1011509608)</f>
        <v>1011509608</v>
      </c>
      <c r="D13507">
        <v>0</v>
      </c>
    </row>
    <row r="13508" spans="1:4" hidden="1" x14ac:dyDescent="0.3">
      <c r="A13508" t="s">
        <v>945</v>
      </c>
      <c r="B13508" t="s">
        <v>146</v>
      </c>
      <c r="C13508" s="1">
        <f>HYPERLINK("https://cao.dolgi.msk.ru/account/1011509261/", 1011509261)</f>
        <v>1011509261</v>
      </c>
      <c r="D13508">
        <v>-511.05</v>
      </c>
    </row>
    <row r="13509" spans="1:4" hidden="1" x14ac:dyDescent="0.3">
      <c r="A13509" t="s">
        <v>945</v>
      </c>
      <c r="B13509" t="s">
        <v>147</v>
      </c>
      <c r="C13509" s="1">
        <f>HYPERLINK("https://cao.dolgi.msk.ru/account/1011509616/", 1011509616)</f>
        <v>1011509616</v>
      </c>
      <c r="D13509">
        <v>-3103.05</v>
      </c>
    </row>
    <row r="13510" spans="1:4" hidden="1" x14ac:dyDescent="0.3">
      <c r="A13510" t="s">
        <v>945</v>
      </c>
      <c r="B13510" t="s">
        <v>148</v>
      </c>
      <c r="C13510" s="1">
        <f>HYPERLINK("https://cao.dolgi.msk.ru/account/1011510086/", 1011510086)</f>
        <v>1011510086</v>
      </c>
      <c r="D13510">
        <v>0</v>
      </c>
    </row>
    <row r="13511" spans="1:4" x14ac:dyDescent="0.3">
      <c r="A13511" t="s">
        <v>945</v>
      </c>
      <c r="B13511" t="s">
        <v>149</v>
      </c>
      <c r="C13511" s="1">
        <f>HYPERLINK("https://cao.dolgi.msk.ru/account/1011509894/", 1011509894)</f>
        <v>1011509894</v>
      </c>
      <c r="D13511">
        <v>30002.05</v>
      </c>
    </row>
    <row r="13512" spans="1:4" hidden="1" x14ac:dyDescent="0.3">
      <c r="A13512" t="s">
        <v>945</v>
      </c>
      <c r="B13512" t="s">
        <v>150</v>
      </c>
      <c r="C13512" s="1">
        <f>HYPERLINK("https://cao.dolgi.msk.ru/account/1011509237/", 1011509237)</f>
        <v>1011509237</v>
      </c>
      <c r="D13512">
        <v>0</v>
      </c>
    </row>
    <row r="13513" spans="1:4" hidden="1" x14ac:dyDescent="0.3">
      <c r="A13513" t="s">
        <v>945</v>
      </c>
      <c r="B13513" t="s">
        <v>151</v>
      </c>
      <c r="C13513" s="1">
        <f>HYPERLINK("https://cao.dolgi.msk.ru/account/1011508218/", 1011508218)</f>
        <v>1011508218</v>
      </c>
      <c r="D13513">
        <v>0</v>
      </c>
    </row>
    <row r="13514" spans="1:4" hidden="1" x14ac:dyDescent="0.3">
      <c r="A13514" t="s">
        <v>945</v>
      </c>
      <c r="B13514" t="s">
        <v>152</v>
      </c>
      <c r="C13514" s="1">
        <f>HYPERLINK("https://cao.dolgi.msk.ru/account/1011508947/", 1011508947)</f>
        <v>1011508947</v>
      </c>
      <c r="D13514">
        <v>0</v>
      </c>
    </row>
    <row r="13515" spans="1:4" hidden="1" x14ac:dyDescent="0.3">
      <c r="A13515" t="s">
        <v>945</v>
      </c>
      <c r="B13515" t="s">
        <v>153</v>
      </c>
      <c r="C13515" s="1">
        <f>HYPERLINK("https://cao.dolgi.msk.ru/account/1011508779/", 1011508779)</f>
        <v>1011508779</v>
      </c>
      <c r="D13515">
        <v>-4543.2700000000004</v>
      </c>
    </row>
    <row r="13516" spans="1:4" hidden="1" x14ac:dyDescent="0.3">
      <c r="A13516" t="s">
        <v>945</v>
      </c>
      <c r="B13516" t="s">
        <v>154</v>
      </c>
      <c r="C13516" s="1">
        <f>HYPERLINK("https://cao.dolgi.msk.ru/account/1011508955/", 1011508955)</f>
        <v>1011508955</v>
      </c>
      <c r="D13516">
        <v>-829.23</v>
      </c>
    </row>
    <row r="13517" spans="1:4" hidden="1" x14ac:dyDescent="0.3">
      <c r="A13517" t="s">
        <v>945</v>
      </c>
      <c r="B13517" t="s">
        <v>155</v>
      </c>
      <c r="C13517" s="1">
        <f>HYPERLINK("https://cao.dolgi.msk.ru/account/1011509624/", 1011509624)</f>
        <v>1011509624</v>
      </c>
      <c r="D13517">
        <v>0</v>
      </c>
    </row>
    <row r="13518" spans="1:4" hidden="1" x14ac:dyDescent="0.3">
      <c r="A13518" t="s">
        <v>945</v>
      </c>
      <c r="B13518" t="s">
        <v>156</v>
      </c>
      <c r="C13518" s="1">
        <f>HYPERLINK("https://cao.dolgi.msk.ru/account/1011508226/", 1011508226)</f>
        <v>1011508226</v>
      </c>
      <c r="D13518">
        <v>0</v>
      </c>
    </row>
    <row r="13519" spans="1:4" x14ac:dyDescent="0.3">
      <c r="A13519" t="s">
        <v>945</v>
      </c>
      <c r="B13519" t="s">
        <v>157</v>
      </c>
      <c r="C13519" s="1">
        <f>HYPERLINK("https://cao.dolgi.msk.ru/account/1011508445/", 1011508445)</f>
        <v>1011508445</v>
      </c>
      <c r="D13519">
        <v>5945.04</v>
      </c>
    </row>
    <row r="13520" spans="1:4" hidden="1" x14ac:dyDescent="0.3">
      <c r="A13520" t="s">
        <v>945</v>
      </c>
      <c r="B13520" t="s">
        <v>158</v>
      </c>
      <c r="C13520" s="1">
        <f>HYPERLINK("https://cao.dolgi.msk.ru/account/1011510094/", 1011510094)</f>
        <v>1011510094</v>
      </c>
      <c r="D13520">
        <v>-2213.4899999999998</v>
      </c>
    </row>
    <row r="13521" spans="1:4" x14ac:dyDescent="0.3">
      <c r="A13521" t="s">
        <v>945</v>
      </c>
      <c r="B13521" t="s">
        <v>159</v>
      </c>
      <c r="C13521" s="1">
        <f>HYPERLINK("https://cao.dolgi.msk.ru/account/1011508453/", 1011508453)</f>
        <v>1011508453</v>
      </c>
      <c r="D13521">
        <v>8685.14</v>
      </c>
    </row>
    <row r="13522" spans="1:4" hidden="1" x14ac:dyDescent="0.3">
      <c r="A13522" t="s">
        <v>945</v>
      </c>
      <c r="B13522" t="s">
        <v>160</v>
      </c>
      <c r="C13522" s="1">
        <f>HYPERLINK("https://cao.dolgi.msk.ru/account/1011508234/", 1011508234)</f>
        <v>1011508234</v>
      </c>
      <c r="D13522">
        <v>0</v>
      </c>
    </row>
    <row r="13523" spans="1:4" hidden="1" x14ac:dyDescent="0.3">
      <c r="A13523" t="s">
        <v>945</v>
      </c>
      <c r="B13523" t="s">
        <v>161</v>
      </c>
      <c r="C13523" s="1">
        <f>HYPERLINK("https://cao.dolgi.msk.ru/account/1011510107/", 1011510107)</f>
        <v>1011510107</v>
      </c>
      <c r="D13523">
        <v>-5224.34</v>
      </c>
    </row>
    <row r="13524" spans="1:4" x14ac:dyDescent="0.3">
      <c r="A13524" t="s">
        <v>945</v>
      </c>
      <c r="B13524" t="s">
        <v>162</v>
      </c>
      <c r="C13524" s="1">
        <f>HYPERLINK("https://cao.dolgi.msk.ru/account/1011509632/", 1011509632)</f>
        <v>1011509632</v>
      </c>
      <c r="D13524">
        <v>5991.21</v>
      </c>
    </row>
    <row r="13525" spans="1:4" hidden="1" x14ac:dyDescent="0.3">
      <c r="A13525" t="s">
        <v>945</v>
      </c>
      <c r="B13525" t="s">
        <v>163</v>
      </c>
      <c r="C13525" s="1">
        <f>HYPERLINK("https://cao.dolgi.msk.ru/account/1011508461/", 1011508461)</f>
        <v>1011508461</v>
      </c>
      <c r="D13525">
        <v>0</v>
      </c>
    </row>
    <row r="13526" spans="1:4" hidden="1" x14ac:dyDescent="0.3">
      <c r="A13526" t="s">
        <v>945</v>
      </c>
      <c r="B13526" t="s">
        <v>164</v>
      </c>
      <c r="C13526" s="1">
        <f>HYPERLINK("https://cao.dolgi.msk.ru/account/1011510115/", 1011510115)</f>
        <v>1011510115</v>
      </c>
      <c r="D13526">
        <v>0</v>
      </c>
    </row>
    <row r="13527" spans="1:4" hidden="1" x14ac:dyDescent="0.3">
      <c r="A13527" t="s">
        <v>945</v>
      </c>
      <c r="B13527" t="s">
        <v>165</v>
      </c>
      <c r="C13527" s="1">
        <f>HYPERLINK("https://cao.dolgi.msk.ru/account/1011509907/", 1011509907)</f>
        <v>1011509907</v>
      </c>
      <c r="D13527">
        <v>0</v>
      </c>
    </row>
    <row r="13528" spans="1:4" hidden="1" x14ac:dyDescent="0.3">
      <c r="A13528" t="s">
        <v>945</v>
      </c>
      <c r="B13528" t="s">
        <v>166</v>
      </c>
      <c r="C13528" s="1">
        <f>HYPERLINK("https://cao.dolgi.msk.ru/account/1011508488/", 1011508488)</f>
        <v>1011508488</v>
      </c>
      <c r="D13528">
        <v>0</v>
      </c>
    </row>
    <row r="13529" spans="1:4" hidden="1" x14ac:dyDescent="0.3">
      <c r="A13529" t="s">
        <v>945</v>
      </c>
      <c r="B13529" t="s">
        <v>167</v>
      </c>
      <c r="C13529" s="1">
        <f>HYPERLINK("https://cao.dolgi.msk.ru/account/1011509659/", 1011509659)</f>
        <v>1011509659</v>
      </c>
      <c r="D13529">
        <v>0</v>
      </c>
    </row>
    <row r="13530" spans="1:4" hidden="1" x14ac:dyDescent="0.3">
      <c r="A13530" t="s">
        <v>945</v>
      </c>
      <c r="B13530" t="s">
        <v>168</v>
      </c>
      <c r="C13530" s="1">
        <f>HYPERLINK("https://cao.dolgi.msk.ru/account/1011508242/", 1011508242)</f>
        <v>1011508242</v>
      </c>
      <c r="D13530">
        <v>-2826.03</v>
      </c>
    </row>
    <row r="13531" spans="1:4" hidden="1" x14ac:dyDescent="0.3">
      <c r="A13531" t="s">
        <v>945</v>
      </c>
      <c r="B13531" t="s">
        <v>168</v>
      </c>
      <c r="C13531" s="1">
        <f>HYPERLINK("https://cao.dolgi.msk.ru/account/1011509296/", 1011509296)</f>
        <v>1011509296</v>
      </c>
      <c r="D13531">
        <v>0</v>
      </c>
    </row>
    <row r="13532" spans="1:4" hidden="1" x14ac:dyDescent="0.3">
      <c r="A13532" t="s">
        <v>945</v>
      </c>
      <c r="B13532" t="s">
        <v>169</v>
      </c>
      <c r="C13532" s="1">
        <f>HYPERLINK("https://cao.dolgi.msk.ru/account/1011508496/", 1011508496)</f>
        <v>1011508496</v>
      </c>
      <c r="D13532">
        <v>0</v>
      </c>
    </row>
    <row r="13533" spans="1:4" hidden="1" x14ac:dyDescent="0.3">
      <c r="A13533" t="s">
        <v>945</v>
      </c>
      <c r="B13533" t="s">
        <v>170</v>
      </c>
      <c r="C13533" s="1">
        <f>HYPERLINK("https://cao.dolgi.msk.ru/account/1011508269/", 1011508269)</f>
        <v>1011508269</v>
      </c>
      <c r="D13533">
        <v>-6497.87</v>
      </c>
    </row>
    <row r="13534" spans="1:4" hidden="1" x14ac:dyDescent="0.3">
      <c r="A13534" t="s">
        <v>945</v>
      </c>
      <c r="B13534" t="s">
        <v>171</v>
      </c>
      <c r="C13534" s="1">
        <f>HYPERLINK("https://cao.dolgi.msk.ru/account/1011508963/", 1011508963)</f>
        <v>1011508963</v>
      </c>
      <c r="D13534">
        <v>-1072.1099999999999</v>
      </c>
    </row>
    <row r="13535" spans="1:4" hidden="1" x14ac:dyDescent="0.3">
      <c r="A13535" t="s">
        <v>945</v>
      </c>
      <c r="B13535" t="s">
        <v>172</v>
      </c>
      <c r="C13535" s="1">
        <f>HYPERLINK("https://cao.dolgi.msk.ru/account/1011508509/", 1011508509)</f>
        <v>1011508509</v>
      </c>
      <c r="D13535">
        <v>0</v>
      </c>
    </row>
    <row r="13536" spans="1:4" hidden="1" x14ac:dyDescent="0.3">
      <c r="A13536" t="s">
        <v>945</v>
      </c>
      <c r="B13536" t="s">
        <v>173</v>
      </c>
      <c r="C13536" s="1">
        <f>HYPERLINK("https://cao.dolgi.msk.ru/account/1011508517/", 1011508517)</f>
        <v>1011508517</v>
      </c>
      <c r="D13536">
        <v>-202.63</v>
      </c>
    </row>
    <row r="13537" spans="1:4" hidden="1" x14ac:dyDescent="0.3">
      <c r="A13537" t="s">
        <v>945</v>
      </c>
      <c r="B13537" t="s">
        <v>174</v>
      </c>
      <c r="C13537" s="1">
        <f>HYPERLINK("https://cao.dolgi.msk.ru/account/1011510123/", 1011510123)</f>
        <v>1011510123</v>
      </c>
      <c r="D13537">
        <v>-3667.81</v>
      </c>
    </row>
    <row r="13538" spans="1:4" hidden="1" x14ac:dyDescent="0.3">
      <c r="A13538" t="s">
        <v>945</v>
      </c>
      <c r="B13538" t="s">
        <v>175</v>
      </c>
      <c r="C13538" s="1">
        <f>HYPERLINK("https://cao.dolgi.msk.ru/account/1011541042/", 1011541042)</f>
        <v>1011541042</v>
      </c>
      <c r="D13538">
        <v>0</v>
      </c>
    </row>
    <row r="13539" spans="1:4" hidden="1" x14ac:dyDescent="0.3">
      <c r="A13539" t="s">
        <v>945</v>
      </c>
      <c r="B13539" t="s">
        <v>176</v>
      </c>
      <c r="C13539" s="1">
        <f>HYPERLINK("https://cao.dolgi.msk.ru/account/1011509667/", 1011509667)</f>
        <v>1011509667</v>
      </c>
      <c r="D13539">
        <v>0</v>
      </c>
    </row>
    <row r="13540" spans="1:4" hidden="1" x14ac:dyDescent="0.3">
      <c r="A13540" t="s">
        <v>945</v>
      </c>
      <c r="B13540" t="s">
        <v>177</v>
      </c>
      <c r="C13540" s="1">
        <f>HYPERLINK("https://cao.dolgi.msk.ru/account/1011509245/", 1011509245)</f>
        <v>1011509245</v>
      </c>
      <c r="D13540">
        <v>0</v>
      </c>
    </row>
    <row r="13541" spans="1:4" hidden="1" x14ac:dyDescent="0.3">
      <c r="A13541" t="s">
        <v>945</v>
      </c>
      <c r="B13541" t="s">
        <v>178</v>
      </c>
      <c r="C13541" s="1">
        <f>HYPERLINK("https://cao.dolgi.msk.ru/account/1011509915/", 1011509915)</f>
        <v>1011509915</v>
      </c>
      <c r="D13541">
        <v>-5099.9399999999996</v>
      </c>
    </row>
    <row r="13542" spans="1:4" hidden="1" x14ac:dyDescent="0.3">
      <c r="A13542" t="s">
        <v>945</v>
      </c>
      <c r="B13542" t="s">
        <v>179</v>
      </c>
      <c r="C13542" s="1">
        <f>HYPERLINK("https://cao.dolgi.msk.ru/account/1011509675/", 1011509675)</f>
        <v>1011509675</v>
      </c>
      <c r="D13542">
        <v>-5380.22</v>
      </c>
    </row>
    <row r="13543" spans="1:4" hidden="1" x14ac:dyDescent="0.3">
      <c r="A13543" t="s">
        <v>945</v>
      </c>
      <c r="B13543" t="s">
        <v>273</v>
      </c>
      <c r="C13543" s="1">
        <f>HYPERLINK("https://cao.dolgi.msk.ru/account/1011508277/", 1011508277)</f>
        <v>1011508277</v>
      </c>
      <c r="D13543">
        <v>-6740.54</v>
      </c>
    </row>
    <row r="13544" spans="1:4" x14ac:dyDescent="0.3">
      <c r="A13544" t="s">
        <v>945</v>
      </c>
      <c r="B13544" t="s">
        <v>180</v>
      </c>
      <c r="C13544" s="1">
        <f>HYPERLINK("https://cao.dolgi.msk.ru/account/1011515434/", 1011515434)</f>
        <v>1011515434</v>
      </c>
      <c r="D13544">
        <v>22813.56</v>
      </c>
    </row>
    <row r="13545" spans="1:4" hidden="1" x14ac:dyDescent="0.3">
      <c r="A13545" t="s">
        <v>945</v>
      </c>
      <c r="B13545" t="s">
        <v>181</v>
      </c>
      <c r="C13545" s="1">
        <f>HYPERLINK("https://cao.dolgi.msk.ru/account/1011508971/", 1011508971)</f>
        <v>1011508971</v>
      </c>
      <c r="D13545">
        <v>0</v>
      </c>
    </row>
    <row r="13546" spans="1:4" hidden="1" x14ac:dyDescent="0.3">
      <c r="A13546" t="s">
        <v>945</v>
      </c>
      <c r="B13546" t="s">
        <v>181</v>
      </c>
      <c r="C13546" s="1">
        <f>HYPERLINK("https://cao.dolgi.msk.ru/account/1011509018/", 1011509018)</f>
        <v>1011509018</v>
      </c>
      <c r="D13546">
        <v>0</v>
      </c>
    </row>
    <row r="13547" spans="1:4" hidden="1" x14ac:dyDescent="0.3">
      <c r="A13547" t="s">
        <v>945</v>
      </c>
      <c r="B13547" t="s">
        <v>182</v>
      </c>
      <c r="C13547" s="1">
        <f>HYPERLINK("https://cao.dolgi.msk.ru/account/1011508787/", 1011508787)</f>
        <v>1011508787</v>
      </c>
      <c r="D13547">
        <v>0</v>
      </c>
    </row>
    <row r="13548" spans="1:4" hidden="1" x14ac:dyDescent="0.3">
      <c r="A13548" t="s">
        <v>945</v>
      </c>
      <c r="B13548" t="s">
        <v>183</v>
      </c>
      <c r="C13548" s="1">
        <f>HYPERLINK("https://cao.dolgi.msk.ru/account/1011508998/", 1011508998)</f>
        <v>1011508998</v>
      </c>
      <c r="D13548">
        <v>0</v>
      </c>
    </row>
    <row r="13549" spans="1:4" hidden="1" x14ac:dyDescent="0.3">
      <c r="A13549" t="s">
        <v>945</v>
      </c>
      <c r="B13549" t="s">
        <v>184</v>
      </c>
      <c r="C13549" s="1">
        <f>HYPERLINK("https://cao.dolgi.msk.ru/account/1011509923/", 1011509923)</f>
        <v>1011509923</v>
      </c>
      <c r="D13549">
        <v>0</v>
      </c>
    </row>
    <row r="13550" spans="1:4" hidden="1" x14ac:dyDescent="0.3">
      <c r="A13550" t="s">
        <v>945</v>
      </c>
      <c r="B13550" t="s">
        <v>185</v>
      </c>
      <c r="C13550" s="1">
        <f>HYPERLINK("https://cao.dolgi.msk.ru/account/1011510158/", 1011510158)</f>
        <v>1011510158</v>
      </c>
      <c r="D13550">
        <v>0</v>
      </c>
    </row>
    <row r="13551" spans="1:4" hidden="1" x14ac:dyDescent="0.3">
      <c r="A13551" t="s">
        <v>945</v>
      </c>
      <c r="B13551" t="s">
        <v>274</v>
      </c>
      <c r="C13551" s="1">
        <f>HYPERLINK("https://cao.dolgi.msk.ru/account/1011510166/", 1011510166)</f>
        <v>1011510166</v>
      </c>
      <c r="D13551">
        <v>-3465.63</v>
      </c>
    </row>
    <row r="13552" spans="1:4" hidden="1" x14ac:dyDescent="0.3">
      <c r="A13552" t="s">
        <v>945</v>
      </c>
      <c r="B13552" t="s">
        <v>186</v>
      </c>
      <c r="C13552" s="1">
        <f>HYPERLINK("https://cao.dolgi.msk.ru/account/1011509931/", 1011509931)</f>
        <v>1011509931</v>
      </c>
      <c r="D13552">
        <v>0</v>
      </c>
    </row>
    <row r="13553" spans="1:4" hidden="1" x14ac:dyDescent="0.3">
      <c r="A13553" t="s">
        <v>945</v>
      </c>
      <c r="B13553" t="s">
        <v>187</v>
      </c>
      <c r="C13553" s="1">
        <f>HYPERLINK("https://cao.dolgi.msk.ru/account/1011508533/", 1011508533)</f>
        <v>1011508533</v>
      </c>
      <c r="D13553">
        <v>0</v>
      </c>
    </row>
    <row r="13554" spans="1:4" hidden="1" x14ac:dyDescent="0.3">
      <c r="A13554" t="s">
        <v>945</v>
      </c>
      <c r="B13554" t="s">
        <v>188</v>
      </c>
      <c r="C13554" s="1">
        <f>HYPERLINK("https://cao.dolgi.msk.ru/account/1011511476/", 1011511476)</f>
        <v>1011511476</v>
      </c>
      <c r="D13554">
        <v>-7320.46</v>
      </c>
    </row>
    <row r="13555" spans="1:4" hidden="1" x14ac:dyDescent="0.3">
      <c r="A13555" t="s">
        <v>945</v>
      </c>
      <c r="B13555" t="s">
        <v>189</v>
      </c>
      <c r="C13555" s="1">
        <f>HYPERLINK("https://cao.dolgi.msk.ru/account/1011509253/", 1011509253)</f>
        <v>1011509253</v>
      </c>
      <c r="D13555">
        <v>-7971.36</v>
      </c>
    </row>
    <row r="13556" spans="1:4" x14ac:dyDescent="0.3">
      <c r="A13556" t="s">
        <v>945</v>
      </c>
      <c r="B13556" t="s">
        <v>190</v>
      </c>
      <c r="C13556" s="1">
        <f>HYPERLINK("https://cao.dolgi.msk.ru/account/1011509683/", 1011509683)</f>
        <v>1011509683</v>
      </c>
      <c r="D13556">
        <v>65360.82</v>
      </c>
    </row>
    <row r="13557" spans="1:4" hidden="1" x14ac:dyDescent="0.3">
      <c r="A13557" t="s">
        <v>946</v>
      </c>
      <c r="B13557" t="s">
        <v>7</v>
      </c>
      <c r="C13557" s="1">
        <f>HYPERLINK("https://cao.dolgi.msk.ru/account/1011128653/", 1011128653)</f>
        <v>1011128653</v>
      </c>
      <c r="D13557">
        <v>-9717.26</v>
      </c>
    </row>
    <row r="13558" spans="1:4" x14ac:dyDescent="0.3">
      <c r="A13558" t="s">
        <v>946</v>
      </c>
      <c r="B13558" t="s">
        <v>8</v>
      </c>
      <c r="C13558" s="1">
        <f>HYPERLINK("https://cao.dolgi.msk.ru/account/1011128688/", 1011128688)</f>
        <v>1011128688</v>
      </c>
      <c r="D13558">
        <v>13554.09</v>
      </c>
    </row>
    <row r="13559" spans="1:4" hidden="1" x14ac:dyDescent="0.3">
      <c r="A13559" t="s">
        <v>947</v>
      </c>
      <c r="B13559" t="s">
        <v>6</v>
      </c>
      <c r="C13559" s="1">
        <f>HYPERLINK("https://cao.dolgi.msk.ru/account/1011494063/", 1011494063)</f>
        <v>1011494063</v>
      </c>
      <c r="D13559">
        <v>0</v>
      </c>
    </row>
    <row r="13560" spans="1:4" hidden="1" x14ac:dyDescent="0.3">
      <c r="A13560" t="s">
        <v>948</v>
      </c>
      <c r="B13560" t="s">
        <v>6</v>
      </c>
      <c r="C13560" s="1">
        <f>HYPERLINK("https://cao.dolgi.msk.ru/account/1011488739/", 1011488739)</f>
        <v>1011488739</v>
      </c>
      <c r="D13560">
        <v>0</v>
      </c>
    </row>
    <row r="13561" spans="1:4" hidden="1" x14ac:dyDescent="0.3">
      <c r="A13561" t="s">
        <v>948</v>
      </c>
      <c r="B13561" t="s">
        <v>28</v>
      </c>
      <c r="C13561" s="1">
        <f>HYPERLINK("https://cao.dolgi.msk.ru/account/1011488982/", 1011488982)</f>
        <v>1011488982</v>
      </c>
      <c r="D13561">
        <v>-60.79</v>
      </c>
    </row>
    <row r="13562" spans="1:4" hidden="1" x14ac:dyDescent="0.3">
      <c r="A13562" t="s">
        <v>948</v>
      </c>
      <c r="B13562" t="s">
        <v>35</v>
      </c>
      <c r="C13562" s="1">
        <f>HYPERLINK("https://cao.dolgi.msk.ru/account/1011488456/", 1011488456)</f>
        <v>1011488456</v>
      </c>
      <c r="D13562">
        <v>0</v>
      </c>
    </row>
    <row r="13563" spans="1:4" hidden="1" x14ac:dyDescent="0.3">
      <c r="A13563" t="s">
        <v>948</v>
      </c>
      <c r="B13563" t="s">
        <v>5</v>
      </c>
      <c r="C13563" s="1">
        <f>HYPERLINK("https://cao.dolgi.msk.ru/account/1011488552/", 1011488552)</f>
        <v>1011488552</v>
      </c>
      <c r="D13563">
        <v>0</v>
      </c>
    </row>
    <row r="13564" spans="1:4" hidden="1" x14ac:dyDescent="0.3">
      <c r="A13564" t="s">
        <v>948</v>
      </c>
      <c r="B13564" t="s">
        <v>7</v>
      </c>
      <c r="C13564" s="1">
        <f>HYPERLINK("https://cao.dolgi.msk.ru/account/1011488747/", 1011488747)</f>
        <v>1011488747</v>
      </c>
      <c r="D13564">
        <v>-9869.1</v>
      </c>
    </row>
    <row r="13565" spans="1:4" hidden="1" x14ac:dyDescent="0.3">
      <c r="A13565" t="s">
        <v>948</v>
      </c>
      <c r="B13565" t="s">
        <v>8</v>
      </c>
      <c r="C13565" s="1">
        <f>HYPERLINK("https://cao.dolgi.msk.ru/account/1011488499/", 1011488499)</f>
        <v>1011488499</v>
      </c>
      <c r="D13565">
        <v>0</v>
      </c>
    </row>
    <row r="13566" spans="1:4" hidden="1" x14ac:dyDescent="0.3">
      <c r="A13566" t="s">
        <v>948</v>
      </c>
      <c r="B13566" t="s">
        <v>31</v>
      </c>
      <c r="C13566" s="1">
        <f>HYPERLINK("https://cao.dolgi.msk.ru/account/1011488894/", 1011488894)</f>
        <v>1011488894</v>
      </c>
      <c r="D13566">
        <v>0</v>
      </c>
    </row>
    <row r="13567" spans="1:4" hidden="1" x14ac:dyDescent="0.3">
      <c r="A13567" t="s">
        <v>948</v>
      </c>
      <c r="B13567" t="s">
        <v>9</v>
      </c>
      <c r="C13567" s="1">
        <f>HYPERLINK("https://cao.dolgi.msk.ru/account/1011488579/", 1011488579)</f>
        <v>1011488579</v>
      </c>
      <c r="D13567">
        <v>0</v>
      </c>
    </row>
    <row r="13568" spans="1:4" hidden="1" x14ac:dyDescent="0.3">
      <c r="A13568" t="s">
        <v>948</v>
      </c>
      <c r="B13568" t="s">
        <v>10</v>
      </c>
      <c r="C13568" s="1">
        <f>HYPERLINK("https://cao.dolgi.msk.ru/account/1011488501/", 1011488501)</f>
        <v>1011488501</v>
      </c>
      <c r="D13568">
        <v>-16038.45</v>
      </c>
    </row>
    <row r="13569" spans="1:4" hidden="1" x14ac:dyDescent="0.3">
      <c r="A13569" t="s">
        <v>948</v>
      </c>
      <c r="B13569" t="s">
        <v>11</v>
      </c>
      <c r="C13569" s="1">
        <f>HYPERLINK("https://cao.dolgi.msk.ru/account/1011489002/", 1011489002)</f>
        <v>1011489002</v>
      </c>
      <c r="D13569">
        <v>0</v>
      </c>
    </row>
    <row r="13570" spans="1:4" hidden="1" x14ac:dyDescent="0.3">
      <c r="A13570" t="s">
        <v>948</v>
      </c>
      <c r="B13570" t="s">
        <v>12</v>
      </c>
      <c r="C13570" s="1">
        <f>HYPERLINK("https://cao.dolgi.msk.ru/account/1011488886/", 1011488886)</f>
        <v>1011488886</v>
      </c>
      <c r="D13570">
        <v>0</v>
      </c>
    </row>
    <row r="13571" spans="1:4" hidden="1" x14ac:dyDescent="0.3">
      <c r="A13571" t="s">
        <v>948</v>
      </c>
      <c r="B13571" t="s">
        <v>23</v>
      </c>
      <c r="C13571" s="1">
        <f>HYPERLINK("https://cao.dolgi.msk.ru/account/1011488528/", 1011488528)</f>
        <v>1011488528</v>
      </c>
      <c r="D13571">
        <v>-6893.09</v>
      </c>
    </row>
    <row r="13572" spans="1:4" hidden="1" x14ac:dyDescent="0.3">
      <c r="A13572" t="s">
        <v>948</v>
      </c>
      <c r="B13572" t="s">
        <v>13</v>
      </c>
      <c r="C13572" s="1">
        <f>HYPERLINK("https://cao.dolgi.msk.ru/account/1011488907/", 1011488907)</f>
        <v>1011488907</v>
      </c>
      <c r="D13572">
        <v>-3406.2</v>
      </c>
    </row>
    <row r="13573" spans="1:4" hidden="1" x14ac:dyDescent="0.3">
      <c r="A13573" t="s">
        <v>948</v>
      </c>
      <c r="B13573" t="s">
        <v>13</v>
      </c>
      <c r="C13573" s="1">
        <f>HYPERLINK("https://cao.dolgi.msk.ru/account/1011489125/", 1011489125)</f>
        <v>1011489125</v>
      </c>
      <c r="D13573">
        <v>0</v>
      </c>
    </row>
    <row r="13574" spans="1:4" hidden="1" x14ac:dyDescent="0.3">
      <c r="A13574" t="s">
        <v>948</v>
      </c>
      <c r="B13574" t="s">
        <v>14</v>
      </c>
      <c r="C13574" s="1">
        <f>HYPERLINK("https://cao.dolgi.msk.ru/account/1011488587/", 1011488587)</f>
        <v>1011488587</v>
      </c>
      <c r="D13574">
        <v>0</v>
      </c>
    </row>
    <row r="13575" spans="1:4" hidden="1" x14ac:dyDescent="0.3">
      <c r="A13575" t="s">
        <v>948</v>
      </c>
      <c r="B13575" t="s">
        <v>14</v>
      </c>
      <c r="C13575" s="1">
        <f>HYPERLINK("https://cao.dolgi.msk.ru/account/1011488974/", 1011488974)</f>
        <v>1011488974</v>
      </c>
      <c r="D13575">
        <v>0</v>
      </c>
    </row>
    <row r="13576" spans="1:4" hidden="1" x14ac:dyDescent="0.3">
      <c r="A13576" t="s">
        <v>948</v>
      </c>
      <c r="B13576" t="s">
        <v>16</v>
      </c>
      <c r="C13576" s="1">
        <f>HYPERLINK("https://cao.dolgi.msk.ru/account/1011488595/", 1011488595)</f>
        <v>1011488595</v>
      </c>
      <c r="D13576">
        <v>0</v>
      </c>
    </row>
    <row r="13577" spans="1:4" hidden="1" x14ac:dyDescent="0.3">
      <c r="A13577" t="s">
        <v>948</v>
      </c>
      <c r="B13577" t="s">
        <v>17</v>
      </c>
      <c r="C13577" s="1">
        <f>HYPERLINK("https://cao.dolgi.msk.ru/account/1011488755/", 1011488755)</f>
        <v>1011488755</v>
      </c>
      <c r="D13577">
        <v>0</v>
      </c>
    </row>
    <row r="13578" spans="1:4" hidden="1" x14ac:dyDescent="0.3">
      <c r="A13578" t="s">
        <v>948</v>
      </c>
      <c r="B13578" t="s">
        <v>18</v>
      </c>
      <c r="C13578" s="1">
        <f>HYPERLINK("https://cao.dolgi.msk.ru/account/1011515194/", 1011515194)</f>
        <v>1011515194</v>
      </c>
      <c r="D13578">
        <v>-9053.6200000000008</v>
      </c>
    </row>
    <row r="13579" spans="1:4" x14ac:dyDescent="0.3">
      <c r="A13579" t="s">
        <v>948</v>
      </c>
      <c r="B13579" t="s">
        <v>19</v>
      </c>
      <c r="C13579" s="1">
        <f>HYPERLINK("https://cao.dolgi.msk.ru/account/1011489029/", 1011489029)</f>
        <v>1011489029</v>
      </c>
      <c r="D13579">
        <v>203570.97</v>
      </c>
    </row>
    <row r="13580" spans="1:4" x14ac:dyDescent="0.3">
      <c r="A13580" t="s">
        <v>948</v>
      </c>
      <c r="B13580" t="s">
        <v>20</v>
      </c>
      <c r="C13580" s="1">
        <f>HYPERLINK("https://cao.dolgi.msk.ru/account/1011488616/", 1011488616)</f>
        <v>1011488616</v>
      </c>
      <c r="D13580">
        <v>44259.67</v>
      </c>
    </row>
    <row r="13581" spans="1:4" hidden="1" x14ac:dyDescent="0.3">
      <c r="A13581" t="s">
        <v>948</v>
      </c>
      <c r="B13581" t="s">
        <v>21</v>
      </c>
      <c r="C13581" s="1">
        <f>HYPERLINK("https://cao.dolgi.msk.ru/account/1011489061/", 1011489061)</f>
        <v>1011489061</v>
      </c>
      <c r="D13581">
        <v>-313.33</v>
      </c>
    </row>
    <row r="13582" spans="1:4" x14ac:dyDescent="0.3">
      <c r="A13582" t="s">
        <v>948</v>
      </c>
      <c r="B13582" t="s">
        <v>22</v>
      </c>
      <c r="C13582" s="1">
        <f>HYPERLINK("https://cao.dolgi.msk.ru/account/1011488763/", 1011488763)</f>
        <v>1011488763</v>
      </c>
      <c r="D13582">
        <v>1363.71</v>
      </c>
    </row>
    <row r="13583" spans="1:4" hidden="1" x14ac:dyDescent="0.3">
      <c r="A13583" t="s">
        <v>948</v>
      </c>
      <c r="B13583" t="s">
        <v>24</v>
      </c>
      <c r="C13583" s="1">
        <f>HYPERLINK("https://cao.dolgi.msk.ru/account/1011488536/", 1011488536)</f>
        <v>1011488536</v>
      </c>
      <c r="D13583">
        <v>0</v>
      </c>
    </row>
    <row r="13584" spans="1:4" hidden="1" x14ac:dyDescent="0.3">
      <c r="A13584" t="s">
        <v>948</v>
      </c>
      <c r="B13584" t="s">
        <v>25</v>
      </c>
      <c r="C13584" s="1">
        <f>HYPERLINK("https://cao.dolgi.msk.ru/account/1011488771/", 1011488771)</f>
        <v>1011488771</v>
      </c>
      <c r="D13584">
        <v>-63.03</v>
      </c>
    </row>
    <row r="13585" spans="1:4" hidden="1" x14ac:dyDescent="0.3">
      <c r="A13585" t="s">
        <v>948</v>
      </c>
      <c r="B13585" t="s">
        <v>26</v>
      </c>
      <c r="C13585" s="1">
        <f>HYPERLINK("https://cao.dolgi.msk.ru/account/1011488544/", 1011488544)</f>
        <v>1011488544</v>
      </c>
      <c r="D13585">
        <v>-10587.06</v>
      </c>
    </row>
    <row r="13586" spans="1:4" hidden="1" x14ac:dyDescent="0.3">
      <c r="A13586" t="s">
        <v>948</v>
      </c>
      <c r="B13586" t="s">
        <v>27</v>
      </c>
      <c r="C13586" s="1">
        <f>HYPERLINK("https://cao.dolgi.msk.ru/account/1011488624/", 1011488624)</f>
        <v>1011488624</v>
      </c>
      <c r="D13586">
        <v>0</v>
      </c>
    </row>
    <row r="13587" spans="1:4" hidden="1" x14ac:dyDescent="0.3">
      <c r="A13587" t="s">
        <v>948</v>
      </c>
      <c r="B13587" t="s">
        <v>29</v>
      </c>
      <c r="C13587" s="1">
        <f>HYPERLINK("https://cao.dolgi.msk.ru/account/1011488632/", 1011488632)</f>
        <v>1011488632</v>
      </c>
      <c r="D13587">
        <v>0</v>
      </c>
    </row>
    <row r="13588" spans="1:4" hidden="1" x14ac:dyDescent="0.3">
      <c r="A13588" t="s">
        <v>948</v>
      </c>
      <c r="B13588" t="s">
        <v>38</v>
      </c>
      <c r="C13588" s="1">
        <f>HYPERLINK("https://cao.dolgi.msk.ru/account/1011489088/", 1011489088)</f>
        <v>1011489088</v>
      </c>
      <c r="D13588">
        <v>0</v>
      </c>
    </row>
    <row r="13589" spans="1:4" hidden="1" x14ac:dyDescent="0.3">
      <c r="A13589" t="s">
        <v>948</v>
      </c>
      <c r="B13589" t="s">
        <v>39</v>
      </c>
      <c r="C13589" s="1">
        <f>HYPERLINK("https://cao.dolgi.msk.ru/account/1011488798/", 1011488798)</f>
        <v>1011488798</v>
      </c>
      <c r="D13589">
        <v>0</v>
      </c>
    </row>
    <row r="13590" spans="1:4" hidden="1" x14ac:dyDescent="0.3">
      <c r="A13590" t="s">
        <v>948</v>
      </c>
      <c r="B13590" t="s">
        <v>40</v>
      </c>
      <c r="C13590" s="1">
        <f>HYPERLINK("https://cao.dolgi.msk.ru/account/1011489096/", 1011489096)</f>
        <v>1011489096</v>
      </c>
      <c r="D13590">
        <v>0</v>
      </c>
    </row>
    <row r="13591" spans="1:4" hidden="1" x14ac:dyDescent="0.3">
      <c r="A13591" t="s">
        <v>948</v>
      </c>
      <c r="B13591" t="s">
        <v>41</v>
      </c>
      <c r="C13591" s="1">
        <f>HYPERLINK("https://cao.dolgi.msk.ru/account/1011488819/", 1011488819)</f>
        <v>1011488819</v>
      </c>
      <c r="D13591">
        <v>-552.91999999999996</v>
      </c>
    </row>
    <row r="13592" spans="1:4" hidden="1" x14ac:dyDescent="0.3">
      <c r="A13592" t="s">
        <v>948</v>
      </c>
      <c r="B13592" t="s">
        <v>51</v>
      </c>
      <c r="C13592" s="1">
        <f>HYPERLINK("https://cao.dolgi.msk.ru/account/1011488659/", 1011488659)</f>
        <v>1011488659</v>
      </c>
      <c r="D13592">
        <v>0</v>
      </c>
    </row>
    <row r="13593" spans="1:4" hidden="1" x14ac:dyDescent="0.3">
      <c r="A13593" t="s">
        <v>948</v>
      </c>
      <c r="B13593" t="s">
        <v>52</v>
      </c>
      <c r="C13593" s="1">
        <f>HYPERLINK("https://cao.dolgi.msk.ru/account/1011488667/", 1011488667)</f>
        <v>1011488667</v>
      </c>
      <c r="D13593">
        <v>0</v>
      </c>
    </row>
    <row r="13594" spans="1:4" hidden="1" x14ac:dyDescent="0.3">
      <c r="A13594" t="s">
        <v>948</v>
      </c>
      <c r="B13594" t="s">
        <v>53</v>
      </c>
      <c r="C13594" s="1">
        <f>HYPERLINK("https://cao.dolgi.msk.ru/account/1011488915/", 1011488915)</f>
        <v>1011488915</v>
      </c>
      <c r="D13594">
        <v>0</v>
      </c>
    </row>
    <row r="13595" spans="1:4" hidden="1" x14ac:dyDescent="0.3">
      <c r="A13595" t="s">
        <v>948</v>
      </c>
      <c r="B13595" t="s">
        <v>54</v>
      </c>
      <c r="C13595" s="1">
        <f>HYPERLINK("https://cao.dolgi.msk.ru/account/1011488923/", 1011488923)</f>
        <v>1011488923</v>
      </c>
      <c r="D13595">
        <v>-1343.57</v>
      </c>
    </row>
    <row r="13596" spans="1:4" x14ac:dyDescent="0.3">
      <c r="A13596" t="s">
        <v>948</v>
      </c>
      <c r="B13596" t="s">
        <v>55</v>
      </c>
      <c r="C13596" s="1">
        <f>HYPERLINK("https://cao.dolgi.msk.ru/account/1011488675/", 1011488675)</f>
        <v>1011488675</v>
      </c>
      <c r="D13596">
        <v>28256.91</v>
      </c>
    </row>
    <row r="13597" spans="1:4" hidden="1" x14ac:dyDescent="0.3">
      <c r="A13597" t="s">
        <v>948</v>
      </c>
      <c r="B13597" t="s">
        <v>56</v>
      </c>
      <c r="C13597" s="1">
        <f>HYPERLINK("https://cao.dolgi.msk.ru/account/1011488683/", 1011488683)</f>
        <v>1011488683</v>
      </c>
      <c r="D13597">
        <v>0</v>
      </c>
    </row>
    <row r="13598" spans="1:4" hidden="1" x14ac:dyDescent="0.3">
      <c r="A13598" t="s">
        <v>948</v>
      </c>
      <c r="B13598" t="s">
        <v>87</v>
      </c>
      <c r="C13598" s="1">
        <f>HYPERLINK("https://cao.dolgi.msk.ru/account/1011489037/", 1011489037)</f>
        <v>1011489037</v>
      </c>
      <c r="D13598">
        <v>-74624.259999999995</v>
      </c>
    </row>
    <row r="13599" spans="1:4" hidden="1" x14ac:dyDescent="0.3">
      <c r="A13599" t="s">
        <v>948</v>
      </c>
      <c r="B13599" t="s">
        <v>88</v>
      </c>
      <c r="C13599" s="1">
        <f>HYPERLINK("https://cao.dolgi.msk.ru/account/1011488464/", 1011488464)</f>
        <v>1011488464</v>
      </c>
      <c r="D13599">
        <v>-1500</v>
      </c>
    </row>
    <row r="13600" spans="1:4" hidden="1" x14ac:dyDescent="0.3">
      <c r="A13600" t="s">
        <v>948</v>
      </c>
      <c r="B13600" t="s">
        <v>89</v>
      </c>
      <c r="C13600" s="1">
        <f>HYPERLINK("https://cao.dolgi.msk.ru/account/1011488827/", 1011488827)</f>
        <v>1011488827</v>
      </c>
      <c r="D13600">
        <v>0</v>
      </c>
    </row>
    <row r="13601" spans="1:4" hidden="1" x14ac:dyDescent="0.3">
      <c r="A13601" t="s">
        <v>948</v>
      </c>
      <c r="B13601" t="s">
        <v>90</v>
      </c>
      <c r="C13601" s="1">
        <f>HYPERLINK("https://cao.dolgi.msk.ru/account/1011488472/", 1011488472)</f>
        <v>1011488472</v>
      </c>
      <c r="D13601">
        <v>0</v>
      </c>
    </row>
    <row r="13602" spans="1:4" hidden="1" x14ac:dyDescent="0.3">
      <c r="A13602" t="s">
        <v>948</v>
      </c>
      <c r="B13602" t="s">
        <v>96</v>
      </c>
      <c r="C13602" s="1">
        <f>HYPERLINK("https://cao.dolgi.msk.ru/account/1011489109/", 1011489109)</f>
        <v>1011489109</v>
      </c>
      <c r="D13602">
        <v>0</v>
      </c>
    </row>
    <row r="13603" spans="1:4" hidden="1" x14ac:dyDescent="0.3">
      <c r="A13603" t="s">
        <v>948</v>
      </c>
      <c r="B13603" t="s">
        <v>97</v>
      </c>
      <c r="C13603" s="1">
        <f>HYPERLINK("https://cao.dolgi.msk.ru/account/1011489117/", 1011489117)</f>
        <v>1011489117</v>
      </c>
      <c r="D13603">
        <v>0</v>
      </c>
    </row>
    <row r="13604" spans="1:4" hidden="1" x14ac:dyDescent="0.3">
      <c r="A13604" t="s">
        <v>948</v>
      </c>
      <c r="B13604" t="s">
        <v>98</v>
      </c>
      <c r="C13604" s="1">
        <f>HYPERLINK("https://cao.dolgi.msk.ru/account/1011488835/", 1011488835)</f>
        <v>1011488835</v>
      </c>
      <c r="D13604">
        <v>-8363.92</v>
      </c>
    </row>
    <row r="13605" spans="1:4" hidden="1" x14ac:dyDescent="0.3">
      <c r="A13605" t="s">
        <v>948</v>
      </c>
      <c r="B13605" t="s">
        <v>58</v>
      </c>
      <c r="C13605" s="1">
        <f>HYPERLINK("https://cao.dolgi.msk.ru/account/1011488843/", 1011488843)</f>
        <v>1011488843</v>
      </c>
      <c r="D13605">
        <v>0</v>
      </c>
    </row>
    <row r="13606" spans="1:4" hidden="1" x14ac:dyDescent="0.3">
      <c r="A13606" t="s">
        <v>948</v>
      </c>
      <c r="B13606" t="s">
        <v>59</v>
      </c>
      <c r="C13606" s="1">
        <f>HYPERLINK("https://cao.dolgi.msk.ru/account/1011488851/", 1011488851)</f>
        <v>1011488851</v>
      </c>
      <c r="D13606">
        <v>0</v>
      </c>
    </row>
    <row r="13607" spans="1:4" hidden="1" x14ac:dyDescent="0.3">
      <c r="A13607" t="s">
        <v>948</v>
      </c>
      <c r="B13607" t="s">
        <v>60</v>
      </c>
      <c r="C13607" s="1">
        <f>HYPERLINK("https://cao.dolgi.msk.ru/account/1011489045/", 1011489045)</f>
        <v>1011489045</v>
      </c>
      <c r="D13607">
        <v>0</v>
      </c>
    </row>
    <row r="13608" spans="1:4" x14ac:dyDescent="0.3">
      <c r="A13608" t="s">
        <v>948</v>
      </c>
      <c r="B13608" t="s">
        <v>61</v>
      </c>
      <c r="C13608" s="1">
        <f>HYPERLINK("https://cao.dolgi.msk.ru/account/1011488712/", 1011488712)</f>
        <v>1011488712</v>
      </c>
      <c r="D13608">
        <v>3378.27</v>
      </c>
    </row>
    <row r="13609" spans="1:4" x14ac:dyDescent="0.3">
      <c r="A13609" t="s">
        <v>948</v>
      </c>
      <c r="B13609" t="s">
        <v>61</v>
      </c>
      <c r="C13609" s="1">
        <f>HYPERLINK("https://cao.dolgi.msk.ru/account/1011488931/", 1011488931)</f>
        <v>1011488931</v>
      </c>
      <c r="D13609">
        <v>3702.29</v>
      </c>
    </row>
    <row r="13610" spans="1:4" x14ac:dyDescent="0.3">
      <c r="A13610" t="s">
        <v>948</v>
      </c>
      <c r="B13610" t="s">
        <v>61</v>
      </c>
      <c r="C13610" s="1">
        <f>HYPERLINK("https://cao.dolgi.msk.ru/account/1011488966/", 1011488966)</f>
        <v>1011488966</v>
      </c>
      <c r="D13610">
        <v>2069.75</v>
      </c>
    </row>
    <row r="13611" spans="1:4" hidden="1" x14ac:dyDescent="0.3">
      <c r="A13611" t="s">
        <v>948</v>
      </c>
      <c r="B13611" t="s">
        <v>62</v>
      </c>
      <c r="C13611" s="1">
        <f>HYPERLINK("https://cao.dolgi.msk.ru/account/1011488691/", 1011488691)</f>
        <v>1011488691</v>
      </c>
      <c r="D13611">
        <v>0</v>
      </c>
    </row>
    <row r="13612" spans="1:4" hidden="1" x14ac:dyDescent="0.3">
      <c r="A13612" t="s">
        <v>948</v>
      </c>
      <c r="B13612" t="s">
        <v>63</v>
      </c>
      <c r="C13612" s="1">
        <f>HYPERLINK("https://cao.dolgi.msk.ru/account/1011488704/", 1011488704)</f>
        <v>1011488704</v>
      </c>
      <c r="D13612">
        <v>0</v>
      </c>
    </row>
    <row r="13613" spans="1:4" hidden="1" x14ac:dyDescent="0.3">
      <c r="A13613" t="s">
        <v>948</v>
      </c>
      <c r="B13613" t="s">
        <v>64</v>
      </c>
      <c r="C13613" s="1">
        <f>HYPERLINK("https://cao.dolgi.msk.ru/account/1011488958/", 1011488958)</f>
        <v>1011488958</v>
      </c>
      <c r="D13613">
        <v>-1205.9100000000001</v>
      </c>
    </row>
    <row r="13614" spans="1:4" hidden="1" x14ac:dyDescent="0.3">
      <c r="A13614" t="s">
        <v>948</v>
      </c>
      <c r="B13614" t="s">
        <v>65</v>
      </c>
      <c r="C13614" s="1">
        <f>HYPERLINK("https://cao.dolgi.msk.ru/account/1011488878/", 1011488878)</f>
        <v>1011488878</v>
      </c>
      <c r="D13614">
        <v>-7238.27</v>
      </c>
    </row>
    <row r="13615" spans="1:4" hidden="1" x14ac:dyDescent="0.3">
      <c r="A13615" t="s">
        <v>948</v>
      </c>
      <c r="B13615" t="s">
        <v>66</v>
      </c>
      <c r="C13615" s="1">
        <f>HYPERLINK("https://cao.dolgi.msk.ru/account/1011489053/", 1011489053)</f>
        <v>1011489053</v>
      </c>
      <c r="D13615">
        <v>0</v>
      </c>
    </row>
    <row r="13616" spans="1:4" hidden="1" x14ac:dyDescent="0.3">
      <c r="A13616" t="s">
        <v>949</v>
      </c>
      <c r="B13616" t="s">
        <v>6</v>
      </c>
      <c r="C13616" s="1">
        <f>HYPERLINK("https://cao.dolgi.msk.ru/account/1011489678/", 1011489678)</f>
        <v>1011489678</v>
      </c>
      <c r="D13616">
        <v>0</v>
      </c>
    </row>
    <row r="13617" spans="1:4" hidden="1" x14ac:dyDescent="0.3">
      <c r="A13617" t="s">
        <v>949</v>
      </c>
      <c r="B13617" t="s">
        <v>28</v>
      </c>
      <c r="C13617" s="1">
        <f>HYPERLINK("https://cao.dolgi.msk.ru/account/1011489264/", 1011489264)</f>
        <v>1011489264</v>
      </c>
      <c r="D13617">
        <v>-7637.54</v>
      </c>
    </row>
    <row r="13618" spans="1:4" hidden="1" x14ac:dyDescent="0.3">
      <c r="A13618" t="s">
        <v>949</v>
      </c>
      <c r="B13618" t="s">
        <v>35</v>
      </c>
      <c r="C13618" s="1">
        <f>HYPERLINK("https://cao.dolgi.msk.ru/account/1011489424/", 1011489424)</f>
        <v>1011489424</v>
      </c>
      <c r="D13618">
        <v>0</v>
      </c>
    </row>
    <row r="13619" spans="1:4" hidden="1" x14ac:dyDescent="0.3">
      <c r="A13619" t="s">
        <v>949</v>
      </c>
      <c r="B13619" t="s">
        <v>5</v>
      </c>
      <c r="C13619" s="1">
        <f>HYPERLINK("https://cao.dolgi.msk.ru/account/1011489272/", 1011489272)</f>
        <v>1011489272</v>
      </c>
      <c r="D13619">
        <v>0</v>
      </c>
    </row>
    <row r="13620" spans="1:4" hidden="1" x14ac:dyDescent="0.3">
      <c r="A13620" t="s">
        <v>949</v>
      </c>
      <c r="B13620" t="s">
        <v>7</v>
      </c>
      <c r="C13620" s="1">
        <f>HYPERLINK("https://cao.dolgi.msk.ru/account/1011489395/", 1011489395)</f>
        <v>1011489395</v>
      </c>
      <c r="D13620">
        <v>0</v>
      </c>
    </row>
    <row r="13621" spans="1:4" hidden="1" x14ac:dyDescent="0.3">
      <c r="A13621" t="s">
        <v>949</v>
      </c>
      <c r="B13621" t="s">
        <v>8</v>
      </c>
      <c r="C13621" s="1">
        <f>HYPERLINK("https://cao.dolgi.msk.ru/account/1011489133/", 1011489133)</f>
        <v>1011489133</v>
      </c>
      <c r="D13621">
        <v>0</v>
      </c>
    </row>
    <row r="13622" spans="1:4" hidden="1" x14ac:dyDescent="0.3">
      <c r="A13622" t="s">
        <v>949</v>
      </c>
      <c r="B13622" t="s">
        <v>31</v>
      </c>
      <c r="C13622" s="1">
        <f>HYPERLINK("https://cao.dolgi.msk.ru/account/1011489547/", 1011489547)</f>
        <v>1011489547</v>
      </c>
      <c r="D13622">
        <v>0</v>
      </c>
    </row>
    <row r="13623" spans="1:4" hidden="1" x14ac:dyDescent="0.3">
      <c r="A13623" t="s">
        <v>949</v>
      </c>
      <c r="B13623" t="s">
        <v>9</v>
      </c>
      <c r="C13623" s="1">
        <f>HYPERLINK("https://cao.dolgi.msk.ru/account/1011489299/", 1011489299)</f>
        <v>1011489299</v>
      </c>
      <c r="D13623">
        <v>-38881.61</v>
      </c>
    </row>
    <row r="13624" spans="1:4" hidden="1" x14ac:dyDescent="0.3">
      <c r="A13624" t="s">
        <v>949</v>
      </c>
      <c r="B13624" t="s">
        <v>10</v>
      </c>
      <c r="C13624" s="1">
        <f>HYPERLINK("https://cao.dolgi.msk.ru/account/1011489176/", 1011489176)</f>
        <v>1011489176</v>
      </c>
      <c r="D13624">
        <v>0</v>
      </c>
    </row>
    <row r="13625" spans="1:4" x14ac:dyDescent="0.3">
      <c r="A13625" t="s">
        <v>949</v>
      </c>
      <c r="B13625" t="s">
        <v>11</v>
      </c>
      <c r="C13625" s="1">
        <f>HYPERLINK("https://cao.dolgi.msk.ru/account/1011489184/", 1011489184)</f>
        <v>1011489184</v>
      </c>
      <c r="D13625">
        <v>5216.74</v>
      </c>
    </row>
    <row r="13626" spans="1:4" x14ac:dyDescent="0.3">
      <c r="A13626" t="s">
        <v>949</v>
      </c>
      <c r="B13626" t="s">
        <v>12</v>
      </c>
      <c r="C13626" s="1">
        <f>HYPERLINK("https://cao.dolgi.msk.ru/account/1011489627/", 1011489627)</f>
        <v>1011489627</v>
      </c>
      <c r="D13626">
        <v>7714.52</v>
      </c>
    </row>
    <row r="13627" spans="1:4" hidden="1" x14ac:dyDescent="0.3">
      <c r="A13627" t="s">
        <v>949</v>
      </c>
      <c r="B13627" t="s">
        <v>23</v>
      </c>
      <c r="C13627" s="1">
        <f>HYPERLINK("https://cao.dolgi.msk.ru/account/1011489686/", 1011489686)</f>
        <v>1011489686</v>
      </c>
      <c r="D13627">
        <v>0</v>
      </c>
    </row>
    <row r="13628" spans="1:4" hidden="1" x14ac:dyDescent="0.3">
      <c r="A13628" t="s">
        <v>949</v>
      </c>
      <c r="B13628" t="s">
        <v>13</v>
      </c>
      <c r="C13628" s="1">
        <f>HYPERLINK("https://cao.dolgi.msk.ru/account/1011489555/", 1011489555)</f>
        <v>1011489555</v>
      </c>
      <c r="D13628">
        <v>0</v>
      </c>
    </row>
    <row r="13629" spans="1:4" hidden="1" x14ac:dyDescent="0.3">
      <c r="A13629" t="s">
        <v>949</v>
      </c>
      <c r="B13629" t="s">
        <v>14</v>
      </c>
      <c r="C13629" s="1">
        <f>HYPERLINK("https://cao.dolgi.msk.ru/account/1011489301/", 1011489301)</f>
        <v>1011489301</v>
      </c>
      <c r="D13629">
        <v>-7875.05</v>
      </c>
    </row>
    <row r="13630" spans="1:4" hidden="1" x14ac:dyDescent="0.3">
      <c r="A13630" t="s">
        <v>949</v>
      </c>
      <c r="B13630" t="s">
        <v>16</v>
      </c>
      <c r="C13630" s="1">
        <f>HYPERLINK("https://cao.dolgi.msk.ru/account/1011489694/", 1011489694)</f>
        <v>1011489694</v>
      </c>
      <c r="D13630">
        <v>-5916.86</v>
      </c>
    </row>
    <row r="13631" spans="1:4" hidden="1" x14ac:dyDescent="0.3">
      <c r="A13631" t="s">
        <v>949</v>
      </c>
      <c r="B13631" t="s">
        <v>17</v>
      </c>
      <c r="C13631" s="1">
        <f>HYPERLINK("https://cao.dolgi.msk.ru/account/1011489563/", 1011489563)</f>
        <v>1011489563</v>
      </c>
      <c r="D13631">
        <v>-3486.35</v>
      </c>
    </row>
    <row r="13632" spans="1:4" hidden="1" x14ac:dyDescent="0.3">
      <c r="A13632" t="s">
        <v>949</v>
      </c>
      <c r="B13632" t="s">
        <v>18</v>
      </c>
      <c r="C13632" s="1">
        <f>HYPERLINK("https://cao.dolgi.msk.ru/account/1011489432/", 1011489432)</f>
        <v>1011489432</v>
      </c>
      <c r="D13632">
        <v>0</v>
      </c>
    </row>
    <row r="13633" spans="1:4" hidden="1" x14ac:dyDescent="0.3">
      <c r="A13633" t="s">
        <v>949</v>
      </c>
      <c r="B13633" t="s">
        <v>19</v>
      </c>
      <c r="C13633" s="1">
        <f>HYPERLINK("https://cao.dolgi.msk.ru/account/1011489192/", 1011489192)</f>
        <v>1011489192</v>
      </c>
      <c r="D13633">
        <v>-6567.95</v>
      </c>
    </row>
    <row r="13634" spans="1:4" hidden="1" x14ac:dyDescent="0.3">
      <c r="A13634" t="s">
        <v>949</v>
      </c>
      <c r="B13634" t="s">
        <v>20</v>
      </c>
      <c r="C13634" s="1">
        <f>HYPERLINK("https://cao.dolgi.msk.ru/account/1011489635/", 1011489635)</f>
        <v>1011489635</v>
      </c>
      <c r="D13634">
        <v>0</v>
      </c>
    </row>
    <row r="13635" spans="1:4" hidden="1" x14ac:dyDescent="0.3">
      <c r="A13635" t="s">
        <v>949</v>
      </c>
      <c r="B13635" t="s">
        <v>21</v>
      </c>
      <c r="C13635" s="1">
        <f>HYPERLINK("https://cao.dolgi.msk.ru/account/1011489205/", 1011489205)</f>
        <v>1011489205</v>
      </c>
      <c r="D13635">
        <v>-9507.41</v>
      </c>
    </row>
    <row r="13636" spans="1:4" hidden="1" x14ac:dyDescent="0.3">
      <c r="A13636" t="s">
        <v>949</v>
      </c>
      <c r="B13636" t="s">
        <v>22</v>
      </c>
      <c r="C13636" s="1">
        <f>HYPERLINK("https://cao.dolgi.msk.ru/account/1011489571/", 1011489571)</f>
        <v>1011489571</v>
      </c>
      <c r="D13636">
        <v>-74.739999999999995</v>
      </c>
    </row>
    <row r="13637" spans="1:4" x14ac:dyDescent="0.3">
      <c r="A13637" t="s">
        <v>949</v>
      </c>
      <c r="B13637" t="s">
        <v>24</v>
      </c>
      <c r="C13637" s="1">
        <f>HYPERLINK("https://cao.dolgi.msk.ru/account/1011489643/", 1011489643)</f>
        <v>1011489643</v>
      </c>
      <c r="D13637">
        <v>14264.2</v>
      </c>
    </row>
    <row r="13638" spans="1:4" hidden="1" x14ac:dyDescent="0.3">
      <c r="A13638" t="s">
        <v>949</v>
      </c>
      <c r="B13638" t="s">
        <v>25</v>
      </c>
      <c r="C13638" s="1">
        <f>HYPERLINK("https://cao.dolgi.msk.ru/account/1011489707/", 1011489707)</f>
        <v>1011489707</v>
      </c>
      <c r="D13638">
        <v>0</v>
      </c>
    </row>
    <row r="13639" spans="1:4" hidden="1" x14ac:dyDescent="0.3">
      <c r="A13639" t="s">
        <v>949</v>
      </c>
      <c r="B13639" t="s">
        <v>26</v>
      </c>
      <c r="C13639" s="1">
        <f>HYPERLINK("https://cao.dolgi.msk.ru/account/1011489459/", 1011489459)</f>
        <v>1011489459</v>
      </c>
      <c r="D13639">
        <v>-6434.88</v>
      </c>
    </row>
    <row r="13640" spans="1:4" hidden="1" x14ac:dyDescent="0.3">
      <c r="A13640" t="s">
        <v>949</v>
      </c>
      <c r="B13640" t="s">
        <v>27</v>
      </c>
      <c r="C13640" s="1">
        <f>HYPERLINK("https://cao.dolgi.msk.ru/account/1011489467/", 1011489467)</f>
        <v>1011489467</v>
      </c>
      <c r="D13640">
        <v>-6617.06</v>
      </c>
    </row>
    <row r="13641" spans="1:4" hidden="1" x14ac:dyDescent="0.3">
      <c r="A13641" t="s">
        <v>949</v>
      </c>
      <c r="B13641" t="s">
        <v>29</v>
      </c>
      <c r="C13641" s="1">
        <f>HYPERLINK("https://cao.dolgi.msk.ru/account/1011489213/", 1011489213)</f>
        <v>1011489213</v>
      </c>
      <c r="D13641">
        <v>0</v>
      </c>
    </row>
    <row r="13642" spans="1:4" hidden="1" x14ac:dyDescent="0.3">
      <c r="A13642" t="s">
        <v>949</v>
      </c>
      <c r="B13642" t="s">
        <v>38</v>
      </c>
      <c r="C13642" s="1">
        <f>HYPERLINK("https://cao.dolgi.msk.ru/account/1011489715/", 1011489715)</f>
        <v>1011489715</v>
      </c>
      <c r="D13642">
        <v>-98.56</v>
      </c>
    </row>
    <row r="13643" spans="1:4" hidden="1" x14ac:dyDescent="0.3">
      <c r="A13643" t="s">
        <v>949</v>
      </c>
      <c r="B13643" t="s">
        <v>39</v>
      </c>
      <c r="C13643" s="1">
        <f>HYPERLINK("https://cao.dolgi.msk.ru/account/1011489328/", 1011489328)</f>
        <v>1011489328</v>
      </c>
      <c r="D13643">
        <v>0</v>
      </c>
    </row>
    <row r="13644" spans="1:4" hidden="1" x14ac:dyDescent="0.3">
      <c r="A13644" t="s">
        <v>949</v>
      </c>
      <c r="B13644" t="s">
        <v>40</v>
      </c>
      <c r="C13644" s="1">
        <f>HYPERLINK("https://cao.dolgi.msk.ru/account/1011489475/", 1011489475)</f>
        <v>1011489475</v>
      </c>
      <c r="D13644">
        <v>-8768.16</v>
      </c>
    </row>
    <row r="13645" spans="1:4" hidden="1" x14ac:dyDescent="0.3">
      <c r="A13645" t="s">
        <v>949</v>
      </c>
      <c r="B13645" t="s">
        <v>41</v>
      </c>
      <c r="C13645" s="1">
        <f>HYPERLINK("https://cao.dolgi.msk.ru/account/1011489141/", 1011489141)</f>
        <v>1011489141</v>
      </c>
      <c r="D13645">
        <v>0</v>
      </c>
    </row>
    <row r="13646" spans="1:4" x14ac:dyDescent="0.3">
      <c r="A13646" t="s">
        <v>949</v>
      </c>
      <c r="B13646" t="s">
        <v>51</v>
      </c>
      <c r="C13646" s="1">
        <f>HYPERLINK("https://cao.dolgi.msk.ru/account/1011489723/", 1011489723)</f>
        <v>1011489723</v>
      </c>
      <c r="D13646">
        <v>8972.25</v>
      </c>
    </row>
    <row r="13647" spans="1:4" hidden="1" x14ac:dyDescent="0.3">
      <c r="A13647" t="s">
        <v>949</v>
      </c>
      <c r="B13647" t="s">
        <v>52</v>
      </c>
      <c r="C13647" s="1">
        <f>HYPERLINK("https://cao.dolgi.msk.ru/account/1011489168/", 1011489168)</f>
        <v>1011489168</v>
      </c>
      <c r="D13647">
        <v>-415.9</v>
      </c>
    </row>
    <row r="13648" spans="1:4" x14ac:dyDescent="0.3">
      <c r="A13648" t="s">
        <v>949</v>
      </c>
      <c r="B13648" t="s">
        <v>53</v>
      </c>
      <c r="C13648" s="1">
        <f>HYPERLINK("https://cao.dolgi.msk.ru/account/1011489336/", 1011489336)</f>
        <v>1011489336</v>
      </c>
      <c r="D13648">
        <v>7759.57</v>
      </c>
    </row>
    <row r="13649" spans="1:4" hidden="1" x14ac:dyDescent="0.3">
      <c r="A13649" t="s">
        <v>949</v>
      </c>
      <c r="B13649" t="s">
        <v>54</v>
      </c>
      <c r="C13649" s="1">
        <f>HYPERLINK("https://cao.dolgi.msk.ru/account/1011489408/", 1011489408)</f>
        <v>1011489408</v>
      </c>
      <c r="D13649">
        <v>0</v>
      </c>
    </row>
    <row r="13650" spans="1:4" x14ac:dyDescent="0.3">
      <c r="A13650" t="s">
        <v>949</v>
      </c>
      <c r="B13650" t="s">
        <v>55</v>
      </c>
      <c r="C13650" s="1">
        <f>HYPERLINK("https://cao.dolgi.msk.ru/account/1011489483/", 1011489483)</f>
        <v>1011489483</v>
      </c>
      <c r="D13650">
        <v>82273.63</v>
      </c>
    </row>
    <row r="13651" spans="1:4" hidden="1" x14ac:dyDescent="0.3">
      <c r="A13651" t="s">
        <v>949</v>
      </c>
      <c r="B13651" t="s">
        <v>56</v>
      </c>
      <c r="C13651" s="1">
        <f>HYPERLINK("https://cao.dolgi.msk.ru/account/1011489731/", 1011489731)</f>
        <v>1011489731</v>
      </c>
      <c r="D13651">
        <v>0</v>
      </c>
    </row>
    <row r="13652" spans="1:4" hidden="1" x14ac:dyDescent="0.3">
      <c r="A13652" t="s">
        <v>949</v>
      </c>
      <c r="B13652" t="s">
        <v>87</v>
      </c>
      <c r="C13652" s="1">
        <f>HYPERLINK("https://cao.dolgi.msk.ru/account/1011489221/", 1011489221)</f>
        <v>1011489221</v>
      </c>
      <c r="D13652">
        <v>0</v>
      </c>
    </row>
    <row r="13653" spans="1:4" hidden="1" x14ac:dyDescent="0.3">
      <c r="A13653" t="s">
        <v>949</v>
      </c>
      <c r="B13653" t="s">
        <v>88</v>
      </c>
      <c r="C13653" s="1">
        <f>HYPERLINK("https://cao.dolgi.msk.ru/account/1011489758/", 1011489758)</f>
        <v>1011489758</v>
      </c>
      <c r="D13653">
        <v>-13779.88</v>
      </c>
    </row>
    <row r="13654" spans="1:4" hidden="1" x14ac:dyDescent="0.3">
      <c r="A13654" t="s">
        <v>949</v>
      </c>
      <c r="B13654" t="s">
        <v>89</v>
      </c>
      <c r="C13654" s="1">
        <f>HYPERLINK("https://cao.dolgi.msk.ru/account/1011515186/", 1011515186)</f>
        <v>1011515186</v>
      </c>
      <c r="D13654">
        <v>0</v>
      </c>
    </row>
    <row r="13655" spans="1:4" hidden="1" x14ac:dyDescent="0.3">
      <c r="A13655" t="s">
        <v>949</v>
      </c>
      <c r="B13655" t="s">
        <v>90</v>
      </c>
      <c r="C13655" s="1">
        <f>HYPERLINK("https://cao.dolgi.msk.ru/account/1011489248/", 1011489248)</f>
        <v>1011489248</v>
      </c>
      <c r="D13655">
        <v>-982.38</v>
      </c>
    </row>
    <row r="13656" spans="1:4" hidden="1" x14ac:dyDescent="0.3">
      <c r="A13656" t="s">
        <v>949</v>
      </c>
      <c r="B13656" t="s">
        <v>96</v>
      </c>
      <c r="C13656" s="1">
        <f>HYPERLINK("https://cao.dolgi.msk.ru/account/1011489491/", 1011489491)</f>
        <v>1011489491</v>
      </c>
      <c r="D13656">
        <v>0</v>
      </c>
    </row>
    <row r="13657" spans="1:4" hidden="1" x14ac:dyDescent="0.3">
      <c r="A13657" t="s">
        <v>949</v>
      </c>
      <c r="B13657" t="s">
        <v>97</v>
      </c>
      <c r="C13657" s="1">
        <f>HYPERLINK("https://cao.dolgi.msk.ru/account/1011489352/", 1011489352)</f>
        <v>1011489352</v>
      </c>
      <c r="D13657">
        <v>-11472.01</v>
      </c>
    </row>
    <row r="13658" spans="1:4" hidden="1" x14ac:dyDescent="0.3">
      <c r="A13658" t="s">
        <v>949</v>
      </c>
      <c r="B13658" t="s">
        <v>98</v>
      </c>
      <c r="C13658" s="1">
        <f>HYPERLINK("https://cao.dolgi.msk.ru/account/1011489598/", 1011489598)</f>
        <v>1011489598</v>
      </c>
      <c r="D13658">
        <v>0</v>
      </c>
    </row>
    <row r="13659" spans="1:4" hidden="1" x14ac:dyDescent="0.3">
      <c r="A13659" t="s">
        <v>949</v>
      </c>
      <c r="B13659" t="s">
        <v>59</v>
      </c>
      <c r="C13659" s="1">
        <f>HYPERLINK("https://cao.dolgi.msk.ru/account/1011489504/", 1011489504)</f>
        <v>1011489504</v>
      </c>
      <c r="D13659">
        <v>0</v>
      </c>
    </row>
    <row r="13660" spans="1:4" hidden="1" x14ac:dyDescent="0.3">
      <c r="A13660" t="s">
        <v>949</v>
      </c>
      <c r="B13660" t="s">
        <v>60</v>
      </c>
      <c r="C13660" s="1">
        <f>HYPERLINK("https://cao.dolgi.msk.ru/account/1011489512/", 1011489512)</f>
        <v>1011489512</v>
      </c>
      <c r="D13660">
        <v>0</v>
      </c>
    </row>
    <row r="13661" spans="1:4" hidden="1" x14ac:dyDescent="0.3">
      <c r="A13661" t="s">
        <v>949</v>
      </c>
      <c r="B13661" t="s">
        <v>61</v>
      </c>
      <c r="C13661" s="1">
        <f>HYPERLINK("https://cao.dolgi.msk.ru/account/1011489379/", 1011489379)</f>
        <v>1011489379</v>
      </c>
      <c r="D13661">
        <v>-73.25</v>
      </c>
    </row>
    <row r="13662" spans="1:4" hidden="1" x14ac:dyDescent="0.3">
      <c r="A13662" t="s">
        <v>949</v>
      </c>
      <c r="B13662" t="s">
        <v>62</v>
      </c>
      <c r="C13662" s="1">
        <f>HYPERLINK("https://cao.dolgi.msk.ru/account/1011489651/", 1011489651)</f>
        <v>1011489651</v>
      </c>
      <c r="D13662">
        <v>0</v>
      </c>
    </row>
    <row r="13663" spans="1:4" hidden="1" x14ac:dyDescent="0.3">
      <c r="A13663" t="s">
        <v>949</v>
      </c>
      <c r="B13663" t="s">
        <v>63</v>
      </c>
      <c r="C13663" s="1">
        <f>HYPERLINK("https://cao.dolgi.msk.ru/account/1011489256/", 1011489256)</f>
        <v>1011489256</v>
      </c>
      <c r="D13663">
        <v>-6612.44</v>
      </c>
    </row>
    <row r="13664" spans="1:4" hidden="1" x14ac:dyDescent="0.3">
      <c r="A13664" t="s">
        <v>949</v>
      </c>
      <c r="B13664" t="s">
        <v>64</v>
      </c>
      <c r="C13664" s="1">
        <f>HYPERLINK("https://cao.dolgi.msk.ru/account/1011489387/", 1011489387)</f>
        <v>1011489387</v>
      </c>
      <c r="D13664">
        <v>-39887.99</v>
      </c>
    </row>
    <row r="13665" spans="1:4" hidden="1" x14ac:dyDescent="0.3">
      <c r="A13665" t="s">
        <v>949</v>
      </c>
      <c r="B13665" t="s">
        <v>65</v>
      </c>
      <c r="C13665" s="1">
        <f>HYPERLINK("https://cao.dolgi.msk.ru/account/1011489619/", 1011489619)</f>
        <v>1011489619</v>
      </c>
      <c r="D13665">
        <v>0</v>
      </c>
    </row>
    <row r="13666" spans="1:4" hidden="1" x14ac:dyDescent="0.3">
      <c r="A13666" t="s">
        <v>949</v>
      </c>
      <c r="B13666" t="s">
        <v>66</v>
      </c>
      <c r="C13666" s="1">
        <f>HYPERLINK("https://cao.dolgi.msk.ru/account/1011489539/", 1011489539)</f>
        <v>1011489539</v>
      </c>
      <c r="D13666">
        <v>0</v>
      </c>
    </row>
    <row r="13667" spans="1:4" hidden="1" x14ac:dyDescent="0.3">
      <c r="A13667" t="s">
        <v>949</v>
      </c>
      <c r="B13667" t="s">
        <v>67</v>
      </c>
      <c r="C13667" s="1">
        <f>HYPERLINK("https://cao.dolgi.msk.ru/account/1011489416/", 1011489416)</f>
        <v>1011489416</v>
      </c>
      <c r="D13667">
        <v>0</v>
      </c>
    </row>
    <row r="13668" spans="1:4" hidden="1" x14ac:dyDescent="0.3">
      <c r="A13668" t="s">
        <v>950</v>
      </c>
      <c r="B13668" t="s">
        <v>28</v>
      </c>
      <c r="C13668" s="1">
        <f>HYPERLINK("https://cao.dolgi.msk.ru/account/1011065824/", 1011065824)</f>
        <v>1011065824</v>
      </c>
      <c r="D13668">
        <v>-12387.59</v>
      </c>
    </row>
    <row r="13669" spans="1:4" hidden="1" x14ac:dyDescent="0.3">
      <c r="A13669" t="s">
        <v>950</v>
      </c>
      <c r="B13669" t="s">
        <v>7</v>
      </c>
      <c r="C13669" s="1">
        <f>HYPERLINK("https://cao.dolgi.msk.ru/account/1011065832/", 1011065832)</f>
        <v>1011065832</v>
      </c>
      <c r="D13669">
        <v>-13456.69</v>
      </c>
    </row>
    <row r="13670" spans="1:4" hidden="1" x14ac:dyDescent="0.3">
      <c r="A13670" t="s">
        <v>950</v>
      </c>
      <c r="B13670" t="s">
        <v>8</v>
      </c>
      <c r="C13670" s="1">
        <f>HYPERLINK("https://cao.dolgi.msk.ru/account/1011065859/", 1011065859)</f>
        <v>1011065859</v>
      </c>
      <c r="D13670">
        <v>-2456.64</v>
      </c>
    </row>
    <row r="13671" spans="1:4" hidden="1" x14ac:dyDescent="0.3">
      <c r="A13671" t="s">
        <v>950</v>
      </c>
      <c r="B13671" t="s">
        <v>31</v>
      </c>
      <c r="C13671" s="1">
        <f>HYPERLINK("https://cao.dolgi.msk.ru/account/1011065867/", 1011065867)</f>
        <v>1011065867</v>
      </c>
      <c r="D13671">
        <v>-2456.64</v>
      </c>
    </row>
    <row r="13672" spans="1:4" hidden="1" x14ac:dyDescent="0.3">
      <c r="A13672" t="s">
        <v>950</v>
      </c>
      <c r="B13672" t="s">
        <v>9</v>
      </c>
      <c r="C13672" s="1">
        <f>HYPERLINK("https://cao.dolgi.msk.ru/account/1011065875/", 1011065875)</f>
        <v>1011065875</v>
      </c>
      <c r="D13672">
        <v>-77.88</v>
      </c>
    </row>
    <row r="13673" spans="1:4" hidden="1" x14ac:dyDescent="0.3">
      <c r="A13673" t="s">
        <v>950</v>
      </c>
      <c r="B13673" t="s">
        <v>10</v>
      </c>
      <c r="C13673" s="1">
        <f>HYPERLINK("https://cao.dolgi.msk.ru/account/1011065883/", 1011065883)</f>
        <v>1011065883</v>
      </c>
      <c r="D13673">
        <v>-2456.64</v>
      </c>
    </row>
    <row r="13674" spans="1:4" hidden="1" x14ac:dyDescent="0.3">
      <c r="A13674" t="s">
        <v>950</v>
      </c>
      <c r="B13674" t="s">
        <v>11</v>
      </c>
      <c r="C13674" s="1">
        <f>HYPERLINK("https://cao.dolgi.msk.ru/account/1011065891/", 1011065891)</f>
        <v>1011065891</v>
      </c>
      <c r="D13674">
        <v>-12187</v>
      </c>
    </row>
    <row r="13675" spans="1:4" hidden="1" x14ac:dyDescent="0.3">
      <c r="A13675" t="s">
        <v>950</v>
      </c>
      <c r="B13675" t="s">
        <v>12</v>
      </c>
      <c r="C13675" s="1">
        <f>HYPERLINK("https://cao.dolgi.msk.ru/account/1011065904/", 1011065904)</f>
        <v>1011065904</v>
      </c>
      <c r="D13675">
        <v>-2456.64</v>
      </c>
    </row>
    <row r="13676" spans="1:4" hidden="1" x14ac:dyDescent="0.3">
      <c r="A13676" t="s">
        <v>950</v>
      </c>
      <c r="B13676" t="s">
        <v>23</v>
      </c>
      <c r="C13676" s="1">
        <f>HYPERLINK("https://cao.dolgi.msk.ru/account/1011065939/", 1011065939)</f>
        <v>1011065939</v>
      </c>
      <c r="D13676">
        <v>-10641.65</v>
      </c>
    </row>
    <row r="13677" spans="1:4" hidden="1" x14ac:dyDescent="0.3">
      <c r="A13677" t="s">
        <v>950</v>
      </c>
      <c r="B13677" t="s">
        <v>13</v>
      </c>
      <c r="C13677" s="1">
        <f>HYPERLINK("https://cao.dolgi.msk.ru/account/1011065947/", 1011065947)</f>
        <v>1011065947</v>
      </c>
      <c r="D13677">
        <v>-5613.07</v>
      </c>
    </row>
    <row r="13678" spans="1:4" hidden="1" x14ac:dyDescent="0.3">
      <c r="A13678" t="s">
        <v>950</v>
      </c>
      <c r="B13678" t="s">
        <v>14</v>
      </c>
      <c r="C13678" s="1">
        <f>HYPERLINK("https://cao.dolgi.msk.ru/account/1011065955/", 1011065955)</f>
        <v>1011065955</v>
      </c>
      <c r="D13678">
        <v>-9502.4599999999991</v>
      </c>
    </row>
    <row r="13679" spans="1:4" x14ac:dyDescent="0.3">
      <c r="A13679" t="s">
        <v>950</v>
      </c>
      <c r="B13679" t="s">
        <v>16</v>
      </c>
      <c r="C13679" s="1">
        <f>HYPERLINK("https://cao.dolgi.msk.ru/account/1011065963/", 1011065963)</f>
        <v>1011065963</v>
      </c>
      <c r="D13679">
        <v>36389.9</v>
      </c>
    </row>
    <row r="13680" spans="1:4" x14ac:dyDescent="0.3">
      <c r="A13680" t="s">
        <v>950</v>
      </c>
      <c r="B13680" t="s">
        <v>17</v>
      </c>
      <c r="C13680" s="1">
        <f>HYPERLINK("https://cao.dolgi.msk.ru/account/1011065971/", 1011065971)</f>
        <v>1011065971</v>
      </c>
      <c r="D13680">
        <v>29755.38</v>
      </c>
    </row>
    <row r="13681" spans="1:4" hidden="1" x14ac:dyDescent="0.3">
      <c r="A13681" t="s">
        <v>950</v>
      </c>
      <c r="B13681" t="s">
        <v>18</v>
      </c>
      <c r="C13681" s="1">
        <f>HYPERLINK("https://cao.dolgi.msk.ru/account/1011065998/", 1011065998)</f>
        <v>1011065998</v>
      </c>
      <c r="D13681">
        <v>-13325.12</v>
      </c>
    </row>
    <row r="13682" spans="1:4" x14ac:dyDescent="0.3">
      <c r="A13682" t="s">
        <v>950</v>
      </c>
      <c r="B13682" t="s">
        <v>19</v>
      </c>
      <c r="C13682" s="1">
        <f>HYPERLINK("https://cao.dolgi.msk.ru/account/1011066018/", 1011066018)</f>
        <v>1011066018</v>
      </c>
      <c r="D13682">
        <v>54175.76</v>
      </c>
    </row>
    <row r="13683" spans="1:4" hidden="1" x14ac:dyDescent="0.3">
      <c r="A13683" t="s">
        <v>950</v>
      </c>
      <c r="B13683" t="s">
        <v>20</v>
      </c>
      <c r="C13683" s="1">
        <f>HYPERLINK("https://cao.dolgi.msk.ru/account/1011066026/", 1011066026)</f>
        <v>1011066026</v>
      </c>
      <c r="D13683">
        <v>-3077.74</v>
      </c>
    </row>
    <row r="13684" spans="1:4" x14ac:dyDescent="0.3">
      <c r="A13684" t="s">
        <v>950</v>
      </c>
      <c r="B13684" t="s">
        <v>21</v>
      </c>
      <c r="C13684" s="1">
        <f>HYPERLINK("https://cao.dolgi.msk.ru/account/1011066069/", 1011066069)</f>
        <v>1011066069</v>
      </c>
      <c r="D13684">
        <v>22178.09</v>
      </c>
    </row>
    <row r="13685" spans="1:4" x14ac:dyDescent="0.3">
      <c r="A13685" t="s">
        <v>951</v>
      </c>
      <c r="B13685" t="s">
        <v>6</v>
      </c>
      <c r="C13685" s="1">
        <f>HYPERLINK("https://cao.dolgi.msk.ru/account/1011362212/", 1011362212)</f>
        <v>1011362212</v>
      </c>
      <c r="D13685">
        <v>9360.8700000000008</v>
      </c>
    </row>
    <row r="13686" spans="1:4" hidden="1" x14ac:dyDescent="0.3">
      <c r="A13686" t="s">
        <v>951</v>
      </c>
      <c r="B13686" t="s">
        <v>28</v>
      </c>
      <c r="C13686" s="1">
        <f>HYPERLINK("https://cao.dolgi.msk.ru/account/1011363573/", 1011363573)</f>
        <v>1011363573</v>
      </c>
      <c r="D13686">
        <v>0</v>
      </c>
    </row>
    <row r="13687" spans="1:4" hidden="1" x14ac:dyDescent="0.3">
      <c r="A13687" t="s">
        <v>951</v>
      </c>
      <c r="B13687" t="s">
        <v>35</v>
      </c>
      <c r="C13687" s="1">
        <f>HYPERLINK("https://cao.dolgi.msk.ru/account/1011361412/", 1011361412)</f>
        <v>1011361412</v>
      </c>
      <c r="D13687">
        <v>0</v>
      </c>
    </row>
    <row r="13688" spans="1:4" hidden="1" x14ac:dyDescent="0.3">
      <c r="A13688" t="s">
        <v>951</v>
      </c>
      <c r="B13688" t="s">
        <v>5</v>
      </c>
      <c r="C13688" s="1">
        <f>HYPERLINK("https://cao.dolgi.msk.ru/account/1011361527/", 1011361527)</f>
        <v>1011361527</v>
      </c>
      <c r="D13688">
        <v>0</v>
      </c>
    </row>
    <row r="13689" spans="1:4" hidden="1" x14ac:dyDescent="0.3">
      <c r="A13689" t="s">
        <v>951</v>
      </c>
      <c r="B13689" t="s">
        <v>7</v>
      </c>
      <c r="C13689" s="1">
        <f>HYPERLINK("https://cao.dolgi.msk.ru/account/1011363434/", 1011363434)</f>
        <v>1011363434</v>
      </c>
      <c r="D13689">
        <v>-5104.1099999999997</v>
      </c>
    </row>
    <row r="13690" spans="1:4" hidden="1" x14ac:dyDescent="0.3">
      <c r="A13690" t="s">
        <v>951</v>
      </c>
      <c r="B13690" t="s">
        <v>8</v>
      </c>
      <c r="C13690" s="1">
        <f>HYPERLINK("https://cao.dolgi.msk.ru/account/1011361236/", 1011361236)</f>
        <v>1011361236</v>
      </c>
      <c r="D13690">
        <v>-5599.88</v>
      </c>
    </row>
    <row r="13691" spans="1:4" hidden="1" x14ac:dyDescent="0.3">
      <c r="A13691" t="s">
        <v>951</v>
      </c>
      <c r="B13691" t="s">
        <v>31</v>
      </c>
      <c r="C13691" s="1">
        <f>HYPERLINK("https://cao.dolgi.msk.ru/account/1011363311/", 1011363311)</f>
        <v>1011363311</v>
      </c>
      <c r="D13691">
        <v>0</v>
      </c>
    </row>
    <row r="13692" spans="1:4" hidden="1" x14ac:dyDescent="0.3">
      <c r="A13692" t="s">
        <v>951</v>
      </c>
      <c r="B13692" t="s">
        <v>9</v>
      </c>
      <c r="C13692" s="1">
        <f>HYPERLINK("https://cao.dolgi.msk.ru/account/1011362941/", 1011362941)</f>
        <v>1011362941</v>
      </c>
      <c r="D13692">
        <v>0</v>
      </c>
    </row>
    <row r="13693" spans="1:4" hidden="1" x14ac:dyDescent="0.3">
      <c r="A13693" t="s">
        <v>951</v>
      </c>
      <c r="B13693" t="s">
        <v>10</v>
      </c>
      <c r="C13693" s="1">
        <f>HYPERLINK("https://cao.dolgi.msk.ru/account/1011362773/", 1011362773)</f>
        <v>1011362773</v>
      </c>
      <c r="D13693">
        <v>-6728.52</v>
      </c>
    </row>
    <row r="13694" spans="1:4" x14ac:dyDescent="0.3">
      <c r="A13694" t="s">
        <v>951</v>
      </c>
      <c r="B13694" t="s">
        <v>11</v>
      </c>
      <c r="C13694" s="1">
        <f>HYPERLINK("https://cao.dolgi.msk.ru/account/1011363928/", 1011363928)</f>
        <v>1011363928</v>
      </c>
      <c r="D13694">
        <v>13129.34</v>
      </c>
    </row>
    <row r="13695" spans="1:4" hidden="1" x14ac:dyDescent="0.3">
      <c r="A13695" t="s">
        <v>951</v>
      </c>
      <c r="B13695" t="s">
        <v>12</v>
      </c>
      <c r="C13695" s="1">
        <f>HYPERLINK("https://cao.dolgi.msk.ru/account/1011360866/", 1011360866)</f>
        <v>1011360866</v>
      </c>
      <c r="D13695">
        <v>-2976.57</v>
      </c>
    </row>
    <row r="13696" spans="1:4" hidden="1" x14ac:dyDescent="0.3">
      <c r="A13696" t="s">
        <v>951</v>
      </c>
      <c r="B13696" t="s">
        <v>23</v>
      </c>
      <c r="C13696" s="1">
        <f>HYPERLINK("https://cao.dolgi.msk.ru/account/1011361607/", 1011361607)</f>
        <v>1011361607</v>
      </c>
      <c r="D13696">
        <v>-37.340000000000003</v>
      </c>
    </row>
    <row r="13697" spans="1:4" hidden="1" x14ac:dyDescent="0.3">
      <c r="A13697" t="s">
        <v>951</v>
      </c>
      <c r="B13697" t="s">
        <v>13</v>
      </c>
      <c r="C13697" s="1">
        <f>HYPERLINK("https://cao.dolgi.msk.ru/account/1011364189/", 1011364189)</f>
        <v>1011364189</v>
      </c>
      <c r="D13697">
        <v>0</v>
      </c>
    </row>
    <row r="13698" spans="1:4" x14ac:dyDescent="0.3">
      <c r="A13698" t="s">
        <v>951</v>
      </c>
      <c r="B13698" t="s">
        <v>14</v>
      </c>
      <c r="C13698" s="1">
        <f>HYPERLINK("https://cao.dolgi.msk.ru/account/1011363514/", 1011363514)</f>
        <v>1011363514</v>
      </c>
      <c r="D13698">
        <v>6549.44</v>
      </c>
    </row>
    <row r="13699" spans="1:4" hidden="1" x14ac:dyDescent="0.3">
      <c r="A13699" t="s">
        <v>951</v>
      </c>
      <c r="B13699" t="s">
        <v>16</v>
      </c>
      <c r="C13699" s="1">
        <f>HYPERLINK("https://cao.dolgi.msk.ru/account/1011362511/", 1011362511)</f>
        <v>1011362511</v>
      </c>
      <c r="D13699">
        <v>-4172.45</v>
      </c>
    </row>
    <row r="13700" spans="1:4" hidden="1" x14ac:dyDescent="0.3">
      <c r="A13700" t="s">
        <v>951</v>
      </c>
      <c r="B13700" t="s">
        <v>17</v>
      </c>
      <c r="C13700" s="1">
        <f>HYPERLINK("https://cao.dolgi.msk.ru/account/1011363127/", 1011363127)</f>
        <v>1011363127</v>
      </c>
      <c r="D13700">
        <v>0</v>
      </c>
    </row>
    <row r="13701" spans="1:4" hidden="1" x14ac:dyDescent="0.3">
      <c r="A13701" t="s">
        <v>951</v>
      </c>
      <c r="B13701" t="s">
        <v>18</v>
      </c>
      <c r="C13701" s="1">
        <f>HYPERLINK("https://cao.dolgi.msk.ru/account/1011362079/", 1011362079)</f>
        <v>1011362079</v>
      </c>
      <c r="D13701">
        <v>-10.18</v>
      </c>
    </row>
    <row r="13702" spans="1:4" hidden="1" x14ac:dyDescent="0.3">
      <c r="A13702" t="s">
        <v>951</v>
      </c>
      <c r="B13702" t="s">
        <v>18</v>
      </c>
      <c r="C13702" s="1">
        <f>HYPERLINK("https://cao.dolgi.msk.ru/account/1011363987/", 1011363987)</f>
        <v>1011363987</v>
      </c>
      <c r="D13702">
        <v>-10.18</v>
      </c>
    </row>
    <row r="13703" spans="1:4" hidden="1" x14ac:dyDescent="0.3">
      <c r="A13703" t="s">
        <v>951</v>
      </c>
      <c r="B13703" t="s">
        <v>19</v>
      </c>
      <c r="C13703" s="1">
        <f>HYPERLINK("https://cao.dolgi.msk.ru/account/1011363055/", 1011363055)</f>
        <v>1011363055</v>
      </c>
      <c r="D13703">
        <v>-4782.47</v>
      </c>
    </row>
    <row r="13704" spans="1:4" hidden="1" x14ac:dyDescent="0.3">
      <c r="A13704" t="s">
        <v>951</v>
      </c>
      <c r="B13704" t="s">
        <v>20</v>
      </c>
      <c r="C13704" s="1">
        <f>HYPERLINK("https://cao.dolgi.msk.ru/account/1011362255/", 1011362255)</f>
        <v>1011362255</v>
      </c>
      <c r="D13704">
        <v>-10498.16</v>
      </c>
    </row>
    <row r="13705" spans="1:4" hidden="1" x14ac:dyDescent="0.3">
      <c r="A13705" t="s">
        <v>951</v>
      </c>
      <c r="B13705" t="s">
        <v>21</v>
      </c>
      <c r="C13705" s="1">
        <f>HYPERLINK("https://cao.dolgi.msk.ru/account/1011362036/", 1011362036)</f>
        <v>1011362036</v>
      </c>
      <c r="D13705">
        <v>-7636.93</v>
      </c>
    </row>
    <row r="13706" spans="1:4" hidden="1" x14ac:dyDescent="0.3">
      <c r="A13706" t="s">
        <v>951</v>
      </c>
      <c r="B13706" t="s">
        <v>22</v>
      </c>
      <c r="C13706" s="1">
        <f>HYPERLINK("https://cao.dolgi.msk.ru/account/1011363784/", 1011363784)</f>
        <v>1011363784</v>
      </c>
      <c r="D13706">
        <v>0</v>
      </c>
    </row>
    <row r="13707" spans="1:4" hidden="1" x14ac:dyDescent="0.3">
      <c r="A13707" t="s">
        <v>951</v>
      </c>
      <c r="B13707" t="s">
        <v>24</v>
      </c>
      <c r="C13707" s="1">
        <f>HYPERLINK("https://cao.dolgi.msk.ru/account/1011362546/", 1011362546)</f>
        <v>1011362546</v>
      </c>
      <c r="D13707">
        <v>0</v>
      </c>
    </row>
    <row r="13708" spans="1:4" hidden="1" x14ac:dyDescent="0.3">
      <c r="A13708" t="s">
        <v>951</v>
      </c>
      <c r="B13708" t="s">
        <v>25</v>
      </c>
      <c r="C13708" s="1">
        <f>HYPERLINK("https://cao.dolgi.msk.ru/account/1011362642/", 1011362642)</f>
        <v>1011362642</v>
      </c>
      <c r="D13708">
        <v>0</v>
      </c>
    </row>
    <row r="13709" spans="1:4" hidden="1" x14ac:dyDescent="0.3">
      <c r="A13709" t="s">
        <v>951</v>
      </c>
      <c r="B13709" t="s">
        <v>26</v>
      </c>
      <c r="C13709" s="1">
        <f>HYPERLINK("https://cao.dolgi.msk.ru/account/1011361228/", 1011361228)</f>
        <v>1011361228</v>
      </c>
      <c r="D13709">
        <v>-8074.53</v>
      </c>
    </row>
    <row r="13710" spans="1:4" hidden="1" x14ac:dyDescent="0.3">
      <c r="A13710" t="s">
        <v>951</v>
      </c>
      <c r="B13710" t="s">
        <v>27</v>
      </c>
      <c r="C13710" s="1">
        <f>HYPERLINK("https://cao.dolgi.msk.ru/account/1011362001/", 1011362001)</f>
        <v>1011362001</v>
      </c>
      <c r="D13710">
        <v>0</v>
      </c>
    </row>
    <row r="13711" spans="1:4" hidden="1" x14ac:dyDescent="0.3">
      <c r="A13711" t="s">
        <v>951</v>
      </c>
      <c r="B13711" t="s">
        <v>29</v>
      </c>
      <c r="C13711" s="1">
        <f>HYPERLINK("https://cao.dolgi.msk.ru/account/1011363565/", 1011363565)</f>
        <v>1011363565</v>
      </c>
      <c r="D13711">
        <v>0</v>
      </c>
    </row>
    <row r="13712" spans="1:4" hidden="1" x14ac:dyDescent="0.3">
      <c r="A13712" t="s">
        <v>951</v>
      </c>
      <c r="B13712" t="s">
        <v>38</v>
      </c>
      <c r="C13712" s="1">
        <f>HYPERLINK("https://cao.dolgi.msk.ru/account/1011363776/", 1011363776)</f>
        <v>1011363776</v>
      </c>
      <c r="D13712">
        <v>0</v>
      </c>
    </row>
    <row r="13713" spans="1:4" hidden="1" x14ac:dyDescent="0.3">
      <c r="A13713" t="s">
        <v>951</v>
      </c>
      <c r="B13713" t="s">
        <v>39</v>
      </c>
      <c r="C13713" s="1">
        <f>HYPERLINK("https://cao.dolgi.msk.ru/account/1011361084/", 1011361084)</f>
        <v>1011361084</v>
      </c>
      <c r="D13713">
        <v>0</v>
      </c>
    </row>
    <row r="13714" spans="1:4" hidden="1" x14ac:dyDescent="0.3">
      <c r="A13714" t="s">
        <v>951</v>
      </c>
      <c r="B13714" t="s">
        <v>39</v>
      </c>
      <c r="C13714" s="1">
        <f>HYPERLINK("https://cao.dolgi.msk.ru/account/1011364103/", 1011364103)</f>
        <v>1011364103</v>
      </c>
      <c r="D13714">
        <v>0</v>
      </c>
    </row>
    <row r="13715" spans="1:4" hidden="1" x14ac:dyDescent="0.3">
      <c r="A13715" t="s">
        <v>951</v>
      </c>
      <c r="B13715" t="s">
        <v>40</v>
      </c>
      <c r="C13715" s="1">
        <f>HYPERLINK("https://cao.dolgi.msk.ru/account/1011362909/", 1011362909)</f>
        <v>1011362909</v>
      </c>
      <c r="D13715">
        <v>0</v>
      </c>
    </row>
    <row r="13716" spans="1:4" hidden="1" x14ac:dyDescent="0.3">
      <c r="A13716" t="s">
        <v>951</v>
      </c>
      <c r="B13716" t="s">
        <v>41</v>
      </c>
      <c r="C13716" s="1">
        <f>HYPERLINK("https://cao.dolgi.msk.ru/account/1011363768/", 1011363768)</f>
        <v>1011363768</v>
      </c>
      <c r="D13716">
        <v>-8032.36</v>
      </c>
    </row>
    <row r="13717" spans="1:4" hidden="1" x14ac:dyDescent="0.3">
      <c r="A13717" t="s">
        <v>951</v>
      </c>
      <c r="B13717" t="s">
        <v>51</v>
      </c>
      <c r="C13717" s="1">
        <f>HYPERLINK("https://cao.dolgi.msk.ru/account/1011362861/", 1011362861)</f>
        <v>1011362861</v>
      </c>
      <c r="D13717">
        <v>0</v>
      </c>
    </row>
    <row r="13718" spans="1:4" hidden="1" x14ac:dyDescent="0.3">
      <c r="A13718" t="s">
        <v>951</v>
      </c>
      <c r="B13718" t="s">
        <v>52</v>
      </c>
      <c r="C13718" s="1">
        <f>HYPERLINK("https://cao.dolgi.msk.ru/account/1011361148/", 1011361148)</f>
        <v>1011361148</v>
      </c>
      <c r="D13718">
        <v>0</v>
      </c>
    </row>
    <row r="13719" spans="1:4" hidden="1" x14ac:dyDescent="0.3">
      <c r="A13719" t="s">
        <v>951</v>
      </c>
      <c r="B13719" t="s">
        <v>53</v>
      </c>
      <c r="C13719" s="1">
        <f>HYPERLINK("https://cao.dolgi.msk.ru/account/1011363709/", 1011363709)</f>
        <v>1011363709</v>
      </c>
      <c r="D13719">
        <v>-20.68</v>
      </c>
    </row>
    <row r="13720" spans="1:4" hidden="1" x14ac:dyDescent="0.3">
      <c r="A13720" t="s">
        <v>951</v>
      </c>
      <c r="B13720" t="s">
        <v>54</v>
      </c>
      <c r="C13720" s="1">
        <f>HYPERLINK("https://cao.dolgi.msk.ru/account/1011364162/", 1011364162)</f>
        <v>1011364162</v>
      </c>
      <c r="D13720">
        <v>0</v>
      </c>
    </row>
    <row r="13721" spans="1:4" hidden="1" x14ac:dyDescent="0.3">
      <c r="A13721" t="s">
        <v>951</v>
      </c>
      <c r="B13721" t="s">
        <v>55</v>
      </c>
      <c r="C13721" s="1">
        <f>HYPERLINK("https://cao.dolgi.msk.ru/account/1011363004/", 1011363004)</f>
        <v>1011363004</v>
      </c>
      <c r="D13721">
        <v>-3983.84</v>
      </c>
    </row>
    <row r="13722" spans="1:4" hidden="1" x14ac:dyDescent="0.3">
      <c r="A13722" t="s">
        <v>951</v>
      </c>
      <c r="B13722" t="s">
        <v>56</v>
      </c>
      <c r="C13722" s="1">
        <f>HYPERLINK("https://cao.dolgi.msk.ru/account/1011362159/", 1011362159)</f>
        <v>1011362159</v>
      </c>
      <c r="D13722">
        <v>0</v>
      </c>
    </row>
    <row r="13723" spans="1:4" hidden="1" x14ac:dyDescent="0.3">
      <c r="A13723" t="s">
        <v>951</v>
      </c>
      <c r="B13723" t="s">
        <v>87</v>
      </c>
      <c r="C13723" s="1">
        <f>HYPERLINK("https://cao.dolgi.msk.ru/account/1011362888/", 1011362888)</f>
        <v>1011362888</v>
      </c>
      <c r="D13723">
        <v>-83.14</v>
      </c>
    </row>
    <row r="13724" spans="1:4" x14ac:dyDescent="0.3">
      <c r="A13724" t="s">
        <v>951</v>
      </c>
      <c r="B13724" t="s">
        <v>87</v>
      </c>
      <c r="C13724" s="1">
        <f>HYPERLINK("https://cao.dolgi.msk.ru/account/1011362933/", 1011362933)</f>
        <v>1011362933</v>
      </c>
      <c r="D13724">
        <v>1692.75</v>
      </c>
    </row>
    <row r="13725" spans="1:4" hidden="1" x14ac:dyDescent="0.3">
      <c r="A13725" t="s">
        <v>951</v>
      </c>
      <c r="B13725" t="s">
        <v>88</v>
      </c>
      <c r="C13725" s="1">
        <f>HYPERLINK("https://cao.dolgi.msk.ru/account/1011362853/", 1011362853)</f>
        <v>1011362853</v>
      </c>
      <c r="D13725">
        <v>0</v>
      </c>
    </row>
    <row r="13726" spans="1:4" hidden="1" x14ac:dyDescent="0.3">
      <c r="A13726" t="s">
        <v>951</v>
      </c>
      <c r="B13726" t="s">
        <v>89</v>
      </c>
      <c r="C13726" s="1">
        <f>HYPERLINK("https://cao.dolgi.msk.ru/account/1011361738/", 1011361738)</f>
        <v>1011361738</v>
      </c>
      <c r="D13726">
        <v>-14995.73</v>
      </c>
    </row>
    <row r="13727" spans="1:4" hidden="1" x14ac:dyDescent="0.3">
      <c r="A13727" t="s">
        <v>951</v>
      </c>
      <c r="B13727" t="s">
        <v>90</v>
      </c>
      <c r="C13727" s="1">
        <f>HYPERLINK("https://cao.dolgi.msk.ru/account/1011363602/", 1011363602)</f>
        <v>1011363602</v>
      </c>
      <c r="D13727">
        <v>0</v>
      </c>
    </row>
    <row r="13728" spans="1:4" hidden="1" x14ac:dyDescent="0.3">
      <c r="A13728" t="s">
        <v>951</v>
      </c>
      <c r="B13728" t="s">
        <v>96</v>
      </c>
      <c r="C13728" s="1">
        <f>HYPERLINK("https://cao.dolgi.msk.ru/account/1011363231/", 1011363231)</f>
        <v>1011363231</v>
      </c>
      <c r="D13728">
        <v>0</v>
      </c>
    </row>
    <row r="13729" spans="1:4" hidden="1" x14ac:dyDescent="0.3">
      <c r="A13729" t="s">
        <v>951</v>
      </c>
      <c r="B13729" t="s">
        <v>97</v>
      </c>
      <c r="C13729" s="1">
        <f>HYPERLINK("https://cao.dolgi.msk.ru/account/1011360874/", 1011360874)</f>
        <v>1011360874</v>
      </c>
      <c r="D13729">
        <v>-3680.3</v>
      </c>
    </row>
    <row r="13730" spans="1:4" hidden="1" x14ac:dyDescent="0.3">
      <c r="A13730" t="s">
        <v>951</v>
      </c>
      <c r="B13730" t="s">
        <v>98</v>
      </c>
      <c r="C13730" s="1">
        <f>HYPERLINK("https://cao.dolgi.msk.ru/account/1011362124/", 1011362124)</f>
        <v>1011362124</v>
      </c>
      <c r="D13730">
        <v>0</v>
      </c>
    </row>
    <row r="13731" spans="1:4" hidden="1" x14ac:dyDescent="0.3">
      <c r="A13731" t="s">
        <v>951</v>
      </c>
      <c r="B13731" t="s">
        <v>58</v>
      </c>
      <c r="C13731" s="1">
        <f>HYPERLINK("https://cao.dolgi.msk.ru/account/1011361324/", 1011361324)</f>
        <v>1011361324</v>
      </c>
      <c r="D13731">
        <v>0</v>
      </c>
    </row>
    <row r="13732" spans="1:4" hidden="1" x14ac:dyDescent="0.3">
      <c r="A13732" t="s">
        <v>951</v>
      </c>
      <c r="B13732" t="s">
        <v>58</v>
      </c>
      <c r="C13732" s="1">
        <f>HYPERLINK("https://cao.dolgi.msk.ru/account/1011362829/", 1011362829)</f>
        <v>1011362829</v>
      </c>
      <c r="D13732">
        <v>0</v>
      </c>
    </row>
    <row r="13733" spans="1:4" hidden="1" x14ac:dyDescent="0.3">
      <c r="A13733" t="s">
        <v>951</v>
      </c>
      <c r="B13733" t="s">
        <v>59</v>
      </c>
      <c r="C13733" s="1">
        <f>HYPERLINK("https://cao.dolgi.msk.ru/account/1011362335/", 1011362335)</f>
        <v>1011362335</v>
      </c>
      <c r="D13733">
        <v>-34.72</v>
      </c>
    </row>
    <row r="13734" spans="1:4" hidden="1" x14ac:dyDescent="0.3">
      <c r="A13734" t="s">
        <v>951</v>
      </c>
      <c r="B13734" t="s">
        <v>60</v>
      </c>
      <c r="C13734" s="1">
        <f>HYPERLINK("https://cao.dolgi.msk.ru/account/1011361658/", 1011361658)</f>
        <v>1011361658</v>
      </c>
      <c r="D13734">
        <v>0</v>
      </c>
    </row>
    <row r="13735" spans="1:4" hidden="1" x14ac:dyDescent="0.3">
      <c r="A13735" t="s">
        <v>951</v>
      </c>
      <c r="B13735" t="s">
        <v>61</v>
      </c>
      <c r="C13735" s="1">
        <f>HYPERLINK("https://cao.dolgi.msk.ru/account/1011361754/", 1011361754)</f>
        <v>1011361754</v>
      </c>
      <c r="D13735">
        <v>-29.83</v>
      </c>
    </row>
    <row r="13736" spans="1:4" hidden="1" x14ac:dyDescent="0.3">
      <c r="A13736" t="s">
        <v>951</v>
      </c>
      <c r="B13736" t="s">
        <v>62</v>
      </c>
      <c r="C13736" s="1">
        <f>HYPERLINK("https://cao.dolgi.msk.ru/account/1011362685/", 1011362685)</f>
        <v>1011362685</v>
      </c>
      <c r="D13736">
        <v>0</v>
      </c>
    </row>
    <row r="13737" spans="1:4" x14ac:dyDescent="0.3">
      <c r="A13737" t="s">
        <v>951</v>
      </c>
      <c r="B13737" t="s">
        <v>63</v>
      </c>
      <c r="C13737" s="1">
        <f>HYPERLINK("https://cao.dolgi.msk.ru/account/1011362597/", 1011362597)</f>
        <v>1011362597</v>
      </c>
      <c r="D13737">
        <v>1031.3699999999999</v>
      </c>
    </row>
    <row r="13738" spans="1:4" hidden="1" x14ac:dyDescent="0.3">
      <c r="A13738" t="s">
        <v>951</v>
      </c>
      <c r="B13738" t="s">
        <v>64</v>
      </c>
      <c r="C13738" s="1">
        <f>HYPERLINK("https://cao.dolgi.msk.ru/account/1011362108/", 1011362108)</f>
        <v>1011362108</v>
      </c>
      <c r="D13738">
        <v>-12.32</v>
      </c>
    </row>
    <row r="13739" spans="1:4" hidden="1" x14ac:dyDescent="0.3">
      <c r="A13739" t="s">
        <v>951</v>
      </c>
      <c r="B13739" t="s">
        <v>65</v>
      </c>
      <c r="C13739" s="1">
        <f>HYPERLINK("https://cao.dolgi.msk.ru/account/1011364015/", 1011364015)</f>
        <v>1011364015</v>
      </c>
      <c r="D13739">
        <v>0</v>
      </c>
    </row>
    <row r="13740" spans="1:4" hidden="1" x14ac:dyDescent="0.3">
      <c r="A13740" t="s">
        <v>951</v>
      </c>
      <c r="B13740" t="s">
        <v>66</v>
      </c>
      <c r="C13740" s="1">
        <f>HYPERLINK("https://cao.dolgi.msk.ru/account/1011361615/", 1011361615)</f>
        <v>1011361615</v>
      </c>
      <c r="D13740">
        <v>-11.83</v>
      </c>
    </row>
    <row r="13741" spans="1:4" hidden="1" x14ac:dyDescent="0.3">
      <c r="A13741" t="s">
        <v>951</v>
      </c>
      <c r="B13741" t="s">
        <v>66</v>
      </c>
      <c r="C13741" s="1">
        <f>HYPERLINK("https://cao.dolgi.msk.ru/account/1011505359/", 1011505359)</f>
        <v>1011505359</v>
      </c>
      <c r="D13741">
        <v>-5.92</v>
      </c>
    </row>
    <row r="13742" spans="1:4" hidden="1" x14ac:dyDescent="0.3">
      <c r="A13742" t="s">
        <v>951</v>
      </c>
      <c r="B13742" t="s">
        <v>67</v>
      </c>
      <c r="C13742" s="1">
        <f>HYPERLINK("https://cao.dolgi.msk.ru/account/1011363186/", 1011363186)</f>
        <v>1011363186</v>
      </c>
      <c r="D13742">
        <v>0</v>
      </c>
    </row>
    <row r="13743" spans="1:4" hidden="1" x14ac:dyDescent="0.3">
      <c r="A13743" t="s">
        <v>951</v>
      </c>
      <c r="B13743" t="s">
        <v>68</v>
      </c>
      <c r="C13743" s="1">
        <f>HYPERLINK("https://cao.dolgi.msk.ru/account/1011361594/", 1011361594)</f>
        <v>1011361594</v>
      </c>
      <c r="D13743">
        <v>0</v>
      </c>
    </row>
    <row r="13744" spans="1:4" hidden="1" x14ac:dyDescent="0.3">
      <c r="A13744" t="s">
        <v>951</v>
      </c>
      <c r="B13744" t="s">
        <v>69</v>
      </c>
      <c r="C13744" s="1">
        <f>HYPERLINK("https://cao.dolgi.msk.ru/account/1011361295/", 1011361295)</f>
        <v>1011361295</v>
      </c>
      <c r="D13744">
        <v>-2142.7800000000002</v>
      </c>
    </row>
    <row r="13745" spans="1:4" hidden="1" x14ac:dyDescent="0.3">
      <c r="A13745" t="s">
        <v>951</v>
      </c>
      <c r="B13745" t="s">
        <v>70</v>
      </c>
      <c r="C13745" s="1">
        <f>HYPERLINK("https://cao.dolgi.msk.ru/account/1011361316/", 1011361316)</f>
        <v>1011361316</v>
      </c>
      <c r="D13745">
        <v>0</v>
      </c>
    </row>
    <row r="13746" spans="1:4" hidden="1" x14ac:dyDescent="0.3">
      <c r="A13746" t="s">
        <v>951</v>
      </c>
      <c r="B13746" t="s">
        <v>259</v>
      </c>
      <c r="C13746" s="1">
        <f>HYPERLINK("https://cao.dolgi.msk.ru/account/1011362896/", 1011362896)</f>
        <v>1011362896</v>
      </c>
      <c r="D13746">
        <v>0</v>
      </c>
    </row>
    <row r="13747" spans="1:4" hidden="1" x14ac:dyDescent="0.3">
      <c r="A13747" t="s">
        <v>951</v>
      </c>
      <c r="B13747" t="s">
        <v>259</v>
      </c>
      <c r="C13747" s="1">
        <f>HYPERLINK("https://cao.dolgi.msk.ru/account/1011514001/", 1011514001)</f>
        <v>1011514001</v>
      </c>
      <c r="D13747">
        <v>-3021</v>
      </c>
    </row>
    <row r="13748" spans="1:4" hidden="1" x14ac:dyDescent="0.3">
      <c r="A13748" t="s">
        <v>951</v>
      </c>
      <c r="B13748" t="s">
        <v>100</v>
      </c>
      <c r="C13748" s="1">
        <f>HYPERLINK("https://cao.dolgi.msk.ru/account/1011361818/", 1011361818)</f>
        <v>1011361818</v>
      </c>
      <c r="D13748">
        <v>-136.83000000000001</v>
      </c>
    </row>
    <row r="13749" spans="1:4" x14ac:dyDescent="0.3">
      <c r="A13749" t="s">
        <v>951</v>
      </c>
      <c r="B13749" t="s">
        <v>72</v>
      </c>
      <c r="C13749" s="1">
        <f>HYPERLINK("https://cao.dolgi.msk.ru/account/1011362765/", 1011362765)</f>
        <v>1011362765</v>
      </c>
      <c r="D13749">
        <v>4319.7</v>
      </c>
    </row>
    <row r="13750" spans="1:4" hidden="1" x14ac:dyDescent="0.3">
      <c r="A13750" t="s">
        <v>951</v>
      </c>
      <c r="B13750" t="s">
        <v>73</v>
      </c>
      <c r="C13750" s="1">
        <f>HYPERLINK("https://cao.dolgi.msk.ru/account/1011361981/", 1011361981)</f>
        <v>1011361981</v>
      </c>
      <c r="D13750">
        <v>-17.600000000000001</v>
      </c>
    </row>
    <row r="13751" spans="1:4" hidden="1" x14ac:dyDescent="0.3">
      <c r="A13751" t="s">
        <v>951</v>
      </c>
      <c r="B13751" t="s">
        <v>74</v>
      </c>
      <c r="C13751" s="1">
        <f>HYPERLINK("https://cao.dolgi.msk.ru/account/1011360903/", 1011360903)</f>
        <v>1011360903</v>
      </c>
      <c r="D13751">
        <v>0</v>
      </c>
    </row>
    <row r="13752" spans="1:4" x14ac:dyDescent="0.3">
      <c r="A13752" t="s">
        <v>951</v>
      </c>
      <c r="B13752" t="s">
        <v>75</v>
      </c>
      <c r="C13752" s="1">
        <f>HYPERLINK("https://cao.dolgi.msk.ru/account/1011361834/", 1011361834)</f>
        <v>1011361834</v>
      </c>
      <c r="D13752">
        <v>38954.54</v>
      </c>
    </row>
    <row r="13753" spans="1:4" x14ac:dyDescent="0.3">
      <c r="A13753" t="s">
        <v>951</v>
      </c>
      <c r="B13753" t="s">
        <v>76</v>
      </c>
      <c r="C13753" s="1">
        <f>HYPERLINK("https://cao.dolgi.msk.ru/account/1011363688/", 1011363688)</f>
        <v>1011363688</v>
      </c>
      <c r="D13753">
        <v>4514.5600000000004</v>
      </c>
    </row>
    <row r="13754" spans="1:4" hidden="1" x14ac:dyDescent="0.3">
      <c r="A13754" t="s">
        <v>951</v>
      </c>
      <c r="B13754" t="s">
        <v>77</v>
      </c>
      <c r="C13754" s="1">
        <f>HYPERLINK("https://cao.dolgi.msk.ru/account/1011363071/", 1011363071)</f>
        <v>1011363071</v>
      </c>
      <c r="D13754">
        <v>-13241.43</v>
      </c>
    </row>
    <row r="13755" spans="1:4" hidden="1" x14ac:dyDescent="0.3">
      <c r="A13755" t="s">
        <v>951</v>
      </c>
      <c r="B13755" t="s">
        <v>78</v>
      </c>
      <c r="C13755" s="1">
        <f>HYPERLINK("https://cao.dolgi.msk.ru/account/1011362132/", 1011362132)</f>
        <v>1011362132</v>
      </c>
      <c r="D13755">
        <v>-17.510000000000002</v>
      </c>
    </row>
    <row r="13756" spans="1:4" hidden="1" x14ac:dyDescent="0.3">
      <c r="A13756" t="s">
        <v>951</v>
      </c>
      <c r="B13756" t="s">
        <v>79</v>
      </c>
      <c r="C13756" s="1">
        <f>HYPERLINK("https://cao.dolgi.msk.ru/account/1011363282/", 1011363282)</f>
        <v>1011363282</v>
      </c>
      <c r="D13756">
        <v>0</v>
      </c>
    </row>
    <row r="13757" spans="1:4" hidden="1" x14ac:dyDescent="0.3">
      <c r="A13757" t="s">
        <v>951</v>
      </c>
      <c r="B13757" t="s">
        <v>80</v>
      </c>
      <c r="C13757" s="1">
        <f>HYPERLINK("https://cao.dolgi.msk.ru/account/1011361914/", 1011361914)</f>
        <v>1011361914</v>
      </c>
      <c r="D13757">
        <v>0</v>
      </c>
    </row>
    <row r="13758" spans="1:4" hidden="1" x14ac:dyDescent="0.3">
      <c r="A13758" t="s">
        <v>951</v>
      </c>
      <c r="B13758" t="s">
        <v>81</v>
      </c>
      <c r="C13758" s="1">
        <f>HYPERLINK("https://cao.dolgi.msk.ru/account/1011361535/", 1011361535)</f>
        <v>1011361535</v>
      </c>
      <c r="D13758">
        <v>0</v>
      </c>
    </row>
    <row r="13759" spans="1:4" hidden="1" x14ac:dyDescent="0.3">
      <c r="A13759" t="s">
        <v>951</v>
      </c>
      <c r="B13759" t="s">
        <v>101</v>
      </c>
      <c r="C13759" s="1">
        <f>HYPERLINK("https://cao.dolgi.msk.ru/account/1011361121/", 1011361121)</f>
        <v>1011361121</v>
      </c>
      <c r="D13759">
        <v>-192.82</v>
      </c>
    </row>
    <row r="13760" spans="1:4" hidden="1" x14ac:dyDescent="0.3">
      <c r="A13760" t="s">
        <v>951</v>
      </c>
      <c r="B13760" t="s">
        <v>82</v>
      </c>
      <c r="C13760" s="1">
        <f>HYPERLINK("https://cao.dolgi.msk.ru/account/1011361498/", 1011361498)</f>
        <v>1011361498</v>
      </c>
      <c r="D13760">
        <v>-14989.43</v>
      </c>
    </row>
    <row r="13761" spans="1:4" hidden="1" x14ac:dyDescent="0.3">
      <c r="A13761" t="s">
        <v>951</v>
      </c>
      <c r="B13761" t="s">
        <v>83</v>
      </c>
      <c r="C13761" s="1">
        <f>HYPERLINK("https://cao.dolgi.msk.ru/account/1011360831/", 1011360831)</f>
        <v>1011360831</v>
      </c>
      <c r="D13761">
        <v>0</v>
      </c>
    </row>
    <row r="13762" spans="1:4" hidden="1" x14ac:dyDescent="0.3">
      <c r="A13762" t="s">
        <v>951</v>
      </c>
      <c r="B13762" t="s">
        <v>84</v>
      </c>
      <c r="C13762" s="1">
        <f>HYPERLINK("https://cao.dolgi.msk.ru/account/1011362714/", 1011362714)</f>
        <v>1011362714</v>
      </c>
      <c r="D13762">
        <v>-11167.98</v>
      </c>
    </row>
    <row r="13763" spans="1:4" hidden="1" x14ac:dyDescent="0.3">
      <c r="A13763" t="s">
        <v>951</v>
      </c>
      <c r="B13763" t="s">
        <v>85</v>
      </c>
      <c r="C13763" s="1">
        <f>HYPERLINK("https://cao.dolgi.msk.ru/account/1011363696/", 1011363696)</f>
        <v>1011363696</v>
      </c>
      <c r="D13763">
        <v>0</v>
      </c>
    </row>
    <row r="13764" spans="1:4" hidden="1" x14ac:dyDescent="0.3">
      <c r="A13764" t="s">
        <v>951</v>
      </c>
      <c r="B13764" t="s">
        <v>102</v>
      </c>
      <c r="C13764" s="1">
        <f>HYPERLINK("https://cao.dolgi.msk.ru/account/1011362351/", 1011362351)</f>
        <v>1011362351</v>
      </c>
      <c r="D13764">
        <v>-96.9</v>
      </c>
    </row>
    <row r="13765" spans="1:4" hidden="1" x14ac:dyDescent="0.3">
      <c r="A13765" t="s">
        <v>951</v>
      </c>
      <c r="B13765" t="s">
        <v>103</v>
      </c>
      <c r="C13765" s="1">
        <f>HYPERLINK("https://cao.dolgi.msk.ru/account/1011361797/", 1011361797)</f>
        <v>1011361797</v>
      </c>
      <c r="D13765">
        <v>-6.11</v>
      </c>
    </row>
    <row r="13766" spans="1:4" hidden="1" x14ac:dyDescent="0.3">
      <c r="A13766" t="s">
        <v>951</v>
      </c>
      <c r="B13766" t="s">
        <v>103</v>
      </c>
      <c r="C13766" s="1">
        <f>HYPERLINK("https://cao.dolgi.msk.ru/account/1011361826/", 1011361826)</f>
        <v>1011361826</v>
      </c>
      <c r="D13766">
        <v>-689.55</v>
      </c>
    </row>
    <row r="13767" spans="1:4" hidden="1" x14ac:dyDescent="0.3">
      <c r="A13767" t="s">
        <v>951</v>
      </c>
      <c r="B13767" t="s">
        <v>104</v>
      </c>
      <c r="C13767" s="1">
        <f>HYPERLINK("https://cao.dolgi.msk.ru/account/1011362618/", 1011362618)</f>
        <v>1011362618</v>
      </c>
      <c r="D13767">
        <v>-534.28</v>
      </c>
    </row>
    <row r="13768" spans="1:4" hidden="1" x14ac:dyDescent="0.3">
      <c r="A13768" t="s">
        <v>951</v>
      </c>
      <c r="B13768" t="s">
        <v>105</v>
      </c>
      <c r="C13768" s="1">
        <f>HYPERLINK("https://cao.dolgi.msk.ru/account/1011362095/", 1011362095)</f>
        <v>1011362095</v>
      </c>
      <c r="D13768">
        <v>0</v>
      </c>
    </row>
    <row r="13769" spans="1:4" hidden="1" x14ac:dyDescent="0.3">
      <c r="A13769" t="s">
        <v>951</v>
      </c>
      <c r="B13769" t="s">
        <v>106</v>
      </c>
      <c r="C13769" s="1">
        <f>HYPERLINK("https://cao.dolgi.msk.ru/account/1011362634/", 1011362634)</f>
        <v>1011362634</v>
      </c>
      <c r="D13769">
        <v>-9.06</v>
      </c>
    </row>
    <row r="13770" spans="1:4" hidden="1" x14ac:dyDescent="0.3">
      <c r="A13770" t="s">
        <v>951</v>
      </c>
      <c r="B13770" t="s">
        <v>107</v>
      </c>
      <c r="C13770" s="1">
        <f>HYPERLINK("https://cao.dolgi.msk.ru/account/1011361842/", 1011361842)</f>
        <v>1011361842</v>
      </c>
      <c r="D13770">
        <v>0</v>
      </c>
    </row>
    <row r="13771" spans="1:4" x14ac:dyDescent="0.3">
      <c r="A13771" t="s">
        <v>951</v>
      </c>
      <c r="B13771" t="s">
        <v>108</v>
      </c>
      <c r="C13771" s="1">
        <f>HYPERLINK("https://cao.dolgi.msk.ru/account/1011361383/", 1011361383)</f>
        <v>1011361383</v>
      </c>
      <c r="D13771">
        <v>54188.76</v>
      </c>
    </row>
    <row r="13772" spans="1:4" hidden="1" x14ac:dyDescent="0.3">
      <c r="A13772" t="s">
        <v>951</v>
      </c>
      <c r="B13772" t="s">
        <v>109</v>
      </c>
      <c r="C13772" s="1">
        <f>HYPERLINK("https://cao.dolgi.msk.ru/account/1011364066/", 1011364066)</f>
        <v>1011364066</v>
      </c>
      <c r="D13772">
        <v>0</v>
      </c>
    </row>
    <row r="13773" spans="1:4" hidden="1" x14ac:dyDescent="0.3">
      <c r="A13773" t="s">
        <v>951</v>
      </c>
      <c r="B13773" t="s">
        <v>110</v>
      </c>
      <c r="C13773" s="1">
        <f>HYPERLINK("https://cao.dolgi.msk.ru/account/1011362669/", 1011362669)</f>
        <v>1011362669</v>
      </c>
      <c r="D13773">
        <v>0</v>
      </c>
    </row>
    <row r="13774" spans="1:4" x14ac:dyDescent="0.3">
      <c r="A13774" t="s">
        <v>951</v>
      </c>
      <c r="B13774" t="s">
        <v>111</v>
      </c>
      <c r="C13774" s="1">
        <f>HYPERLINK("https://cao.dolgi.msk.ru/account/1011363135/", 1011363135)</f>
        <v>1011363135</v>
      </c>
      <c r="D13774">
        <v>11534.82</v>
      </c>
    </row>
    <row r="13775" spans="1:4" hidden="1" x14ac:dyDescent="0.3">
      <c r="A13775" t="s">
        <v>951</v>
      </c>
      <c r="B13775" t="s">
        <v>112</v>
      </c>
      <c r="C13775" s="1">
        <f>HYPERLINK("https://cao.dolgi.msk.ru/account/1011362677/", 1011362677)</f>
        <v>1011362677</v>
      </c>
      <c r="D13775">
        <v>-86.78</v>
      </c>
    </row>
    <row r="13776" spans="1:4" x14ac:dyDescent="0.3">
      <c r="A13776" t="s">
        <v>951</v>
      </c>
      <c r="B13776" t="s">
        <v>113</v>
      </c>
      <c r="C13776" s="1">
        <f>HYPERLINK("https://cao.dolgi.msk.ru/account/1011363258/", 1011363258)</f>
        <v>1011363258</v>
      </c>
      <c r="D13776">
        <v>14705.39</v>
      </c>
    </row>
    <row r="13777" spans="1:4" hidden="1" x14ac:dyDescent="0.3">
      <c r="A13777" t="s">
        <v>951</v>
      </c>
      <c r="B13777" t="s">
        <v>114</v>
      </c>
      <c r="C13777" s="1">
        <f>HYPERLINK("https://cao.dolgi.msk.ru/account/1011361666/", 1011361666)</f>
        <v>1011361666</v>
      </c>
      <c r="D13777">
        <v>-343.96</v>
      </c>
    </row>
    <row r="13778" spans="1:4" hidden="1" x14ac:dyDescent="0.3">
      <c r="A13778" t="s">
        <v>951</v>
      </c>
      <c r="B13778" t="s">
        <v>115</v>
      </c>
      <c r="C13778" s="1">
        <f>HYPERLINK("https://cao.dolgi.msk.ru/account/1011363012/", 1011363012)</f>
        <v>1011363012</v>
      </c>
      <c r="D13778">
        <v>-75.34</v>
      </c>
    </row>
    <row r="13779" spans="1:4" hidden="1" x14ac:dyDescent="0.3">
      <c r="A13779" t="s">
        <v>951</v>
      </c>
      <c r="B13779" t="s">
        <v>116</v>
      </c>
      <c r="C13779" s="1">
        <f>HYPERLINK("https://cao.dolgi.msk.ru/account/1011363653/", 1011363653)</f>
        <v>1011363653</v>
      </c>
      <c r="D13779">
        <v>-935.96</v>
      </c>
    </row>
    <row r="13780" spans="1:4" hidden="1" x14ac:dyDescent="0.3">
      <c r="A13780" t="s">
        <v>951</v>
      </c>
      <c r="B13780" t="s">
        <v>266</v>
      </c>
      <c r="C13780" s="1">
        <f>HYPERLINK("https://cao.dolgi.msk.ru/account/1011363813/", 1011363813)</f>
        <v>1011363813</v>
      </c>
      <c r="D13780">
        <v>0</v>
      </c>
    </row>
    <row r="13781" spans="1:4" hidden="1" x14ac:dyDescent="0.3">
      <c r="A13781" t="s">
        <v>951</v>
      </c>
      <c r="B13781" t="s">
        <v>117</v>
      </c>
      <c r="C13781" s="1">
        <f>HYPERLINK("https://cao.dolgi.msk.ru/account/1011362837/", 1011362837)</f>
        <v>1011362837</v>
      </c>
      <c r="D13781">
        <v>-9</v>
      </c>
    </row>
    <row r="13782" spans="1:4" hidden="1" x14ac:dyDescent="0.3">
      <c r="A13782" t="s">
        <v>951</v>
      </c>
      <c r="B13782" t="s">
        <v>118</v>
      </c>
      <c r="C13782" s="1">
        <f>HYPERLINK("https://cao.dolgi.msk.ru/account/1011362271/", 1011362271)</f>
        <v>1011362271</v>
      </c>
      <c r="D13782">
        <v>-151.84</v>
      </c>
    </row>
    <row r="13783" spans="1:4" hidden="1" x14ac:dyDescent="0.3">
      <c r="A13783" t="s">
        <v>951</v>
      </c>
      <c r="B13783" t="s">
        <v>119</v>
      </c>
      <c r="C13783" s="1">
        <f>HYPERLINK("https://cao.dolgi.msk.ru/account/1011361631/", 1011361631)</f>
        <v>1011361631</v>
      </c>
      <c r="D13783">
        <v>-5173.37</v>
      </c>
    </row>
    <row r="13784" spans="1:4" x14ac:dyDescent="0.3">
      <c r="A13784" t="s">
        <v>951</v>
      </c>
      <c r="B13784" t="s">
        <v>120</v>
      </c>
      <c r="C13784" s="1">
        <f>HYPERLINK("https://cao.dolgi.msk.ru/account/1011361957/", 1011361957)</f>
        <v>1011361957</v>
      </c>
      <c r="D13784">
        <v>3181.31</v>
      </c>
    </row>
    <row r="13785" spans="1:4" hidden="1" x14ac:dyDescent="0.3">
      <c r="A13785" t="s">
        <v>951</v>
      </c>
      <c r="B13785" t="s">
        <v>121</v>
      </c>
      <c r="C13785" s="1">
        <f>HYPERLINK("https://cao.dolgi.msk.ru/account/1011361682/", 1011361682)</f>
        <v>1011361682</v>
      </c>
      <c r="D13785">
        <v>-18.18</v>
      </c>
    </row>
    <row r="13786" spans="1:4" hidden="1" x14ac:dyDescent="0.3">
      <c r="A13786" t="s">
        <v>951</v>
      </c>
      <c r="B13786" t="s">
        <v>122</v>
      </c>
      <c r="C13786" s="1">
        <f>HYPERLINK("https://cao.dolgi.msk.ru/account/1011363952/", 1011363952)</f>
        <v>1011363952</v>
      </c>
      <c r="D13786">
        <v>0</v>
      </c>
    </row>
    <row r="13787" spans="1:4" hidden="1" x14ac:dyDescent="0.3">
      <c r="A13787" t="s">
        <v>951</v>
      </c>
      <c r="B13787" t="s">
        <v>123</v>
      </c>
      <c r="C13787" s="1">
        <f>HYPERLINK("https://cao.dolgi.msk.ru/account/1011360858/", 1011360858)</f>
        <v>1011360858</v>
      </c>
      <c r="D13787">
        <v>-17.18</v>
      </c>
    </row>
    <row r="13788" spans="1:4" hidden="1" x14ac:dyDescent="0.3">
      <c r="A13788" t="s">
        <v>951</v>
      </c>
      <c r="B13788" t="s">
        <v>124</v>
      </c>
      <c r="C13788" s="1">
        <f>HYPERLINK("https://cao.dolgi.msk.ru/account/1011362976/", 1011362976)</f>
        <v>1011362976</v>
      </c>
      <c r="D13788">
        <v>0</v>
      </c>
    </row>
    <row r="13789" spans="1:4" hidden="1" x14ac:dyDescent="0.3">
      <c r="A13789" t="s">
        <v>951</v>
      </c>
      <c r="B13789" t="s">
        <v>125</v>
      </c>
      <c r="C13789" s="1">
        <f>HYPERLINK("https://cao.dolgi.msk.ru/account/1011360786/", 1011360786)</f>
        <v>1011360786</v>
      </c>
      <c r="D13789">
        <v>0</v>
      </c>
    </row>
    <row r="13790" spans="1:4" hidden="1" x14ac:dyDescent="0.3">
      <c r="A13790" t="s">
        <v>951</v>
      </c>
      <c r="B13790" t="s">
        <v>126</v>
      </c>
      <c r="C13790" s="1">
        <f>HYPERLINK("https://cao.dolgi.msk.ru/account/1011360671/", 1011360671)</f>
        <v>1011360671</v>
      </c>
      <c r="D13790">
        <v>-24.38</v>
      </c>
    </row>
    <row r="13791" spans="1:4" hidden="1" x14ac:dyDescent="0.3">
      <c r="A13791" t="s">
        <v>951</v>
      </c>
      <c r="B13791" t="s">
        <v>127</v>
      </c>
      <c r="C13791" s="1">
        <f>HYPERLINK("https://cao.dolgi.msk.ru/account/1011361973/", 1011361973)</f>
        <v>1011361973</v>
      </c>
      <c r="D13791">
        <v>-17.29</v>
      </c>
    </row>
    <row r="13792" spans="1:4" hidden="1" x14ac:dyDescent="0.3">
      <c r="A13792" t="s">
        <v>951</v>
      </c>
      <c r="B13792" t="s">
        <v>262</v>
      </c>
      <c r="C13792" s="1">
        <f>HYPERLINK("https://cao.dolgi.msk.ru/account/1011362589/", 1011362589)</f>
        <v>1011362589</v>
      </c>
      <c r="D13792">
        <v>0</v>
      </c>
    </row>
    <row r="13793" spans="1:4" hidden="1" x14ac:dyDescent="0.3">
      <c r="A13793" t="s">
        <v>951</v>
      </c>
      <c r="B13793" t="s">
        <v>128</v>
      </c>
      <c r="C13793" s="1">
        <f>HYPERLINK("https://cao.dolgi.msk.ru/account/1011362722/", 1011362722)</f>
        <v>1011362722</v>
      </c>
      <c r="D13793">
        <v>0</v>
      </c>
    </row>
    <row r="13794" spans="1:4" hidden="1" x14ac:dyDescent="0.3">
      <c r="A13794" t="s">
        <v>951</v>
      </c>
      <c r="B13794" t="s">
        <v>129</v>
      </c>
      <c r="C13794" s="1">
        <f>HYPERLINK("https://cao.dolgi.msk.ru/account/1011361359/", 1011361359)</f>
        <v>1011361359</v>
      </c>
      <c r="D13794">
        <v>0</v>
      </c>
    </row>
    <row r="13795" spans="1:4" hidden="1" x14ac:dyDescent="0.3">
      <c r="A13795" t="s">
        <v>951</v>
      </c>
      <c r="B13795" t="s">
        <v>130</v>
      </c>
      <c r="C13795" s="1">
        <f>HYPERLINK("https://cao.dolgi.msk.ru/account/1011362802/", 1011362802)</f>
        <v>1011362802</v>
      </c>
      <c r="D13795">
        <v>-7701.5</v>
      </c>
    </row>
    <row r="13796" spans="1:4" hidden="1" x14ac:dyDescent="0.3">
      <c r="A13796" t="s">
        <v>951</v>
      </c>
      <c r="B13796" t="s">
        <v>131</v>
      </c>
      <c r="C13796" s="1">
        <f>HYPERLINK("https://cao.dolgi.msk.ru/account/1011363872/", 1011363872)</f>
        <v>1011363872</v>
      </c>
      <c r="D13796">
        <v>0</v>
      </c>
    </row>
    <row r="13797" spans="1:4" hidden="1" x14ac:dyDescent="0.3">
      <c r="A13797" t="s">
        <v>951</v>
      </c>
      <c r="B13797" t="s">
        <v>132</v>
      </c>
      <c r="C13797" s="1">
        <f>HYPERLINK("https://cao.dolgi.msk.ru/account/1011363389/", 1011363389)</f>
        <v>1011363389</v>
      </c>
      <c r="D13797">
        <v>0</v>
      </c>
    </row>
    <row r="13798" spans="1:4" hidden="1" x14ac:dyDescent="0.3">
      <c r="A13798" t="s">
        <v>951</v>
      </c>
      <c r="B13798" t="s">
        <v>133</v>
      </c>
      <c r="C13798" s="1">
        <f>HYPERLINK("https://cao.dolgi.msk.ru/account/1011361519/", 1011361519)</f>
        <v>1011361519</v>
      </c>
      <c r="D13798">
        <v>0</v>
      </c>
    </row>
    <row r="13799" spans="1:4" hidden="1" x14ac:dyDescent="0.3">
      <c r="A13799" t="s">
        <v>951</v>
      </c>
      <c r="B13799" t="s">
        <v>134</v>
      </c>
      <c r="C13799" s="1">
        <f>HYPERLINK("https://cao.dolgi.msk.ru/account/1011361893/", 1011361893)</f>
        <v>1011361893</v>
      </c>
      <c r="D13799">
        <v>0</v>
      </c>
    </row>
    <row r="13800" spans="1:4" x14ac:dyDescent="0.3">
      <c r="A13800" t="s">
        <v>951</v>
      </c>
      <c r="B13800" t="s">
        <v>135</v>
      </c>
      <c r="C13800" s="1">
        <f>HYPERLINK("https://cao.dolgi.msk.ru/account/1011363047/", 1011363047)</f>
        <v>1011363047</v>
      </c>
      <c r="D13800">
        <v>344632.3</v>
      </c>
    </row>
    <row r="13801" spans="1:4" hidden="1" x14ac:dyDescent="0.3">
      <c r="A13801" t="s">
        <v>951</v>
      </c>
      <c r="B13801" t="s">
        <v>264</v>
      </c>
      <c r="C13801" s="1">
        <f>HYPERLINK("https://cao.dolgi.msk.ru/account/1011363151/", 1011363151)</f>
        <v>1011363151</v>
      </c>
      <c r="D13801">
        <v>-264.48</v>
      </c>
    </row>
    <row r="13802" spans="1:4" hidden="1" x14ac:dyDescent="0.3">
      <c r="A13802" t="s">
        <v>951</v>
      </c>
      <c r="B13802" t="s">
        <v>136</v>
      </c>
      <c r="C13802" s="1">
        <f>HYPERLINK("https://cao.dolgi.msk.ru/account/1011363207/", 1011363207)</f>
        <v>1011363207</v>
      </c>
      <c r="D13802">
        <v>-8555.4599999999991</v>
      </c>
    </row>
    <row r="13803" spans="1:4" hidden="1" x14ac:dyDescent="0.3">
      <c r="A13803" t="s">
        <v>951</v>
      </c>
      <c r="B13803" t="s">
        <v>137</v>
      </c>
      <c r="C13803" s="1">
        <f>HYPERLINK("https://cao.dolgi.msk.ru/account/1011361244/", 1011361244)</f>
        <v>1011361244</v>
      </c>
      <c r="D13803">
        <v>0</v>
      </c>
    </row>
    <row r="13804" spans="1:4" hidden="1" x14ac:dyDescent="0.3">
      <c r="A13804" t="s">
        <v>951</v>
      </c>
      <c r="B13804" t="s">
        <v>138</v>
      </c>
      <c r="C13804" s="1">
        <f>HYPERLINK("https://cao.dolgi.msk.ru/account/1011362327/", 1011362327)</f>
        <v>1011362327</v>
      </c>
      <c r="D13804">
        <v>-8426.57</v>
      </c>
    </row>
    <row r="13805" spans="1:4" hidden="1" x14ac:dyDescent="0.3">
      <c r="A13805" t="s">
        <v>951</v>
      </c>
      <c r="B13805" t="s">
        <v>139</v>
      </c>
      <c r="C13805" s="1">
        <f>HYPERLINK("https://cao.dolgi.msk.ru/account/1011361009/", 1011361009)</f>
        <v>1011361009</v>
      </c>
      <c r="D13805">
        <v>-8.61</v>
      </c>
    </row>
    <row r="13806" spans="1:4" hidden="1" x14ac:dyDescent="0.3">
      <c r="A13806" t="s">
        <v>951</v>
      </c>
      <c r="B13806" t="s">
        <v>140</v>
      </c>
      <c r="C13806" s="1">
        <f>HYPERLINK("https://cao.dolgi.msk.ru/account/1011361439/", 1011361439)</f>
        <v>1011361439</v>
      </c>
      <c r="D13806">
        <v>-9884.7000000000007</v>
      </c>
    </row>
    <row r="13807" spans="1:4" hidden="1" x14ac:dyDescent="0.3">
      <c r="A13807" t="s">
        <v>951</v>
      </c>
      <c r="B13807" t="s">
        <v>141</v>
      </c>
      <c r="C13807" s="1">
        <f>HYPERLINK("https://cao.dolgi.msk.ru/account/1011363362/", 1011363362)</f>
        <v>1011363362</v>
      </c>
      <c r="D13807">
        <v>-6430.1</v>
      </c>
    </row>
    <row r="13808" spans="1:4" hidden="1" x14ac:dyDescent="0.3">
      <c r="A13808" t="s">
        <v>951</v>
      </c>
      <c r="B13808" t="s">
        <v>142</v>
      </c>
      <c r="C13808" s="1">
        <f>HYPERLINK("https://cao.dolgi.msk.ru/account/1011363354/", 1011363354)</f>
        <v>1011363354</v>
      </c>
      <c r="D13808">
        <v>-7596.87</v>
      </c>
    </row>
    <row r="13809" spans="1:4" hidden="1" x14ac:dyDescent="0.3">
      <c r="A13809" t="s">
        <v>951</v>
      </c>
      <c r="B13809" t="s">
        <v>143</v>
      </c>
      <c r="C13809" s="1">
        <f>HYPERLINK("https://cao.dolgi.msk.ru/account/1011362749/", 1011362749)</f>
        <v>1011362749</v>
      </c>
      <c r="D13809">
        <v>-18</v>
      </c>
    </row>
    <row r="13810" spans="1:4" x14ac:dyDescent="0.3">
      <c r="A13810" t="s">
        <v>951</v>
      </c>
      <c r="B13810" t="s">
        <v>144</v>
      </c>
      <c r="C13810" s="1">
        <f>HYPERLINK("https://cao.dolgi.msk.ru/account/1011362167/", 1011362167)</f>
        <v>1011362167</v>
      </c>
      <c r="D13810">
        <v>6187.04</v>
      </c>
    </row>
    <row r="13811" spans="1:4" x14ac:dyDescent="0.3">
      <c r="A13811" t="s">
        <v>951</v>
      </c>
      <c r="B13811" t="s">
        <v>145</v>
      </c>
      <c r="C13811" s="1">
        <f>HYPERLINK("https://cao.dolgi.msk.ru/account/1011361105/", 1011361105)</f>
        <v>1011361105</v>
      </c>
      <c r="D13811">
        <v>5272.81</v>
      </c>
    </row>
    <row r="13812" spans="1:4" hidden="1" x14ac:dyDescent="0.3">
      <c r="A13812" t="s">
        <v>951</v>
      </c>
      <c r="B13812" t="s">
        <v>146</v>
      </c>
      <c r="C13812" s="1">
        <f>HYPERLINK("https://cao.dolgi.msk.ru/account/1011363522/", 1011363522)</f>
        <v>1011363522</v>
      </c>
      <c r="D13812">
        <v>0</v>
      </c>
    </row>
    <row r="13813" spans="1:4" hidden="1" x14ac:dyDescent="0.3">
      <c r="A13813" t="s">
        <v>951</v>
      </c>
      <c r="B13813" t="s">
        <v>147</v>
      </c>
      <c r="C13813" s="1">
        <f>HYPERLINK("https://cao.dolgi.msk.ru/account/1011362087/", 1011362087)</f>
        <v>1011362087</v>
      </c>
      <c r="D13813">
        <v>-457.62</v>
      </c>
    </row>
    <row r="13814" spans="1:4" hidden="1" x14ac:dyDescent="0.3">
      <c r="A13814" t="s">
        <v>951</v>
      </c>
      <c r="B13814" t="s">
        <v>148</v>
      </c>
      <c r="C13814" s="1">
        <f>HYPERLINK("https://cao.dolgi.msk.ru/account/1011362319/", 1011362319)</f>
        <v>1011362319</v>
      </c>
      <c r="D13814">
        <v>0</v>
      </c>
    </row>
    <row r="13815" spans="1:4" hidden="1" x14ac:dyDescent="0.3">
      <c r="A13815" t="s">
        <v>951</v>
      </c>
      <c r="B13815" t="s">
        <v>149</v>
      </c>
      <c r="C13815" s="1">
        <f>HYPERLINK("https://cao.dolgi.msk.ru/account/1011363418/", 1011363418)</f>
        <v>1011363418</v>
      </c>
      <c r="D13815">
        <v>0</v>
      </c>
    </row>
    <row r="13816" spans="1:4" hidden="1" x14ac:dyDescent="0.3">
      <c r="A13816" t="s">
        <v>951</v>
      </c>
      <c r="B13816" t="s">
        <v>150</v>
      </c>
      <c r="C13816" s="1">
        <f>HYPERLINK("https://cao.dolgi.msk.ru/account/1011362845/", 1011362845)</f>
        <v>1011362845</v>
      </c>
      <c r="D13816">
        <v>0</v>
      </c>
    </row>
    <row r="13817" spans="1:4" x14ac:dyDescent="0.3">
      <c r="A13817" t="s">
        <v>951</v>
      </c>
      <c r="B13817" t="s">
        <v>151</v>
      </c>
      <c r="C13817" s="1">
        <f>HYPERLINK("https://cao.dolgi.msk.ru/account/1011362415/", 1011362415)</f>
        <v>1011362415</v>
      </c>
      <c r="D13817">
        <v>8695.15</v>
      </c>
    </row>
    <row r="13818" spans="1:4" hidden="1" x14ac:dyDescent="0.3">
      <c r="A13818" t="s">
        <v>951</v>
      </c>
      <c r="B13818" t="s">
        <v>152</v>
      </c>
      <c r="C13818" s="1">
        <f>HYPERLINK("https://cao.dolgi.msk.ru/account/1011360882/", 1011360882)</f>
        <v>1011360882</v>
      </c>
      <c r="D13818">
        <v>0</v>
      </c>
    </row>
    <row r="13819" spans="1:4" hidden="1" x14ac:dyDescent="0.3">
      <c r="A13819" t="s">
        <v>951</v>
      </c>
      <c r="B13819" t="s">
        <v>153</v>
      </c>
      <c r="C13819" s="1">
        <f>HYPERLINK("https://cao.dolgi.msk.ru/account/1011361543/", 1011361543)</f>
        <v>1011361543</v>
      </c>
      <c r="D13819">
        <v>-7162.95</v>
      </c>
    </row>
    <row r="13820" spans="1:4" hidden="1" x14ac:dyDescent="0.3">
      <c r="A13820" t="s">
        <v>951</v>
      </c>
      <c r="B13820" t="s">
        <v>154</v>
      </c>
      <c r="C13820" s="1">
        <f>HYPERLINK("https://cao.dolgi.msk.ru/account/1011363119/", 1011363119)</f>
        <v>1011363119</v>
      </c>
      <c r="D13820">
        <v>0</v>
      </c>
    </row>
    <row r="13821" spans="1:4" hidden="1" x14ac:dyDescent="0.3">
      <c r="A13821" t="s">
        <v>951</v>
      </c>
      <c r="B13821" t="s">
        <v>155</v>
      </c>
      <c r="C13821" s="1">
        <f>HYPERLINK("https://cao.dolgi.msk.ru/account/1011362626/", 1011362626)</f>
        <v>1011362626</v>
      </c>
      <c r="D13821">
        <v>0</v>
      </c>
    </row>
    <row r="13822" spans="1:4" x14ac:dyDescent="0.3">
      <c r="A13822" t="s">
        <v>951</v>
      </c>
      <c r="B13822" t="s">
        <v>156</v>
      </c>
      <c r="C13822" s="1">
        <f>HYPERLINK("https://cao.dolgi.msk.ru/account/1011363979/", 1011363979)</f>
        <v>1011363979</v>
      </c>
      <c r="D13822">
        <v>9789.23</v>
      </c>
    </row>
    <row r="13823" spans="1:4" hidden="1" x14ac:dyDescent="0.3">
      <c r="A13823" t="s">
        <v>951</v>
      </c>
      <c r="B13823" t="s">
        <v>157</v>
      </c>
      <c r="C13823" s="1">
        <f>HYPERLINK("https://cao.dolgi.msk.ru/account/1011361092/", 1011361092)</f>
        <v>1011361092</v>
      </c>
      <c r="D13823">
        <v>-4292.78</v>
      </c>
    </row>
    <row r="13824" spans="1:4" hidden="1" x14ac:dyDescent="0.3">
      <c r="A13824" t="s">
        <v>951</v>
      </c>
      <c r="B13824" t="s">
        <v>158</v>
      </c>
      <c r="C13824" s="1">
        <f>HYPERLINK("https://cao.dolgi.msk.ru/account/1011362052/", 1011362052)</f>
        <v>1011362052</v>
      </c>
      <c r="D13824">
        <v>-14803.19</v>
      </c>
    </row>
    <row r="13825" spans="1:4" hidden="1" x14ac:dyDescent="0.3">
      <c r="A13825" t="s">
        <v>951</v>
      </c>
      <c r="B13825" t="s">
        <v>159</v>
      </c>
      <c r="C13825" s="1">
        <f>HYPERLINK("https://cao.dolgi.msk.ru/account/1011363442/", 1011363442)</f>
        <v>1011363442</v>
      </c>
      <c r="D13825">
        <v>-9.06</v>
      </c>
    </row>
    <row r="13826" spans="1:4" hidden="1" x14ac:dyDescent="0.3">
      <c r="A13826" t="s">
        <v>951</v>
      </c>
      <c r="B13826" t="s">
        <v>160</v>
      </c>
      <c r="C13826" s="1">
        <f>HYPERLINK("https://cao.dolgi.msk.ru/account/1011363039/", 1011363039)</f>
        <v>1011363039</v>
      </c>
      <c r="D13826">
        <v>-8.4</v>
      </c>
    </row>
    <row r="13827" spans="1:4" x14ac:dyDescent="0.3">
      <c r="A13827" t="s">
        <v>951</v>
      </c>
      <c r="B13827" t="s">
        <v>161</v>
      </c>
      <c r="C13827" s="1">
        <f>HYPERLINK("https://cao.dolgi.msk.ru/account/1011362204/", 1011362204)</f>
        <v>1011362204</v>
      </c>
      <c r="D13827">
        <v>3922.86</v>
      </c>
    </row>
    <row r="13828" spans="1:4" hidden="1" x14ac:dyDescent="0.3">
      <c r="A13828" t="s">
        <v>951</v>
      </c>
      <c r="B13828" t="s">
        <v>162</v>
      </c>
      <c r="C13828" s="1">
        <f>HYPERLINK("https://cao.dolgi.msk.ru/account/1011360698/", 1011360698)</f>
        <v>1011360698</v>
      </c>
      <c r="D13828">
        <v>-10567.29</v>
      </c>
    </row>
    <row r="13829" spans="1:4" hidden="1" x14ac:dyDescent="0.3">
      <c r="A13829" t="s">
        <v>951</v>
      </c>
      <c r="B13829" t="s">
        <v>163</v>
      </c>
      <c r="C13829" s="1">
        <f>HYPERLINK("https://cao.dolgi.msk.ru/account/1011362992/", 1011362992)</f>
        <v>1011362992</v>
      </c>
      <c r="D13829">
        <v>0</v>
      </c>
    </row>
    <row r="13830" spans="1:4" x14ac:dyDescent="0.3">
      <c r="A13830" t="s">
        <v>951</v>
      </c>
      <c r="B13830" t="s">
        <v>164</v>
      </c>
      <c r="C13830" s="1">
        <f>HYPERLINK("https://cao.dolgi.msk.ru/account/1011362562/", 1011362562)</f>
        <v>1011362562</v>
      </c>
      <c r="D13830">
        <v>18079.349999999999</v>
      </c>
    </row>
    <row r="13831" spans="1:4" hidden="1" x14ac:dyDescent="0.3">
      <c r="A13831" t="s">
        <v>951</v>
      </c>
      <c r="B13831" t="s">
        <v>165</v>
      </c>
      <c r="C13831" s="1">
        <f>HYPERLINK("https://cao.dolgi.msk.ru/account/1011361922/", 1011361922)</f>
        <v>1011361922</v>
      </c>
      <c r="D13831">
        <v>-2677.14</v>
      </c>
    </row>
    <row r="13832" spans="1:4" hidden="1" x14ac:dyDescent="0.3">
      <c r="A13832" t="s">
        <v>951</v>
      </c>
      <c r="B13832" t="s">
        <v>166</v>
      </c>
      <c r="C13832" s="1">
        <f>HYPERLINK("https://cao.dolgi.msk.ru/account/1011363194/", 1011363194)</f>
        <v>1011363194</v>
      </c>
      <c r="D13832">
        <v>0</v>
      </c>
    </row>
    <row r="13833" spans="1:4" hidden="1" x14ac:dyDescent="0.3">
      <c r="A13833" t="s">
        <v>951</v>
      </c>
      <c r="B13833" t="s">
        <v>167</v>
      </c>
      <c r="C13833" s="1">
        <f>HYPERLINK("https://cao.dolgi.msk.ru/account/1011363717/", 1011363717)</f>
        <v>1011363717</v>
      </c>
      <c r="D13833">
        <v>-1131.74</v>
      </c>
    </row>
    <row r="13834" spans="1:4" hidden="1" x14ac:dyDescent="0.3">
      <c r="A13834" t="s">
        <v>951</v>
      </c>
      <c r="B13834" t="s">
        <v>167</v>
      </c>
      <c r="C13834" s="1">
        <f>HYPERLINK("https://cao.dolgi.msk.ru/account/1011364082/", 1011364082)</f>
        <v>1011364082</v>
      </c>
      <c r="D13834">
        <v>-4.3899999999999997</v>
      </c>
    </row>
    <row r="13835" spans="1:4" hidden="1" x14ac:dyDescent="0.3">
      <c r="A13835" t="s">
        <v>951</v>
      </c>
      <c r="B13835" t="s">
        <v>168</v>
      </c>
      <c r="C13835" s="1">
        <f>HYPERLINK("https://cao.dolgi.msk.ru/account/1011361332/", 1011361332)</f>
        <v>1011361332</v>
      </c>
      <c r="D13835">
        <v>0</v>
      </c>
    </row>
    <row r="13836" spans="1:4" hidden="1" x14ac:dyDescent="0.3">
      <c r="A13836" t="s">
        <v>951</v>
      </c>
      <c r="B13836" t="s">
        <v>169</v>
      </c>
      <c r="C13836" s="1">
        <f>HYPERLINK("https://cao.dolgi.msk.ru/account/1011360938/", 1011360938)</f>
        <v>1011360938</v>
      </c>
      <c r="D13836">
        <v>0</v>
      </c>
    </row>
    <row r="13837" spans="1:4" hidden="1" x14ac:dyDescent="0.3">
      <c r="A13837" t="s">
        <v>951</v>
      </c>
      <c r="B13837" t="s">
        <v>170</v>
      </c>
      <c r="C13837" s="1">
        <f>HYPERLINK("https://cao.dolgi.msk.ru/account/1011360778/", 1011360778)</f>
        <v>1011360778</v>
      </c>
      <c r="D13837">
        <v>0</v>
      </c>
    </row>
    <row r="13838" spans="1:4" x14ac:dyDescent="0.3">
      <c r="A13838" t="s">
        <v>951</v>
      </c>
      <c r="B13838" t="s">
        <v>171</v>
      </c>
      <c r="C13838" s="1">
        <f>HYPERLINK("https://cao.dolgi.msk.ru/account/1011534272/", 1011534272)</f>
        <v>1011534272</v>
      </c>
      <c r="D13838">
        <v>18189.52</v>
      </c>
    </row>
    <row r="13839" spans="1:4" hidden="1" x14ac:dyDescent="0.3">
      <c r="A13839" t="s">
        <v>951</v>
      </c>
      <c r="B13839" t="s">
        <v>172</v>
      </c>
      <c r="C13839" s="1">
        <f>HYPERLINK("https://cao.dolgi.msk.ru/account/1011362781/", 1011362781)</f>
        <v>1011362781</v>
      </c>
      <c r="D13839">
        <v>-156.4</v>
      </c>
    </row>
    <row r="13840" spans="1:4" hidden="1" x14ac:dyDescent="0.3">
      <c r="A13840" t="s">
        <v>951</v>
      </c>
      <c r="B13840" t="s">
        <v>173</v>
      </c>
      <c r="C13840" s="1">
        <f>HYPERLINK("https://cao.dolgi.msk.ru/account/1011360735/", 1011360735)</f>
        <v>1011360735</v>
      </c>
      <c r="D13840">
        <v>0</v>
      </c>
    </row>
    <row r="13841" spans="1:4" hidden="1" x14ac:dyDescent="0.3">
      <c r="A13841" t="s">
        <v>951</v>
      </c>
      <c r="B13841" t="s">
        <v>174</v>
      </c>
      <c r="C13841" s="1">
        <f>HYPERLINK("https://cao.dolgi.msk.ru/account/1011363303/", 1011363303)</f>
        <v>1011363303</v>
      </c>
      <c r="D13841">
        <v>0</v>
      </c>
    </row>
    <row r="13842" spans="1:4" hidden="1" x14ac:dyDescent="0.3">
      <c r="A13842" t="s">
        <v>951</v>
      </c>
      <c r="B13842" t="s">
        <v>175</v>
      </c>
      <c r="C13842" s="1">
        <f>HYPERLINK("https://cao.dolgi.msk.ru/account/1011360727/", 1011360727)</f>
        <v>1011360727</v>
      </c>
      <c r="D13842">
        <v>-990.44</v>
      </c>
    </row>
    <row r="13843" spans="1:4" hidden="1" x14ac:dyDescent="0.3">
      <c r="A13843" t="s">
        <v>951</v>
      </c>
      <c r="B13843" t="s">
        <v>176</v>
      </c>
      <c r="C13843" s="1">
        <f>HYPERLINK("https://cao.dolgi.msk.ru/account/1011364031/", 1011364031)</f>
        <v>1011364031</v>
      </c>
      <c r="D13843">
        <v>-4084.78</v>
      </c>
    </row>
    <row r="13844" spans="1:4" x14ac:dyDescent="0.3">
      <c r="A13844" t="s">
        <v>951</v>
      </c>
      <c r="B13844" t="s">
        <v>177</v>
      </c>
      <c r="C13844" s="1">
        <f>HYPERLINK("https://cao.dolgi.msk.ru/account/1011362458/", 1011362458)</f>
        <v>1011362458</v>
      </c>
      <c r="D13844">
        <v>7429.27</v>
      </c>
    </row>
    <row r="13845" spans="1:4" hidden="1" x14ac:dyDescent="0.3">
      <c r="A13845" t="s">
        <v>951</v>
      </c>
      <c r="B13845" t="s">
        <v>178</v>
      </c>
      <c r="C13845" s="1">
        <f>HYPERLINK("https://cao.dolgi.msk.ru/account/1011363143/", 1011363143)</f>
        <v>1011363143</v>
      </c>
      <c r="D13845">
        <v>-4392.8599999999997</v>
      </c>
    </row>
    <row r="13846" spans="1:4" hidden="1" x14ac:dyDescent="0.3">
      <c r="A13846" t="s">
        <v>951</v>
      </c>
      <c r="B13846" t="s">
        <v>179</v>
      </c>
      <c r="C13846" s="1">
        <f>HYPERLINK("https://cao.dolgi.msk.ru/account/1011361703/", 1011361703)</f>
        <v>1011361703</v>
      </c>
      <c r="D13846">
        <v>0</v>
      </c>
    </row>
    <row r="13847" spans="1:4" x14ac:dyDescent="0.3">
      <c r="A13847" t="s">
        <v>951</v>
      </c>
      <c r="B13847" t="s">
        <v>273</v>
      </c>
      <c r="C13847" s="1">
        <f>HYPERLINK("https://cao.dolgi.msk.ru/account/1011361965/", 1011361965)</f>
        <v>1011361965</v>
      </c>
      <c r="D13847">
        <v>48</v>
      </c>
    </row>
    <row r="13848" spans="1:4" hidden="1" x14ac:dyDescent="0.3">
      <c r="A13848" t="s">
        <v>951</v>
      </c>
      <c r="B13848" t="s">
        <v>180</v>
      </c>
      <c r="C13848" s="1">
        <f>HYPERLINK("https://cao.dolgi.msk.ru/account/1011361156/", 1011361156)</f>
        <v>1011361156</v>
      </c>
      <c r="D13848">
        <v>0</v>
      </c>
    </row>
    <row r="13849" spans="1:4" hidden="1" x14ac:dyDescent="0.3">
      <c r="A13849" t="s">
        <v>951</v>
      </c>
      <c r="B13849" t="s">
        <v>181</v>
      </c>
      <c r="C13849" s="1">
        <f>HYPERLINK("https://cao.dolgi.msk.ru/account/1011363629/", 1011363629)</f>
        <v>1011363629</v>
      </c>
      <c r="D13849">
        <v>0</v>
      </c>
    </row>
    <row r="13850" spans="1:4" hidden="1" x14ac:dyDescent="0.3">
      <c r="A13850" t="s">
        <v>951</v>
      </c>
      <c r="B13850" t="s">
        <v>181</v>
      </c>
      <c r="C13850" s="1">
        <f>HYPERLINK("https://cao.dolgi.msk.ru/account/1011363936/", 1011363936)</f>
        <v>1011363936</v>
      </c>
      <c r="D13850">
        <v>0</v>
      </c>
    </row>
    <row r="13851" spans="1:4" hidden="1" x14ac:dyDescent="0.3">
      <c r="A13851" t="s">
        <v>951</v>
      </c>
      <c r="B13851" t="s">
        <v>182</v>
      </c>
      <c r="C13851" s="1">
        <f>HYPERLINK("https://cao.dolgi.msk.ru/account/1011363741/", 1011363741)</f>
        <v>1011363741</v>
      </c>
      <c r="D13851">
        <v>-8.3000000000000007</v>
      </c>
    </row>
    <row r="13852" spans="1:4" hidden="1" x14ac:dyDescent="0.3">
      <c r="A13852" t="s">
        <v>951</v>
      </c>
      <c r="B13852" t="s">
        <v>183</v>
      </c>
      <c r="C13852" s="1">
        <f>HYPERLINK("https://cao.dolgi.msk.ru/account/1011361199/", 1011361199)</f>
        <v>1011361199</v>
      </c>
      <c r="D13852">
        <v>-5954</v>
      </c>
    </row>
    <row r="13853" spans="1:4" hidden="1" x14ac:dyDescent="0.3">
      <c r="A13853" t="s">
        <v>951</v>
      </c>
      <c r="B13853" t="s">
        <v>184</v>
      </c>
      <c r="C13853" s="1">
        <f>HYPERLINK("https://cao.dolgi.msk.ru/account/1011361252/", 1011361252)</f>
        <v>1011361252</v>
      </c>
      <c r="D13853">
        <v>0</v>
      </c>
    </row>
    <row r="13854" spans="1:4" hidden="1" x14ac:dyDescent="0.3">
      <c r="A13854" t="s">
        <v>951</v>
      </c>
      <c r="B13854" t="s">
        <v>185</v>
      </c>
      <c r="C13854" s="1">
        <f>HYPERLINK("https://cao.dolgi.msk.ru/account/1011363661/", 1011363661)</f>
        <v>1011363661</v>
      </c>
      <c r="D13854">
        <v>0</v>
      </c>
    </row>
    <row r="13855" spans="1:4" x14ac:dyDescent="0.3">
      <c r="A13855" t="s">
        <v>951</v>
      </c>
      <c r="B13855" t="s">
        <v>274</v>
      </c>
      <c r="C13855" s="1">
        <f>HYPERLINK("https://cao.dolgi.msk.ru/account/1011363223/", 1011363223)</f>
        <v>1011363223</v>
      </c>
      <c r="D13855">
        <v>5568.92</v>
      </c>
    </row>
    <row r="13856" spans="1:4" x14ac:dyDescent="0.3">
      <c r="A13856" t="s">
        <v>951</v>
      </c>
      <c r="B13856" t="s">
        <v>186</v>
      </c>
      <c r="C13856" s="1">
        <f>HYPERLINK("https://cao.dolgi.msk.ru/account/1011363725/", 1011363725)</f>
        <v>1011363725</v>
      </c>
      <c r="D13856">
        <v>14825.95</v>
      </c>
    </row>
    <row r="13857" spans="1:4" hidden="1" x14ac:dyDescent="0.3">
      <c r="A13857" t="s">
        <v>951</v>
      </c>
      <c r="B13857" t="s">
        <v>187</v>
      </c>
      <c r="C13857" s="1">
        <f>HYPERLINK("https://cao.dolgi.msk.ru/account/1011363477/", 1011363477)</f>
        <v>1011363477</v>
      </c>
      <c r="D13857">
        <v>0</v>
      </c>
    </row>
    <row r="13858" spans="1:4" hidden="1" x14ac:dyDescent="0.3">
      <c r="A13858" t="s">
        <v>951</v>
      </c>
      <c r="B13858" t="s">
        <v>188</v>
      </c>
      <c r="C13858" s="1">
        <f>HYPERLINK("https://cao.dolgi.msk.ru/account/1011362474/", 1011362474)</f>
        <v>1011362474</v>
      </c>
      <c r="D13858">
        <v>0</v>
      </c>
    </row>
    <row r="13859" spans="1:4" x14ac:dyDescent="0.3">
      <c r="A13859" t="s">
        <v>951</v>
      </c>
      <c r="B13859" t="s">
        <v>189</v>
      </c>
      <c r="C13859" s="1">
        <f>HYPERLINK("https://cao.dolgi.msk.ru/account/1011362984/", 1011362984)</f>
        <v>1011362984</v>
      </c>
      <c r="D13859">
        <v>49268.2</v>
      </c>
    </row>
    <row r="13860" spans="1:4" hidden="1" x14ac:dyDescent="0.3">
      <c r="A13860" t="s">
        <v>951</v>
      </c>
      <c r="B13860" t="s">
        <v>190</v>
      </c>
      <c r="C13860" s="1">
        <f>HYPERLINK("https://cao.dolgi.msk.ru/account/1011361172/", 1011361172)</f>
        <v>1011361172</v>
      </c>
      <c r="D13860">
        <v>0</v>
      </c>
    </row>
    <row r="13861" spans="1:4" hidden="1" x14ac:dyDescent="0.3">
      <c r="A13861" t="s">
        <v>951</v>
      </c>
      <c r="B13861" t="s">
        <v>191</v>
      </c>
      <c r="C13861" s="1">
        <f>HYPERLINK("https://cao.dolgi.msk.ru/account/1011363493/", 1011363493)</f>
        <v>1011363493</v>
      </c>
      <c r="D13861">
        <v>-899.95</v>
      </c>
    </row>
    <row r="13862" spans="1:4" hidden="1" x14ac:dyDescent="0.3">
      <c r="A13862" t="s">
        <v>951</v>
      </c>
      <c r="B13862" t="s">
        <v>192</v>
      </c>
      <c r="C13862" s="1">
        <f>HYPERLINK("https://cao.dolgi.msk.ru/account/1011361447/", 1011361447)</f>
        <v>1011361447</v>
      </c>
      <c r="D13862">
        <v>0</v>
      </c>
    </row>
    <row r="13863" spans="1:4" hidden="1" x14ac:dyDescent="0.3">
      <c r="A13863" t="s">
        <v>951</v>
      </c>
      <c r="B13863" t="s">
        <v>325</v>
      </c>
      <c r="C13863" s="1">
        <f>HYPERLINK("https://cao.dolgi.msk.ru/account/1011361949/", 1011361949)</f>
        <v>1011361949</v>
      </c>
      <c r="D13863">
        <v>0</v>
      </c>
    </row>
    <row r="13864" spans="1:4" hidden="1" x14ac:dyDescent="0.3">
      <c r="A13864" t="s">
        <v>951</v>
      </c>
      <c r="B13864" t="s">
        <v>193</v>
      </c>
      <c r="C13864" s="1">
        <f>HYPERLINK("https://cao.dolgi.msk.ru/account/1011360751/", 1011360751)</f>
        <v>1011360751</v>
      </c>
      <c r="D13864">
        <v>0</v>
      </c>
    </row>
    <row r="13865" spans="1:4" hidden="1" x14ac:dyDescent="0.3">
      <c r="A13865" t="s">
        <v>951</v>
      </c>
      <c r="B13865" t="s">
        <v>194</v>
      </c>
      <c r="C13865" s="1">
        <f>HYPERLINK("https://cao.dolgi.msk.ru/account/1011362239/", 1011362239)</f>
        <v>1011362239</v>
      </c>
      <c r="D13865">
        <v>0</v>
      </c>
    </row>
    <row r="13866" spans="1:4" hidden="1" x14ac:dyDescent="0.3">
      <c r="A13866" t="s">
        <v>951</v>
      </c>
      <c r="B13866" t="s">
        <v>195</v>
      </c>
      <c r="C13866" s="1">
        <f>HYPERLINK("https://cao.dolgi.msk.ru/account/1011363821/", 1011363821)</f>
        <v>1011363821</v>
      </c>
      <c r="D13866">
        <v>-3705.96</v>
      </c>
    </row>
    <row r="13867" spans="1:4" hidden="1" x14ac:dyDescent="0.3">
      <c r="A13867" t="s">
        <v>951</v>
      </c>
      <c r="B13867" t="s">
        <v>196</v>
      </c>
      <c r="C13867" s="1">
        <f>HYPERLINK("https://cao.dolgi.msk.ru/account/1011361762/", 1011361762)</f>
        <v>1011361762</v>
      </c>
      <c r="D13867">
        <v>0</v>
      </c>
    </row>
    <row r="13868" spans="1:4" hidden="1" x14ac:dyDescent="0.3">
      <c r="A13868" t="s">
        <v>951</v>
      </c>
      <c r="B13868" t="s">
        <v>197</v>
      </c>
      <c r="C13868" s="1">
        <f>HYPERLINK("https://cao.dolgi.msk.ru/account/1011360807/", 1011360807)</f>
        <v>1011360807</v>
      </c>
      <c r="D13868">
        <v>-4690.91</v>
      </c>
    </row>
    <row r="13869" spans="1:4" hidden="1" x14ac:dyDescent="0.3">
      <c r="A13869" t="s">
        <v>951</v>
      </c>
      <c r="B13869" t="s">
        <v>198</v>
      </c>
      <c r="C13869" s="1">
        <f>HYPERLINK("https://cao.dolgi.msk.ru/account/1011363864/", 1011363864)</f>
        <v>1011363864</v>
      </c>
      <c r="D13869">
        <v>0</v>
      </c>
    </row>
    <row r="13870" spans="1:4" hidden="1" x14ac:dyDescent="0.3">
      <c r="A13870" t="s">
        <v>951</v>
      </c>
      <c r="B13870" t="s">
        <v>199</v>
      </c>
      <c r="C13870" s="1">
        <f>HYPERLINK("https://cao.dolgi.msk.ru/account/1011362116/", 1011362116)</f>
        <v>1011362116</v>
      </c>
      <c r="D13870">
        <v>-14.1</v>
      </c>
    </row>
    <row r="13871" spans="1:4" hidden="1" x14ac:dyDescent="0.3">
      <c r="A13871" t="s">
        <v>951</v>
      </c>
      <c r="B13871" t="s">
        <v>200</v>
      </c>
      <c r="C13871" s="1">
        <f>HYPERLINK("https://cao.dolgi.msk.ru/account/1011362378/", 1011362378)</f>
        <v>1011362378</v>
      </c>
      <c r="D13871">
        <v>-1508.41</v>
      </c>
    </row>
    <row r="13872" spans="1:4" hidden="1" x14ac:dyDescent="0.3">
      <c r="A13872" t="s">
        <v>951</v>
      </c>
      <c r="B13872" t="s">
        <v>201</v>
      </c>
      <c r="C13872" s="1">
        <f>HYPERLINK("https://cao.dolgi.msk.ru/account/1011364111/", 1011364111)</f>
        <v>1011364111</v>
      </c>
      <c r="D13872">
        <v>0</v>
      </c>
    </row>
    <row r="13873" spans="1:4" hidden="1" x14ac:dyDescent="0.3">
      <c r="A13873" t="s">
        <v>951</v>
      </c>
      <c r="B13873" t="s">
        <v>202</v>
      </c>
      <c r="C13873" s="1">
        <f>HYPERLINK("https://cao.dolgi.msk.ru/account/1011361025/", 1011361025)</f>
        <v>1011361025</v>
      </c>
      <c r="D13873">
        <v>-6863</v>
      </c>
    </row>
    <row r="13874" spans="1:4" hidden="1" x14ac:dyDescent="0.3">
      <c r="A13874" t="s">
        <v>951</v>
      </c>
      <c r="B13874" t="s">
        <v>203</v>
      </c>
      <c r="C13874" s="1">
        <f>HYPERLINK("https://cao.dolgi.msk.ru/account/1011362044/", 1011362044)</f>
        <v>1011362044</v>
      </c>
      <c r="D13874">
        <v>0</v>
      </c>
    </row>
    <row r="13875" spans="1:4" x14ac:dyDescent="0.3">
      <c r="A13875" t="s">
        <v>951</v>
      </c>
      <c r="B13875" t="s">
        <v>203</v>
      </c>
      <c r="C13875" s="1">
        <f>HYPERLINK("https://cao.dolgi.msk.ru/account/1011364138/", 1011364138)</f>
        <v>1011364138</v>
      </c>
      <c r="D13875">
        <v>1219.27</v>
      </c>
    </row>
    <row r="13876" spans="1:4" hidden="1" x14ac:dyDescent="0.3">
      <c r="A13876" t="s">
        <v>951</v>
      </c>
      <c r="B13876" t="s">
        <v>326</v>
      </c>
      <c r="C13876" s="1">
        <f>HYPERLINK("https://cao.dolgi.msk.ru/account/1011362343/", 1011362343)</f>
        <v>1011362343</v>
      </c>
      <c r="D13876">
        <v>-11.93</v>
      </c>
    </row>
    <row r="13877" spans="1:4" hidden="1" x14ac:dyDescent="0.3">
      <c r="A13877" t="s">
        <v>951</v>
      </c>
      <c r="B13877" t="s">
        <v>204</v>
      </c>
      <c r="C13877" s="1">
        <f>HYPERLINK("https://cao.dolgi.msk.ru/account/1011362247/", 1011362247)</f>
        <v>1011362247</v>
      </c>
      <c r="D13877">
        <v>0</v>
      </c>
    </row>
    <row r="13878" spans="1:4" hidden="1" x14ac:dyDescent="0.3">
      <c r="A13878" t="s">
        <v>951</v>
      </c>
      <c r="B13878" t="s">
        <v>205</v>
      </c>
      <c r="C13878" s="1">
        <f>HYPERLINK("https://cao.dolgi.msk.ru/account/1011362028/", 1011362028)</f>
        <v>1011362028</v>
      </c>
      <c r="D13878">
        <v>-5446.65</v>
      </c>
    </row>
    <row r="13879" spans="1:4" x14ac:dyDescent="0.3">
      <c r="A13879" t="s">
        <v>951</v>
      </c>
      <c r="B13879" t="s">
        <v>206</v>
      </c>
      <c r="C13879" s="1">
        <f>HYPERLINK("https://cao.dolgi.msk.ru/account/1011360997/", 1011360997)</f>
        <v>1011360997</v>
      </c>
      <c r="D13879">
        <v>7581.31</v>
      </c>
    </row>
    <row r="13880" spans="1:4" x14ac:dyDescent="0.3">
      <c r="A13880" t="s">
        <v>951</v>
      </c>
      <c r="B13880" t="s">
        <v>207</v>
      </c>
      <c r="C13880" s="1">
        <f>HYPERLINK("https://cao.dolgi.msk.ru/account/1011362693/", 1011362693)</f>
        <v>1011362693</v>
      </c>
      <c r="D13880">
        <v>14704.95</v>
      </c>
    </row>
    <row r="13881" spans="1:4" hidden="1" x14ac:dyDescent="0.3">
      <c r="A13881" t="s">
        <v>951</v>
      </c>
      <c r="B13881" t="s">
        <v>208</v>
      </c>
      <c r="C13881" s="1">
        <f>HYPERLINK("https://cao.dolgi.msk.ru/account/1011363848/", 1011363848)</f>
        <v>1011363848</v>
      </c>
      <c r="D13881">
        <v>0</v>
      </c>
    </row>
    <row r="13882" spans="1:4" hidden="1" x14ac:dyDescent="0.3">
      <c r="A13882" t="s">
        <v>951</v>
      </c>
      <c r="B13882" t="s">
        <v>327</v>
      </c>
      <c r="C13882" s="1">
        <f>HYPERLINK("https://cao.dolgi.msk.ru/account/1011362706/", 1011362706)</f>
        <v>1011362706</v>
      </c>
      <c r="D13882">
        <v>0</v>
      </c>
    </row>
    <row r="13883" spans="1:4" hidden="1" x14ac:dyDescent="0.3">
      <c r="A13883" t="s">
        <v>951</v>
      </c>
      <c r="B13883" t="s">
        <v>209</v>
      </c>
      <c r="C13883" s="1">
        <f>HYPERLINK("https://cao.dolgi.msk.ru/account/1011363733/", 1011363733)</f>
        <v>1011363733</v>
      </c>
      <c r="D13883">
        <v>-13147.76</v>
      </c>
    </row>
    <row r="13884" spans="1:4" hidden="1" x14ac:dyDescent="0.3">
      <c r="A13884" t="s">
        <v>951</v>
      </c>
      <c r="B13884" t="s">
        <v>210</v>
      </c>
      <c r="C13884" s="1">
        <f>HYPERLINK("https://cao.dolgi.msk.ru/account/1011363098/", 1011363098)</f>
        <v>1011363098</v>
      </c>
      <c r="D13884">
        <v>0</v>
      </c>
    </row>
    <row r="13885" spans="1:4" hidden="1" x14ac:dyDescent="0.3">
      <c r="A13885" t="s">
        <v>951</v>
      </c>
      <c r="B13885" t="s">
        <v>211</v>
      </c>
      <c r="C13885" s="1">
        <f>HYPERLINK("https://cao.dolgi.msk.ru/account/1011364074/", 1011364074)</f>
        <v>1011364074</v>
      </c>
      <c r="D13885">
        <v>-143.96</v>
      </c>
    </row>
    <row r="13886" spans="1:4" hidden="1" x14ac:dyDescent="0.3">
      <c r="A13886" t="s">
        <v>951</v>
      </c>
      <c r="B13886" t="s">
        <v>212</v>
      </c>
      <c r="C13886" s="1">
        <f>HYPERLINK("https://cao.dolgi.msk.ru/account/1011363581/", 1011363581)</f>
        <v>1011363581</v>
      </c>
      <c r="D13886">
        <v>-24.82</v>
      </c>
    </row>
    <row r="13887" spans="1:4" x14ac:dyDescent="0.3">
      <c r="A13887" t="s">
        <v>951</v>
      </c>
      <c r="B13887" t="s">
        <v>213</v>
      </c>
      <c r="C13887" s="1">
        <f>HYPERLINK("https://cao.dolgi.msk.ru/account/1011361391/", 1011361391)</f>
        <v>1011361391</v>
      </c>
      <c r="D13887">
        <v>10079.68</v>
      </c>
    </row>
    <row r="13888" spans="1:4" hidden="1" x14ac:dyDescent="0.3">
      <c r="A13888" t="s">
        <v>951</v>
      </c>
      <c r="B13888" t="s">
        <v>214</v>
      </c>
      <c r="C13888" s="1">
        <f>HYPERLINK("https://cao.dolgi.msk.ru/account/1011361033/", 1011361033)</f>
        <v>1011361033</v>
      </c>
      <c r="D13888">
        <v>-1335.54</v>
      </c>
    </row>
    <row r="13889" spans="1:4" hidden="1" x14ac:dyDescent="0.3">
      <c r="A13889" t="s">
        <v>951</v>
      </c>
      <c r="B13889" t="s">
        <v>215</v>
      </c>
      <c r="C13889" s="1">
        <f>HYPERLINK("https://cao.dolgi.msk.ru/account/1011361711/", 1011361711)</f>
        <v>1011361711</v>
      </c>
      <c r="D13889">
        <v>0</v>
      </c>
    </row>
    <row r="13890" spans="1:4" hidden="1" x14ac:dyDescent="0.3">
      <c r="A13890" t="s">
        <v>951</v>
      </c>
      <c r="B13890" t="s">
        <v>216</v>
      </c>
      <c r="C13890" s="1">
        <f>HYPERLINK("https://cao.dolgi.msk.ru/account/1011362917/", 1011362917)</f>
        <v>1011362917</v>
      </c>
      <c r="D13890">
        <v>0</v>
      </c>
    </row>
    <row r="13891" spans="1:4" hidden="1" x14ac:dyDescent="0.3">
      <c r="A13891" t="s">
        <v>951</v>
      </c>
      <c r="B13891" t="s">
        <v>286</v>
      </c>
      <c r="C13891" s="1">
        <f>HYPERLINK("https://cao.dolgi.msk.ru/account/1011360815/", 1011360815)</f>
        <v>1011360815</v>
      </c>
      <c r="D13891">
        <v>0</v>
      </c>
    </row>
    <row r="13892" spans="1:4" x14ac:dyDescent="0.3">
      <c r="A13892" t="s">
        <v>951</v>
      </c>
      <c r="B13892" t="s">
        <v>287</v>
      </c>
      <c r="C13892" s="1">
        <f>HYPERLINK("https://cao.dolgi.msk.ru/account/1011362554/", 1011362554)</f>
        <v>1011362554</v>
      </c>
      <c r="D13892">
        <v>220480.37</v>
      </c>
    </row>
    <row r="13893" spans="1:4" hidden="1" x14ac:dyDescent="0.3">
      <c r="A13893" t="s">
        <v>951</v>
      </c>
      <c r="B13893" t="s">
        <v>217</v>
      </c>
      <c r="C13893" s="1">
        <f>HYPERLINK("https://cao.dolgi.msk.ru/account/1011363944/", 1011363944)</f>
        <v>1011363944</v>
      </c>
      <c r="D13893">
        <v>-645.17999999999995</v>
      </c>
    </row>
    <row r="13894" spans="1:4" hidden="1" x14ac:dyDescent="0.3">
      <c r="A13894" t="s">
        <v>951</v>
      </c>
      <c r="B13894" t="s">
        <v>218</v>
      </c>
      <c r="C13894" s="1">
        <f>HYPERLINK("https://cao.dolgi.msk.ru/account/1011364007/", 1011364007)</f>
        <v>1011364007</v>
      </c>
      <c r="D13894">
        <v>0</v>
      </c>
    </row>
    <row r="13895" spans="1:4" x14ac:dyDescent="0.3">
      <c r="A13895" t="s">
        <v>951</v>
      </c>
      <c r="B13895" t="s">
        <v>219</v>
      </c>
      <c r="C13895" s="1">
        <f>HYPERLINK("https://cao.dolgi.msk.ru/account/1011362482/", 1011362482)</f>
        <v>1011362482</v>
      </c>
      <c r="D13895">
        <v>15043.38</v>
      </c>
    </row>
    <row r="13896" spans="1:4" hidden="1" x14ac:dyDescent="0.3">
      <c r="A13896" t="s">
        <v>951</v>
      </c>
      <c r="B13896" t="s">
        <v>220</v>
      </c>
      <c r="C13896" s="1">
        <f>HYPERLINK("https://cao.dolgi.msk.ru/account/1011362538/", 1011362538)</f>
        <v>1011362538</v>
      </c>
      <c r="D13896">
        <v>-160.46</v>
      </c>
    </row>
    <row r="13897" spans="1:4" hidden="1" x14ac:dyDescent="0.3">
      <c r="A13897" t="s">
        <v>951</v>
      </c>
      <c r="B13897" t="s">
        <v>221</v>
      </c>
      <c r="C13897" s="1">
        <f>HYPERLINK("https://cao.dolgi.msk.ru/account/1011363557/", 1011363557)</f>
        <v>1011363557</v>
      </c>
      <c r="D13897">
        <v>0</v>
      </c>
    </row>
    <row r="13898" spans="1:4" x14ac:dyDescent="0.3">
      <c r="A13898" t="s">
        <v>951</v>
      </c>
      <c r="B13898" t="s">
        <v>222</v>
      </c>
      <c r="C13898" s="1">
        <f>HYPERLINK("https://cao.dolgi.msk.ru/account/1011361017/", 1011361017)</f>
        <v>1011361017</v>
      </c>
      <c r="D13898">
        <v>5110.93</v>
      </c>
    </row>
    <row r="13899" spans="1:4" hidden="1" x14ac:dyDescent="0.3">
      <c r="A13899" t="s">
        <v>951</v>
      </c>
      <c r="B13899" t="s">
        <v>223</v>
      </c>
      <c r="C13899" s="1">
        <f>HYPERLINK("https://cao.dolgi.msk.ru/account/1011363338/", 1011363338)</f>
        <v>1011363338</v>
      </c>
      <c r="D13899">
        <v>-9</v>
      </c>
    </row>
    <row r="13900" spans="1:4" x14ac:dyDescent="0.3">
      <c r="A13900" t="s">
        <v>951</v>
      </c>
      <c r="B13900" t="s">
        <v>224</v>
      </c>
      <c r="C13900" s="1">
        <f>HYPERLINK("https://cao.dolgi.msk.ru/account/1011361041/", 1011361041)</f>
        <v>1011361041</v>
      </c>
      <c r="D13900">
        <v>15318.02</v>
      </c>
    </row>
    <row r="13901" spans="1:4" hidden="1" x14ac:dyDescent="0.3">
      <c r="A13901" t="s">
        <v>951</v>
      </c>
      <c r="B13901" t="s">
        <v>225</v>
      </c>
      <c r="C13901" s="1">
        <f>HYPERLINK("https://cao.dolgi.msk.ru/account/1011360719/", 1011360719)</f>
        <v>1011360719</v>
      </c>
      <c r="D13901">
        <v>0</v>
      </c>
    </row>
    <row r="13902" spans="1:4" hidden="1" x14ac:dyDescent="0.3">
      <c r="A13902" t="s">
        <v>951</v>
      </c>
      <c r="B13902" t="s">
        <v>226</v>
      </c>
      <c r="C13902" s="1">
        <f>HYPERLINK("https://cao.dolgi.msk.ru/account/1011362394/", 1011362394)</f>
        <v>1011362394</v>
      </c>
      <c r="D13902">
        <v>0</v>
      </c>
    </row>
    <row r="13903" spans="1:4" hidden="1" x14ac:dyDescent="0.3">
      <c r="A13903" t="s">
        <v>951</v>
      </c>
      <c r="B13903" t="s">
        <v>227</v>
      </c>
      <c r="C13903" s="1">
        <f>HYPERLINK("https://cao.dolgi.msk.ru/account/1011362423/", 1011362423)</f>
        <v>1011362423</v>
      </c>
      <c r="D13903">
        <v>0</v>
      </c>
    </row>
    <row r="13904" spans="1:4" x14ac:dyDescent="0.3">
      <c r="A13904" t="s">
        <v>951</v>
      </c>
      <c r="B13904" t="s">
        <v>228</v>
      </c>
      <c r="C13904" s="1">
        <f>HYPERLINK("https://cao.dolgi.msk.ru/account/1011362183/", 1011362183)</f>
        <v>1011362183</v>
      </c>
      <c r="D13904">
        <v>20943.689999999999</v>
      </c>
    </row>
    <row r="13905" spans="1:4" hidden="1" x14ac:dyDescent="0.3">
      <c r="A13905" t="s">
        <v>951</v>
      </c>
      <c r="B13905" t="s">
        <v>229</v>
      </c>
      <c r="C13905" s="1">
        <f>HYPERLINK("https://cao.dolgi.msk.ru/account/1011361877/", 1011361877)</f>
        <v>1011361877</v>
      </c>
      <c r="D13905">
        <v>0</v>
      </c>
    </row>
    <row r="13906" spans="1:4" hidden="1" x14ac:dyDescent="0.3">
      <c r="A13906" t="s">
        <v>951</v>
      </c>
      <c r="B13906" t="s">
        <v>230</v>
      </c>
      <c r="C13906" s="1">
        <f>HYPERLINK("https://cao.dolgi.msk.ru/account/1011363469/", 1011363469)</f>
        <v>1011363469</v>
      </c>
      <c r="D13906">
        <v>-4708.13</v>
      </c>
    </row>
    <row r="13907" spans="1:4" hidden="1" x14ac:dyDescent="0.3">
      <c r="A13907" t="s">
        <v>951</v>
      </c>
      <c r="B13907" t="s">
        <v>231</v>
      </c>
      <c r="C13907" s="1">
        <f>HYPERLINK("https://cao.dolgi.msk.ru/account/1011512655/", 1011512655)</f>
        <v>1011512655</v>
      </c>
      <c r="D13907">
        <v>-4237.1899999999996</v>
      </c>
    </row>
    <row r="13908" spans="1:4" hidden="1" x14ac:dyDescent="0.3">
      <c r="A13908" t="s">
        <v>951</v>
      </c>
      <c r="B13908" t="s">
        <v>232</v>
      </c>
      <c r="C13908" s="1">
        <f>HYPERLINK("https://cao.dolgi.msk.ru/account/1011361201/", 1011361201)</f>
        <v>1011361201</v>
      </c>
      <c r="D13908">
        <v>0</v>
      </c>
    </row>
    <row r="13909" spans="1:4" hidden="1" x14ac:dyDescent="0.3">
      <c r="A13909" t="s">
        <v>951</v>
      </c>
      <c r="B13909" t="s">
        <v>233</v>
      </c>
      <c r="C13909" s="1">
        <f>HYPERLINK("https://cao.dolgi.msk.ru/account/1011360954/", 1011360954)</f>
        <v>1011360954</v>
      </c>
      <c r="D13909">
        <v>0</v>
      </c>
    </row>
    <row r="13910" spans="1:4" hidden="1" x14ac:dyDescent="0.3">
      <c r="A13910" t="s">
        <v>951</v>
      </c>
      <c r="B13910" t="s">
        <v>234</v>
      </c>
      <c r="C13910" s="1">
        <f>HYPERLINK("https://cao.dolgi.msk.ru/account/1011360962/", 1011360962)</f>
        <v>1011360962</v>
      </c>
      <c r="D13910">
        <v>-9.02</v>
      </c>
    </row>
    <row r="13911" spans="1:4" hidden="1" x14ac:dyDescent="0.3">
      <c r="A13911" t="s">
        <v>951</v>
      </c>
      <c r="B13911" t="s">
        <v>235</v>
      </c>
      <c r="C13911" s="1">
        <f>HYPERLINK("https://cao.dolgi.msk.ru/account/1011363063/", 1011363063)</f>
        <v>1011363063</v>
      </c>
      <c r="D13911">
        <v>-16381.6</v>
      </c>
    </row>
    <row r="13912" spans="1:4" x14ac:dyDescent="0.3">
      <c r="A13912" t="s">
        <v>951</v>
      </c>
      <c r="B13912" t="s">
        <v>288</v>
      </c>
      <c r="C13912" s="1">
        <f>HYPERLINK("https://cao.dolgi.msk.ru/account/1011361789/", 1011361789)</f>
        <v>1011361789</v>
      </c>
      <c r="D13912">
        <v>7137.62</v>
      </c>
    </row>
    <row r="13913" spans="1:4" hidden="1" x14ac:dyDescent="0.3">
      <c r="A13913" t="s">
        <v>951</v>
      </c>
      <c r="B13913" t="s">
        <v>236</v>
      </c>
      <c r="C13913" s="1">
        <f>HYPERLINK("https://cao.dolgi.msk.ru/account/1011361471/", 1011361471)</f>
        <v>1011361471</v>
      </c>
      <c r="D13913">
        <v>0</v>
      </c>
    </row>
    <row r="13914" spans="1:4" hidden="1" x14ac:dyDescent="0.3">
      <c r="A13914" t="s">
        <v>951</v>
      </c>
      <c r="B13914" t="s">
        <v>237</v>
      </c>
      <c r="C13914" s="1">
        <f>HYPERLINK("https://cao.dolgi.msk.ru/account/1011362431/", 1011362431)</f>
        <v>1011362431</v>
      </c>
      <c r="D13914">
        <v>0</v>
      </c>
    </row>
    <row r="13915" spans="1:4" x14ac:dyDescent="0.3">
      <c r="A13915" t="s">
        <v>951</v>
      </c>
      <c r="B13915" t="s">
        <v>238</v>
      </c>
      <c r="C13915" s="1">
        <f>HYPERLINK("https://cao.dolgi.msk.ru/account/1011361367/", 1011361367)</f>
        <v>1011361367</v>
      </c>
      <c r="D13915">
        <v>6042.64</v>
      </c>
    </row>
    <row r="13916" spans="1:4" hidden="1" x14ac:dyDescent="0.3">
      <c r="A13916" t="s">
        <v>951</v>
      </c>
      <c r="B13916" t="s">
        <v>239</v>
      </c>
      <c r="C13916" s="1">
        <f>HYPERLINK("https://cao.dolgi.msk.ru/account/1011361279/", 1011361279)</f>
        <v>1011361279</v>
      </c>
      <c r="D13916">
        <v>0</v>
      </c>
    </row>
    <row r="13917" spans="1:4" hidden="1" x14ac:dyDescent="0.3">
      <c r="A13917" t="s">
        <v>951</v>
      </c>
      <c r="B13917" t="s">
        <v>240</v>
      </c>
      <c r="C13917" s="1">
        <f>HYPERLINK("https://cao.dolgi.msk.ru/account/1011364058/", 1011364058)</f>
        <v>1011364058</v>
      </c>
      <c r="D13917">
        <v>-144.22</v>
      </c>
    </row>
    <row r="13918" spans="1:4" hidden="1" x14ac:dyDescent="0.3">
      <c r="A13918" t="s">
        <v>951</v>
      </c>
      <c r="B13918" t="s">
        <v>241</v>
      </c>
      <c r="C13918" s="1">
        <f>HYPERLINK("https://cao.dolgi.msk.ru/account/1011363397/", 1011363397)</f>
        <v>1011363397</v>
      </c>
      <c r="D13918">
        <v>0</v>
      </c>
    </row>
    <row r="13919" spans="1:4" hidden="1" x14ac:dyDescent="0.3">
      <c r="A13919" t="s">
        <v>951</v>
      </c>
      <c r="B13919" t="s">
        <v>242</v>
      </c>
      <c r="C13919" s="1">
        <f>HYPERLINK("https://cao.dolgi.msk.ru/account/1011363426/", 1011363426)</f>
        <v>1011363426</v>
      </c>
      <c r="D13919">
        <v>0</v>
      </c>
    </row>
    <row r="13920" spans="1:4" x14ac:dyDescent="0.3">
      <c r="A13920" t="s">
        <v>951</v>
      </c>
      <c r="B13920" t="s">
        <v>289</v>
      </c>
      <c r="C13920" s="1">
        <f>HYPERLINK("https://cao.dolgi.msk.ru/account/1011362407/", 1011362407)</f>
        <v>1011362407</v>
      </c>
      <c r="D13920">
        <v>113.3</v>
      </c>
    </row>
    <row r="13921" spans="1:4" hidden="1" x14ac:dyDescent="0.3">
      <c r="A13921" t="s">
        <v>951</v>
      </c>
      <c r="B13921" t="s">
        <v>243</v>
      </c>
      <c r="C13921" s="1">
        <f>HYPERLINK("https://cao.dolgi.msk.ru/account/1011363856/", 1011363856)</f>
        <v>1011363856</v>
      </c>
      <c r="D13921">
        <v>0</v>
      </c>
    </row>
    <row r="13922" spans="1:4" x14ac:dyDescent="0.3">
      <c r="A13922" t="s">
        <v>951</v>
      </c>
      <c r="B13922" t="s">
        <v>244</v>
      </c>
      <c r="C13922" s="1">
        <f>HYPERLINK("https://cao.dolgi.msk.ru/account/1011361308/", 1011361308)</f>
        <v>1011361308</v>
      </c>
      <c r="D13922">
        <v>137518.26</v>
      </c>
    </row>
    <row r="13923" spans="1:4" x14ac:dyDescent="0.3">
      <c r="A13923" t="s">
        <v>951</v>
      </c>
      <c r="B13923" t="s">
        <v>245</v>
      </c>
      <c r="C13923" s="1">
        <f>HYPERLINK("https://cao.dolgi.msk.ru/account/1011363792/", 1011363792)</f>
        <v>1011363792</v>
      </c>
      <c r="D13923">
        <v>16937.009999999998</v>
      </c>
    </row>
    <row r="13924" spans="1:4" hidden="1" x14ac:dyDescent="0.3">
      <c r="A13924" t="s">
        <v>951</v>
      </c>
      <c r="B13924" t="s">
        <v>246</v>
      </c>
      <c r="C13924" s="1">
        <f>HYPERLINK("https://cao.dolgi.msk.ru/account/1011362925/", 1011362925)</f>
        <v>1011362925</v>
      </c>
      <c r="D13924">
        <v>0</v>
      </c>
    </row>
    <row r="13925" spans="1:4" hidden="1" x14ac:dyDescent="0.3">
      <c r="A13925" t="s">
        <v>951</v>
      </c>
      <c r="B13925" t="s">
        <v>247</v>
      </c>
      <c r="C13925" s="1">
        <f>HYPERLINK("https://cao.dolgi.msk.ru/account/1011363995/", 1011363995)</f>
        <v>1011363995</v>
      </c>
      <c r="D13925">
        <v>-8.5</v>
      </c>
    </row>
    <row r="13926" spans="1:4" hidden="1" x14ac:dyDescent="0.3">
      <c r="A13926" t="s">
        <v>951</v>
      </c>
      <c r="B13926" t="s">
        <v>248</v>
      </c>
      <c r="C13926" s="1">
        <f>HYPERLINK("https://cao.dolgi.msk.ru/account/1011361375/", 1011361375)</f>
        <v>1011361375</v>
      </c>
      <c r="D13926">
        <v>0</v>
      </c>
    </row>
    <row r="13927" spans="1:4" x14ac:dyDescent="0.3">
      <c r="A13927" t="s">
        <v>951</v>
      </c>
      <c r="B13927" t="s">
        <v>290</v>
      </c>
      <c r="C13927" s="1">
        <f>HYPERLINK("https://cao.dolgi.msk.ru/account/1011364146/", 1011364146)</f>
        <v>1011364146</v>
      </c>
      <c r="D13927">
        <v>13453.49</v>
      </c>
    </row>
    <row r="13928" spans="1:4" hidden="1" x14ac:dyDescent="0.3">
      <c r="A13928" t="s">
        <v>951</v>
      </c>
      <c r="B13928" t="s">
        <v>249</v>
      </c>
      <c r="C13928" s="1">
        <f>HYPERLINK("https://cao.dolgi.msk.ru/account/1011363266/", 1011363266)</f>
        <v>1011363266</v>
      </c>
      <c r="D13928">
        <v>-13471.59</v>
      </c>
    </row>
    <row r="13929" spans="1:4" hidden="1" x14ac:dyDescent="0.3">
      <c r="A13929" t="s">
        <v>951</v>
      </c>
      <c r="B13929" t="s">
        <v>250</v>
      </c>
      <c r="C13929" s="1">
        <f>HYPERLINK("https://cao.dolgi.msk.ru/account/1011363215/", 1011363215)</f>
        <v>1011363215</v>
      </c>
      <c r="D13929">
        <v>0</v>
      </c>
    </row>
    <row r="13930" spans="1:4" hidden="1" x14ac:dyDescent="0.3">
      <c r="A13930" t="s">
        <v>951</v>
      </c>
      <c r="B13930" t="s">
        <v>251</v>
      </c>
      <c r="C13930" s="1">
        <f>HYPERLINK("https://cao.dolgi.msk.ru/account/1011362175/", 1011362175)</f>
        <v>1011362175</v>
      </c>
      <c r="D13930">
        <v>0</v>
      </c>
    </row>
    <row r="13931" spans="1:4" hidden="1" x14ac:dyDescent="0.3">
      <c r="A13931" t="s">
        <v>951</v>
      </c>
      <c r="B13931" t="s">
        <v>252</v>
      </c>
      <c r="C13931" s="1">
        <f>HYPERLINK("https://cao.dolgi.msk.ru/account/1011362298/", 1011362298)</f>
        <v>1011362298</v>
      </c>
      <c r="D13931">
        <v>0</v>
      </c>
    </row>
    <row r="13932" spans="1:4" hidden="1" x14ac:dyDescent="0.3">
      <c r="A13932" t="s">
        <v>951</v>
      </c>
      <c r="B13932" t="s">
        <v>253</v>
      </c>
      <c r="C13932" s="1">
        <f>HYPERLINK("https://cao.dolgi.msk.ru/account/1011361586/", 1011361586)</f>
        <v>1011361586</v>
      </c>
      <c r="D13932">
        <v>0</v>
      </c>
    </row>
    <row r="13933" spans="1:4" hidden="1" x14ac:dyDescent="0.3">
      <c r="A13933" t="s">
        <v>951</v>
      </c>
      <c r="B13933" t="s">
        <v>254</v>
      </c>
      <c r="C13933" s="1">
        <f>HYPERLINK("https://cao.dolgi.msk.ru/account/1011363346/", 1011363346)</f>
        <v>1011363346</v>
      </c>
      <c r="D13933">
        <v>-101485.48</v>
      </c>
    </row>
    <row r="13934" spans="1:4" hidden="1" x14ac:dyDescent="0.3">
      <c r="A13934" t="s">
        <v>951</v>
      </c>
      <c r="B13934" t="s">
        <v>255</v>
      </c>
      <c r="C13934" s="1">
        <f>HYPERLINK("https://cao.dolgi.msk.ru/account/1011361578/", 1011361578)</f>
        <v>1011361578</v>
      </c>
      <c r="D13934">
        <v>-4765.8599999999997</v>
      </c>
    </row>
    <row r="13935" spans="1:4" hidden="1" x14ac:dyDescent="0.3">
      <c r="A13935" t="s">
        <v>951</v>
      </c>
      <c r="B13935" t="s">
        <v>256</v>
      </c>
      <c r="C13935" s="1">
        <f>HYPERLINK("https://cao.dolgi.msk.ru/account/1011363274/", 1011363274)</f>
        <v>1011363274</v>
      </c>
      <c r="D13935">
        <v>-7926.68</v>
      </c>
    </row>
    <row r="13936" spans="1:4" hidden="1" x14ac:dyDescent="0.3">
      <c r="A13936" t="s">
        <v>951</v>
      </c>
      <c r="B13936" t="s">
        <v>257</v>
      </c>
      <c r="C13936" s="1">
        <f>HYPERLINK("https://cao.dolgi.msk.ru/account/1011363178/", 1011363178)</f>
        <v>1011363178</v>
      </c>
      <c r="D13936">
        <v>-144.24</v>
      </c>
    </row>
    <row r="13937" spans="1:4" hidden="1" x14ac:dyDescent="0.3">
      <c r="A13937" t="s">
        <v>951</v>
      </c>
      <c r="B13937" t="s">
        <v>291</v>
      </c>
      <c r="C13937" s="1">
        <f>HYPERLINK("https://cao.dolgi.msk.ru/account/1011363899/", 1011363899)</f>
        <v>1011363899</v>
      </c>
      <c r="D13937">
        <v>-7232.63</v>
      </c>
    </row>
    <row r="13938" spans="1:4" hidden="1" x14ac:dyDescent="0.3">
      <c r="A13938" t="s">
        <v>951</v>
      </c>
      <c r="B13938" t="s">
        <v>292</v>
      </c>
      <c r="C13938" s="1">
        <f>HYPERLINK("https://cao.dolgi.msk.ru/account/1011361068/", 1011361068)</f>
        <v>1011361068</v>
      </c>
      <c r="D13938">
        <v>-288.85000000000002</v>
      </c>
    </row>
    <row r="13939" spans="1:4" hidden="1" x14ac:dyDescent="0.3">
      <c r="A13939" t="s">
        <v>951</v>
      </c>
      <c r="B13939" t="s">
        <v>293</v>
      </c>
      <c r="C13939" s="1">
        <f>HYPERLINK("https://cao.dolgi.msk.ru/account/1011361551/", 1011361551)</f>
        <v>1011361551</v>
      </c>
      <c r="D13939">
        <v>-6749.17</v>
      </c>
    </row>
    <row r="13940" spans="1:4" hidden="1" x14ac:dyDescent="0.3">
      <c r="A13940" t="s">
        <v>951</v>
      </c>
      <c r="B13940" t="s">
        <v>294</v>
      </c>
      <c r="C13940" s="1">
        <f>HYPERLINK("https://cao.dolgi.msk.ru/account/1011361623/", 1011361623)</f>
        <v>1011361623</v>
      </c>
      <c r="D13940">
        <v>-7552.98</v>
      </c>
    </row>
    <row r="13941" spans="1:4" hidden="1" x14ac:dyDescent="0.3">
      <c r="A13941" t="s">
        <v>951</v>
      </c>
      <c r="B13941" t="s">
        <v>295</v>
      </c>
      <c r="C13941" s="1">
        <f>HYPERLINK("https://cao.dolgi.msk.ru/account/1011363549/", 1011363549)</f>
        <v>1011363549</v>
      </c>
      <c r="D13941">
        <v>0</v>
      </c>
    </row>
    <row r="13942" spans="1:4" x14ac:dyDescent="0.3">
      <c r="A13942" t="s">
        <v>951</v>
      </c>
      <c r="B13942" t="s">
        <v>296</v>
      </c>
      <c r="C13942" s="1">
        <f>HYPERLINK("https://cao.dolgi.msk.ru/account/1011360823/", 1011360823)</f>
        <v>1011360823</v>
      </c>
      <c r="D13942">
        <v>9112.11</v>
      </c>
    </row>
    <row r="13943" spans="1:4" hidden="1" x14ac:dyDescent="0.3">
      <c r="A13943" t="s">
        <v>951</v>
      </c>
      <c r="B13943" t="s">
        <v>297</v>
      </c>
      <c r="C13943" s="1">
        <f>HYPERLINK("https://cao.dolgi.msk.ru/account/1011363805/", 1011363805)</f>
        <v>1011363805</v>
      </c>
      <c r="D13943">
        <v>0</v>
      </c>
    </row>
    <row r="13944" spans="1:4" x14ac:dyDescent="0.3">
      <c r="A13944" t="s">
        <v>951</v>
      </c>
      <c r="B13944" t="s">
        <v>298</v>
      </c>
      <c r="C13944" s="1">
        <f>HYPERLINK("https://cao.dolgi.msk.ru/account/1011363637/", 1011363637)</f>
        <v>1011363637</v>
      </c>
      <c r="D13944">
        <v>7621.12</v>
      </c>
    </row>
    <row r="13945" spans="1:4" x14ac:dyDescent="0.3">
      <c r="A13945" t="s">
        <v>951</v>
      </c>
      <c r="B13945" t="s">
        <v>299</v>
      </c>
      <c r="C13945" s="1">
        <f>HYPERLINK("https://cao.dolgi.msk.ru/account/1011364023/", 1011364023)</f>
        <v>1011364023</v>
      </c>
      <c r="D13945">
        <v>9206.67</v>
      </c>
    </row>
    <row r="13946" spans="1:4" x14ac:dyDescent="0.3">
      <c r="A13946" t="s">
        <v>951</v>
      </c>
      <c r="B13946" t="s">
        <v>300</v>
      </c>
      <c r="C13946" s="1">
        <f>HYPERLINK("https://cao.dolgi.msk.ru/account/1011362466/", 1011362466)</f>
        <v>1011362466</v>
      </c>
      <c r="D13946">
        <v>71419.83</v>
      </c>
    </row>
    <row r="13947" spans="1:4" hidden="1" x14ac:dyDescent="0.3">
      <c r="A13947" t="s">
        <v>951</v>
      </c>
      <c r="B13947" t="s">
        <v>301</v>
      </c>
      <c r="C13947" s="1">
        <f>HYPERLINK("https://cao.dolgi.msk.ru/account/1011360911/", 1011360911)</f>
        <v>1011360911</v>
      </c>
      <c r="D13947">
        <v>-23.74</v>
      </c>
    </row>
    <row r="13948" spans="1:4" hidden="1" x14ac:dyDescent="0.3">
      <c r="A13948" t="s">
        <v>951</v>
      </c>
      <c r="B13948" t="s">
        <v>302</v>
      </c>
      <c r="C13948" s="1">
        <f>HYPERLINK("https://cao.dolgi.msk.ru/account/1011362191/", 1011362191)</f>
        <v>1011362191</v>
      </c>
      <c r="D13948">
        <v>0</v>
      </c>
    </row>
    <row r="13949" spans="1:4" hidden="1" x14ac:dyDescent="0.3">
      <c r="A13949" t="s">
        <v>951</v>
      </c>
      <c r="B13949" t="s">
        <v>303</v>
      </c>
      <c r="C13949" s="1">
        <f>HYPERLINK("https://cao.dolgi.msk.ru/account/1011361463/", 1011361463)</f>
        <v>1011361463</v>
      </c>
      <c r="D13949">
        <v>-6997.12</v>
      </c>
    </row>
    <row r="13950" spans="1:4" hidden="1" x14ac:dyDescent="0.3">
      <c r="A13950" t="s">
        <v>951</v>
      </c>
      <c r="B13950" t="s">
        <v>304</v>
      </c>
      <c r="C13950" s="1">
        <f>HYPERLINK("https://cao.dolgi.msk.ru/account/1011360989/", 1011360989)</f>
        <v>1011360989</v>
      </c>
      <c r="D13950">
        <v>0</v>
      </c>
    </row>
    <row r="13951" spans="1:4" hidden="1" x14ac:dyDescent="0.3">
      <c r="A13951" t="s">
        <v>951</v>
      </c>
      <c r="B13951" t="s">
        <v>305</v>
      </c>
      <c r="C13951" s="1">
        <f>HYPERLINK("https://cao.dolgi.msk.ru/account/1011361869/", 1011361869)</f>
        <v>1011361869</v>
      </c>
      <c r="D13951">
        <v>0</v>
      </c>
    </row>
    <row r="13952" spans="1:4" hidden="1" x14ac:dyDescent="0.3">
      <c r="A13952" t="s">
        <v>951</v>
      </c>
      <c r="B13952" t="s">
        <v>306</v>
      </c>
      <c r="C13952" s="1">
        <f>HYPERLINK("https://cao.dolgi.msk.ru/account/1011361287/", 1011361287)</f>
        <v>1011361287</v>
      </c>
      <c r="D13952">
        <v>-10.41</v>
      </c>
    </row>
    <row r="13953" spans="1:4" hidden="1" x14ac:dyDescent="0.3">
      <c r="A13953" t="s">
        <v>951</v>
      </c>
      <c r="B13953" t="s">
        <v>307</v>
      </c>
      <c r="C13953" s="1">
        <f>HYPERLINK("https://cao.dolgi.msk.ru/account/1011362263/", 1011362263)</f>
        <v>1011362263</v>
      </c>
      <c r="D13953">
        <v>-7312.81</v>
      </c>
    </row>
    <row r="13954" spans="1:4" hidden="1" x14ac:dyDescent="0.3">
      <c r="A13954" t="s">
        <v>951</v>
      </c>
      <c r="B13954" t="s">
        <v>308</v>
      </c>
      <c r="C13954" s="1">
        <f>HYPERLINK("https://cao.dolgi.msk.ru/account/1011361164/", 1011361164)</f>
        <v>1011361164</v>
      </c>
      <c r="D13954">
        <v>-1540.25</v>
      </c>
    </row>
    <row r="13955" spans="1:4" hidden="1" x14ac:dyDescent="0.3">
      <c r="A13955" t="s">
        <v>951</v>
      </c>
      <c r="B13955" t="s">
        <v>309</v>
      </c>
      <c r="C13955" s="1">
        <f>HYPERLINK("https://cao.dolgi.msk.ru/account/1011360743/", 1011360743)</f>
        <v>1011360743</v>
      </c>
      <c r="D13955">
        <v>0</v>
      </c>
    </row>
    <row r="13956" spans="1:4" hidden="1" x14ac:dyDescent="0.3">
      <c r="A13956" t="s">
        <v>951</v>
      </c>
      <c r="B13956" t="s">
        <v>310</v>
      </c>
      <c r="C13956" s="1">
        <f>HYPERLINK("https://cao.dolgi.msk.ru/account/1011362503/", 1011362503)</f>
        <v>1011362503</v>
      </c>
      <c r="D13956">
        <v>-11288.11</v>
      </c>
    </row>
    <row r="13957" spans="1:4" hidden="1" x14ac:dyDescent="0.3">
      <c r="A13957" t="s">
        <v>951</v>
      </c>
      <c r="B13957" t="s">
        <v>311</v>
      </c>
      <c r="C13957" s="1">
        <f>HYPERLINK("https://cao.dolgi.msk.ru/account/1011362968/", 1011362968)</f>
        <v>1011362968</v>
      </c>
      <c r="D13957">
        <v>-7292.97</v>
      </c>
    </row>
    <row r="13958" spans="1:4" hidden="1" x14ac:dyDescent="0.3">
      <c r="A13958" t="s">
        <v>951</v>
      </c>
      <c r="B13958" t="s">
        <v>312</v>
      </c>
      <c r="C13958" s="1">
        <f>HYPERLINK("https://cao.dolgi.msk.ru/account/1011361455/", 1011361455)</f>
        <v>1011361455</v>
      </c>
      <c r="D13958">
        <v>0</v>
      </c>
    </row>
    <row r="13959" spans="1:4" hidden="1" x14ac:dyDescent="0.3">
      <c r="A13959" t="s">
        <v>951</v>
      </c>
      <c r="B13959" t="s">
        <v>313</v>
      </c>
      <c r="C13959" s="1">
        <f>HYPERLINK("https://cao.dolgi.msk.ru/account/1011362386/", 1011362386)</f>
        <v>1011362386</v>
      </c>
      <c r="D13959">
        <v>0</v>
      </c>
    </row>
    <row r="13960" spans="1:4" hidden="1" x14ac:dyDescent="0.3">
      <c r="A13960" t="s">
        <v>951</v>
      </c>
      <c r="B13960" t="s">
        <v>314</v>
      </c>
      <c r="C13960" s="1">
        <f>HYPERLINK("https://cao.dolgi.msk.ru/account/1011361906/", 1011361906)</f>
        <v>1011361906</v>
      </c>
      <c r="D13960">
        <v>0</v>
      </c>
    </row>
    <row r="13961" spans="1:4" hidden="1" x14ac:dyDescent="0.3">
      <c r="A13961" t="s">
        <v>951</v>
      </c>
      <c r="B13961" t="s">
        <v>315</v>
      </c>
      <c r="C13961" s="1">
        <f>HYPERLINK("https://cao.dolgi.msk.ru/account/1011361746/", 1011361746)</f>
        <v>1011361746</v>
      </c>
      <c r="D13961">
        <v>0</v>
      </c>
    </row>
    <row r="13962" spans="1:4" hidden="1" x14ac:dyDescent="0.3">
      <c r="A13962" t="s">
        <v>951</v>
      </c>
      <c r="B13962" t="s">
        <v>316</v>
      </c>
      <c r="C13962" s="1">
        <f>HYPERLINK("https://cao.dolgi.msk.ru/account/1011363901/", 1011363901)</f>
        <v>1011363901</v>
      </c>
      <c r="D13962">
        <v>-4554.76</v>
      </c>
    </row>
    <row r="13963" spans="1:4" hidden="1" x14ac:dyDescent="0.3">
      <c r="A13963" t="s">
        <v>951</v>
      </c>
      <c r="B13963" t="s">
        <v>317</v>
      </c>
      <c r="C13963" s="1">
        <f>HYPERLINK("https://cao.dolgi.msk.ru/account/1011363506/", 1011363506)</f>
        <v>1011363506</v>
      </c>
      <c r="D13963">
        <v>0</v>
      </c>
    </row>
    <row r="13964" spans="1:4" x14ac:dyDescent="0.3">
      <c r="A13964" t="s">
        <v>951</v>
      </c>
      <c r="B13964" t="s">
        <v>318</v>
      </c>
      <c r="C13964" s="1">
        <f>HYPERLINK("https://cao.dolgi.msk.ru/account/1011361885/", 1011361885)</f>
        <v>1011361885</v>
      </c>
      <c r="D13964">
        <v>4510.07</v>
      </c>
    </row>
    <row r="13965" spans="1:4" hidden="1" x14ac:dyDescent="0.3">
      <c r="A13965" t="s">
        <v>951</v>
      </c>
      <c r="B13965" t="s">
        <v>319</v>
      </c>
      <c r="C13965" s="1">
        <f>HYPERLINK("https://cao.dolgi.msk.ru/account/1011361076/", 1011361076)</f>
        <v>1011361076</v>
      </c>
      <c r="D13965">
        <v>-2935.62</v>
      </c>
    </row>
    <row r="13966" spans="1:4" hidden="1" x14ac:dyDescent="0.3">
      <c r="A13966" t="s">
        <v>951</v>
      </c>
      <c r="B13966" t="s">
        <v>320</v>
      </c>
      <c r="C13966" s="1">
        <f>HYPERLINK("https://cao.dolgi.msk.ru/account/1011361113/", 1011361113)</f>
        <v>1011361113</v>
      </c>
      <c r="D13966">
        <v>0</v>
      </c>
    </row>
    <row r="13967" spans="1:4" hidden="1" x14ac:dyDescent="0.3">
      <c r="A13967" t="s">
        <v>951</v>
      </c>
      <c r="B13967" t="s">
        <v>321</v>
      </c>
      <c r="C13967" s="1">
        <f>HYPERLINK("https://cao.dolgi.msk.ru/account/1011360794/", 1011360794)</f>
        <v>1011360794</v>
      </c>
      <c r="D13967">
        <v>-9292.39</v>
      </c>
    </row>
    <row r="13968" spans="1:4" hidden="1" x14ac:dyDescent="0.3">
      <c r="A13968" t="s">
        <v>951</v>
      </c>
      <c r="B13968" t="s">
        <v>322</v>
      </c>
      <c r="C13968" s="1">
        <f>HYPERLINK("https://cao.dolgi.msk.ru/account/1011363645/", 1011363645)</f>
        <v>1011363645</v>
      </c>
      <c r="D13968">
        <v>-2237.1</v>
      </c>
    </row>
    <row r="13969" spans="1:4" hidden="1" x14ac:dyDescent="0.3">
      <c r="A13969" t="s">
        <v>951</v>
      </c>
      <c r="B13969" t="s">
        <v>350</v>
      </c>
      <c r="C13969" s="1">
        <f>HYPERLINK("https://cao.dolgi.msk.ru/account/1011361404/", 1011361404)</f>
        <v>1011361404</v>
      </c>
      <c r="D13969">
        <v>-34.659999999999997</v>
      </c>
    </row>
    <row r="13970" spans="1:4" hidden="1" x14ac:dyDescent="0.3">
      <c r="A13970" t="s">
        <v>951</v>
      </c>
      <c r="B13970" t="s">
        <v>351</v>
      </c>
      <c r="C13970" s="1">
        <f>HYPERLINK("https://cao.dolgi.msk.ru/account/1011361674/", 1011361674)</f>
        <v>1011361674</v>
      </c>
      <c r="D13970">
        <v>0</v>
      </c>
    </row>
    <row r="13971" spans="1:4" hidden="1" x14ac:dyDescent="0.3">
      <c r="A13971" t="s">
        <v>951</v>
      </c>
      <c r="B13971" t="s">
        <v>352</v>
      </c>
      <c r="C13971" s="1">
        <f>HYPERLINK("https://cao.dolgi.msk.ru/account/1011364154/", 1011364154)</f>
        <v>1011364154</v>
      </c>
      <c r="D13971">
        <v>-313.56</v>
      </c>
    </row>
    <row r="13972" spans="1:4" hidden="1" x14ac:dyDescent="0.3">
      <c r="A13972" t="s">
        <v>951</v>
      </c>
      <c r="B13972" t="s">
        <v>353</v>
      </c>
      <c r="C13972" s="1">
        <f>HYPERLINK("https://cao.dolgi.msk.ru/account/1011360946/", 1011360946)</f>
        <v>1011360946</v>
      </c>
      <c r="D13972">
        <v>-67.400000000000006</v>
      </c>
    </row>
    <row r="13973" spans="1:4" hidden="1" x14ac:dyDescent="0.3">
      <c r="A13973" t="s">
        <v>952</v>
      </c>
      <c r="B13973" t="s">
        <v>6</v>
      </c>
      <c r="C13973" s="1">
        <f>HYPERLINK("https://cao.dolgi.msk.ru/account/1011308638/", 1011308638)</f>
        <v>1011308638</v>
      </c>
      <c r="D13973">
        <v>0</v>
      </c>
    </row>
    <row r="13974" spans="1:4" hidden="1" x14ac:dyDescent="0.3">
      <c r="A13974" t="s">
        <v>952</v>
      </c>
      <c r="B13974" t="s">
        <v>28</v>
      </c>
      <c r="C13974" s="1">
        <f>HYPERLINK("https://cao.dolgi.msk.ru/account/1011308777/", 1011308777)</f>
        <v>1011308777</v>
      </c>
      <c r="D13974">
        <v>0</v>
      </c>
    </row>
    <row r="13975" spans="1:4" hidden="1" x14ac:dyDescent="0.3">
      <c r="A13975" t="s">
        <v>952</v>
      </c>
      <c r="B13975" t="s">
        <v>28</v>
      </c>
      <c r="C13975" s="1">
        <f>HYPERLINK("https://cao.dolgi.msk.ru/account/1011308988/", 1011308988)</f>
        <v>1011308988</v>
      </c>
      <c r="D13975">
        <v>0</v>
      </c>
    </row>
    <row r="13976" spans="1:4" hidden="1" x14ac:dyDescent="0.3">
      <c r="A13976" t="s">
        <v>952</v>
      </c>
      <c r="B13976" t="s">
        <v>28</v>
      </c>
      <c r="C13976" s="1">
        <f>HYPERLINK("https://cao.dolgi.msk.ru/account/1011309008/", 1011309008)</f>
        <v>1011309008</v>
      </c>
      <c r="D13976">
        <v>0</v>
      </c>
    </row>
    <row r="13977" spans="1:4" hidden="1" x14ac:dyDescent="0.3">
      <c r="A13977" t="s">
        <v>952</v>
      </c>
      <c r="B13977" t="s">
        <v>35</v>
      </c>
      <c r="C13977" s="1">
        <f>HYPERLINK("https://cao.dolgi.msk.ru/account/1011308689/", 1011308689)</f>
        <v>1011308689</v>
      </c>
      <c r="D13977">
        <v>-5477.35</v>
      </c>
    </row>
    <row r="13978" spans="1:4" hidden="1" x14ac:dyDescent="0.3">
      <c r="A13978" t="s">
        <v>952</v>
      </c>
      <c r="B13978" t="s">
        <v>5</v>
      </c>
      <c r="C13978" s="1">
        <f>HYPERLINK("https://cao.dolgi.msk.ru/account/1011308734/", 1011308734)</f>
        <v>1011308734</v>
      </c>
      <c r="D13978">
        <v>0</v>
      </c>
    </row>
    <row r="13979" spans="1:4" hidden="1" x14ac:dyDescent="0.3">
      <c r="A13979" t="s">
        <v>952</v>
      </c>
      <c r="B13979" t="s">
        <v>7</v>
      </c>
      <c r="C13979" s="1">
        <f>HYPERLINK("https://cao.dolgi.msk.ru/account/1011308419/", 1011308419)</f>
        <v>1011308419</v>
      </c>
      <c r="D13979">
        <v>0</v>
      </c>
    </row>
    <row r="13980" spans="1:4" hidden="1" x14ac:dyDescent="0.3">
      <c r="A13980" t="s">
        <v>952</v>
      </c>
      <c r="B13980" t="s">
        <v>7</v>
      </c>
      <c r="C13980" s="1">
        <f>HYPERLINK("https://cao.dolgi.msk.ru/account/1011505236/", 1011505236)</f>
        <v>1011505236</v>
      </c>
      <c r="D13980">
        <v>0</v>
      </c>
    </row>
    <row r="13981" spans="1:4" hidden="1" x14ac:dyDescent="0.3">
      <c r="A13981" t="s">
        <v>952</v>
      </c>
      <c r="B13981" t="s">
        <v>8</v>
      </c>
      <c r="C13981" s="1">
        <f>HYPERLINK("https://cao.dolgi.msk.ru/account/1011308697/", 1011308697)</f>
        <v>1011308697</v>
      </c>
      <c r="D13981">
        <v>0</v>
      </c>
    </row>
    <row r="13982" spans="1:4" hidden="1" x14ac:dyDescent="0.3">
      <c r="A13982" t="s">
        <v>952</v>
      </c>
      <c r="B13982" t="s">
        <v>31</v>
      </c>
      <c r="C13982" s="1">
        <f>HYPERLINK("https://cao.dolgi.msk.ru/account/1011308742/", 1011308742)</f>
        <v>1011308742</v>
      </c>
      <c r="D13982">
        <v>0</v>
      </c>
    </row>
    <row r="13983" spans="1:4" hidden="1" x14ac:dyDescent="0.3">
      <c r="A13983" t="s">
        <v>952</v>
      </c>
      <c r="B13983" t="s">
        <v>9</v>
      </c>
      <c r="C13983" s="1">
        <f>HYPERLINK("https://cao.dolgi.msk.ru/account/1011308486/", 1011308486)</f>
        <v>1011308486</v>
      </c>
      <c r="D13983">
        <v>-5215.28</v>
      </c>
    </row>
    <row r="13984" spans="1:4" hidden="1" x14ac:dyDescent="0.3">
      <c r="A13984" t="s">
        <v>952</v>
      </c>
      <c r="B13984" t="s">
        <v>10</v>
      </c>
      <c r="C13984" s="1">
        <f>HYPERLINK("https://cao.dolgi.msk.ru/account/1011308427/", 1011308427)</f>
        <v>1011308427</v>
      </c>
      <c r="D13984">
        <v>0</v>
      </c>
    </row>
    <row r="13985" spans="1:4" hidden="1" x14ac:dyDescent="0.3">
      <c r="A13985" t="s">
        <v>952</v>
      </c>
      <c r="B13985" t="s">
        <v>11</v>
      </c>
      <c r="C13985" s="1">
        <f>HYPERLINK("https://cao.dolgi.msk.ru/account/1011308515/", 1011308515)</f>
        <v>1011308515</v>
      </c>
      <c r="D13985">
        <v>0</v>
      </c>
    </row>
    <row r="13986" spans="1:4" hidden="1" x14ac:dyDescent="0.3">
      <c r="A13986" t="s">
        <v>952</v>
      </c>
      <c r="B13986" t="s">
        <v>12</v>
      </c>
      <c r="C13986" s="1">
        <f>HYPERLINK("https://cao.dolgi.msk.ru/account/1011309112/", 1011309112)</f>
        <v>1011309112</v>
      </c>
      <c r="D13986">
        <v>-9131.48</v>
      </c>
    </row>
    <row r="13987" spans="1:4" hidden="1" x14ac:dyDescent="0.3">
      <c r="A13987" t="s">
        <v>952</v>
      </c>
      <c r="B13987" t="s">
        <v>23</v>
      </c>
      <c r="C13987" s="1">
        <f>HYPERLINK("https://cao.dolgi.msk.ru/account/1011309075/", 1011309075)</f>
        <v>1011309075</v>
      </c>
      <c r="D13987">
        <v>-7607.01</v>
      </c>
    </row>
    <row r="13988" spans="1:4" x14ac:dyDescent="0.3">
      <c r="A13988" t="s">
        <v>952</v>
      </c>
      <c r="B13988" t="s">
        <v>13</v>
      </c>
      <c r="C13988" s="1">
        <f>HYPERLINK("https://cao.dolgi.msk.ru/account/1011308582/", 1011308582)</f>
        <v>1011308582</v>
      </c>
      <c r="D13988">
        <v>4185.54</v>
      </c>
    </row>
    <row r="13989" spans="1:4" hidden="1" x14ac:dyDescent="0.3">
      <c r="A13989" t="s">
        <v>952</v>
      </c>
      <c r="B13989" t="s">
        <v>13</v>
      </c>
      <c r="C13989" s="1">
        <f>HYPERLINK("https://cao.dolgi.msk.ru/account/1011308953/", 1011308953)</f>
        <v>1011308953</v>
      </c>
      <c r="D13989">
        <v>0</v>
      </c>
    </row>
    <row r="13990" spans="1:4" hidden="1" x14ac:dyDescent="0.3">
      <c r="A13990" t="s">
        <v>952</v>
      </c>
      <c r="B13990" t="s">
        <v>14</v>
      </c>
      <c r="C13990" s="1">
        <f>HYPERLINK("https://cao.dolgi.msk.ru/account/1011308814/", 1011308814)</f>
        <v>1011308814</v>
      </c>
      <c r="D13990">
        <v>-45.44</v>
      </c>
    </row>
    <row r="13991" spans="1:4" hidden="1" x14ac:dyDescent="0.3">
      <c r="A13991" t="s">
        <v>952</v>
      </c>
      <c r="B13991" t="s">
        <v>16</v>
      </c>
      <c r="C13991" s="1">
        <f>HYPERLINK("https://cao.dolgi.msk.ru/account/1011308435/", 1011308435)</f>
        <v>1011308435</v>
      </c>
      <c r="D13991">
        <v>0</v>
      </c>
    </row>
    <row r="13992" spans="1:4" x14ac:dyDescent="0.3">
      <c r="A13992" t="s">
        <v>952</v>
      </c>
      <c r="B13992" t="s">
        <v>17</v>
      </c>
      <c r="C13992" s="1">
        <f>HYPERLINK("https://cao.dolgi.msk.ru/account/1011308646/", 1011308646)</f>
        <v>1011308646</v>
      </c>
      <c r="D13992">
        <v>44487.77</v>
      </c>
    </row>
    <row r="13993" spans="1:4" x14ac:dyDescent="0.3">
      <c r="A13993" t="s">
        <v>952</v>
      </c>
      <c r="B13993" t="s">
        <v>17</v>
      </c>
      <c r="C13993" s="1">
        <f>HYPERLINK("https://cao.dolgi.msk.ru/account/1011308961/", 1011308961)</f>
        <v>1011308961</v>
      </c>
      <c r="D13993">
        <v>13356.07</v>
      </c>
    </row>
    <row r="13994" spans="1:4" hidden="1" x14ac:dyDescent="0.3">
      <c r="A13994" t="s">
        <v>952</v>
      </c>
      <c r="B13994" t="s">
        <v>18</v>
      </c>
      <c r="C13994" s="1">
        <f>HYPERLINK("https://cao.dolgi.msk.ru/account/1011308881/", 1011308881)</f>
        <v>1011308881</v>
      </c>
      <c r="D13994">
        <v>0</v>
      </c>
    </row>
    <row r="13995" spans="1:4" hidden="1" x14ac:dyDescent="0.3">
      <c r="A13995" t="s">
        <v>952</v>
      </c>
      <c r="B13995" t="s">
        <v>19</v>
      </c>
      <c r="C13995" s="1">
        <f>HYPERLINK("https://cao.dolgi.msk.ru/account/1011308937/", 1011308937)</f>
        <v>1011308937</v>
      </c>
      <c r="D13995">
        <v>0</v>
      </c>
    </row>
    <row r="13996" spans="1:4" hidden="1" x14ac:dyDescent="0.3">
      <c r="A13996" t="s">
        <v>952</v>
      </c>
      <c r="B13996" t="s">
        <v>20</v>
      </c>
      <c r="C13996" s="1">
        <f>HYPERLINK("https://cao.dolgi.msk.ru/account/1011308566/", 1011308566)</f>
        <v>1011308566</v>
      </c>
      <c r="D13996">
        <v>-6697.5</v>
      </c>
    </row>
    <row r="13997" spans="1:4" x14ac:dyDescent="0.3">
      <c r="A13997" t="s">
        <v>952</v>
      </c>
      <c r="B13997" t="s">
        <v>21</v>
      </c>
      <c r="C13997" s="1">
        <f>HYPERLINK("https://cao.dolgi.msk.ru/account/1011308718/", 1011308718)</f>
        <v>1011308718</v>
      </c>
      <c r="D13997">
        <v>73925.16</v>
      </c>
    </row>
    <row r="13998" spans="1:4" x14ac:dyDescent="0.3">
      <c r="A13998" t="s">
        <v>952</v>
      </c>
      <c r="B13998" t="s">
        <v>22</v>
      </c>
      <c r="C13998" s="1">
        <f>HYPERLINK("https://cao.dolgi.msk.ru/account/1011308574/", 1011308574)</f>
        <v>1011308574</v>
      </c>
      <c r="D13998">
        <v>53698.84</v>
      </c>
    </row>
    <row r="13999" spans="1:4" hidden="1" x14ac:dyDescent="0.3">
      <c r="A13999" t="s">
        <v>952</v>
      </c>
      <c r="B13999" t="s">
        <v>22</v>
      </c>
      <c r="C13999" s="1">
        <f>HYPERLINK("https://cao.dolgi.msk.ru/account/1011308726/", 1011308726)</f>
        <v>1011308726</v>
      </c>
      <c r="D13999">
        <v>0</v>
      </c>
    </row>
    <row r="14000" spans="1:4" hidden="1" x14ac:dyDescent="0.3">
      <c r="A14000" t="s">
        <v>952</v>
      </c>
      <c r="B14000" t="s">
        <v>24</v>
      </c>
      <c r="C14000" s="1">
        <f>HYPERLINK("https://cao.dolgi.msk.ru/account/1011308822/", 1011308822)</f>
        <v>1011308822</v>
      </c>
      <c r="D14000">
        <v>0</v>
      </c>
    </row>
    <row r="14001" spans="1:4" hidden="1" x14ac:dyDescent="0.3">
      <c r="A14001" t="s">
        <v>952</v>
      </c>
      <c r="B14001" t="s">
        <v>25</v>
      </c>
      <c r="C14001" s="1">
        <f>HYPERLINK("https://cao.dolgi.msk.ru/account/1011510721/", 1011510721)</f>
        <v>1011510721</v>
      </c>
      <c r="D14001">
        <v>-546.12</v>
      </c>
    </row>
    <row r="14002" spans="1:4" hidden="1" x14ac:dyDescent="0.3">
      <c r="A14002" t="s">
        <v>952</v>
      </c>
      <c r="B14002" t="s">
        <v>26</v>
      </c>
      <c r="C14002" s="1">
        <f>HYPERLINK("https://cao.dolgi.msk.ru/account/1011308785/", 1011308785)</f>
        <v>1011308785</v>
      </c>
      <c r="D14002">
        <v>0</v>
      </c>
    </row>
    <row r="14003" spans="1:4" hidden="1" x14ac:dyDescent="0.3">
      <c r="A14003" t="s">
        <v>952</v>
      </c>
      <c r="B14003" t="s">
        <v>27</v>
      </c>
      <c r="C14003" s="1">
        <f>HYPERLINK("https://cao.dolgi.msk.ru/account/1011308478/", 1011308478)</f>
        <v>1011308478</v>
      </c>
      <c r="D14003">
        <v>0</v>
      </c>
    </row>
    <row r="14004" spans="1:4" hidden="1" x14ac:dyDescent="0.3">
      <c r="A14004" t="s">
        <v>952</v>
      </c>
      <c r="B14004" t="s">
        <v>29</v>
      </c>
      <c r="C14004" s="1">
        <f>HYPERLINK("https://cao.dolgi.msk.ru/account/1011308793/", 1011308793)</f>
        <v>1011308793</v>
      </c>
      <c r="D14004">
        <v>0</v>
      </c>
    </row>
    <row r="14005" spans="1:4" hidden="1" x14ac:dyDescent="0.3">
      <c r="A14005" t="s">
        <v>952</v>
      </c>
      <c r="B14005" t="s">
        <v>38</v>
      </c>
      <c r="C14005" s="1">
        <f>HYPERLINK("https://cao.dolgi.msk.ru/account/1011308507/", 1011308507)</f>
        <v>1011308507</v>
      </c>
      <c r="D14005">
        <v>-3434.7</v>
      </c>
    </row>
    <row r="14006" spans="1:4" hidden="1" x14ac:dyDescent="0.3">
      <c r="A14006" t="s">
        <v>952</v>
      </c>
      <c r="B14006" t="s">
        <v>38</v>
      </c>
      <c r="C14006" s="1">
        <f>HYPERLINK("https://cao.dolgi.msk.ru/account/1011308654/", 1011308654)</f>
        <v>1011308654</v>
      </c>
      <c r="D14006">
        <v>-15904.05</v>
      </c>
    </row>
    <row r="14007" spans="1:4" hidden="1" x14ac:dyDescent="0.3">
      <c r="A14007" t="s">
        <v>952</v>
      </c>
      <c r="B14007" t="s">
        <v>38</v>
      </c>
      <c r="C14007" s="1">
        <f>HYPERLINK("https://cao.dolgi.msk.ru/account/1011308849/", 1011308849)</f>
        <v>1011308849</v>
      </c>
      <c r="D14007">
        <v>0</v>
      </c>
    </row>
    <row r="14008" spans="1:4" hidden="1" x14ac:dyDescent="0.3">
      <c r="A14008" t="s">
        <v>952</v>
      </c>
      <c r="B14008" t="s">
        <v>38</v>
      </c>
      <c r="C14008" s="1">
        <f>HYPERLINK("https://cao.dolgi.msk.ru/account/1011309083/", 1011309083)</f>
        <v>1011309083</v>
      </c>
      <c r="D14008">
        <v>0</v>
      </c>
    </row>
    <row r="14009" spans="1:4" hidden="1" x14ac:dyDescent="0.3">
      <c r="A14009" t="s">
        <v>952</v>
      </c>
      <c r="B14009" t="s">
        <v>39</v>
      </c>
      <c r="C14009" s="1">
        <f>HYPERLINK("https://cao.dolgi.msk.ru/account/1011309067/", 1011309067)</f>
        <v>1011309067</v>
      </c>
      <c r="D14009">
        <v>0</v>
      </c>
    </row>
    <row r="14010" spans="1:4" hidden="1" x14ac:dyDescent="0.3">
      <c r="A14010" t="s">
        <v>952</v>
      </c>
      <c r="B14010" t="s">
        <v>40</v>
      </c>
      <c r="C14010" s="1">
        <f>HYPERLINK("https://cao.dolgi.msk.ru/account/1011308611/", 1011308611)</f>
        <v>1011308611</v>
      </c>
      <c r="D14010">
        <v>-9036.9</v>
      </c>
    </row>
    <row r="14011" spans="1:4" hidden="1" x14ac:dyDescent="0.3">
      <c r="A14011" t="s">
        <v>952</v>
      </c>
      <c r="B14011" t="s">
        <v>51</v>
      </c>
      <c r="C14011" s="1">
        <f>HYPERLINK("https://cao.dolgi.msk.ru/account/1011308451/", 1011308451)</f>
        <v>1011308451</v>
      </c>
      <c r="D14011">
        <v>-772.45</v>
      </c>
    </row>
    <row r="14012" spans="1:4" x14ac:dyDescent="0.3">
      <c r="A14012" t="s">
        <v>952</v>
      </c>
      <c r="B14012" t="s">
        <v>52</v>
      </c>
      <c r="C14012" s="1">
        <f>HYPERLINK("https://cao.dolgi.msk.ru/account/1011308996/", 1011308996)</f>
        <v>1011308996</v>
      </c>
      <c r="D14012">
        <v>18319.29</v>
      </c>
    </row>
    <row r="14013" spans="1:4" hidden="1" x14ac:dyDescent="0.3">
      <c r="A14013" t="s">
        <v>952</v>
      </c>
      <c r="B14013" t="s">
        <v>53</v>
      </c>
      <c r="C14013" s="1">
        <f>HYPERLINK("https://cao.dolgi.msk.ru/account/1011309139/", 1011309139)</f>
        <v>1011309139</v>
      </c>
      <c r="D14013">
        <v>-245</v>
      </c>
    </row>
    <row r="14014" spans="1:4" hidden="1" x14ac:dyDescent="0.3">
      <c r="A14014" t="s">
        <v>952</v>
      </c>
      <c r="B14014" t="s">
        <v>54</v>
      </c>
      <c r="C14014" s="1">
        <f>HYPERLINK("https://cao.dolgi.msk.ru/account/1011308945/", 1011308945)</f>
        <v>1011308945</v>
      </c>
      <c r="D14014">
        <v>0</v>
      </c>
    </row>
    <row r="14015" spans="1:4" x14ac:dyDescent="0.3">
      <c r="A14015" t="s">
        <v>952</v>
      </c>
      <c r="B14015" t="s">
        <v>54</v>
      </c>
      <c r="C14015" s="1">
        <f>HYPERLINK("https://cao.dolgi.msk.ru/account/1011309091/", 1011309091)</f>
        <v>1011309091</v>
      </c>
      <c r="D14015">
        <v>8310.25</v>
      </c>
    </row>
    <row r="14016" spans="1:4" hidden="1" x14ac:dyDescent="0.3">
      <c r="A14016" t="s">
        <v>952</v>
      </c>
      <c r="B14016" t="s">
        <v>55</v>
      </c>
      <c r="C14016" s="1">
        <f>HYPERLINK("https://cao.dolgi.msk.ru/account/1011309059/", 1011309059)</f>
        <v>1011309059</v>
      </c>
      <c r="D14016">
        <v>0</v>
      </c>
    </row>
    <row r="14017" spans="1:4" hidden="1" x14ac:dyDescent="0.3">
      <c r="A14017" t="s">
        <v>952</v>
      </c>
      <c r="B14017" t="s">
        <v>56</v>
      </c>
      <c r="C14017" s="1">
        <f>HYPERLINK("https://cao.dolgi.msk.ru/account/1011308531/", 1011308531)</f>
        <v>1011308531</v>
      </c>
      <c r="D14017">
        <v>0</v>
      </c>
    </row>
    <row r="14018" spans="1:4" hidden="1" x14ac:dyDescent="0.3">
      <c r="A14018" t="s">
        <v>952</v>
      </c>
      <c r="B14018" t="s">
        <v>87</v>
      </c>
      <c r="C14018" s="1">
        <f>HYPERLINK("https://cao.dolgi.msk.ru/account/1011308558/", 1011308558)</f>
        <v>1011308558</v>
      </c>
      <c r="D14018">
        <v>0</v>
      </c>
    </row>
    <row r="14019" spans="1:4" hidden="1" x14ac:dyDescent="0.3">
      <c r="A14019" t="s">
        <v>952</v>
      </c>
      <c r="B14019" t="s">
        <v>88</v>
      </c>
      <c r="C14019" s="1">
        <f>HYPERLINK("https://cao.dolgi.msk.ru/account/1011309016/", 1011309016)</f>
        <v>1011309016</v>
      </c>
      <c r="D14019">
        <v>-12105.54</v>
      </c>
    </row>
    <row r="14020" spans="1:4" hidden="1" x14ac:dyDescent="0.3">
      <c r="A14020" t="s">
        <v>952</v>
      </c>
      <c r="B14020" t="s">
        <v>89</v>
      </c>
      <c r="C14020" s="1">
        <f>HYPERLINK("https://cao.dolgi.msk.ru/account/1011308806/", 1011308806)</f>
        <v>1011308806</v>
      </c>
      <c r="D14020">
        <v>0</v>
      </c>
    </row>
    <row r="14021" spans="1:4" hidden="1" x14ac:dyDescent="0.3">
      <c r="A14021" t="s">
        <v>952</v>
      </c>
      <c r="B14021" t="s">
        <v>90</v>
      </c>
      <c r="C14021" s="1">
        <f>HYPERLINK("https://cao.dolgi.msk.ru/account/1011308494/", 1011308494)</f>
        <v>1011308494</v>
      </c>
      <c r="D14021">
        <v>0</v>
      </c>
    </row>
    <row r="14022" spans="1:4" hidden="1" x14ac:dyDescent="0.3">
      <c r="A14022" t="s">
        <v>952</v>
      </c>
      <c r="B14022" t="s">
        <v>96</v>
      </c>
      <c r="C14022" s="1">
        <f>HYPERLINK("https://cao.dolgi.msk.ru/account/1011308443/", 1011308443)</f>
        <v>1011308443</v>
      </c>
      <c r="D14022">
        <v>0</v>
      </c>
    </row>
    <row r="14023" spans="1:4" hidden="1" x14ac:dyDescent="0.3">
      <c r="A14023" t="s">
        <v>952</v>
      </c>
      <c r="B14023" t="s">
        <v>97</v>
      </c>
      <c r="C14023" s="1">
        <f>HYPERLINK("https://cao.dolgi.msk.ru/account/1011308865/", 1011308865)</f>
        <v>1011308865</v>
      </c>
      <c r="D14023">
        <v>0</v>
      </c>
    </row>
    <row r="14024" spans="1:4" hidden="1" x14ac:dyDescent="0.3">
      <c r="A14024" t="s">
        <v>952</v>
      </c>
      <c r="B14024" t="s">
        <v>98</v>
      </c>
      <c r="C14024" s="1">
        <f>HYPERLINK("https://cao.dolgi.msk.ru/account/1011308857/", 1011308857)</f>
        <v>1011308857</v>
      </c>
      <c r="D14024">
        <v>0</v>
      </c>
    </row>
    <row r="14025" spans="1:4" hidden="1" x14ac:dyDescent="0.3">
      <c r="A14025" t="s">
        <v>952</v>
      </c>
      <c r="B14025" t="s">
        <v>58</v>
      </c>
      <c r="C14025" s="1">
        <f>HYPERLINK("https://cao.dolgi.msk.ru/account/1011308603/", 1011308603)</f>
        <v>1011308603</v>
      </c>
      <c r="D14025">
        <v>0</v>
      </c>
    </row>
    <row r="14026" spans="1:4" hidden="1" x14ac:dyDescent="0.3">
      <c r="A14026" t="s">
        <v>952</v>
      </c>
      <c r="B14026" t="s">
        <v>59</v>
      </c>
      <c r="C14026" s="1">
        <f>HYPERLINK("https://cao.dolgi.msk.ru/account/1011309104/", 1011309104)</f>
        <v>1011309104</v>
      </c>
      <c r="D14026">
        <v>0</v>
      </c>
    </row>
    <row r="14027" spans="1:4" hidden="1" x14ac:dyDescent="0.3">
      <c r="A14027" t="s">
        <v>952</v>
      </c>
      <c r="B14027" t="s">
        <v>60</v>
      </c>
      <c r="C14027" s="1">
        <f>HYPERLINK("https://cao.dolgi.msk.ru/account/1011308523/", 1011308523)</f>
        <v>1011308523</v>
      </c>
      <c r="D14027">
        <v>0</v>
      </c>
    </row>
    <row r="14028" spans="1:4" hidden="1" x14ac:dyDescent="0.3">
      <c r="A14028" t="s">
        <v>952</v>
      </c>
      <c r="B14028" t="s">
        <v>61</v>
      </c>
      <c r="C14028" s="1">
        <f>HYPERLINK("https://cao.dolgi.msk.ru/account/1011309032/", 1011309032)</f>
        <v>1011309032</v>
      </c>
      <c r="D14028">
        <v>0</v>
      </c>
    </row>
    <row r="14029" spans="1:4" hidden="1" x14ac:dyDescent="0.3">
      <c r="A14029" t="s">
        <v>952</v>
      </c>
      <c r="B14029" t="s">
        <v>62</v>
      </c>
      <c r="C14029" s="1">
        <f>HYPERLINK("https://cao.dolgi.msk.ru/account/1011308902/", 1011308902)</f>
        <v>1011308902</v>
      </c>
      <c r="D14029">
        <v>0</v>
      </c>
    </row>
    <row r="14030" spans="1:4" hidden="1" x14ac:dyDescent="0.3">
      <c r="A14030" t="s">
        <v>953</v>
      </c>
      <c r="B14030" t="s">
        <v>6</v>
      </c>
      <c r="C14030" s="1">
        <f>HYPERLINK("https://cao.dolgi.msk.ru/account/1011489918/", 1011489918)</f>
        <v>1011489918</v>
      </c>
      <c r="D14030">
        <v>0</v>
      </c>
    </row>
    <row r="14031" spans="1:4" hidden="1" x14ac:dyDescent="0.3">
      <c r="A14031" t="s">
        <v>953</v>
      </c>
      <c r="B14031" t="s">
        <v>28</v>
      </c>
      <c r="C14031" s="1">
        <f>HYPERLINK("https://cao.dolgi.msk.ru/account/1011489803/", 1011489803)</f>
        <v>1011489803</v>
      </c>
      <c r="D14031">
        <v>-16590.740000000002</v>
      </c>
    </row>
    <row r="14032" spans="1:4" hidden="1" x14ac:dyDescent="0.3">
      <c r="A14032" t="s">
        <v>953</v>
      </c>
      <c r="B14032" t="s">
        <v>35</v>
      </c>
      <c r="C14032" s="1">
        <f>HYPERLINK("https://cao.dolgi.msk.ru/account/1011490134/", 1011490134)</f>
        <v>1011490134</v>
      </c>
      <c r="D14032">
        <v>0</v>
      </c>
    </row>
    <row r="14033" spans="1:4" hidden="1" x14ac:dyDescent="0.3">
      <c r="A14033" t="s">
        <v>953</v>
      </c>
      <c r="B14033" t="s">
        <v>5</v>
      </c>
      <c r="C14033" s="1">
        <f>HYPERLINK("https://cao.dolgi.msk.ru/account/1011490249/", 1011490249)</f>
        <v>1011490249</v>
      </c>
      <c r="D14033">
        <v>0</v>
      </c>
    </row>
    <row r="14034" spans="1:4" hidden="1" x14ac:dyDescent="0.3">
      <c r="A14034" t="s">
        <v>953</v>
      </c>
      <c r="B14034" t="s">
        <v>7</v>
      </c>
      <c r="C14034" s="1">
        <f>HYPERLINK("https://cao.dolgi.msk.ru/account/1011490281/", 1011490281)</f>
        <v>1011490281</v>
      </c>
      <c r="D14034">
        <v>0</v>
      </c>
    </row>
    <row r="14035" spans="1:4" hidden="1" x14ac:dyDescent="0.3">
      <c r="A14035" t="s">
        <v>953</v>
      </c>
      <c r="B14035" t="s">
        <v>8</v>
      </c>
      <c r="C14035" s="1">
        <f>HYPERLINK("https://cao.dolgi.msk.ru/account/1011489782/", 1011489782)</f>
        <v>1011489782</v>
      </c>
      <c r="D14035">
        <v>-36345.58</v>
      </c>
    </row>
    <row r="14036" spans="1:4" hidden="1" x14ac:dyDescent="0.3">
      <c r="A14036" t="s">
        <v>953</v>
      </c>
      <c r="B14036" t="s">
        <v>31</v>
      </c>
      <c r="C14036" s="1">
        <f>HYPERLINK("https://cao.dolgi.msk.ru/account/1011490142/", 1011490142)</f>
        <v>1011490142</v>
      </c>
      <c r="D14036">
        <v>-9018.68</v>
      </c>
    </row>
    <row r="14037" spans="1:4" hidden="1" x14ac:dyDescent="0.3">
      <c r="A14037" t="s">
        <v>953</v>
      </c>
      <c r="B14037" t="s">
        <v>9</v>
      </c>
      <c r="C14037" s="1">
        <f>HYPERLINK("https://cao.dolgi.msk.ru/account/1011490126/", 1011490126)</f>
        <v>1011490126</v>
      </c>
      <c r="D14037">
        <v>-2532.3000000000002</v>
      </c>
    </row>
    <row r="14038" spans="1:4" hidden="1" x14ac:dyDescent="0.3">
      <c r="A14038" t="s">
        <v>953</v>
      </c>
      <c r="B14038" t="s">
        <v>10</v>
      </c>
      <c r="C14038" s="1">
        <f>HYPERLINK("https://cao.dolgi.msk.ru/account/1011490169/", 1011490169)</f>
        <v>1011490169</v>
      </c>
      <c r="D14038">
        <v>-11875.92</v>
      </c>
    </row>
    <row r="14039" spans="1:4" hidden="1" x14ac:dyDescent="0.3">
      <c r="A14039" t="s">
        <v>953</v>
      </c>
      <c r="B14039" t="s">
        <v>11</v>
      </c>
      <c r="C14039" s="1">
        <f>HYPERLINK("https://cao.dolgi.msk.ru/account/1011490345/", 1011490345)</f>
        <v>1011490345</v>
      </c>
      <c r="D14039">
        <v>-268.52999999999997</v>
      </c>
    </row>
    <row r="14040" spans="1:4" x14ac:dyDescent="0.3">
      <c r="A14040" t="s">
        <v>953</v>
      </c>
      <c r="B14040" t="s">
        <v>11</v>
      </c>
      <c r="C14040" s="1">
        <f>HYPERLINK("https://cao.dolgi.msk.ru/account/1011541755/", 1011541755)</f>
        <v>1011541755</v>
      </c>
      <c r="D14040">
        <v>9352.0400000000009</v>
      </c>
    </row>
    <row r="14041" spans="1:4" hidden="1" x14ac:dyDescent="0.3">
      <c r="A14041" t="s">
        <v>953</v>
      </c>
      <c r="B14041" t="s">
        <v>12</v>
      </c>
      <c r="C14041" s="1">
        <f>HYPERLINK("https://cao.dolgi.msk.ru/account/1011489889/", 1011489889)</f>
        <v>1011489889</v>
      </c>
      <c r="D14041">
        <v>-5685.22</v>
      </c>
    </row>
    <row r="14042" spans="1:4" x14ac:dyDescent="0.3">
      <c r="A14042" t="s">
        <v>953</v>
      </c>
      <c r="B14042" t="s">
        <v>23</v>
      </c>
      <c r="C14042" s="1">
        <f>HYPERLINK("https://cao.dolgi.msk.ru/account/1011489969/", 1011489969)</f>
        <v>1011489969</v>
      </c>
      <c r="D14042">
        <v>18440.37</v>
      </c>
    </row>
    <row r="14043" spans="1:4" x14ac:dyDescent="0.3">
      <c r="A14043" t="s">
        <v>953</v>
      </c>
      <c r="B14043" t="s">
        <v>13</v>
      </c>
      <c r="C14043" s="1">
        <f>HYPERLINK("https://cao.dolgi.msk.ru/account/1011489926/", 1011489926)</f>
        <v>1011489926</v>
      </c>
      <c r="D14043">
        <v>9163.7199999999993</v>
      </c>
    </row>
    <row r="14044" spans="1:4" x14ac:dyDescent="0.3">
      <c r="A14044" t="s">
        <v>953</v>
      </c>
      <c r="B14044" t="s">
        <v>14</v>
      </c>
      <c r="C14044" s="1">
        <f>HYPERLINK("https://cao.dolgi.msk.ru/account/1011489977/", 1011489977)</f>
        <v>1011489977</v>
      </c>
      <c r="D14044">
        <v>1752.65</v>
      </c>
    </row>
    <row r="14045" spans="1:4" hidden="1" x14ac:dyDescent="0.3">
      <c r="A14045" t="s">
        <v>953</v>
      </c>
      <c r="B14045" t="s">
        <v>16</v>
      </c>
      <c r="C14045" s="1">
        <f>HYPERLINK("https://cao.dolgi.msk.ru/account/1011490054/", 1011490054)</f>
        <v>1011490054</v>
      </c>
      <c r="D14045">
        <v>0</v>
      </c>
    </row>
    <row r="14046" spans="1:4" hidden="1" x14ac:dyDescent="0.3">
      <c r="A14046" t="s">
        <v>953</v>
      </c>
      <c r="B14046" t="s">
        <v>17</v>
      </c>
      <c r="C14046" s="1">
        <f>HYPERLINK("https://cao.dolgi.msk.ru/account/1011489862/", 1011489862)</f>
        <v>1011489862</v>
      </c>
      <c r="D14046">
        <v>0</v>
      </c>
    </row>
    <row r="14047" spans="1:4" hidden="1" x14ac:dyDescent="0.3">
      <c r="A14047" t="s">
        <v>953</v>
      </c>
      <c r="B14047" t="s">
        <v>18</v>
      </c>
      <c r="C14047" s="1">
        <f>HYPERLINK("https://cao.dolgi.msk.ru/account/1011489774/", 1011489774)</f>
        <v>1011489774</v>
      </c>
      <c r="D14047">
        <v>0</v>
      </c>
    </row>
    <row r="14048" spans="1:4" hidden="1" x14ac:dyDescent="0.3">
      <c r="A14048" t="s">
        <v>953</v>
      </c>
      <c r="B14048" t="s">
        <v>19</v>
      </c>
      <c r="C14048" s="1">
        <f>HYPERLINK("https://cao.dolgi.msk.ru/account/1011489811/", 1011489811)</f>
        <v>1011489811</v>
      </c>
      <c r="D14048">
        <v>-1333.95</v>
      </c>
    </row>
    <row r="14049" spans="1:4" hidden="1" x14ac:dyDescent="0.3">
      <c r="A14049" t="s">
        <v>953</v>
      </c>
      <c r="B14049" t="s">
        <v>20</v>
      </c>
      <c r="C14049" s="1">
        <f>HYPERLINK("https://cao.dolgi.msk.ru/account/1011490118/", 1011490118)</f>
        <v>1011490118</v>
      </c>
      <c r="D14049">
        <v>0</v>
      </c>
    </row>
    <row r="14050" spans="1:4" x14ac:dyDescent="0.3">
      <c r="A14050" t="s">
        <v>953</v>
      </c>
      <c r="B14050" t="s">
        <v>21</v>
      </c>
      <c r="C14050" s="1">
        <f>HYPERLINK("https://cao.dolgi.msk.ru/account/1011490388/", 1011490388)</f>
        <v>1011490388</v>
      </c>
      <c r="D14050">
        <v>15079.42</v>
      </c>
    </row>
    <row r="14051" spans="1:4" hidden="1" x14ac:dyDescent="0.3">
      <c r="A14051" t="s">
        <v>953</v>
      </c>
      <c r="B14051" t="s">
        <v>22</v>
      </c>
      <c r="C14051" s="1">
        <f>HYPERLINK("https://cao.dolgi.msk.ru/account/1011489942/", 1011489942)</f>
        <v>1011489942</v>
      </c>
      <c r="D14051">
        <v>0</v>
      </c>
    </row>
    <row r="14052" spans="1:4" hidden="1" x14ac:dyDescent="0.3">
      <c r="A14052" t="s">
        <v>953</v>
      </c>
      <c r="B14052" t="s">
        <v>24</v>
      </c>
      <c r="C14052" s="1">
        <f>HYPERLINK("https://cao.dolgi.msk.ru/account/1011490329/", 1011490329)</f>
        <v>1011490329</v>
      </c>
      <c r="D14052">
        <v>0</v>
      </c>
    </row>
    <row r="14053" spans="1:4" hidden="1" x14ac:dyDescent="0.3">
      <c r="A14053" t="s">
        <v>953</v>
      </c>
      <c r="B14053" t="s">
        <v>25</v>
      </c>
      <c r="C14053" s="1">
        <f>HYPERLINK("https://cao.dolgi.msk.ru/account/1011490265/", 1011490265)</f>
        <v>1011490265</v>
      </c>
      <c r="D14053">
        <v>0</v>
      </c>
    </row>
    <row r="14054" spans="1:4" hidden="1" x14ac:dyDescent="0.3">
      <c r="A14054" t="s">
        <v>953</v>
      </c>
      <c r="B14054" t="s">
        <v>26</v>
      </c>
      <c r="C14054" s="1">
        <f>HYPERLINK("https://cao.dolgi.msk.ru/account/1011490038/", 1011490038)</f>
        <v>1011490038</v>
      </c>
      <c r="D14054">
        <v>-13018.12</v>
      </c>
    </row>
    <row r="14055" spans="1:4" hidden="1" x14ac:dyDescent="0.3">
      <c r="A14055" t="s">
        <v>953</v>
      </c>
      <c r="B14055" t="s">
        <v>27</v>
      </c>
      <c r="C14055" s="1">
        <f>HYPERLINK("https://cao.dolgi.msk.ru/account/1011489993/", 1011489993)</f>
        <v>1011489993</v>
      </c>
      <c r="D14055">
        <v>0</v>
      </c>
    </row>
    <row r="14056" spans="1:4" x14ac:dyDescent="0.3">
      <c r="A14056" t="s">
        <v>953</v>
      </c>
      <c r="B14056" t="s">
        <v>29</v>
      </c>
      <c r="C14056" s="1">
        <f>HYPERLINK("https://cao.dolgi.msk.ru/account/1011489985/", 1011489985)</f>
        <v>1011489985</v>
      </c>
      <c r="D14056">
        <v>270323.90000000002</v>
      </c>
    </row>
    <row r="14057" spans="1:4" hidden="1" x14ac:dyDescent="0.3">
      <c r="A14057" t="s">
        <v>953</v>
      </c>
      <c r="B14057" t="s">
        <v>38</v>
      </c>
      <c r="C14057" s="1">
        <f>HYPERLINK("https://cao.dolgi.msk.ru/account/1011489934/", 1011489934)</f>
        <v>1011489934</v>
      </c>
      <c r="D14057">
        <v>0</v>
      </c>
    </row>
    <row r="14058" spans="1:4" hidden="1" x14ac:dyDescent="0.3">
      <c r="A14058" t="s">
        <v>953</v>
      </c>
      <c r="B14058" t="s">
        <v>39</v>
      </c>
      <c r="C14058" s="1">
        <f>HYPERLINK("https://cao.dolgi.msk.ru/account/1011489838/", 1011489838)</f>
        <v>1011489838</v>
      </c>
      <c r="D14058">
        <v>0</v>
      </c>
    </row>
    <row r="14059" spans="1:4" hidden="1" x14ac:dyDescent="0.3">
      <c r="A14059" t="s">
        <v>953</v>
      </c>
      <c r="B14059" t="s">
        <v>40</v>
      </c>
      <c r="C14059" s="1">
        <f>HYPERLINK("https://cao.dolgi.msk.ru/account/1011490097/", 1011490097)</f>
        <v>1011490097</v>
      </c>
      <c r="D14059">
        <v>0</v>
      </c>
    </row>
    <row r="14060" spans="1:4" hidden="1" x14ac:dyDescent="0.3">
      <c r="A14060" t="s">
        <v>953</v>
      </c>
      <c r="B14060" t="s">
        <v>41</v>
      </c>
      <c r="C14060" s="1">
        <f>HYPERLINK("https://cao.dolgi.msk.ru/account/1011490046/", 1011490046)</f>
        <v>1011490046</v>
      </c>
      <c r="D14060">
        <v>-13352.82</v>
      </c>
    </row>
    <row r="14061" spans="1:4" hidden="1" x14ac:dyDescent="0.3">
      <c r="A14061" t="s">
        <v>953</v>
      </c>
      <c r="B14061" t="s">
        <v>51</v>
      </c>
      <c r="C14061" s="1">
        <f>HYPERLINK("https://cao.dolgi.msk.ru/account/1011490011/", 1011490011)</f>
        <v>1011490011</v>
      </c>
      <c r="D14061">
        <v>-657.32</v>
      </c>
    </row>
    <row r="14062" spans="1:4" hidden="1" x14ac:dyDescent="0.3">
      <c r="A14062" t="s">
        <v>953</v>
      </c>
      <c r="B14062" t="s">
        <v>52</v>
      </c>
      <c r="C14062" s="1">
        <f>HYPERLINK("https://cao.dolgi.msk.ru/account/1011490206/", 1011490206)</f>
        <v>1011490206</v>
      </c>
      <c r="D14062">
        <v>-7836.45</v>
      </c>
    </row>
    <row r="14063" spans="1:4" x14ac:dyDescent="0.3">
      <c r="A14063" t="s">
        <v>953</v>
      </c>
      <c r="B14063" t="s">
        <v>53</v>
      </c>
      <c r="C14063" s="1">
        <f>HYPERLINK("https://cao.dolgi.msk.ru/account/1011489854/", 1011489854)</f>
        <v>1011489854</v>
      </c>
      <c r="D14063">
        <v>31284.59</v>
      </c>
    </row>
    <row r="14064" spans="1:4" hidden="1" x14ac:dyDescent="0.3">
      <c r="A14064" t="s">
        <v>953</v>
      </c>
      <c r="B14064" t="s">
        <v>54</v>
      </c>
      <c r="C14064" s="1">
        <f>HYPERLINK("https://cao.dolgi.msk.ru/account/1011489766/", 1011489766)</f>
        <v>1011489766</v>
      </c>
      <c r="D14064">
        <v>-1879.71</v>
      </c>
    </row>
    <row r="14065" spans="1:4" hidden="1" x14ac:dyDescent="0.3">
      <c r="A14065" t="s">
        <v>953</v>
      </c>
      <c r="B14065" t="s">
        <v>55</v>
      </c>
      <c r="C14065" s="1">
        <f>HYPERLINK("https://cao.dolgi.msk.ru/account/1011490257/", 1011490257)</f>
        <v>1011490257</v>
      </c>
      <c r="D14065">
        <v>-655.84</v>
      </c>
    </row>
    <row r="14066" spans="1:4" hidden="1" x14ac:dyDescent="0.3">
      <c r="A14066" t="s">
        <v>953</v>
      </c>
      <c r="B14066" t="s">
        <v>56</v>
      </c>
      <c r="C14066" s="1">
        <f>HYPERLINK("https://cao.dolgi.msk.ru/account/1011490062/", 1011490062)</f>
        <v>1011490062</v>
      </c>
      <c r="D14066">
        <v>0</v>
      </c>
    </row>
    <row r="14067" spans="1:4" hidden="1" x14ac:dyDescent="0.3">
      <c r="A14067" t="s">
        <v>953</v>
      </c>
      <c r="B14067" t="s">
        <v>87</v>
      </c>
      <c r="C14067" s="1">
        <f>HYPERLINK("https://cao.dolgi.msk.ru/account/1011489846/", 1011489846)</f>
        <v>1011489846</v>
      </c>
      <c r="D14067">
        <v>-2732.48</v>
      </c>
    </row>
    <row r="14068" spans="1:4" hidden="1" x14ac:dyDescent="0.3">
      <c r="A14068" t="s">
        <v>953</v>
      </c>
      <c r="B14068" t="s">
        <v>88</v>
      </c>
      <c r="C14068" s="1">
        <f>HYPERLINK("https://cao.dolgi.msk.ru/account/1011490222/", 1011490222)</f>
        <v>1011490222</v>
      </c>
      <c r="D14068">
        <v>-11670.44</v>
      </c>
    </row>
    <row r="14069" spans="1:4" x14ac:dyDescent="0.3">
      <c r="A14069" t="s">
        <v>953</v>
      </c>
      <c r="B14069" t="s">
        <v>89</v>
      </c>
      <c r="C14069" s="1">
        <f>HYPERLINK("https://cao.dolgi.msk.ru/account/1011490089/", 1011490089)</f>
        <v>1011490089</v>
      </c>
      <c r="D14069">
        <v>14100.49</v>
      </c>
    </row>
    <row r="14070" spans="1:4" hidden="1" x14ac:dyDescent="0.3">
      <c r="A14070" t="s">
        <v>953</v>
      </c>
      <c r="B14070" t="s">
        <v>90</v>
      </c>
      <c r="C14070" s="1">
        <f>HYPERLINK("https://cao.dolgi.msk.ru/account/1011489897/", 1011489897)</f>
        <v>1011489897</v>
      </c>
      <c r="D14070">
        <v>-9398.14</v>
      </c>
    </row>
    <row r="14071" spans="1:4" hidden="1" x14ac:dyDescent="0.3">
      <c r="A14071" t="s">
        <v>953</v>
      </c>
      <c r="B14071" t="s">
        <v>96</v>
      </c>
      <c r="C14071" s="1">
        <f>HYPERLINK("https://cao.dolgi.msk.ru/account/1011490302/", 1011490302)</f>
        <v>1011490302</v>
      </c>
      <c r="D14071">
        <v>0</v>
      </c>
    </row>
    <row r="14072" spans="1:4" hidden="1" x14ac:dyDescent="0.3">
      <c r="A14072" t="s">
        <v>953</v>
      </c>
      <c r="B14072" t="s">
        <v>97</v>
      </c>
      <c r="C14072" s="1">
        <f>HYPERLINK("https://cao.dolgi.msk.ru/account/1011490193/", 1011490193)</f>
        <v>1011490193</v>
      </c>
      <c r="D14072">
        <v>0</v>
      </c>
    </row>
    <row r="14073" spans="1:4" hidden="1" x14ac:dyDescent="0.3">
      <c r="A14073" t="s">
        <v>953</v>
      </c>
      <c r="B14073" t="s">
        <v>98</v>
      </c>
      <c r="C14073" s="1">
        <f>HYPERLINK("https://cao.dolgi.msk.ru/account/1011490177/", 1011490177)</f>
        <v>1011490177</v>
      </c>
      <c r="D14073">
        <v>-1123.79</v>
      </c>
    </row>
    <row r="14074" spans="1:4" hidden="1" x14ac:dyDescent="0.3">
      <c r="A14074" t="s">
        <v>953</v>
      </c>
      <c r="B14074" t="s">
        <v>58</v>
      </c>
      <c r="C14074" s="1">
        <f>HYPERLINK("https://cao.dolgi.msk.ru/account/1011490353/", 1011490353)</f>
        <v>1011490353</v>
      </c>
      <c r="D14074">
        <v>-9174.91</v>
      </c>
    </row>
    <row r="14075" spans="1:4" hidden="1" x14ac:dyDescent="0.3">
      <c r="A14075" t="s">
        <v>953</v>
      </c>
      <c r="B14075" t="s">
        <v>59</v>
      </c>
      <c r="C14075" s="1">
        <f>HYPERLINK("https://cao.dolgi.msk.ru/account/1011490361/", 1011490361)</f>
        <v>1011490361</v>
      </c>
      <c r="D14075">
        <v>-11861.15</v>
      </c>
    </row>
    <row r="14076" spans="1:4" hidden="1" x14ac:dyDescent="0.3">
      <c r="A14076" t="s">
        <v>953</v>
      </c>
      <c r="B14076" t="s">
        <v>60</v>
      </c>
      <c r="C14076" s="1">
        <f>HYPERLINK("https://cao.dolgi.msk.ru/account/1011490337/", 1011490337)</f>
        <v>1011490337</v>
      </c>
      <c r="D14076">
        <v>0</v>
      </c>
    </row>
    <row r="14077" spans="1:4" hidden="1" x14ac:dyDescent="0.3">
      <c r="A14077" t="s">
        <v>953</v>
      </c>
      <c r="B14077" t="s">
        <v>61</v>
      </c>
      <c r="C14077" s="1">
        <f>HYPERLINK("https://cao.dolgi.msk.ru/account/1011490185/", 1011490185)</f>
        <v>1011490185</v>
      </c>
      <c r="D14077">
        <v>-11360.72</v>
      </c>
    </row>
    <row r="14078" spans="1:4" hidden="1" x14ac:dyDescent="0.3">
      <c r="A14078" t="s">
        <v>953</v>
      </c>
      <c r="B14078" t="s">
        <v>62</v>
      </c>
      <c r="C14078" s="1">
        <f>HYPERLINK("https://cao.dolgi.msk.ru/account/1011490214/", 1011490214)</f>
        <v>1011490214</v>
      </c>
      <c r="D14078">
        <v>-7931.98</v>
      </c>
    </row>
    <row r="14079" spans="1:4" hidden="1" x14ac:dyDescent="0.3">
      <c r="A14079" t="s">
        <v>953</v>
      </c>
      <c r="B14079" t="s">
        <v>63</v>
      </c>
      <c r="C14079" s="1">
        <f>HYPERLINK("https://cao.dolgi.msk.ru/account/1011490003/", 1011490003)</f>
        <v>1011490003</v>
      </c>
      <c r="D14079">
        <v>-475.47</v>
      </c>
    </row>
    <row r="14080" spans="1:4" hidden="1" x14ac:dyDescent="0.3">
      <c r="A14080" t="s">
        <v>953</v>
      </c>
      <c r="B14080" t="s">
        <v>64</v>
      </c>
      <c r="C14080" s="1">
        <f>HYPERLINK("https://cao.dolgi.msk.ru/account/1011490273/", 1011490273)</f>
        <v>1011490273</v>
      </c>
      <c r="D14080">
        <v>-15203.6</v>
      </c>
    </row>
    <row r="14081" spans="1:4" x14ac:dyDescent="0.3">
      <c r="A14081" t="s">
        <v>954</v>
      </c>
      <c r="B14081" t="s">
        <v>6</v>
      </c>
      <c r="C14081" s="1">
        <f>HYPERLINK("https://cao.dolgi.msk.ru/account/1011495365/", 1011495365)</f>
        <v>1011495365</v>
      </c>
      <c r="D14081">
        <v>5948.27</v>
      </c>
    </row>
    <row r="14082" spans="1:4" hidden="1" x14ac:dyDescent="0.3">
      <c r="A14082" t="s">
        <v>954</v>
      </c>
      <c r="B14082" t="s">
        <v>28</v>
      </c>
      <c r="C14082" s="1">
        <f>HYPERLINK("https://cao.dolgi.msk.ru/account/1011495373/", 1011495373)</f>
        <v>1011495373</v>
      </c>
      <c r="D14082">
        <v>0</v>
      </c>
    </row>
    <row r="14083" spans="1:4" hidden="1" x14ac:dyDescent="0.3">
      <c r="A14083" t="s">
        <v>954</v>
      </c>
      <c r="B14083" t="s">
        <v>35</v>
      </c>
      <c r="C14083" s="1">
        <f>HYPERLINK("https://cao.dolgi.msk.ru/account/1011494821/", 1011494821)</f>
        <v>1011494821</v>
      </c>
      <c r="D14083">
        <v>0</v>
      </c>
    </row>
    <row r="14084" spans="1:4" hidden="1" x14ac:dyDescent="0.3">
      <c r="A14084" t="s">
        <v>954</v>
      </c>
      <c r="B14084" t="s">
        <v>5</v>
      </c>
      <c r="C14084" s="1">
        <f>HYPERLINK("https://cao.dolgi.msk.ru/account/1011495381/", 1011495381)</f>
        <v>1011495381</v>
      </c>
      <c r="D14084">
        <v>0</v>
      </c>
    </row>
    <row r="14085" spans="1:4" x14ac:dyDescent="0.3">
      <c r="A14085" t="s">
        <v>954</v>
      </c>
      <c r="B14085" t="s">
        <v>7</v>
      </c>
      <c r="C14085" s="1">
        <f>HYPERLINK("https://cao.dolgi.msk.ru/account/1011494848/", 1011494848)</f>
        <v>1011494848</v>
      </c>
      <c r="D14085">
        <v>6795.07</v>
      </c>
    </row>
    <row r="14086" spans="1:4" hidden="1" x14ac:dyDescent="0.3">
      <c r="A14086" t="s">
        <v>954</v>
      </c>
      <c r="B14086" t="s">
        <v>8</v>
      </c>
      <c r="C14086" s="1">
        <f>HYPERLINK("https://cao.dolgi.msk.ru/account/1011495592/", 1011495592)</f>
        <v>1011495592</v>
      </c>
      <c r="D14086">
        <v>0</v>
      </c>
    </row>
    <row r="14087" spans="1:4" hidden="1" x14ac:dyDescent="0.3">
      <c r="A14087" t="s">
        <v>954</v>
      </c>
      <c r="B14087" t="s">
        <v>31</v>
      </c>
      <c r="C14087" s="1">
        <f>HYPERLINK("https://cao.dolgi.msk.ru/account/1011494629/", 1011494629)</f>
        <v>1011494629</v>
      </c>
      <c r="D14087">
        <v>-1115.71</v>
      </c>
    </row>
    <row r="14088" spans="1:4" hidden="1" x14ac:dyDescent="0.3">
      <c r="A14088" t="s">
        <v>954</v>
      </c>
      <c r="B14088" t="s">
        <v>9</v>
      </c>
      <c r="C14088" s="1">
        <f>HYPERLINK("https://cao.dolgi.msk.ru/account/1011494688/", 1011494688)</f>
        <v>1011494688</v>
      </c>
      <c r="D14088">
        <v>-4267.2299999999996</v>
      </c>
    </row>
    <row r="14089" spans="1:4" hidden="1" x14ac:dyDescent="0.3">
      <c r="A14089" t="s">
        <v>954</v>
      </c>
      <c r="B14089" t="s">
        <v>10</v>
      </c>
      <c r="C14089" s="1">
        <f>HYPERLINK("https://cao.dolgi.msk.ru/account/1011495402/", 1011495402)</f>
        <v>1011495402</v>
      </c>
      <c r="D14089">
        <v>0</v>
      </c>
    </row>
    <row r="14090" spans="1:4" hidden="1" x14ac:dyDescent="0.3">
      <c r="A14090" t="s">
        <v>954</v>
      </c>
      <c r="B14090" t="s">
        <v>11</v>
      </c>
      <c r="C14090" s="1">
        <f>HYPERLINK("https://cao.dolgi.msk.ru/account/1011495429/", 1011495429)</f>
        <v>1011495429</v>
      </c>
      <c r="D14090">
        <v>0</v>
      </c>
    </row>
    <row r="14091" spans="1:4" hidden="1" x14ac:dyDescent="0.3">
      <c r="A14091" t="s">
        <v>954</v>
      </c>
      <c r="B14091" t="s">
        <v>12</v>
      </c>
      <c r="C14091" s="1">
        <f>HYPERLINK("https://cao.dolgi.msk.ru/account/1011495605/", 1011495605)</f>
        <v>1011495605</v>
      </c>
      <c r="D14091">
        <v>0</v>
      </c>
    </row>
    <row r="14092" spans="1:4" hidden="1" x14ac:dyDescent="0.3">
      <c r="A14092" t="s">
        <v>954</v>
      </c>
      <c r="B14092" t="s">
        <v>23</v>
      </c>
      <c r="C14092" s="1">
        <f>HYPERLINK("https://cao.dolgi.msk.ru/account/1011495437/", 1011495437)</f>
        <v>1011495437</v>
      </c>
      <c r="D14092">
        <v>0</v>
      </c>
    </row>
    <row r="14093" spans="1:4" hidden="1" x14ac:dyDescent="0.3">
      <c r="A14093" t="s">
        <v>954</v>
      </c>
      <c r="B14093" t="s">
        <v>13</v>
      </c>
      <c r="C14093" s="1">
        <f>HYPERLINK("https://cao.dolgi.msk.ru/account/1011495613/", 1011495613)</f>
        <v>1011495613</v>
      </c>
      <c r="D14093">
        <v>-4712.91</v>
      </c>
    </row>
    <row r="14094" spans="1:4" x14ac:dyDescent="0.3">
      <c r="A14094" t="s">
        <v>954</v>
      </c>
      <c r="B14094" t="s">
        <v>14</v>
      </c>
      <c r="C14094" s="1">
        <f>HYPERLINK("https://cao.dolgi.msk.ru/account/1011495621/", 1011495621)</f>
        <v>1011495621</v>
      </c>
      <c r="D14094">
        <v>6972.93</v>
      </c>
    </row>
    <row r="14095" spans="1:4" hidden="1" x14ac:dyDescent="0.3">
      <c r="A14095" t="s">
        <v>954</v>
      </c>
      <c r="B14095" t="s">
        <v>16</v>
      </c>
      <c r="C14095" s="1">
        <f>HYPERLINK("https://cao.dolgi.msk.ru/account/1011495189/", 1011495189)</f>
        <v>1011495189</v>
      </c>
      <c r="D14095">
        <v>-3306.7</v>
      </c>
    </row>
    <row r="14096" spans="1:4" hidden="1" x14ac:dyDescent="0.3">
      <c r="A14096" t="s">
        <v>954</v>
      </c>
      <c r="B14096" t="s">
        <v>17</v>
      </c>
      <c r="C14096" s="1">
        <f>HYPERLINK("https://cao.dolgi.msk.ru/account/1011495023/", 1011495023)</f>
        <v>1011495023</v>
      </c>
      <c r="D14096">
        <v>0</v>
      </c>
    </row>
    <row r="14097" spans="1:4" hidden="1" x14ac:dyDescent="0.3">
      <c r="A14097" t="s">
        <v>954</v>
      </c>
      <c r="B14097" t="s">
        <v>18</v>
      </c>
      <c r="C14097" s="1">
        <f>HYPERLINK("https://cao.dolgi.msk.ru/account/1011495445/", 1011495445)</f>
        <v>1011495445</v>
      </c>
      <c r="D14097">
        <v>0</v>
      </c>
    </row>
    <row r="14098" spans="1:4" x14ac:dyDescent="0.3">
      <c r="A14098" t="s">
        <v>954</v>
      </c>
      <c r="B14098" t="s">
        <v>19</v>
      </c>
      <c r="C14098" s="1">
        <f>HYPERLINK("https://cao.dolgi.msk.ru/account/1011494637/", 1011494637)</f>
        <v>1011494637</v>
      </c>
      <c r="D14098">
        <v>5207.78</v>
      </c>
    </row>
    <row r="14099" spans="1:4" hidden="1" x14ac:dyDescent="0.3">
      <c r="A14099" t="s">
        <v>954</v>
      </c>
      <c r="B14099" t="s">
        <v>20</v>
      </c>
      <c r="C14099" s="1">
        <f>HYPERLINK("https://cao.dolgi.msk.ru/account/1011495648/", 1011495648)</f>
        <v>1011495648</v>
      </c>
      <c r="D14099">
        <v>0</v>
      </c>
    </row>
    <row r="14100" spans="1:4" hidden="1" x14ac:dyDescent="0.3">
      <c r="A14100" t="s">
        <v>954</v>
      </c>
      <c r="B14100" t="s">
        <v>21</v>
      </c>
      <c r="C14100" s="1">
        <f>HYPERLINK("https://cao.dolgi.msk.ru/account/1011495656/", 1011495656)</f>
        <v>1011495656</v>
      </c>
      <c r="D14100">
        <v>0</v>
      </c>
    </row>
    <row r="14101" spans="1:4" hidden="1" x14ac:dyDescent="0.3">
      <c r="A14101" t="s">
        <v>954</v>
      </c>
      <c r="B14101" t="s">
        <v>22</v>
      </c>
      <c r="C14101" s="1">
        <f>HYPERLINK("https://cao.dolgi.msk.ru/account/1011494856/", 1011494856)</f>
        <v>1011494856</v>
      </c>
      <c r="D14101">
        <v>0</v>
      </c>
    </row>
    <row r="14102" spans="1:4" hidden="1" x14ac:dyDescent="0.3">
      <c r="A14102" t="s">
        <v>954</v>
      </c>
      <c r="B14102" t="s">
        <v>22</v>
      </c>
      <c r="C14102" s="1">
        <f>HYPERLINK("https://cao.dolgi.msk.ru/account/1011494995/", 1011494995)</f>
        <v>1011494995</v>
      </c>
      <c r="D14102">
        <v>0</v>
      </c>
    </row>
    <row r="14103" spans="1:4" hidden="1" x14ac:dyDescent="0.3">
      <c r="A14103" t="s">
        <v>954</v>
      </c>
      <c r="B14103" t="s">
        <v>24</v>
      </c>
      <c r="C14103" s="1">
        <f>HYPERLINK("https://cao.dolgi.msk.ru/account/1011494864/", 1011494864)</f>
        <v>1011494864</v>
      </c>
      <c r="D14103">
        <v>-5834.19</v>
      </c>
    </row>
    <row r="14104" spans="1:4" x14ac:dyDescent="0.3">
      <c r="A14104" t="s">
        <v>954</v>
      </c>
      <c r="B14104" t="s">
        <v>25</v>
      </c>
      <c r="C14104" s="1">
        <f>HYPERLINK("https://cao.dolgi.msk.ru/account/1011494872/", 1011494872)</f>
        <v>1011494872</v>
      </c>
      <c r="D14104">
        <v>681.82</v>
      </c>
    </row>
    <row r="14105" spans="1:4" x14ac:dyDescent="0.3">
      <c r="A14105" t="s">
        <v>954</v>
      </c>
      <c r="B14105" t="s">
        <v>26</v>
      </c>
      <c r="C14105" s="1">
        <f>HYPERLINK("https://cao.dolgi.msk.ru/account/1011494899/", 1011494899)</f>
        <v>1011494899</v>
      </c>
      <c r="D14105">
        <v>6714.67</v>
      </c>
    </row>
    <row r="14106" spans="1:4" hidden="1" x14ac:dyDescent="0.3">
      <c r="A14106" t="s">
        <v>954</v>
      </c>
      <c r="B14106" t="s">
        <v>27</v>
      </c>
      <c r="C14106" s="1">
        <f>HYPERLINK("https://cao.dolgi.msk.ru/account/1011494645/", 1011494645)</f>
        <v>1011494645</v>
      </c>
      <c r="D14106">
        <v>-3644.69</v>
      </c>
    </row>
    <row r="14107" spans="1:4" hidden="1" x14ac:dyDescent="0.3">
      <c r="A14107" t="s">
        <v>954</v>
      </c>
      <c r="B14107" t="s">
        <v>29</v>
      </c>
      <c r="C14107" s="1">
        <f>HYPERLINK("https://cao.dolgi.msk.ru/account/1011494653/", 1011494653)</f>
        <v>1011494653</v>
      </c>
      <c r="D14107">
        <v>-3468.87</v>
      </c>
    </row>
    <row r="14108" spans="1:4" hidden="1" x14ac:dyDescent="0.3">
      <c r="A14108" t="s">
        <v>954</v>
      </c>
      <c r="B14108" t="s">
        <v>38</v>
      </c>
      <c r="C14108" s="1">
        <f>HYPERLINK("https://cao.dolgi.msk.ru/account/1011494696/", 1011494696)</f>
        <v>1011494696</v>
      </c>
      <c r="D14108">
        <v>0</v>
      </c>
    </row>
    <row r="14109" spans="1:4" hidden="1" x14ac:dyDescent="0.3">
      <c r="A14109" t="s">
        <v>954</v>
      </c>
      <c r="B14109" t="s">
        <v>39</v>
      </c>
      <c r="C14109" s="1">
        <f>HYPERLINK("https://cao.dolgi.msk.ru/account/1011495197/", 1011495197)</f>
        <v>1011495197</v>
      </c>
      <c r="D14109">
        <v>0</v>
      </c>
    </row>
    <row r="14110" spans="1:4" hidden="1" x14ac:dyDescent="0.3">
      <c r="A14110" t="s">
        <v>954</v>
      </c>
      <c r="B14110" t="s">
        <v>40</v>
      </c>
      <c r="C14110" s="1">
        <f>HYPERLINK("https://cao.dolgi.msk.ru/account/1011494709/", 1011494709)</f>
        <v>1011494709</v>
      </c>
      <c r="D14110">
        <v>-5352.01</v>
      </c>
    </row>
    <row r="14111" spans="1:4" hidden="1" x14ac:dyDescent="0.3">
      <c r="A14111" t="s">
        <v>954</v>
      </c>
      <c r="B14111" t="s">
        <v>41</v>
      </c>
      <c r="C14111" s="1">
        <f>HYPERLINK("https://cao.dolgi.msk.ru/account/1011494506/", 1011494506)</f>
        <v>1011494506</v>
      </c>
      <c r="D14111">
        <v>0</v>
      </c>
    </row>
    <row r="14112" spans="1:4" x14ac:dyDescent="0.3">
      <c r="A14112" t="s">
        <v>954</v>
      </c>
      <c r="B14112" t="s">
        <v>51</v>
      </c>
      <c r="C14112" s="1">
        <f>HYPERLINK("https://cao.dolgi.msk.ru/account/1011495007/", 1011495007)</f>
        <v>1011495007</v>
      </c>
      <c r="D14112">
        <v>6016.88</v>
      </c>
    </row>
    <row r="14113" spans="1:4" hidden="1" x14ac:dyDescent="0.3">
      <c r="A14113" t="s">
        <v>954</v>
      </c>
      <c r="B14113" t="s">
        <v>52</v>
      </c>
      <c r="C14113" s="1">
        <f>HYPERLINK("https://cao.dolgi.msk.ru/account/1011494514/", 1011494514)</f>
        <v>1011494514</v>
      </c>
      <c r="D14113">
        <v>0</v>
      </c>
    </row>
    <row r="14114" spans="1:4" x14ac:dyDescent="0.3">
      <c r="A14114" t="s">
        <v>954</v>
      </c>
      <c r="B14114" t="s">
        <v>53</v>
      </c>
      <c r="C14114" s="1">
        <f>HYPERLINK("https://cao.dolgi.msk.ru/account/1011495453/", 1011495453)</f>
        <v>1011495453</v>
      </c>
      <c r="D14114">
        <v>140248.15</v>
      </c>
    </row>
    <row r="14115" spans="1:4" hidden="1" x14ac:dyDescent="0.3">
      <c r="A14115" t="s">
        <v>954</v>
      </c>
      <c r="B14115" t="s">
        <v>54</v>
      </c>
      <c r="C14115" s="1">
        <f>HYPERLINK("https://cao.dolgi.msk.ru/account/1011494717/", 1011494717)</f>
        <v>1011494717</v>
      </c>
      <c r="D14115">
        <v>0</v>
      </c>
    </row>
    <row r="14116" spans="1:4" hidden="1" x14ac:dyDescent="0.3">
      <c r="A14116" t="s">
        <v>954</v>
      </c>
      <c r="B14116" t="s">
        <v>55</v>
      </c>
      <c r="C14116" s="1">
        <f>HYPERLINK("https://cao.dolgi.msk.ru/account/1011495218/", 1011495218)</f>
        <v>1011495218</v>
      </c>
      <c r="D14116">
        <v>-6109.96</v>
      </c>
    </row>
    <row r="14117" spans="1:4" hidden="1" x14ac:dyDescent="0.3">
      <c r="A14117" t="s">
        <v>954</v>
      </c>
      <c r="B14117" t="s">
        <v>56</v>
      </c>
      <c r="C14117" s="1">
        <f>HYPERLINK("https://cao.dolgi.msk.ru/account/1011495461/", 1011495461)</f>
        <v>1011495461</v>
      </c>
      <c r="D14117">
        <v>-3974.04</v>
      </c>
    </row>
    <row r="14118" spans="1:4" hidden="1" x14ac:dyDescent="0.3">
      <c r="A14118" t="s">
        <v>954</v>
      </c>
      <c r="B14118" t="s">
        <v>87</v>
      </c>
      <c r="C14118" s="1">
        <f>HYPERLINK("https://cao.dolgi.msk.ru/account/1011494901/", 1011494901)</f>
        <v>1011494901</v>
      </c>
      <c r="D14118">
        <v>-824.45</v>
      </c>
    </row>
    <row r="14119" spans="1:4" hidden="1" x14ac:dyDescent="0.3">
      <c r="A14119" t="s">
        <v>954</v>
      </c>
      <c r="B14119" t="s">
        <v>88</v>
      </c>
      <c r="C14119" s="1">
        <f>HYPERLINK("https://cao.dolgi.msk.ru/account/1011495664/", 1011495664)</f>
        <v>1011495664</v>
      </c>
      <c r="D14119">
        <v>-2755.87</v>
      </c>
    </row>
    <row r="14120" spans="1:4" hidden="1" x14ac:dyDescent="0.3">
      <c r="A14120" t="s">
        <v>954</v>
      </c>
      <c r="B14120" t="s">
        <v>89</v>
      </c>
      <c r="C14120" s="1">
        <f>HYPERLINK("https://cao.dolgi.msk.ru/account/1011494725/", 1011494725)</f>
        <v>1011494725</v>
      </c>
      <c r="D14120">
        <v>0</v>
      </c>
    </row>
    <row r="14121" spans="1:4" hidden="1" x14ac:dyDescent="0.3">
      <c r="A14121" t="s">
        <v>954</v>
      </c>
      <c r="B14121" t="s">
        <v>90</v>
      </c>
      <c r="C14121" s="1">
        <f>HYPERLINK("https://cao.dolgi.msk.ru/account/1011494522/", 1011494522)</f>
        <v>1011494522</v>
      </c>
      <c r="D14121">
        <v>-132.5</v>
      </c>
    </row>
    <row r="14122" spans="1:4" hidden="1" x14ac:dyDescent="0.3">
      <c r="A14122" t="s">
        <v>954</v>
      </c>
      <c r="B14122" t="s">
        <v>96</v>
      </c>
      <c r="C14122" s="1">
        <f>HYPERLINK("https://cao.dolgi.msk.ru/account/1011494549/", 1011494549)</f>
        <v>1011494549</v>
      </c>
      <c r="D14122">
        <v>-94.16</v>
      </c>
    </row>
    <row r="14123" spans="1:4" hidden="1" x14ac:dyDescent="0.3">
      <c r="A14123" t="s">
        <v>954</v>
      </c>
      <c r="B14123" t="s">
        <v>97</v>
      </c>
      <c r="C14123" s="1">
        <f>HYPERLINK("https://cao.dolgi.msk.ru/account/1011494733/", 1011494733)</f>
        <v>1011494733</v>
      </c>
      <c r="D14123">
        <v>0</v>
      </c>
    </row>
    <row r="14124" spans="1:4" hidden="1" x14ac:dyDescent="0.3">
      <c r="A14124" t="s">
        <v>954</v>
      </c>
      <c r="B14124" t="s">
        <v>98</v>
      </c>
      <c r="C14124" s="1">
        <f>HYPERLINK("https://cao.dolgi.msk.ru/account/1011494557/", 1011494557)</f>
        <v>1011494557</v>
      </c>
      <c r="D14124">
        <v>0</v>
      </c>
    </row>
    <row r="14125" spans="1:4" hidden="1" x14ac:dyDescent="0.3">
      <c r="A14125" t="s">
        <v>954</v>
      </c>
      <c r="B14125" t="s">
        <v>58</v>
      </c>
      <c r="C14125" s="1">
        <f>HYPERLINK("https://cao.dolgi.msk.ru/account/1011495226/", 1011495226)</f>
        <v>1011495226</v>
      </c>
      <c r="D14125">
        <v>-5972.25</v>
      </c>
    </row>
    <row r="14126" spans="1:4" x14ac:dyDescent="0.3">
      <c r="A14126" t="s">
        <v>954</v>
      </c>
      <c r="B14126" t="s">
        <v>59</v>
      </c>
      <c r="C14126" s="1">
        <f>HYPERLINK("https://cao.dolgi.msk.ru/account/1011495031/", 1011495031)</f>
        <v>1011495031</v>
      </c>
      <c r="D14126">
        <v>8039.62</v>
      </c>
    </row>
    <row r="14127" spans="1:4" hidden="1" x14ac:dyDescent="0.3">
      <c r="A14127" t="s">
        <v>954</v>
      </c>
      <c r="B14127" t="s">
        <v>60</v>
      </c>
      <c r="C14127" s="1">
        <f>HYPERLINK("https://cao.dolgi.msk.ru/account/1011494741/", 1011494741)</f>
        <v>1011494741</v>
      </c>
      <c r="D14127">
        <v>0</v>
      </c>
    </row>
    <row r="14128" spans="1:4" hidden="1" x14ac:dyDescent="0.3">
      <c r="A14128" t="s">
        <v>954</v>
      </c>
      <c r="B14128" t="s">
        <v>61</v>
      </c>
      <c r="C14128" s="1">
        <f>HYPERLINK("https://cao.dolgi.msk.ru/account/1011494565/", 1011494565)</f>
        <v>1011494565</v>
      </c>
      <c r="D14128">
        <v>0</v>
      </c>
    </row>
    <row r="14129" spans="1:4" hidden="1" x14ac:dyDescent="0.3">
      <c r="A14129" t="s">
        <v>954</v>
      </c>
      <c r="B14129" t="s">
        <v>62</v>
      </c>
      <c r="C14129" s="1">
        <f>HYPERLINK("https://cao.dolgi.msk.ru/account/1011495488/", 1011495488)</f>
        <v>1011495488</v>
      </c>
      <c r="D14129">
        <v>0</v>
      </c>
    </row>
    <row r="14130" spans="1:4" hidden="1" x14ac:dyDescent="0.3">
      <c r="A14130" t="s">
        <v>954</v>
      </c>
      <c r="B14130" t="s">
        <v>63</v>
      </c>
      <c r="C14130" s="1">
        <f>HYPERLINK("https://cao.dolgi.msk.ru/account/1011494573/", 1011494573)</f>
        <v>1011494573</v>
      </c>
      <c r="D14130">
        <v>-5568.31</v>
      </c>
    </row>
    <row r="14131" spans="1:4" hidden="1" x14ac:dyDescent="0.3">
      <c r="A14131" t="s">
        <v>954</v>
      </c>
      <c r="B14131" t="s">
        <v>64</v>
      </c>
      <c r="C14131" s="1">
        <f>HYPERLINK("https://cao.dolgi.msk.ru/account/1011495234/", 1011495234)</f>
        <v>1011495234</v>
      </c>
      <c r="D14131">
        <v>0</v>
      </c>
    </row>
    <row r="14132" spans="1:4" hidden="1" x14ac:dyDescent="0.3">
      <c r="A14132" t="s">
        <v>954</v>
      </c>
      <c r="B14132" t="s">
        <v>65</v>
      </c>
      <c r="C14132" s="1">
        <f>HYPERLINK("https://cao.dolgi.msk.ru/account/1011495496/", 1011495496)</f>
        <v>1011495496</v>
      </c>
      <c r="D14132">
        <v>-2673.51</v>
      </c>
    </row>
    <row r="14133" spans="1:4" hidden="1" x14ac:dyDescent="0.3">
      <c r="A14133" t="s">
        <v>954</v>
      </c>
      <c r="B14133" t="s">
        <v>66</v>
      </c>
      <c r="C14133" s="1">
        <f>HYPERLINK("https://cao.dolgi.msk.ru/account/1011495058/", 1011495058)</f>
        <v>1011495058</v>
      </c>
      <c r="D14133">
        <v>0</v>
      </c>
    </row>
    <row r="14134" spans="1:4" hidden="1" x14ac:dyDescent="0.3">
      <c r="A14134" t="s">
        <v>954</v>
      </c>
      <c r="B14134" t="s">
        <v>67</v>
      </c>
      <c r="C14134" s="1">
        <f>HYPERLINK("https://cao.dolgi.msk.ru/account/1011495242/", 1011495242)</f>
        <v>1011495242</v>
      </c>
      <c r="D14134">
        <v>-6799.91</v>
      </c>
    </row>
    <row r="14135" spans="1:4" hidden="1" x14ac:dyDescent="0.3">
      <c r="A14135" t="s">
        <v>954</v>
      </c>
      <c r="B14135" t="s">
        <v>68</v>
      </c>
      <c r="C14135" s="1">
        <f>HYPERLINK("https://cao.dolgi.msk.ru/account/1011495509/", 1011495509)</f>
        <v>1011495509</v>
      </c>
      <c r="D14135">
        <v>0</v>
      </c>
    </row>
    <row r="14136" spans="1:4" hidden="1" x14ac:dyDescent="0.3">
      <c r="A14136" t="s">
        <v>954</v>
      </c>
      <c r="B14136" t="s">
        <v>69</v>
      </c>
      <c r="C14136" s="1">
        <f>HYPERLINK("https://cao.dolgi.msk.ru/account/1011495517/", 1011495517)</f>
        <v>1011495517</v>
      </c>
      <c r="D14136">
        <v>-42839.76</v>
      </c>
    </row>
    <row r="14137" spans="1:4" hidden="1" x14ac:dyDescent="0.3">
      <c r="A14137" t="s">
        <v>954</v>
      </c>
      <c r="B14137" t="s">
        <v>70</v>
      </c>
      <c r="C14137" s="1">
        <f>HYPERLINK("https://cao.dolgi.msk.ru/account/1011495066/", 1011495066)</f>
        <v>1011495066</v>
      </c>
      <c r="D14137">
        <v>0</v>
      </c>
    </row>
    <row r="14138" spans="1:4" x14ac:dyDescent="0.3">
      <c r="A14138" t="s">
        <v>954</v>
      </c>
      <c r="B14138" t="s">
        <v>259</v>
      </c>
      <c r="C14138" s="1">
        <f>HYPERLINK("https://cao.dolgi.msk.ru/account/1011495357/", 1011495357)</f>
        <v>1011495357</v>
      </c>
      <c r="D14138">
        <v>5141.6400000000003</v>
      </c>
    </row>
    <row r="14139" spans="1:4" hidden="1" x14ac:dyDescent="0.3">
      <c r="A14139" t="s">
        <v>954</v>
      </c>
      <c r="B14139" t="s">
        <v>100</v>
      </c>
      <c r="C14139" s="1">
        <f>HYPERLINK("https://cao.dolgi.msk.ru/account/1011494768/", 1011494768)</f>
        <v>1011494768</v>
      </c>
      <c r="D14139">
        <v>0</v>
      </c>
    </row>
    <row r="14140" spans="1:4" hidden="1" x14ac:dyDescent="0.3">
      <c r="A14140" t="s">
        <v>954</v>
      </c>
      <c r="B14140" t="s">
        <v>72</v>
      </c>
      <c r="C14140" s="1">
        <f>HYPERLINK("https://cao.dolgi.msk.ru/account/1011495533/", 1011495533)</f>
        <v>1011495533</v>
      </c>
      <c r="D14140">
        <v>-2694.27</v>
      </c>
    </row>
    <row r="14141" spans="1:4" x14ac:dyDescent="0.3">
      <c r="A14141" t="s">
        <v>954</v>
      </c>
      <c r="B14141" t="s">
        <v>73</v>
      </c>
      <c r="C14141" s="1">
        <f>HYPERLINK("https://cao.dolgi.msk.ru/account/1011511003/", 1011511003)</f>
        <v>1011511003</v>
      </c>
      <c r="D14141">
        <v>3546.55</v>
      </c>
    </row>
    <row r="14142" spans="1:4" hidden="1" x14ac:dyDescent="0.3">
      <c r="A14142" t="s">
        <v>954</v>
      </c>
      <c r="B14142" t="s">
        <v>74</v>
      </c>
      <c r="C14142" s="1">
        <f>HYPERLINK("https://cao.dolgi.msk.ru/account/1011494602/", 1011494602)</f>
        <v>1011494602</v>
      </c>
      <c r="D14142">
        <v>-5307.51</v>
      </c>
    </row>
    <row r="14143" spans="1:4" hidden="1" x14ac:dyDescent="0.3">
      <c r="A14143" t="s">
        <v>954</v>
      </c>
      <c r="B14143" t="s">
        <v>75</v>
      </c>
      <c r="C14143" s="1">
        <f>HYPERLINK("https://cao.dolgi.msk.ru/account/1011495074/", 1011495074)</f>
        <v>1011495074</v>
      </c>
      <c r="D14143">
        <v>0</v>
      </c>
    </row>
    <row r="14144" spans="1:4" hidden="1" x14ac:dyDescent="0.3">
      <c r="A14144" t="s">
        <v>954</v>
      </c>
      <c r="B14144" t="s">
        <v>76</v>
      </c>
      <c r="C14144" s="1">
        <f>HYPERLINK("https://cao.dolgi.msk.ru/account/1011495672/", 1011495672)</f>
        <v>1011495672</v>
      </c>
      <c r="D14144">
        <v>-0.87</v>
      </c>
    </row>
    <row r="14145" spans="1:4" x14ac:dyDescent="0.3">
      <c r="A14145" t="s">
        <v>954</v>
      </c>
      <c r="B14145" t="s">
        <v>77</v>
      </c>
      <c r="C14145" s="1">
        <f>HYPERLINK("https://cao.dolgi.msk.ru/account/1011494928/", 1011494928)</f>
        <v>1011494928</v>
      </c>
      <c r="D14145">
        <v>26452.18</v>
      </c>
    </row>
    <row r="14146" spans="1:4" x14ac:dyDescent="0.3">
      <c r="A14146" t="s">
        <v>954</v>
      </c>
      <c r="B14146" t="s">
        <v>78</v>
      </c>
      <c r="C14146" s="1">
        <f>HYPERLINK("https://cao.dolgi.msk.ru/account/1011494936/", 1011494936)</f>
        <v>1011494936</v>
      </c>
      <c r="D14146">
        <v>4105.38</v>
      </c>
    </row>
    <row r="14147" spans="1:4" hidden="1" x14ac:dyDescent="0.3">
      <c r="A14147" t="s">
        <v>954</v>
      </c>
      <c r="B14147" t="s">
        <v>79</v>
      </c>
      <c r="C14147" s="1">
        <f>HYPERLINK("https://cao.dolgi.msk.ru/account/1011494944/", 1011494944)</f>
        <v>1011494944</v>
      </c>
      <c r="D14147">
        <v>0</v>
      </c>
    </row>
    <row r="14148" spans="1:4" hidden="1" x14ac:dyDescent="0.3">
      <c r="A14148" t="s">
        <v>954</v>
      </c>
      <c r="B14148" t="s">
        <v>80</v>
      </c>
      <c r="C14148" s="1">
        <f>HYPERLINK("https://cao.dolgi.msk.ru/account/1011495541/", 1011495541)</f>
        <v>1011495541</v>
      </c>
      <c r="D14148">
        <v>-590.39</v>
      </c>
    </row>
    <row r="14149" spans="1:4" hidden="1" x14ac:dyDescent="0.3">
      <c r="A14149" t="s">
        <v>954</v>
      </c>
      <c r="B14149" t="s">
        <v>81</v>
      </c>
      <c r="C14149" s="1">
        <f>HYPERLINK("https://cao.dolgi.msk.ru/account/1011495568/", 1011495568)</f>
        <v>1011495568</v>
      </c>
      <c r="D14149">
        <v>0</v>
      </c>
    </row>
    <row r="14150" spans="1:4" hidden="1" x14ac:dyDescent="0.3">
      <c r="A14150" t="s">
        <v>954</v>
      </c>
      <c r="B14150" t="s">
        <v>101</v>
      </c>
      <c r="C14150" s="1">
        <f>HYPERLINK("https://cao.dolgi.msk.ru/account/1011495269/", 1011495269)</f>
        <v>1011495269</v>
      </c>
      <c r="D14150">
        <v>0</v>
      </c>
    </row>
    <row r="14151" spans="1:4" hidden="1" x14ac:dyDescent="0.3">
      <c r="A14151" t="s">
        <v>954</v>
      </c>
      <c r="B14151" t="s">
        <v>82</v>
      </c>
      <c r="C14151" s="1">
        <f>HYPERLINK("https://cao.dolgi.msk.ru/account/1011494661/", 1011494661)</f>
        <v>1011494661</v>
      </c>
      <c r="D14151">
        <v>-770.01</v>
      </c>
    </row>
    <row r="14152" spans="1:4" hidden="1" x14ac:dyDescent="0.3">
      <c r="A14152" t="s">
        <v>954</v>
      </c>
      <c r="B14152" t="s">
        <v>83</v>
      </c>
      <c r="C14152" s="1">
        <f>HYPERLINK("https://cao.dolgi.msk.ru/account/1011495082/", 1011495082)</f>
        <v>1011495082</v>
      </c>
      <c r="D14152">
        <v>-5480.91</v>
      </c>
    </row>
    <row r="14153" spans="1:4" hidden="1" x14ac:dyDescent="0.3">
      <c r="A14153" t="s">
        <v>954</v>
      </c>
      <c r="B14153" t="s">
        <v>84</v>
      </c>
      <c r="C14153" s="1">
        <f>HYPERLINK("https://cao.dolgi.msk.ru/account/1011495103/", 1011495103)</f>
        <v>1011495103</v>
      </c>
      <c r="D14153">
        <v>0</v>
      </c>
    </row>
    <row r="14154" spans="1:4" hidden="1" x14ac:dyDescent="0.3">
      <c r="A14154" t="s">
        <v>954</v>
      </c>
      <c r="B14154" t="s">
        <v>85</v>
      </c>
      <c r="C14154" s="1">
        <f>HYPERLINK("https://cao.dolgi.msk.ru/account/1011495576/", 1011495576)</f>
        <v>1011495576</v>
      </c>
      <c r="D14154">
        <v>0</v>
      </c>
    </row>
    <row r="14155" spans="1:4" hidden="1" x14ac:dyDescent="0.3">
      <c r="A14155" t="s">
        <v>954</v>
      </c>
      <c r="B14155" t="s">
        <v>102</v>
      </c>
      <c r="C14155" s="1">
        <f>HYPERLINK("https://cao.dolgi.msk.ru/account/1011495699/", 1011495699)</f>
        <v>1011495699</v>
      </c>
      <c r="D14155">
        <v>0</v>
      </c>
    </row>
    <row r="14156" spans="1:4" hidden="1" x14ac:dyDescent="0.3">
      <c r="A14156" t="s">
        <v>954</v>
      </c>
      <c r="B14156" t="s">
        <v>103</v>
      </c>
      <c r="C14156" s="1">
        <f>HYPERLINK("https://cao.dolgi.msk.ru/account/1011495584/", 1011495584)</f>
        <v>1011495584</v>
      </c>
      <c r="D14156">
        <v>-59238.559999999998</v>
      </c>
    </row>
    <row r="14157" spans="1:4" hidden="1" x14ac:dyDescent="0.3">
      <c r="A14157" t="s">
        <v>954</v>
      </c>
      <c r="B14157" t="s">
        <v>104</v>
      </c>
      <c r="C14157" s="1">
        <f>HYPERLINK("https://cao.dolgi.msk.ru/account/1011495111/", 1011495111)</f>
        <v>1011495111</v>
      </c>
      <c r="D14157">
        <v>0</v>
      </c>
    </row>
    <row r="14158" spans="1:4" hidden="1" x14ac:dyDescent="0.3">
      <c r="A14158" t="s">
        <v>954</v>
      </c>
      <c r="B14158" t="s">
        <v>105</v>
      </c>
      <c r="C14158" s="1">
        <f>HYPERLINK("https://cao.dolgi.msk.ru/account/1011495138/", 1011495138)</f>
        <v>1011495138</v>
      </c>
      <c r="D14158">
        <v>0</v>
      </c>
    </row>
    <row r="14159" spans="1:4" hidden="1" x14ac:dyDescent="0.3">
      <c r="A14159" t="s">
        <v>954</v>
      </c>
      <c r="B14159" t="s">
        <v>106</v>
      </c>
      <c r="C14159" s="1">
        <f>HYPERLINK("https://cao.dolgi.msk.ru/account/1011495277/", 1011495277)</f>
        <v>1011495277</v>
      </c>
      <c r="D14159">
        <v>-5565.85</v>
      </c>
    </row>
    <row r="14160" spans="1:4" hidden="1" x14ac:dyDescent="0.3">
      <c r="A14160" t="s">
        <v>954</v>
      </c>
      <c r="B14160" t="s">
        <v>107</v>
      </c>
      <c r="C14160" s="1">
        <f>HYPERLINK("https://cao.dolgi.msk.ru/account/1011494776/", 1011494776)</f>
        <v>1011494776</v>
      </c>
      <c r="D14160">
        <v>0</v>
      </c>
    </row>
    <row r="14161" spans="1:4" hidden="1" x14ac:dyDescent="0.3">
      <c r="A14161" t="s">
        <v>954</v>
      </c>
      <c r="B14161" t="s">
        <v>108</v>
      </c>
      <c r="C14161" s="1">
        <f>HYPERLINK("https://cao.dolgi.msk.ru/account/1011494784/", 1011494784)</f>
        <v>1011494784</v>
      </c>
      <c r="D14161">
        <v>-1300.8900000000001</v>
      </c>
    </row>
    <row r="14162" spans="1:4" hidden="1" x14ac:dyDescent="0.3">
      <c r="A14162" t="s">
        <v>954</v>
      </c>
      <c r="B14162" t="s">
        <v>109</v>
      </c>
      <c r="C14162" s="1">
        <f>HYPERLINK("https://cao.dolgi.msk.ru/account/1011494952/", 1011494952)</f>
        <v>1011494952</v>
      </c>
      <c r="D14162">
        <v>-8404.08</v>
      </c>
    </row>
    <row r="14163" spans="1:4" hidden="1" x14ac:dyDescent="0.3">
      <c r="A14163" t="s">
        <v>954</v>
      </c>
      <c r="B14163" t="s">
        <v>110</v>
      </c>
      <c r="C14163" s="1">
        <f>HYPERLINK("https://cao.dolgi.msk.ru/account/1011495701/", 1011495701)</f>
        <v>1011495701</v>
      </c>
      <c r="D14163">
        <v>0</v>
      </c>
    </row>
    <row r="14164" spans="1:4" hidden="1" x14ac:dyDescent="0.3">
      <c r="A14164" t="s">
        <v>954</v>
      </c>
      <c r="B14164" t="s">
        <v>111</v>
      </c>
      <c r="C14164" s="1">
        <f>HYPERLINK("https://cao.dolgi.msk.ru/account/1011495285/", 1011495285)</f>
        <v>1011495285</v>
      </c>
      <c r="D14164">
        <v>0</v>
      </c>
    </row>
    <row r="14165" spans="1:4" hidden="1" x14ac:dyDescent="0.3">
      <c r="A14165" t="s">
        <v>954</v>
      </c>
      <c r="B14165" t="s">
        <v>112</v>
      </c>
      <c r="C14165" s="1">
        <f>HYPERLINK("https://cao.dolgi.msk.ru/account/1011494792/", 1011494792)</f>
        <v>1011494792</v>
      </c>
      <c r="D14165">
        <v>-11203.67</v>
      </c>
    </row>
    <row r="14166" spans="1:4" hidden="1" x14ac:dyDescent="0.3">
      <c r="A14166" t="s">
        <v>954</v>
      </c>
      <c r="B14166" t="s">
        <v>113</v>
      </c>
      <c r="C14166" s="1">
        <f>HYPERLINK("https://cao.dolgi.msk.ru/account/1011495293/", 1011495293)</f>
        <v>1011495293</v>
      </c>
      <c r="D14166">
        <v>0</v>
      </c>
    </row>
    <row r="14167" spans="1:4" hidden="1" x14ac:dyDescent="0.3">
      <c r="A14167" t="s">
        <v>954</v>
      </c>
      <c r="B14167" t="s">
        <v>114</v>
      </c>
      <c r="C14167" s="1">
        <f>HYPERLINK("https://cao.dolgi.msk.ru/account/1011495306/", 1011495306)</f>
        <v>1011495306</v>
      </c>
      <c r="D14167">
        <v>0</v>
      </c>
    </row>
    <row r="14168" spans="1:4" hidden="1" x14ac:dyDescent="0.3">
      <c r="A14168" t="s">
        <v>954</v>
      </c>
      <c r="B14168" t="s">
        <v>115</v>
      </c>
      <c r="C14168" s="1">
        <f>HYPERLINK("https://cao.dolgi.msk.ru/account/1011494979/", 1011494979)</f>
        <v>1011494979</v>
      </c>
      <c r="D14168">
        <v>0</v>
      </c>
    </row>
    <row r="14169" spans="1:4" hidden="1" x14ac:dyDescent="0.3">
      <c r="A14169" t="s">
        <v>954</v>
      </c>
      <c r="B14169" t="s">
        <v>116</v>
      </c>
      <c r="C14169" s="1">
        <f>HYPERLINK("https://cao.dolgi.msk.ru/account/1011494805/", 1011494805)</f>
        <v>1011494805</v>
      </c>
      <c r="D14169">
        <v>0</v>
      </c>
    </row>
    <row r="14170" spans="1:4" hidden="1" x14ac:dyDescent="0.3">
      <c r="A14170" t="s">
        <v>954</v>
      </c>
      <c r="B14170" t="s">
        <v>266</v>
      </c>
      <c r="C14170" s="1">
        <f>HYPERLINK("https://cao.dolgi.msk.ru/account/1011495314/", 1011495314)</f>
        <v>1011495314</v>
      </c>
      <c r="D14170">
        <v>0</v>
      </c>
    </row>
    <row r="14171" spans="1:4" hidden="1" x14ac:dyDescent="0.3">
      <c r="A14171" t="s">
        <v>954</v>
      </c>
      <c r="B14171" t="s">
        <v>117</v>
      </c>
      <c r="C14171" s="1">
        <f>HYPERLINK("https://cao.dolgi.msk.ru/account/1011494813/", 1011494813)</f>
        <v>1011494813</v>
      </c>
      <c r="D14171">
        <v>-6075.34</v>
      </c>
    </row>
    <row r="14172" spans="1:4" hidden="1" x14ac:dyDescent="0.3">
      <c r="A14172" t="s">
        <v>954</v>
      </c>
      <c r="B14172" t="s">
        <v>118</v>
      </c>
      <c r="C14172" s="1">
        <f>HYPERLINK("https://cao.dolgi.msk.ru/account/1011494987/", 1011494987)</f>
        <v>1011494987</v>
      </c>
      <c r="D14172">
        <v>-4722.51</v>
      </c>
    </row>
    <row r="14173" spans="1:4" hidden="1" x14ac:dyDescent="0.3">
      <c r="A14173" t="s">
        <v>954</v>
      </c>
      <c r="B14173" t="s">
        <v>119</v>
      </c>
      <c r="C14173" s="1">
        <f>HYPERLINK("https://cao.dolgi.msk.ru/account/1011495146/", 1011495146)</f>
        <v>1011495146</v>
      </c>
      <c r="D14173">
        <v>0</v>
      </c>
    </row>
    <row r="14174" spans="1:4" hidden="1" x14ac:dyDescent="0.3">
      <c r="A14174" t="s">
        <v>954</v>
      </c>
      <c r="B14174" t="s">
        <v>120</v>
      </c>
      <c r="C14174" s="1">
        <f>HYPERLINK("https://cao.dolgi.msk.ru/account/1011495349/", 1011495349)</f>
        <v>1011495349</v>
      </c>
      <c r="D14174">
        <v>-6468.1</v>
      </c>
    </row>
    <row r="14175" spans="1:4" hidden="1" x14ac:dyDescent="0.3">
      <c r="A14175" t="s">
        <v>954</v>
      </c>
      <c r="B14175" t="s">
        <v>121</v>
      </c>
      <c r="C14175" s="1">
        <f>HYPERLINK("https://cao.dolgi.msk.ru/account/1011495728/", 1011495728)</f>
        <v>1011495728</v>
      </c>
      <c r="D14175">
        <v>0</v>
      </c>
    </row>
    <row r="14176" spans="1:4" hidden="1" x14ac:dyDescent="0.3">
      <c r="A14176" t="s">
        <v>954</v>
      </c>
      <c r="B14176" t="s">
        <v>122</v>
      </c>
      <c r="C14176" s="1">
        <f>HYPERLINK("https://cao.dolgi.msk.ru/account/1011495736/", 1011495736)</f>
        <v>1011495736</v>
      </c>
      <c r="D14176">
        <v>0</v>
      </c>
    </row>
    <row r="14177" spans="1:4" hidden="1" x14ac:dyDescent="0.3">
      <c r="A14177" t="s">
        <v>954</v>
      </c>
      <c r="B14177" t="s">
        <v>123</v>
      </c>
      <c r="C14177" s="1">
        <f>HYPERLINK("https://cao.dolgi.msk.ru/account/1011495154/", 1011495154)</f>
        <v>1011495154</v>
      </c>
      <c r="D14177">
        <v>-4368.8599999999997</v>
      </c>
    </row>
    <row r="14178" spans="1:4" hidden="1" x14ac:dyDescent="0.3">
      <c r="A14178" t="s">
        <v>954</v>
      </c>
      <c r="B14178" t="s">
        <v>124</v>
      </c>
      <c r="C14178" s="1">
        <f>HYPERLINK("https://cao.dolgi.msk.ru/account/1011495162/", 1011495162)</f>
        <v>1011495162</v>
      </c>
      <c r="D14178">
        <v>-5015.26</v>
      </c>
    </row>
    <row r="14179" spans="1:4" hidden="1" x14ac:dyDescent="0.3">
      <c r="A14179" t="s">
        <v>954</v>
      </c>
      <c r="B14179" t="s">
        <v>125</v>
      </c>
      <c r="C14179" s="1">
        <f>HYPERLINK("https://cao.dolgi.msk.ru/account/1011495015/", 1011495015)</f>
        <v>1011495015</v>
      </c>
      <c r="D14179">
        <v>-3454.59</v>
      </c>
    </row>
    <row r="14180" spans="1:4" x14ac:dyDescent="0.3">
      <c r="A14180" t="s">
        <v>954</v>
      </c>
      <c r="B14180" t="s">
        <v>126</v>
      </c>
      <c r="C14180" s="1">
        <f>HYPERLINK("https://cao.dolgi.msk.ru/account/1011495322/", 1011495322)</f>
        <v>1011495322</v>
      </c>
      <c r="D14180">
        <v>42875.85</v>
      </c>
    </row>
    <row r="14181" spans="1:4" hidden="1" x14ac:dyDescent="0.3">
      <c r="A14181" t="s">
        <v>955</v>
      </c>
      <c r="B14181" t="s">
        <v>6</v>
      </c>
      <c r="C14181" s="1">
        <f>HYPERLINK("https://cao.dolgi.msk.ru/account/1011440073/", 1011440073)</f>
        <v>1011440073</v>
      </c>
      <c r="D14181">
        <v>0</v>
      </c>
    </row>
    <row r="14182" spans="1:4" hidden="1" x14ac:dyDescent="0.3">
      <c r="A14182" t="s">
        <v>955</v>
      </c>
      <c r="B14182" t="s">
        <v>28</v>
      </c>
      <c r="C14182" s="1">
        <f>HYPERLINK("https://cao.dolgi.msk.ru/account/1011440778/", 1011440778)</f>
        <v>1011440778</v>
      </c>
      <c r="D14182">
        <v>-16.98</v>
      </c>
    </row>
    <row r="14183" spans="1:4" hidden="1" x14ac:dyDescent="0.3">
      <c r="A14183" t="s">
        <v>955</v>
      </c>
      <c r="B14183" t="s">
        <v>35</v>
      </c>
      <c r="C14183" s="1">
        <f>HYPERLINK("https://cao.dolgi.msk.ru/account/1011440436/", 1011440436)</f>
        <v>1011440436</v>
      </c>
      <c r="D14183">
        <v>0</v>
      </c>
    </row>
    <row r="14184" spans="1:4" x14ac:dyDescent="0.3">
      <c r="A14184" t="s">
        <v>955</v>
      </c>
      <c r="B14184" t="s">
        <v>5</v>
      </c>
      <c r="C14184" s="1">
        <f>HYPERLINK("https://cao.dolgi.msk.ru/account/1011440129/", 1011440129)</f>
        <v>1011440129</v>
      </c>
      <c r="D14184">
        <v>8876.4500000000007</v>
      </c>
    </row>
    <row r="14185" spans="1:4" hidden="1" x14ac:dyDescent="0.3">
      <c r="A14185" t="s">
        <v>955</v>
      </c>
      <c r="B14185" t="s">
        <v>7</v>
      </c>
      <c r="C14185" s="1">
        <f>HYPERLINK("https://cao.dolgi.msk.ru/account/1011440727/", 1011440727)</f>
        <v>1011440727</v>
      </c>
      <c r="D14185">
        <v>-21713.72</v>
      </c>
    </row>
    <row r="14186" spans="1:4" hidden="1" x14ac:dyDescent="0.3">
      <c r="A14186" t="s">
        <v>955</v>
      </c>
      <c r="B14186" t="s">
        <v>8</v>
      </c>
      <c r="C14186" s="1">
        <f>HYPERLINK("https://cao.dolgi.msk.ru/account/1011440284/", 1011440284)</f>
        <v>1011440284</v>
      </c>
      <c r="D14186">
        <v>0</v>
      </c>
    </row>
    <row r="14187" spans="1:4" hidden="1" x14ac:dyDescent="0.3">
      <c r="A14187" t="s">
        <v>955</v>
      </c>
      <c r="B14187" t="s">
        <v>31</v>
      </c>
      <c r="C14187" s="1">
        <f>HYPERLINK("https://cao.dolgi.msk.ru/account/1011440567/", 1011440567)</f>
        <v>1011440567</v>
      </c>
      <c r="D14187">
        <v>0</v>
      </c>
    </row>
    <row r="14188" spans="1:4" hidden="1" x14ac:dyDescent="0.3">
      <c r="A14188" t="s">
        <v>955</v>
      </c>
      <c r="B14188" t="s">
        <v>9</v>
      </c>
      <c r="C14188" s="1">
        <f>HYPERLINK("https://cao.dolgi.msk.ru/account/1011440292/", 1011440292)</f>
        <v>1011440292</v>
      </c>
      <c r="D14188">
        <v>-8466.93</v>
      </c>
    </row>
    <row r="14189" spans="1:4" hidden="1" x14ac:dyDescent="0.3">
      <c r="A14189" t="s">
        <v>955</v>
      </c>
      <c r="B14189" t="s">
        <v>10</v>
      </c>
      <c r="C14189" s="1">
        <f>HYPERLINK("https://cao.dolgi.msk.ru/account/1011440524/", 1011440524)</f>
        <v>1011440524</v>
      </c>
      <c r="D14189">
        <v>0</v>
      </c>
    </row>
    <row r="14190" spans="1:4" hidden="1" x14ac:dyDescent="0.3">
      <c r="A14190" t="s">
        <v>955</v>
      </c>
      <c r="B14190" t="s">
        <v>11</v>
      </c>
      <c r="C14190" s="1">
        <f>HYPERLINK("https://cao.dolgi.msk.ru/account/1011440444/", 1011440444)</f>
        <v>1011440444</v>
      </c>
      <c r="D14190">
        <v>-3131.54</v>
      </c>
    </row>
    <row r="14191" spans="1:4" hidden="1" x14ac:dyDescent="0.3">
      <c r="A14191" t="s">
        <v>955</v>
      </c>
      <c r="B14191" t="s">
        <v>12</v>
      </c>
      <c r="C14191" s="1">
        <f>HYPERLINK("https://cao.dolgi.msk.ru/account/1011440188/", 1011440188)</f>
        <v>1011440188</v>
      </c>
      <c r="D14191">
        <v>-297.18</v>
      </c>
    </row>
    <row r="14192" spans="1:4" hidden="1" x14ac:dyDescent="0.3">
      <c r="A14192" t="s">
        <v>955</v>
      </c>
      <c r="B14192" t="s">
        <v>23</v>
      </c>
      <c r="C14192" s="1">
        <f>HYPERLINK("https://cao.dolgi.msk.ru/account/1011440516/", 1011440516)</f>
        <v>1011440516</v>
      </c>
      <c r="D14192">
        <v>0</v>
      </c>
    </row>
    <row r="14193" spans="1:4" hidden="1" x14ac:dyDescent="0.3">
      <c r="A14193" t="s">
        <v>955</v>
      </c>
      <c r="B14193" t="s">
        <v>13</v>
      </c>
      <c r="C14193" s="1">
        <f>HYPERLINK("https://cao.dolgi.msk.ru/account/1011440639/", 1011440639)</f>
        <v>1011440639</v>
      </c>
      <c r="D14193">
        <v>-4957.5600000000004</v>
      </c>
    </row>
    <row r="14194" spans="1:4" hidden="1" x14ac:dyDescent="0.3">
      <c r="A14194" t="s">
        <v>955</v>
      </c>
      <c r="B14194" t="s">
        <v>14</v>
      </c>
      <c r="C14194" s="1">
        <f>HYPERLINK("https://cao.dolgi.msk.ru/account/1011440356/", 1011440356)</f>
        <v>1011440356</v>
      </c>
      <c r="D14194">
        <v>0</v>
      </c>
    </row>
    <row r="14195" spans="1:4" hidden="1" x14ac:dyDescent="0.3">
      <c r="A14195" t="s">
        <v>955</v>
      </c>
      <c r="B14195" t="s">
        <v>16</v>
      </c>
      <c r="C14195" s="1">
        <f>HYPERLINK("https://cao.dolgi.msk.ru/account/1011440575/", 1011440575)</f>
        <v>1011440575</v>
      </c>
      <c r="D14195">
        <v>-6279.84</v>
      </c>
    </row>
    <row r="14196" spans="1:4" hidden="1" x14ac:dyDescent="0.3">
      <c r="A14196" t="s">
        <v>955</v>
      </c>
      <c r="B14196" t="s">
        <v>17</v>
      </c>
      <c r="C14196" s="1">
        <f>HYPERLINK("https://cao.dolgi.msk.ru/account/1011440217/", 1011440217)</f>
        <v>1011440217</v>
      </c>
      <c r="D14196">
        <v>0</v>
      </c>
    </row>
    <row r="14197" spans="1:4" hidden="1" x14ac:dyDescent="0.3">
      <c r="A14197" t="s">
        <v>955</v>
      </c>
      <c r="B14197" t="s">
        <v>18</v>
      </c>
      <c r="C14197" s="1">
        <f>HYPERLINK("https://cao.dolgi.msk.ru/account/1011440102/", 1011440102)</f>
        <v>1011440102</v>
      </c>
      <c r="D14197">
        <v>-10897.49</v>
      </c>
    </row>
    <row r="14198" spans="1:4" hidden="1" x14ac:dyDescent="0.3">
      <c r="A14198" t="s">
        <v>955</v>
      </c>
      <c r="B14198" t="s">
        <v>19</v>
      </c>
      <c r="C14198" s="1">
        <f>HYPERLINK("https://cao.dolgi.msk.ru/account/1011440153/", 1011440153)</f>
        <v>1011440153</v>
      </c>
      <c r="D14198">
        <v>0</v>
      </c>
    </row>
    <row r="14199" spans="1:4" hidden="1" x14ac:dyDescent="0.3">
      <c r="A14199" t="s">
        <v>955</v>
      </c>
      <c r="B14199" t="s">
        <v>20</v>
      </c>
      <c r="C14199" s="1">
        <f>HYPERLINK("https://cao.dolgi.msk.ru/account/1011440268/", 1011440268)</f>
        <v>1011440268</v>
      </c>
      <c r="D14199">
        <v>0</v>
      </c>
    </row>
    <row r="14200" spans="1:4" hidden="1" x14ac:dyDescent="0.3">
      <c r="A14200" t="s">
        <v>955</v>
      </c>
      <c r="B14200" t="s">
        <v>21</v>
      </c>
      <c r="C14200" s="1">
        <f>HYPERLINK("https://cao.dolgi.msk.ru/account/1011440196/", 1011440196)</f>
        <v>1011440196</v>
      </c>
      <c r="D14200">
        <v>-57.24</v>
      </c>
    </row>
    <row r="14201" spans="1:4" hidden="1" x14ac:dyDescent="0.3">
      <c r="A14201" t="s">
        <v>955</v>
      </c>
      <c r="B14201" t="s">
        <v>22</v>
      </c>
      <c r="C14201" s="1">
        <f>HYPERLINK("https://cao.dolgi.msk.ru/account/1011440479/", 1011440479)</f>
        <v>1011440479</v>
      </c>
      <c r="D14201">
        <v>0</v>
      </c>
    </row>
    <row r="14202" spans="1:4" hidden="1" x14ac:dyDescent="0.3">
      <c r="A14202" t="s">
        <v>955</v>
      </c>
      <c r="B14202" t="s">
        <v>24</v>
      </c>
      <c r="C14202" s="1">
        <f>HYPERLINK("https://cao.dolgi.msk.ru/account/1011440698/", 1011440698)</f>
        <v>1011440698</v>
      </c>
      <c r="D14202">
        <v>-413.91</v>
      </c>
    </row>
    <row r="14203" spans="1:4" hidden="1" x14ac:dyDescent="0.3">
      <c r="A14203" t="s">
        <v>955</v>
      </c>
      <c r="B14203" t="s">
        <v>25</v>
      </c>
      <c r="C14203" s="1">
        <f>HYPERLINK("https://cao.dolgi.msk.ru/account/1011440081/", 1011440081)</f>
        <v>1011440081</v>
      </c>
      <c r="D14203">
        <v>0</v>
      </c>
    </row>
    <row r="14204" spans="1:4" hidden="1" x14ac:dyDescent="0.3">
      <c r="A14204" t="s">
        <v>955</v>
      </c>
      <c r="B14204" t="s">
        <v>26</v>
      </c>
      <c r="C14204" s="1">
        <f>HYPERLINK("https://cao.dolgi.msk.ru/account/1011439996/", 1011439996)</f>
        <v>1011439996</v>
      </c>
      <c r="D14204">
        <v>0</v>
      </c>
    </row>
    <row r="14205" spans="1:4" hidden="1" x14ac:dyDescent="0.3">
      <c r="A14205" t="s">
        <v>955</v>
      </c>
      <c r="B14205" t="s">
        <v>27</v>
      </c>
      <c r="C14205" s="1">
        <f>HYPERLINK("https://cao.dolgi.msk.ru/account/1011440233/", 1011440233)</f>
        <v>1011440233</v>
      </c>
      <c r="D14205">
        <v>-147.36000000000001</v>
      </c>
    </row>
    <row r="14206" spans="1:4" hidden="1" x14ac:dyDescent="0.3">
      <c r="A14206" t="s">
        <v>955</v>
      </c>
      <c r="B14206" t="s">
        <v>29</v>
      </c>
      <c r="C14206" s="1">
        <f>HYPERLINK("https://cao.dolgi.msk.ru/account/1011440487/", 1011440487)</f>
        <v>1011440487</v>
      </c>
      <c r="D14206">
        <v>-4726.7700000000004</v>
      </c>
    </row>
    <row r="14207" spans="1:4" hidden="1" x14ac:dyDescent="0.3">
      <c r="A14207" t="s">
        <v>955</v>
      </c>
      <c r="B14207" t="s">
        <v>38</v>
      </c>
      <c r="C14207" s="1">
        <f>HYPERLINK("https://cao.dolgi.msk.ru/account/1011440276/", 1011440276)</f>
        <v>1011440276</v>
      </c>
      <c r="D14207">
        <v>0</v>
      </c>
    </row>
    <row r="14208" spans="1:4" x14ac:dyDescent="0.3">
      <c r="A14208" t="s">
        <v>955</v>
      </c>
      <c r="B14208" t="s">
        <v>39</v>
      </c>
      <c r="C14208" s="1">
        <f>HYPERLINK("https://cao.dolgi.msk.ru/account/1011440647/", 1011440647)</f>
        <v>1011440647</v>
      </c>
      <c r="D14208">
        <v>2019.1</v>
      </c>
    </row>
    <row r="14209" spans="1:4" hidden="1" x14ac:dyDescent="0.3">
      <c r="A14209" t="s">
        <v>955</v>
      </c>
      <c r="B14209" t="s">
        <v>40</v>
      </c>
      <c r="C14209" s="1">
        <f>HYPERLINK("https://cao.dolgi.msk.ru/account/1011440006/", 1011440006)</f>
        <v>1011440006</v>
      </c>
      <c r="D14209">
        <v>-6853.93</v>
      </c>
    </row>
    <row r="14210" spans="1:4" hidden="1" x14ac:dyDescent="0.3">
      <c r="A14210" t="s">
        <v>955</v>
      </c>
      <c r="B14210" t="s">
        <v>41</v>
      </c>
      <c r="C14210" s="1">
        <f>HYPERLINK("https://cao.dolgi.msk.ru/account/1011440532/", 1011440532)</f>
        <v>1011440532</v>
      </c>
      <c r="D14210">
        <v>0</v>
      </c>
    </row>
    <row r="14211" spans="1:4" hidden="1" x14ac:dyDescent="0.3">
      <c r="A14211" t="s">
        <v>955</v>
      </c>
      <c r="B14211" t="s">
        <v>51</v>
      </c>
      <c r="C14211" s="1">
        <f>HYPERLINK("https://cao.dolgi.msk.ru/account/1011440583/", 1011440583)</f>
        <v>1011440583</v>
      </c>
      <c r="D14211">
        <v>0</v>
      </c>
    </row>
    <row r="14212" spans="1:4" hidden="1" x14ac:dyDescent="0.3">
      <c r="A14212" t="s">
        <v>955</v>
      </c>
      <c r="B14212" t="s">
        <v>52</v>
      </c>
      <c r="C14212" s="1">
        <f>HYPERLINK("https://cao.dolgi.msk.ru/account/1011440372/", 1011440372)</f>
        <v>1011440372</v>
      </c>
      <c r="D14212">
        <v>-3869.6</v>
      </c>
    </row>
    <row r="14213" spans="1:4" hidden="1" x14ac:dyDescent="0.3">
      <c r="A14213" t="s">
        <v>955</v>
      </c>
      <c r="B14213" t="s">
        <v>53</v>
      </c>
      <c r="C14213" s="1">
        <f>HYPERLINK("https://cao.dolgi.msk.ru/account/1011440399/", 1011440399)</f>
        <v>1011440399</v>
      </c>
      <c r="D14213">
        <v>0</v>
      </c>
    </row>
    <row r="14214" spans="1:4" hidden="1" x14ac:dyDescent="0.3">
      <c r="A14214" t="s">
        <v>955</v>
      </c>
      <c r="B14214" t="s">
        <v>54</v>
      </c>
      <c r="C14214" s="1">
        <f>HYPERLINK("https://cao.dolgi.msk.ru/account/1011440452/", 1011440452)</f>
        <v>1011440452</v>
      </c>
      <c r="D14214">
        <v>-23970.38</v>
      </c>
    </row>
    <row r="14215" spans="1:4" hidden="1" x14ac:dyDescent="0.3">
      <c r="A14215" t="s">
        <v>955</v>
      </c>
      <c r="B14215" t="s">
        <v>55</v>
      </c>
      <c r="C14215" s="1">
        <f>HYPERLINK("https://cao.dolgi.msk.ru/account/1011440428/", 1011440428)</f>
        <v>1011440428</v>
      </c>
      <c r="D14215">
        <v>0</v>
      </c>
    </row>
    <row r="14216" spans="1:4" hidden="1" x14ac:dyDescent="0.3">
      <c r="A14216" t="s">
        <v>955</v>
      </c>
      <c r="B14216" t="s">
        <v>56</v>
      </c>
      <c r="C14216" s="1">
        <f>HYPERLINK("https://cao.dolgi.msk.ru/account/1011439961/", 1011439961)</f>
        <v>1011439961</v>
      </c>
      <c r="D14216">
        <v>-7845.8</v>
      </c>
    </row>
    <row r="14217" spans="1:4" hidden="1" x14ac:dyDescent="0.3">
      <c r="A14217" t="s">
        <v>955</v>
      </c>
      <c r="B14217" t="s">
        <v>87</v>
      </c>
      <c r="C14217" s="1">
        <f>HYPERLINK("https://cao.dolgi.msk.ru/account/1011440604/", 1011440604)</f>
        <v>1011440604</v>
      </c>
      <c r="D14217">
        <v>0</v>
      </c>
    </row>
    <row r="14218" spans="1:4" x14ac:dyDescent="0.3">
      <c r="A14218" t="s">
        <v>955</v>
      </c>
      <c r="B14218" t="s">
        <v>88</v>
      </c>
      <c r="C14218" s="1">
        <f>HYPERLINK("https://cao.dolgi.msk.ru/account/1011440364/", 1011440364)</f>
        <v>1011440364</v>
      </c>
      <c r="D14218">
        <v>16821.310000000001</v>
      </c>
    </row>
    <row r="14219" spans="1:4" hidden="1" x14ac:dyDescent="0.3">
      <c r="A14219" t="s">
        <v>955</v>
      </c>
      <c r="B14219" t="s">
        <v>89</v>
      </c>
      <c r="C14219" s="1">
        <f>HYPERLINK("https://cao.dolgi.msk.ru/account/1011439937/", 1011439937)</f>
        <v>1011439937</v>
      </c>
      <c r="D14219">
        <v>-3960.12</v>
      </c>
    </row>
    <row r="14220" spans="1:4" hidden="1" x14ac:dyDescent="0.3">
      <c r="A14220" t="s">
        <v>955</v>
      </c>
      <c r="B14220" t="s">
        <v>90</v>
      </c>
      <c r="C14220" s="1">
        <f>HYPERLINK("https://cao.dolgi.msk.ru/account/1011440225/", 1011440225)</f>
        <v>1011440225</v>
      </c>
      <c r="D14220">
        <v>0</v>
      </c>
    </row>
    <row r="14221" spans="1:4" hidden="1" x14ac:dyDescent="0.3">
      <c r="A14221" t="s">
        <v>955</v>
      </c>
      <c r="B14221" t="s">
        <v>96</v>
      </c>
      <c r="C14221" s="1">
        <f>HYPERLINK("https://cao.dolgi.msk.ru/account/1011440495/", 1011440495)</f>
        <v>1011440495</v>
      </c>
      <c r="D14221">
        <v>0</v>
      </c>
    </row>
    <row r="14222" spans="1:4" x14ac:dyDescent="0.3">
      <c r="A14222" t="s">
        <v>955</v>
      </c>
      <c r="B14222" t="s">
        <v>97</v>
      </c>
      <c r="C14222" s="1">
        <f>HYPERLINK("https://cao.dolgi.msk.ru/account/1011440321/", 1011440321)</f>
        <v>1011440321</v>
      </c>
      <c r="D14222">
        <v>11576.46</v>
      </c>
    </row>
    <row r="14223" spans="1:4" hidden="1" x14ac:dyDescent="0.3">
      <c r="A14223" t="s">
        <v>955</v>
      </c>
      <c r="B14223" t="s">
        <v>98</v>
      </c>
      <c r="C14223" s="1">
        <f>HYPERLINK("https://cao.dolgi.msk.ru/account/1011440751/", 1011440751)</f>
        <v>1011440751</v>
      </c>
      <c r="D14223">
        <v>0</v>
      </c>
    </row>
    <row r="14224" spans="1:4" hidden="1" x14ac:dyDescent="0.3">
      <c r="A14224" t="s">
        <v>955</v>
      </c>
      <c r="B14224" t="s">
        <v>58</v>
      </c>
      <c r="C14224" s="1">
        <f>HYPERLINK("https://cao.dolgi.msk.ru/account/1011439929/", 1011439929)</f>
        <v>1011439929</v>
      </c>
      <c r="D14224">
        <v>0</v>
      </c>
    </row>
    <row r="14225" spans="1:4" hidden="1" x14ac:dyDescent="0.3">
      <c r="A14225" t="s">
        <v>955</v>
      </c>
      <c r="B14225" t="s">
        <v>59</v>
      </c>
      <c r="C14225" s="1">
        <f>HYPERLINK("https://cao.dolgi.msk.ru/account/1011439953/", 1011439953)</f>
        <v>1011439953</v>
      </c>
      <c r="D14225">
        <v>0</v>
      </c>
    </row>
    <row r="14226" spans="1:4" hidden="1" x14ac:dyDescent="0.3">
      <c r="A14226" t="s">
        <v>955</v>
      </c>
      <c r="B14226" t="s">
        <v>60</v>
      </c>
      <c r="C14226" s="1">
        <f>HYPERLINK("https://cao.dolgi.msk.ru/account/1011440137/", 1011440137)</f>
        <v>1011440137</v>
      </c>
      <c r="D14226">
        <v>0</v>
      </c>
    </row>
    <row r="14227" spans="1:4" hidden="1" x14ac:dyDescent="0.3">
      <c r="A14227" t="s">
        <v>955</v>
      </c>
      <c r="B14227" t="s">
        <v>61</v>
      </c>
      <c r="C14227" s="1">
        <f>HYPERLINK("https://cao.dolgi.msk.ru/account/1011439988/", 1011439988)</f>
        <v>1011439988</v>
      </c>
      <c r="D14227">
        <v>-27951.84</v>
      </c>
    </row>
    <row r="14228" spans="1:4" hidden="1" x14ac:dyDescent="0.3">
      <c r="A14228" t="s">
        <v>955</v>
      </c>
      <c r="B14228" t="s">
        <v>62</v>
      </c>
      <c r="C14228" s="1">
        <f>HYPERLINK("https://cao.dolgi.msk.ru/account/1011440049/", 1011440049)</f>
        <v>1011440049</v>
      </c>
      <c r="D14228">
        <v>-5668.25</v>
      </c>
    </row>
    <row r="14229" spans="1:4" hidden="1" x14ac:dyDescent="0.3">
      <c r="A14229" t="s">
        <v>955</v>
      </c>
      <c r="B14229" t="s">
        <v>63</v>
      </c>
      <c r="C14229" s="1">
        <f>HYPERLINK("https://cao.dolgi.msk.ru/account/1011440591/", 1011440591)</f>
        <v>1011440591</v>
      </c>
      <c r="D14229">
        <v>0</v>
      </c>
    </row>
    <row r="14230" spans="1:4" hidden="1" x14ac:dyDescent="0.3">
      <c r="A14230" t="s">
        <v>955</v>
      </c>
      <c r="B14230" t="s">
        <v>64</v>
      </c>
      <c r="C14230" s="1">
        <f>HYPERLINK("https://cao.dolgi.msk.ru/account/1011440065/", 1011440065)</f>
        <v>1011440065</v>
      </c>
      <c r="D14230">
        <v>-5160.72</v>
      </c>
    </row>
    <row r="14231" spans="1:4" hidden="1" x14ac:dyDescent="0.3">
      <c r="A14231" t="s">
        <v>955</v>
      </c>
      <c r="B14231" t="s">
        <v>65</v>
      </c>
      <c r="C14231" s="1">
        <f>HYPERLINK("https://cao.dolgi.msk.ru/account/1011440014/", 1011440014)</f>
        <v>1011440014</v>
      </c>
      <c r="D14231">
        <v>-27.81</v>
      </c>
    </row>
    <row r="14232" spans="1:4" hidden="1" x14ac:dyDescent="0.3">
      <c r="A14232" t="s">
        <v>955</v>
      </c>
      <c r="B14232" t="s">
        <v>66</v>
      </c>
      <c r="C14232" s="1">
        <f>HYPERLINK("https://cao.dolgi.msk.ru/account/1011440022/", 1011440022)</f>
        <v>1011440022</v>
      </c>
      <c r="D14232">
        <v>0</v>
      </c>
    </row>
    <row r="14233" spans="1:4" hidden="1" x14ac:dyDescent="0.3">
      <c r="A14233" t="s">
        <v>955</v>
      </c>
      <c r="B14233" t="s">
        <v>67</v>
      </c>
      <c r="C14233" s="1">
        <f>HYPERLINK("https://cao.dolgi.msk.ru/account/1011440305/", 1011440305)</f>
        <v>1011440305</v>
      </c>
      <c r="D14233">
        <v>0</v>
      </c>
    </row>
    <row r="14234" spans="1:4" hidden="1" x14ac:dyDescent="0.3">
      <c r="A14234" t="s">
        <v>955</v>
      </c>
      <c r="B14234" t="s">
        <v>68</v>
      </c>
      <c r="C14234" s="1">
        <f>HYPERLINK("https://cao.dolgi.msk.ru/account/1011440241/", 1011440241)</f>
        <v>1011440241</v>
      </c>
      <c r="D14234">
        <v>-7752.51</v>
      </c>
    </row>
    <row r="14235" spans="1:4" hidden="1" x14ac:dyDescent="0.3">
      <c r="A14235" t="s">
        <v>955</v>
      </c>
      <c r="B14235" t="s">
        <v>69</v>
      </c>
      <c r="C14235" s="1">
        <f>HYPERLINK("https://cao.dolgi.msk.ru/account/1011440401/", 1011440401)</f>
        <v>1011440401</v>
      </c>
      <c r="D14235">
        <v>0</v>
      </c>
    </row>
    <row r="14236" spans="1:4" x14ac:dyDescent="0.3">
      <c r="A14236" t="s">
        <v>955</v>
      </c>
      <c r="B14236" t="s">
        <v>70</v>
      </c>
      <c r="C14236" s="1">
        <f>HYPERLINK("https://cao.dolgi.msk.ru/account/1011439945/", 1011439945)</f>
        <v>1011439945</v>
      </c>
      <c r="D14236">
        <v>7333.2</v>
      </c>
    </row>
    <row r="14237" spans="1:4" hidden="1" x14ac:dyDescent="0.3">
      <c r="A14237" t="s">
        <v>955</v>
      </c>
      <c r="B14237" t="s">
        <v>259</v>
      </c>
      <c r="C14237" s="1">
        <f>HYPERLINK("https://cao.dolgi.msk.ru/account/1011440313/", 1011440313)</f>
        <v>1011440313</v>
      </c>
      <c r="D14237">
        <v>-10564.17</v>
      </c>
    </row>
    <row r="14238" spans="1:4" hidden="1" x14ac:dyDescent="0.3">
      <c r="A14238" t="s">
        <v>955</v>
      </c>
      <c r="B14238" t="s">
        <v>100</v>
      </c>
      <c r="C14238" s="1">
        <f>HYPERLINK("https://cao.dolgi.msk.ru/account/1011440145/", 1011440145)</f>
        <v>1011440145</v>
      </c>
      <c r="D14238">
        <v>-3157.19</v>
      </c>
    </row>
    <row r="14239" spans="1:4" hidden="1" x14ac:dyDescent="0.3">
      <c r="A14239" t="s">
        <v>955</v>
      </c>
      <c r="B14239" t="s">
        <v>72</v>
      </c>
      <c r="C14239" s="1">
        <f>HYPERLINK("https://cao.dolgi.msk.ru/account/1011440735/", 1011440735)</f>
        <v>1011440735</v>
      </c>
      <c r="D14239">
        <v>0</v>
      </c>
    </row>
    <row r="14240" spans="1:4" hidden="1" x14ac:dyDescent="0.3">
      <c r="A14240" t="s">
        <v>955</v>
      </c>
      <c r="B14240" t="s">
        <v>73</v>
      </c>
      <c r="C14240" s="1">
        <f>HYPERLINK("https://cao.dolgi.msk.ru/account/1011440559/", 1011440559)</f>
        <v>1011440559</v>
      </c>
      <c r="D14240">
        <v>-8378.5</v>
      </c>
    </row>
    <row r="14241" spans="1:4" x14ac:dyDescent="0.3">
      <c r="A14241" t="s">
        <v>955</v>
      </c>
      <c r="B14241" t="s">
        <v>74</v>
      </c>
      <c r="C14241" s="1">
        <f>HYPERLINK("https://cao.dolgi.msk.ru/account/1011440663/", 1011440663)</f>
        <v>1011440663</v>
      </c>
      <c r="D14241">
        <v>13947.74</v>
      </c>
    </row>
    <row r="14242" spans="1:4" x14ac:dyDescent="0.3">
      <c r="A14242" t="s">
        <v>955</v>
      </c>
      <c r="B14242" t="s">
        <v>75</v>
      </c>
      <c r="C14242" s="1">
        <f>HYPERLINK("https://cao.dolgi.msk.ru/account/1011440786/", 1011440786)</f>
        <v>1011440786</v>
      </c>
      <c r="D14242">
        <v>7020.74</v>
      </c>
    </row>
    <row r="14243" spans="1:4" hidden="1" x14ac:dyDescent="0.3">
      <c r="A14243" t="s">
        <v>955</v>
      </c>
      <c r="B14243" t="s">
        <v>76</v>
      </c>
      <c r="C14243" s="1">
        <f>HYPERLINK("https://cao.dolgi.msk.ru/account/1011440655/", 1011440655)</f>
        <v>1011440655</v>
      </c>
      <c r="D14243">
        <v>0</v>
      </c>
    </row>
    <row r="14244" spans="1:4" hidden="1" x14ac:dyDescent="0.3">
      <c r="A14244" t="s">
        <v>955</v>
      </c>
      <c r="B14244" t="s">
        <v>77</v>
      </c>
      <c r="C14244" s="1">
        <f>HYPERLINK("https://cao.dolgi.msk.ru/account/1011440057/", 1011440057)</f>
        <v>1011440057</v>
      </c>
      <c r="D14244">
        <v>0</v>
      </c>
    </row>
    <row r="14245" spans="1:4" x14ac:dyDescent="0.3">
      <c r="A14245" t="s">
        <v>955</v>
      </c>
      <c r="B14245" t="s">
        <v>79</v>
      </c>
      <c r="C14245" s="1">
        <f>HYPERLINK("https://cao.dolgi.msk.ru/account/1011440671/", 1011440671)</f>
        <v>1011440671</v>
      </c>
      <c r="D14245">
        <v>2798.43</v>
      </c>
    </row>
    <row r="14246" spans="1:4" x14ac:dyDescent="0.3">
      <c r="A14246" t="s">
        <v>955</v>
      </c>
      <c r="B14246" t="s">
        <v>80</v>
      </c>
      <c r="C14246" s="1">
        <f>HYPERLINK("https://cao.dolgi.msk.ru/account/1011440719/", 1011440719)</f>
        <v>1011440719</v>
      </c>
      <c r="D14246">
        <v>12014.7</v>
      </c>
    </row>
    <row r="14247" spans="1:4" hidden="1" x14ac:dyDescent="0.3">
      <c r="A14247" t="s">
        <v>955</v>
      </c>
      <c r="B14247" t="s">
        <v>81</v>
      </c>
      <c r="C14247" s="1">
        <f>HYPERLINK("https://cao.dolgi.msk.ru/account/1011440743/", 1011440743)</f>
        <v>1011440743</v>
      </c>
      <c r="D14247">
        <v>0</v>
      </c>
    </row>
    <row r="14248" spans="1:4" hidden="1" x14ac:dyDescent="0.3">
      <c r="A14248" t="s">
        <v>955</v>
      </c>
      <c r="B14248" t="s">
        <v>101</v>
      </c>
      <c r="C14248" s="1">
        <f>HYPERLINK("https://cao.dolgi.msk.ru/account/1011440161/", 1011440161)</f>
        <v>1011440161</v>
      </c>
      <c r="D14248">
        <v>-799.26</v>
      </c>
    </row>
    <row r="14249" spans="1:4" hidden="1" x14ac:dyDescent="0.3">
      <c r="A14249" t="s">
        <v>955</v>
      </c>
      <c r="B14249" t="s">
        <v>82</v>
      </c>
      <c r="C14249" s="1">
        <f>HYPERLINK("https://cao.dolgi.msk.ru/account/1011440209/", 1011440209)</f>
        <v>1011440209</v>
      </c>
      <c r="D14249">
        <v>-3868.5</v>
      </c>
    </row>
    <row r="14250" spans="1:4" hidden="1" x14ac:dyDescent="0.3">
      <c r="A14250" t="s">
        <v>955</v>
      </c>
      <c r="B14250" t="s">
        <v>83</v>
      </c>
      <c r="C14250" s="1">
        <f>HYPERLINK("https://cao.dolgi.msk.ru/account/1011440348/", 1011440348)</f>
        <v>1011440348</v>
      </c>
      <c r="D14250">
        <v>0</v>
      </c>
    </row>
    <row r="14251" spans="1:4" hidden="1" x14ac:dyDescent="0.3">
      <c r="A14251" t="s">
        <v>955</v>
      </c>
      <c r="B14251" t="s">
        <v>84</v>
      </c>
      <c r="C14251" s="1">
        <f>HYPERLINK("https://cao.dolgi.msk.ru/account/1011440508/", 1011440508)</f>
        <v>1011440508</v>
      </c>
      <c r="D14251">
        <v>-9613.5300000000007</v>
      </c>
    </row>
    <row r="14252" spans="1:4" hidden="1" x14ac:dyDescent="0.3">
      <c r="A14252" t="s">
        <v>956</v>
      </c>
      <c r="B14252" t="s">
        <v>6</v>
      </c>
      <c r="C14252" s="1">
        <f>HYPERLINK("https://cao.dolgi.msk.ru/account/1011346087/", 1011346087)</f>
        <v>1011346087</v>
      </c>
      <c r="D14252">
        <v>0</v>
      </c>
    </row>
    <row r="14253" spans="1:4" hidden="1" x14ac:dyDescent="0.3">
      <c r="A14253" t="s">
        <v>956</v>
      </c>
      <c r="B14253" t="s">
        <v>28</v>
      </c>
      <c r="C14253" s="1">
        <f>HYPERLINK("https://cao.dolgi.msk.ru/account/1011346394/", 1011346394)</f>
        <v>1011346394</v>
      </c>
      <c r="D14253">
        <v>0</v>
      </c>
    </row>
    <row r="14254" spans="1:4" hidden="1" x14ac:dyDescent="0.3">
      <c r="A14254" t="s">
        <v>956</v>
      </c>
      <c r="B14254" t="s">
        <v>35</v>
      </c>
      <c r="C14254" s="1">
        <f>HYPERLINK("https://cao.dolgi.msk.ru/account/1011345674/", 1011345674)</f>
        <v>1011345674</v>
      </c>
      <c r="D14254">
        <v>0</v>
      </c>
    </row>
    <row r="14255" spans="1:4" hidden="1" x14ac:dyDescent="0.3">
      <c r="A14255" t="s">
        <v>956</v>
      </c>
      <c r="B14255" t="s">
        <v>5</v>
      </c>
      <c r="C14255" s="1">
        <f>HYPERLINK("https://cao.dolgi.msk.ru/account/1011346116/", 1011346116)</f>
        <v>1011346116</v>
      </c>
      <c r="D14255">
        <v>0</v>
      </c>
    </row>
    <row r="14256" spans="1:4" hidden="1" x14ac:dyDescent="0.3">
      <c r="A14256" t="s">
        <v>956</v>
      </c>
      <c r="B14256" t="s">
        <v>7</v>
      </c>
      <c r="C14256" s="1">
        <f>HYPERLINK("https://cao.dolgi.msk.ru/account/1011345754/", 1011345754)</f>
        <v>1011345754</v>
      </c>
      <c r="D14256">
        <v>0</v>
      </c>
    </row>
    <row r="14257" spans="1:4" hidden="1" x14ac:dyDescent="0.3">
      <c r="A14257" t="s">
        <v>956</v>
      </c>
      <c r="B14257" t="s">
        <v>8</v>
      </c>
      <c r="C14257" s="1">
        <f>HYPERLINK("https://cao.dolgi.msk.ru/account/1011345914/", 1011345914)</f>
        <v>1011345914</v>
      </c>
      <c r="D14257">
        <v>0</v>
      </c>
    </row>
    <row r="14258" spans="1:4" hidden="1" x14ac:dyDescent="0.3">
      <c r="A14258" t="s">
        <v>956</v>
      </c>
      <c r="B14258" t="s">
        <v>8</v>
      </c>
      <c r="C14258" s="1">
        <f>HYPERLINK("https://cao.dolgi.msk.ru/account/1011505105/", 1011505105)</f>
        <v>1011505105</v>
      </c>
      <c r="D14258">
        <v>0</v>
      </c>
    </row>
    <row r="14259" spans="1:4" hidden="1" x14ac:dyDescent="0.3">
      <c r="A14259" t="s">
        <v>956</v>
      </c>
      <c r="B14259" t="s">
        <v>31</v>
      </c>
      <c r="C14259" s="1">
        <f>HYPERLINK("https://cao.dolgi.msk.ru/account/1011346351/", 1011346351)</f>
        <v>1011346351</v>
      </c>
      <c r="D14259">
        <v>0</v>
      </c>
    </row>
    <row r="14260" spans="1:4" hidden="1" x14ac:dyDescent="0.3">
      <c r="A14260" t="s">
        <v>956</v>
      </c>
      <c r="B14260" t="s">
        <v>9</v>
      </c>
      <c r="C14260" s="1">
        <f>HYPERLINK("https://cao.dolgi.msk.ru/account/1011345922/", 1011345922)</f>
        <v>1011345922</v>
      </c>
      <c r="D14260">
        <v>0</v>
      </c>
    </row>
    <row r="14261" spans="1:4" hidden="1" x14ac:dyDescent="0.3">
      <c r="A14261" t="s">
        <v>956</v>
      </c>
      <c r="B14261" t="s">
        <v>957</v>
      </c>
      <c r="C14261" s="1">
        <f>HYPERLINK("https://cao.dolgi.msk.ru/account/1011345877/", 1011345877)</f>
        <v>1011345877</v>
      </c>
      <c r="D14261">
        <v>0</v>
      </c>
    </row>
    <row r="14262" spans="1:4" hidden="1" x14ac:dyDescent="0.3">
      <c r="A14262" t="s">
        <v>956</v>
      </c>
      <c r="B14262" t="s">
        <v>12</v>
      </c>
      <c r="C14262" s="1">
        <f>HYPERLINK("https://cao.dolgi.msk.ru/account/1011345682/", 1011345682)</f>
        <v>1011345682</v>
      </c>
      <c r="D14262">
        <v>-10526.62</v>
      </c>
    </row>
    <row r="14263" spans="1:4" hidden="1" x14ac:dyDescent="0.3">
      <c r="A14263" t="s">
        <v>956</v>
      </c>
      <c r="B14263" t="s">
        <v>23</v>
      </c>
      <c r="C14263" s="1">
        <f>HYPERLINK("https://cao.dolgi.msk.ru/account/1011345906/", 1011345906)</f>
        <v>1011345906</v>
      </c>
      <c r="D14263">
        <v>0</v>
      </c>
    </row>
    <row r="14264" spans="1:4" x14ac:dyDescent="0.3">
      <c r="A14264" t="s">
        <v>956</v>
      </c>
      <c r="B14264" t="s">
        <v>13</v>
      </c>
      <c r="C14264" s="1">
        <f>HYPERLINK("https://cao.dolgi.msk.ru/account/1011345762/", 1011345762)</f>
        <v>1011345762</v>
      </c>
      <c r="D14264">
        <v>175710.19</v>
      </c>
    </row>
    <row r="14265" spans="1:4" hidden="1" x14ac:dyDescent="0.3">
      <c r="A14265" t="s">
        <v>956</v>
      </c>
      <c r="B14265" t="s">
        <v>14</v>
      </c>
      <c r="C14265" s="1">
        <f>HYPERLINK("https://cao.dolgi.msk.ru/account/1011346466/", 1011346466)</f>
        <v>1011346466</v>
      </c>
      <c r="D14265">
        <v>-211.6</v>
      </c>
    </row>
    <row r="14266" spans="1:4" hidden="1" x14ac:dyDescent="0.3">
      <c r="A14266" t="s">
        <v>956</v>
      </c>
      <c r="B14266" t="s">
        <v>16</v>
      </c>
      <c r="C14266" s="1">
        <f>HYPERLINK("https://cao.dolgi.msk.ru/account/1011346271/", 1011346271)</f>
        <v>1011346271</v>
      </c>
      <c r="D14266">
        <v>-11727.96</v>
      </c>
    </row>
    <row r="14267" spans="1:4" x14ac:dyDescent="0.3">
      <c r="A14267" t="s">
        <v>956</v>
      </c>
      <c r="B14267" t="s">
        <v>17</v>
      </c>
      <c r="C14267" s="1">
        <f>HYPERLINK("https://cao.dolgi.msk.ru/account/1011346212/", 1011346212)</f>
        <v>1011346212</v>
      </c>
      <c r="D14267">
        <v>21725.13</v>
      </c>
    </row>
    <row r="14268" spans="1:4" hidden="1" x14ac:dyDescent="0.3">
      <c r="A14268" t="s">
        <v>956</v>
      </c>
      <c r="B14268" t="s">
        <v>18</v>
      </c>
      <c r="C14268" s="1">
        <f>HYPERLINK("https://cao.dolgi.msk.ru/account/1011346378/", 1011346378)</f>
        <v>1011346378</v>
      </c>
      <c r="D14268">
        <v>-8574.91</v>
      </c>
    </row>
    <row r="14269" spans="1:4" hidden="1" x14ac:dyDescent="0.3">
      <c r="A14269" t="s">
        <v>956</v>
      </c>
      <c r="B14269" t="s">
        <v>19</v>
      </c>
      <c r="C14269" s="1">
        <f>HYPERLINK("https://cao.dolgi.msk.ru/account/1011345797/", 1011345797)</f>
        <v>1011345797</v>
      </c>
      <c r="D14269">
        <v>0</v>
      </c>
    </row>
    <row r="14270" spans="1:4" hidden="1" x14ac:dyDescent="0.3">
      <c r="A14270" t="s">
        <v>956</v>
      </c>
      <c r="B14270" t="s">
        <v>20</v>
      </c>
      <c r="C14270" s="1">
        <f>HYPERLINK("https://cao.dolgi.msk.ru/account/1011346239/", 1011346239)</f>
        <v>1011346239</v>
      </c>
      <c r="D14270">
        <v>0</v>
      </c>
    </row>
    <row r="14271" spans="1:4" hidden="1" x14ac:dyDescent="0.3">
      <c r="A14271" t="s">
        <v>956</v>
      </c>
      <c r="B14271" t="s">
        <v>20</v>
      </c>
      <c r="C14271" s="1">
        <f>HYPERLINK("https://cao.dolgi.msk.ru/account/1011346407/", 1011346407)</f>
        <v>1011346407</v>
      </c>
      <c r="D14271">
        <v>0</v>
      </c>
    </row>
    <row r="14272" spans="1:4" hidden="1" x14ac:dyDescent="0.3">
      <c r="A14272" t="s">
        <v>956</v>
      </c>
      <c r="B14272" t="s">
        <v>21</v>
      </c>
      <c r="C14272" s="1">
        <f>HYPERLINK("https://cao.dolgi.msk.ru/account/1011345623/", 1011345623)</f>
        <v>1011345623</v>
      </c>
      <c r="D14272">
        <v>0</v>
      </c>
    </row>
    <row r="14273" spans="1:4" hidden="1" x14ac:dyDescent="0.3">
      <c r="A14273" t="s">
        <v>956</v>
      </c>
      <c r="B14273" t="s">
        <v>22</v>
      </c>
      <c r="C14273" s="1">
        <f>HYPERLINK("https://cao.dolgi.msk.ru/account/1011346159/", 1011346159)</f>
        <v>1011346159</v>
      </c>
      <c r="D14273">
        <v>0</v>
      </c>
    </row>
    <row r="14274" spans="1:4" hidden="1" x14ac:dyDescent="0.3">
      <c r="A14274" t="s">
        <v>956</v>
      </c>
      <c r="B14274" t="s">
        <v>24</v>
      </c>
      <c r="C14274" s="1">
        <f>HYPERLINK("https://cao.dolgi.msk.ru/account/1011346298/", 1011346298)</f>
        <v>1011346298</v>
      </c>
      <c r="D14274">
        <v>-6663.48</v>
      </c>
    </row>
    <row r="14275" spans="1:4" x14ac:dyDescent="0.3">
      <c r="A14275" t="s">
        <v>956</v>
      </c>
      <c r="B14275" t="s">
        <v>25</v>
      </c>
      <c r="C14275" s="1">
        <f>HYPERLINK("https://cao.dolgi.msk.ru/account/1011346001/", 1011346001)</f>
        <v>1011346001</v>
      </c>
      <c r="D14275">
        <v>17012.95</v>
      </c>
    </row>
    <row r="14276" spans="1:4" hidden="1" x14ac:dyDescent="0.3">
      <c r="A14276" t="s">
        <v>956</v>
      </c>
      <c r="B14276" t="s">
        <v>26</v>
      </c>
      <c r="C14276" s="1">
        <f>HYPERLINK("https://cao.dolgi.msk.ru/account/1011345703/", 1011345703)</f>
        <v>1011345703</v>
      </c>
      <c r="D14276">
        <v>0</v>
      </c>
    </row>
    <row r="14277" spans="1:4" hidden="1" x14ac:dyDescent="0.3">
      <c r="A14277" t="s">
        <v>956</v>
      </c>
      <c r="B14277" t="s">
        <v>27</v>
      </c>
      <c r="C14277" s="1">
        <f>HYPERLINK("https://cao.dolgi.msk.ru/account/1011346327/", 1011346327)</f>
        <v>1011346327</v>
      </c>
      <c r="D14277">
        <v>-10345.790000000001</v>
      </c>
    </row>
    <row r="14278" spans="1:4" hidden="1" x14ac:dyDescent="0.3">
      <c r="A14278" t="s">
        <v>956</v>
      </c>
      <c r="B14278" t="s">
        <v>29</v>
      </c>
      <c r="C14278" s="1">
        <f>HYPERLINK("https://cao.dolgi.msk.ru/account/1011345973/", 1011345973)</f>
        <v>1011345973</v>
      </c>
      <c r="D14278">
        <v>-5583.19</v>
      </c>
    </row>
    <row r="14279" spans="1:4" x14ac:dyDescent="0.3">
      <c r="A14279" t="s">
        <v>956</v>
      </c>
      <c r="B14279" t="s">
        <v>38</v>
      </c>
      <c r="C14279" s="1">
        <f>HYPERLINK("https://cao.dolgi.msk.ru/account/1011345981/", 1011345981)</f>
        <v>1011345981</v>
      </c>
      <c r="D14279">
        <v>2921.04</v>
      </c>
    </row>
    <row r="14280" spans="1:4" hidden="1" x14ac:dyDescent="0.3">
      <c r="A14280" t="s">
        <v>956</v>
      </c>
      <c r="B14280" t="s">
        <v>39</v>
      </c>
      <c r="C14280" s="1">
        <f>HYPERLINK("https://cao.dolgi.msk.ru/account/1011346423/", 1011346423)</f>
        <v>1011346423</v>
      </c>
      <c r="D14280">
        <v>0</v>
      </c>
    </row>
    <row r="14281" spans="1:4" hidden="1" x14ac:dyDescent="0.3">
      <c r="A14281" t="s">
        <v>956</v>
      </c>
      <c r="B14281" t="s">
        <v>40</v>
      </c>
      <c r="C14281" s="1">
        <f>HYPERLINK("https://cao.dolgi.msk.ru/account/1011346167/", 1011346167)</f>
        <v>1011346167</v>
      </c>
      <c r="D14281">
        <v>-11306.64</v>
      </c>
    </row>
    <row r="14282" spans="1:4" hidden="1" x14ac:dyDescent="0.3">
      <c r="A14282" t="s">
        <v>956</v>
      </c>
      <c r="B14282" t="s">
        <v>41</v>
      </c>
      <c r="C14282" s="1">
        <f>HYPERLINK("https://cao.dolgi.msk.ru/account/1011345789/", 1011345789)</f>
        <v>1011345789</v>
      </c>
      <c r="D14282">
        <v>-13369.52</v>
      </c>
    </row>
    <row r="14283" spans="1:4" hidden="1" x14ac:dyDescent="0.3">
      <c r="A14283" t="s">
        <v>956</v>
      </c>
      <c r="B14283" t="s">
        <v>51</v>
      </c>
      <c r="C14283" s="1">
        <f>HYPERLINK("https://cao.dolgi.msk.ru/account/1011345711/", 1011345711)</f>
        <v>1011345711</v>
      </c>
      <c r="D14283">
        <v>-8966.7199999999993</v>
      </c>
    </row>
    <row r="14284" spans="1:4" x14ac:dyDescent="0.3">
      <c r="A14284" t="s">
        <v>956</v>
      </c>
      <c r="B14284" t="s">
        <v>52</v>
      </c>
      <c r="C14284" s="1">
        <f>HYPERLINK("https://cao.dolgi.msk.ru/account/1011346319/", 1011346319)</f>
        <v>1011346319</v>
      </c>
      <c r="D14284">
        <v>3423.74</v>
      </c>
    </row>
    <row r="14285" spans="1:4" hidden="1" x14ac:dyDescent="0.3">
      <c r="A14285" t="s">
        <v>956</v>
      </c>
      <c r="B14285" t="s">
        <v>53</v>
      </c>
      <c r="C14285" s="1">
        <f>HYPERLINK("https://cao.dolgi.msk.ru/account/1011346095/", 1011346095)</f>
        <v>1011346095</v>
      </c>
      <c r="D14285">
        <v>0</v>
      </c>
    </row>
    <row r="14286" spans="1:4" hidden="1" x14ac:dyDescent="0.3">
      <c r="A14286" t="s">
        <v>956</v>
      </c>
      <c r="B14286" t="s">
        <v>54</v>
      </c>
      <c r="C14286" s="1">
        <f>HYPERLINK("https://cao.dolgi.msk.ru/account/1011346175/", 1011346175)</f>
        <v>1011346175</v>
      </c>
      <c r="D14286">
        <v>0</v>
      </c>
    </row>
    <row r="14287" spans="1:4" hidden="1" x14ac:dyDescent="0.3">
      <c r="A14287" t="s">
        <v>956</v>
      </c>
      <c r="B14287" t="s">
        <v>55</v>
      </c>
      <c r="C14287" s="1">
        <f>HYPERLINK("https://cao.dolgi.msk.ru/account/1011346108/", 1011346108)</f>
        <v>1011346108</v>
      </c>
      <c r="D14287">
        <v>0</v>
      </c>
    </row>
    <row r="14288" spans="1:4" hidden="1" x14ac:dyDescent="0.3">
      <c r="A14288" t="s">
        <v>956</v>
      </c>
      <c r="B14288" t="s">
        <v>56</v>
      </c>
      <c r="C14288" s="1">
        <f>HYPERLINK("https://cao.dolgi.msk.ru/account/1011346247/", 1011346247)</f>
        <v>1011346247</v>
      </c>
      <c r="D14288">
        <v>-138.96</v>
      </c>
    </row>
    <row r="14289" spans="1:4" hidden="1" x14ac:dyDescent="0.3">
      <c r="A14289" t="s">
        <v>956</v>
      </c>
      <c r="B14289" t="s">
        <v>87</v>
      </c>
      <c r="C14289" s="1">
        <f>HYPERLINK("https://cao.dolgi.msk.ru/account/1011345893/", 1011345893)</f>
        <v>1011345893</v>
      </c>
      <c r="D14289">
        <v>0</v>
      </c>
    </row>
    <row r="14290" spans="1:4" hidden="1" x14ac:dyDescent="0.3">
      <c r="A14290" t="s">
        <v>956</v>
      </c>
      <c r="B14290" t="s">
        <v>88</v>
      </c>
      <c r="C14290" s="1">
        <f>HYPERLINK("https://cao.dolgi.msk.ru/account/1011345949/", 1011345949)</f>
        <v>1011345949</v>
      </c>
      <c r="D14290">
        <v>0</v>
      </c>
    </row>
    <row r="14291" spans="1:4" hidden="1" x14ac:dyDescent="0.3">
      <c r="A14291" t="s">
        <v>956</v>
      </c>
      <c r="B14291" t="s">
        <v>89</v>
      </c>
      <c r="C14291" s="1">
        <f>HYPERLINK("https://cao.dolgi.msk.ru/account/1011345738/", 1011345738)</f>
        <v>1011345738</v>
      </c>
      <c r="D14291">
        <v>0</v>
      </c>
    </row>
    <row r="14292" spans="1:4" hidden="1" x14ac:dyDescent="0.3">
      <c r="A14292" t="s">
        <v>956</v>
      </c>
      <c r="B14292" t="s">
        <v>90</v>
      </c>
      <c r="C14292" s="1">
        <f>HYPERLINK("https://cao.dolgi.msk.ru/account/1011345631/", 1011345631)</f>
        <v>1011345631</v>
      </c>
      <c r="D14292">
        <v>0</v>
      </c>
    </row>
    <row r="14293" spans="1:4" hidden="1" x14ac:dyDescent="0.3">
      <c r="A14293" t="s">
        <v>956</v>
      </c>
      <c r="B14293" t="s">
        <v>96</v>
      </c>
      <c r="C14293" s="1">
        <f>HYPERLINK("https://cao.dolgi.msk.ru/account/1011346124/", 1011346124)</f>
        <v>1011346124</v>
      </c>
      <c r="D14293">
        <v>0</v>
      </c>
    </row>
    <row r="14294" spans="1:4" hidden="1" x14ac:dyDescent="0.3">
      <c r="A14294" t="s">
        <v>956</v>
      </c>
      <c r="B14294" t="s">
        <v>97</v>
      </c>
      <c r="C14294" s="1">
        <f>HYPERLINK("https://cao.dolgi.msk.ru/account/1011346036/", 1011346036)</f>
        <v>1011346036</v>
      </c>
      <c r="D14294">
        <v>-12410.56</v>
      </c>
    </row>
    <row r="14295" spans="1:4" hidden="1" x14ac:dyDescent="0.3">
      <c r="A14295" t="s">
        <v>956</v>
      </c>
      <c r="B14295" t="s">
        <v>98</v>
      </c>
      <c r="C14295" s="1">
        <f>HYPERLINK("https://cao.dolgi.msk.ru/account/1011345818/", 1011345818)</f>
        <v>1011345818</v>
      </c>
      <c r="D14295">
        <v>0</v>
      </c>
    </row>
    <row r="14296" spans="1:4" hidden="1" x14ac:dyDescent="0.3">
      <c r="A14296" t="s">
        <v>956</v>
      </c>
      <c r="B14296" t="s">
        <v>58</v>
      </c>
      <c r="C14296" s="1">
        <f>HYPERLINK("https://cao.dolgi.msk.ru/account/1011346052/", 1011346052)</f>
        <v>1011346052</v>
      </c>
      <c r="D14296">
        <v>0</v>
      </c>
    </row>
    <row r="14297" spans="1:4" x14ac:dyDescent="0.3">
      <c r="A14297" t="s">
        <v>956</v>
      </c>
      <c r="B14297" t="s">
        <v>59</v>
      </c>
      <c r="C14297" s="1">
        <f>HYPERLINK("https://cao.dolgi.msk.ru/account/1011345842/", 1011345842)</f>
        <v>1011345842</v>
      </c>
      <c r="D14297">
        <v>32306.04</v>
      </c>
    </row>
    <row r="14298" spans="1:4" hidden="1" x14ac:dyDescent="0.3">
      <c r="A14298" t="s">
        <v>956</v>
      </c>
      <c r="B14298" t="s">
        <v>60</v>
      </c>
      <c r="C14298" s="1">
        <f>HYPERLINK("https://cao.dolgi.msk.ru/account/1011346191/", 1011346191)</f>
        <v>1011346191</v>
      </c>
      <c r="D14298">
        <v>0</v>
      </c>
    </row>
    <row r="14299" spans="1:4" hidden="1" x14ac:dyDescent="0.3">
      <c r="A14299" t="s">
        <v>956</v>
      </c>
      <c r="B14299" t="s">
        <v>61</v>
      </c>
      <c r="C14299" s="1">
        <f>HYPERLINK("https://cao.dolgi.msk.ru/account/1011346335/", 1011346335)</f>
        <v>1011346335</v>
      </c>
      <c r="D14299">
        <v>0</v>
      </c>
    </row>
    <row r="14300" spans="1:4" x14ac:dyDescent="0.3">
      <c r="A14300" t="s">
        <v>956</v>
      </c>
      <c r="B14300" t="s">
        <v>62</v>
      </c>
      <c r="C14300" s="1">
        <f>HYPERLINK("https://cao.dolgi.msk.ru/account/1011346132/", 1011346132)</f>
        <v>1011346132</v>
      </c>
      <c r="D14300">
        <v>2472.23</v>
      </c>
    </row>
    <row r="14301" spans="1:4" hidden="1" x14ac:dyDescent="0.3">
      <c r="A14301" t="s">
        <v>956</v>
      </c>
      <c r="B14301" t="s">
        <v>63</v>
      </c>
      <c r="C14301" s="1">
        <f>HYPERLINK("https://cao.dolgi.msk.ru/account/1011346044/", 1011346044)</f>
        <v>1011346044</v>
      </c>
      <c r="D14301">
        <v>0</v>
      </c>
    </row>
    <row r="14302" spans="1:4" hidden="1" x14ac:dyDescent="0.3">
      <c r="A14302" t="s">
        <v>956</v>
      </c>
      <c r="B14302" t="s">
        <v>64</v>
      </c>
      <c r="C14302" s="1">
        <f>HYPERLINK("https://cao.dolgi.msk.ru/account/1011345658/", 1011345658)</f>
        <v>1011345658</v>
      </c>
      <c r="D14302">
        <v>-7378.42</v>
      </c>
    </row>
    <row r="14303" spans="1:4" hidden="1" x14ac:dyDescent="0.3">
      <c r="A14303" t="s">
        <v>956</v>
      </c>
      <c r="B14303" t="s">
        <v>64</v>
      </c>
      <c r="C14303" s="1">
        <f>HYPERLINK("https://cao.dolgi.msk.ru/account/1011345834/", 1011345834)</f>
        <v>1011345834</v>
      </c>
      <c r="D14303">
        <v>-4661.8599999999997</v>
      </c>
    </row>
    <row r="14304" spans="1:4" hidden="1" x14ac:dyDescent="0.3">
      <c r="A14304" t="s">
        <v>956</v>
      </c>
      <c r="B14304" t="s">
        <v>65</v>
      </c>
      <c r="C14304" s="1">
        <f>HYPERLINK("https://cao.dolgi.msk.ru/account/1011346183/", 1011346183)</f>
        <v>1011346183</v>
      </c>
      <c r="D14304">
        <v>0</v>
      </c>
    </row>
    <row r="14305" spans="1:4" x14ac:dyDescent="0.3">
      <c r="A14305" t="s">
        <v>956</v>
      </c>
      <c r="B14305" t="s">
        <v>66</v>
      </c>
      <c r="C14305" s="1">
        <f>HYPERLINK("https://cao.dolgi.msk.ru/account/1011345869/", 1011345869)</f>
        <v>1011345869</v>
      </c>
      <c r="D14305">
        <v>521.1</v>
      </c>
    </row>
    <row r="14306" spans="1:4" hidden="1" x14ac:dyDescent="0.3">
      <c r="A14306" t="s">
        <v>956</v>
      </c>
      <c r="B14306" t="s">
        <v>67</v>
      </c>
      <c r="C14306" s="1">
        <f>HYPERLINK("https://cao.dolgi.msk.ru/account/1011346343/", 1011346343)</f>
        <v>1011346343</v>
      </c>
      <c r="D14306">
        <v>0</v>
      </c>
    </row>
    <row r="14307" spans="1:4" hidden="1" x14ac:dyDescent="0.3">
      <c r="A14307" t="s">
        <v>956</v>
      </c>
      <c r="B14307" t="s">
        <v>68</v>
      </c>
      <c r="C14307" s="1">
        <f>HYPERLINK("https://cao.dolgi.msk.ru/account/1011345965/", 1011345965)</f>
        <v>1011345965</v>
      </c>
      <c r="D14307">
        <v>0</v>
      </c>
    </row>
    <row r="14308" spans="1:4" hidden="1" x14ac:dyDescent="0.3">
      <c r="A14308" t="s">
        <v>956</v>
      </c>
      <c r="B14308" t="s">
        <v>69</v>
      </c>
      <c r="C14308" s="1">
        <f>HYPERLINK("https://cao.dolgi.msk.ru/account/1011346386/", 1011346386)</f>
        <v>1011346386</v>
      </c>
      <c r="D14308">
        <v>0</v>
      </c>
    </row>
    <row r="14309" spans="1:4" hidden="1" x14ac:dyDescent="0.3">
      <c r="A14309" t="s">
        <v>956</v>
      </c>
      <c r="B14309" t="s">
        <v>70</v>
      </c>
      <c r="C14309" s="1">
        <f>HYPERLINK("https://cao.dolgi.msk.ru/account/1011345957/", 1011345957)</f>
        <v>1011345957</v>
      </c>
      <c r="D14309">
        <v>-9731.08</v>
      </c>
    </row>
    <row r="14310" spans="1:4" hidden="1" x14ac:dyDescent="0.3">
      <c r="A14310" t="s">
        <v>956</v>
      </c>
      <c r="B14310" t="s">
        <v>259</v>
      </c>
      <c r="C14310" s="1">
        <f>HYPERLINK("https://cao.dolgi.msk.ru/account/1011346263/", 1011346263)</f>
        <v>1011346263</v>
      </c>
      <c r="D14310">
        <v>-5477.8</v>
      </c>
    </row>
    <row r="14311" spans="1:4" hidden="1" x14ac:dyDescent="0.3">
      <c r="A14311" t="s">
        <v>956</v>
      </c>
      <c r="B14311" t="s">
        <v>100</v>
      </c>
      <c r="C14311" s="1">
        <f>HYPERLINK("https://cao.dolgi.msk.ru/account/1011346415/", 1011346415)</f>
        <v>1011346415</v>
      </c>
      <c r="D14311">
        <v>0</v>
      </c>
    </row>
    <row r="14312" spans="1:4" hidden="1" x14ac:dyDescent="0.3">
      <c r="A14312" t="s">
        <v>956</v>
      </c>
      <c r="B14312" t="s">
        <v>72</v>
      </c>
      <c r="C14312" s="1">
        <f>HYPERLINK("https://cao.dolgi.msk.ru/account/1011345885/", 1011345885)</f>
        <v>1011345885</v>
      </c>
      <c r="D14312">
        <v>0</v>
      </c>
    </row>
    <row r="14313" spans="1:4" hidden="1" x14ac:dyDescent="0.3">
      <c r="A14313" t="s">
        <v>956</v>
      </c>
      <c r="B14313" t="s">
        <v>73</v>
      </c>
      <c r="C14313" s="1">
        <f>HYPERLINK("https://cao.dolgi.msk.ru/account/1011346431/", 1011346431)</f>
        <v>1011346431</v>
      </c>
      <c r="D14313">
        <v>0</v>
      </c>
    </row>
    <row r="14314" spans="1:4" hidden="1" x14ac:dyDescent="0.3">
      <c r="A14314" t="s">
        <v>956</v>
      </c>
      <c r="B14314" t="s">
        <v>74</v>
      </c>
      <c r="C14314" s="1">
        <f>HYPERLINK("https://cao.dolgi.msk.ru/account/1011346079/", 1011346079)</f>
        <v>1011346079</v>
      </c>
      <c r="D14314">
        <v>-12840.17</v>
      </c>
    </row>
    <row r="14315" spans="1:4" hidden="1" x14ac:dyDescent="0.3">
      <c r="A14315" t="s">
        <v>956</v>
      </c>
      <c r="B14315" t="s">
        <v>75</v>
      </c>
      <c r="C14315" s="1">
        <f>HYPERLINK("https://cao.dolgi.msk.ru/account/1011345746/", 1011345746)</f>
        <v>1011345746</v>
      </c>
      <c r="D14315">
        <v>0</v>
      </c>
    </row>
    <row r="14316" spans="1:4" hidden="1" x14ac:dyDescent="0.3">
      <c r="A14316" t="s">
        <v>956</v>
      </c>
      <c r="B14316" t="s">
        <v>76</v>
      </c>
      <c r="C14316" s="1">
        <f>HYPERLINK("https://cao.dolgi.msk.ru/account/1011346255/", 1011346255)</f>
        <v>1011346255</v>
      </c>
      <c r="D14316">
        <v>-5523.96</v>
      </c>
    </row>
    <row r="14317" spans="1:4" hidden="1" x14ac:dyDescent="0.3">
      <c r="A14317" t="s">
        <v>956</v>
      </c>
      <c r="B14317" t="s">
        <v>77</v>
      </c>
      <c r="C14317" s="1">
        <f>HYPERLINK("https://cao.dolgi.msk.ru/account/1011346204/", 1011346204)</f>
        <v>1011346204</v>
      </c>
      <c r="D14317">
        <v>0</v>
      </c>
    </row>
    <row r="14318" spans="1:4" hidden="1" x14ac:dyDescent="0.3">
      <c r="A14318" t="s">
        <v>956</v>
      </c>
      <c r="B14318" t="s">
        <v>78</v>
      </c>
      <c r="C14318" s="1">
        <f>HYPERLINK("https://cao.dolgi.msk.ru/account/1011345666/", 1011345666)</f>
        <v>1011345666</v>
      </c>
      <c r="D14318">
        <v>-8.24</v>
      </c>
    </row>
    <row r="14319" spans="1:4" hidden="1" x14ac:dyDescent="0.3">
      <c r="A14319" t="s">
        <v>956</v>
      </c>
      <c r="B14319" t="s">
        <v>79</v>
      </c>
      <c r="C14319" s="1">
        <f>HYPERLINK("https://cao.dolgi.msk.ru/account/1011346028/", 1011346028)</f>
        <v>1011346028</v>
      </c>
      <c r="D14319">
        <v>0</v>
      </c>
    </row>
    <row r="14320" spans="1:4" hidden="1" x14ac:dyDescent="0.3">
      <c r="A14320" t="s">
        <v>956</v>
      </c>
      <c r="B14320" t="s">
        <v>80</v>
      </c>
      <c r="C14320" s="1">
        <f>HYPERLINK("https://cao.dolgi.msk.ru/account/1011346458/", 1011346458)</f>
        <v>1011346458</v>
      </c>
      <c r="D14320">
        <v>0</v>
      </c>
    </row>
    <row r="14321" spans="1:4" hidden="1" x14ac:dyDescent="0.3">
      <c r="A14321" t="s">
        <v>956</v>
      </c>
      <c r="B14321" t="s">
        <v>81</v>
      </c>
      <c r="C14321" s="1">
        <f>HYPERLINK("https://cao.dolgi.msk.ru/account/1011345826/", 1011345826)</f>
        <v>1011345826</v>
      </c>
      <c r="D14321">
        <v>0</v>
      </c>
    </row>
    <row r="14322" spans="1:4" hidden="1" x14ac:dyDescent="0.3">
      <c r="A14322" t="s">
        <v>958</v>
      </c>
      <c r="B14322" t="s">
        <v>63</v>
      </c>
      <c r="C14322" s="1">
        <f>HYPERLINK("https://cao.dolgi.msk.ru/account/1011410421/", 1011410421)</f>
        <v>1011410421</v>
      </c>
      <c r="D14322">
        <v>0</v>
      </c>
    </row>
    <row r="14323" spans="1:4" hidden="1" x14ac:dyDescent="0.3">
      <c r="A14323" t="s">
        <v>958</v>
      </c>
      <c r="B14323" t="s">
        <v>64</v>
      </c>
      <c r="C14323" s="1">
        <f>HYPERLINK("https://cao.dolgi.msk.ru/account/1011410763/", 1011410763)</f>
        <v>1011410763</v>
      </c>
      <c r="D14323">
        <v>-192.55</v>
      </c>
    </row>
    <row r="14324" spans="1:4" hidden="1" x14ac:dyDescent="0.3">
      <c r="A14324" t="s">
        <v>958</v>
      </c>
      <c r="B14324" t="s">
        <v>65</v>
      </c>
      <c r="C14324" s="1">
        <f>HYPERLINK("https://cao.dolgi.msk.ru/account/1011410368/", 1011410368)</f>
        <v>1011410368</v>
      </c>
      <c r="D14324">
        <v>-8053.09</v>
      </c>
    </row>
    <row r="14325" spans="1:4" hidden="1" x14ac:dyDescent="0.3">
      <c r="A14325" t="s">
        <v>958</v>
      </c>
      <c r="B14325" t="s">
        <v>66</v>
      </c>
      <c r="C14325" s="1">
        <f>HYPERLINK("https://cao.dolgi.msk.ru/account/1011410819/", 1011410819)</f>
        <v>1011410819</v>
      </c>
      <c r="D14325">
        <v>-9372.61</v>
      </c>
    </row>
    <row r="14326" spans="1:4" x14ac:dyDescent="0.3">
      <c r="A14326" t="s">
        <v>958</v>
      </c>
      <c r="B14326" t="s">
        <v>67</v>
      </c>
      <c r="C14326" s="1">
        <f>HYPERLINK("https://cao.dolgi.msk.ru/account/1011410544/", 1011410544)</f>
        <v>1011410544</v>
      </c>
      <c r="D14326">
        <v>117699.42</v>
      </c>
    </row>
    <row r="14327" spans="1:4" hidden="1" x14ac:dyDescent="0.3">
      <c r="A14327" t="s">
        <v>958</v>
      </c>
      <c r="B14327" t="s">
        <v>68</v>
      </c>
      <c r="C14327" s="1">
        <f>HYPERLINK("https://cao.dolgi.msk.ru/account/1011410229/", 1011410229)</f>
        <v>1011410229</v>
      </c>
      <c r="D14327">
        <v>0</v>
      </c>
    </row>
    <row r="14328" spans="1:4" hidden="1" x14ac:dyDescent="0.3">
      <c r="A14328" t="s">
        <v>958</v>
      </c>
      <c r="B14328" t="s">
        <v>69</v>
      </c>
      <c r="C14328" s="1">
        <f>HYPERLINK("https://cao.dolgi.msk.ru/account/1011410536/", 1011410536)</f>
        <v>1011410536</v>
      </c>
      <c r="D14328">
        <v>-1777.17</v>
      </c>
    </row>
    <row r="14329" spans="1:4" x14ac:dyDescent="0.3">
      <c r="A14329" t="s">
        <v>958</v>
      </c>
      <c r="B14329" t="s">
        <v>70</v>
      </c>
      <c r="C14329" s="1">
        <f>HYPERLINK("https://cao.dolgi.msk.ru/account/1011410317/", 1011410317)</f>
        <v>1011410317</v>
      </c>
      <c r="D14329">
        <v>347482.39</v>
      </c>
    </row>
    <row r="14330" spans="1:4" hidden="1" x14ac:dyDescent="0.3">
      <c r="A14330" t="s">
        <v>958</v>
      </c>
      <c r="B14330" t="s">
        <v>259</v>
      </c>
      <c r="C14330" s="1">
        <f>HYPERLINK("https://cao.dolgi.msk.ru/account/1011410253/", 1011410253)</f>
        <v>1011410253</v>
      </c>
      <c r="D14330">
        <v>-3677.99</v>
      </c>
    </row>
    <row r="14331" spans="1:4" hidden="1" x14ac:dyDescent="0.3">
      <c r="A14331" t="s">
        <v>958</v>
      </c>
      <c r="B14331" t="s">
        <v>100</v>
      </c>
      <c r="C14331" s="1">
        <f>HYPERLINK("https://cao.dolgi.msk.ru/account/1011410237/", 1011410237)</f>
        <v>1011410237</v>
      </c>
      <c r="D14331">
        <v>-5964.13</v>
      </c>
    </row>
    <row r="14332" spans="1:4" hidden="1" x14ac:dyDescent="0.3">
      <c r="A14332" t="s">
        <v>958</v>
      </c>
      <c r="B14332" t="s">
        <v>72</v>
      </c>
      <c r="C14332" s="1">
        <f>HYPERLINK("https://cao.dolgi.msk.ru/account/1011410296/", 1011410296)</f>
        <v>1011410296</v>
      </c>
      <c r="D14332">
        <v>0</v>
      </c>
    </row>
    <row r="14333" spans="1:4" hidden="1" x14ac:dyDescent="0.3">
      <c r="A14333" t="s">
        <v>958</v>
      </c>
      <c r="B14333" t="s">
        <v>73</v>
      </c>
      <c r="C14333" s="1">
        <f>HYPERLINK("https://cao.dolgi.msk.ru/account/1011410552/", 1011410552)</f>
        <v>1011410552</v>
      </c>
      <c r="D14333">
        <v>0</v>
      </c>
    </row>
    <row r="14334" spans="1:4" x14ac:dyDescent="0.3">
      <c r="A14334" t="s">
        <v>958</v>
      </c>
      <c r="B14334" t="s">
        <v>74</v>
      </c>
      <c r="C14334" s="1">
        <f>HYPERLINK("https://cao.dolgi.msk.ru/account/1011410675/", 1011410675)</f>
        <v>1011410675</v>
      </c>
      <c r="D14334">
        <v>7722.3</v>
      </c>
    </row>
    <row r="14335" spans="1:4" x14ac:dyDescent="0.3">
      <c r="A14335" t="s">
        <v>958</v>
      </c>
      <c r="B14335" t="s">
        <v>74</v>
      </c>
      <c r="C14335" s="1">
        <f>HYPERLINK("https://cao.dolgi.msk.ru/account/1011410712/", 1011410712)</f>
        <v>1011410712</v>
      </c>
      <c r="D14335">
        <v>2107.96</v>
      </c>
    </row>
    <row r="14336" spans="1:4" hidden="1" x14ac:dyDescent="0.3">
      <c r="A14336" t="s">
        <v>958</v>
      </c>
      <c r="B14336" t="s">
        <v>75</v>
      </c>
      <c r="C14336" s="1">
        <f>HYPERLINK("https://cao.dolgi.msk.ru/account/1011410448/", 1011410448)</f>
        <v>1011410448</v>
      </c>
      <c r="D14336">
        <v>-9032.84</v>
      </c>
    </row>
    <row r="14337" spans="1:4" hidden="1" x14ac:dyDescent="0.3">
      <c r="A14337" t="s">
        <v>958</v>
      </c>
      <c r="B14337" t="s">
        <v>76</v>
      </c>
      <c r="C14337" s="1">
        <f>HYPERLINK("https://cao.dolgi.msk.ru/account/1011410579/", 1011410579)</f>
        <v>1011410579</v>
      </c>
      <c r="D14337">
        <v>0</v>
      </c>
    </row>
    <row r="14338" spans="1:4" x14ac:dyDescent="0.3">
      <c r="A14338" t="s">
        <v>958</v>
      </c>
      <c r="B14338" t="s">
        <v>77</v>
      </c>
      <c r="C14338" s="1">
        <f>HYPERLINK("https://cao.dolgi.msk.ru/account/1011410691/", 1011410691)</f>
        <v>1011410691</v>
      </c>
      <c r="D14338">
        <v>4829.72</v>
      </c>
    </row>
    <row r="14339" spans="1:4" hidden="1" x14ac:dyDescent="0.3">
      <c r="A14339" t="s">
        <v>958</v>
      </c>
      <c r="B14339" t="s">
        <v>78</v>
      </c>
      <c r="C14339" s="1">
        <f>HYPERLINK("https://cao.dolgi.msk.ru/account/1011410667/", 1011410667)</f>
        <v>1011410667</v>
      </c>
      <c r="D14339">
        <v>0</v>
      </c>
    </row>
    <row r="14340" spans="1:4" hidden="1" x14ac:dyDescent="0.3">
      <c r="A14340" t="s">
        <v>958</v>
      </c>
      <c r="B14340" t="s">
        <v>79</v>
      </c>
      <c r="C14340" s="1">
        <f>HYPERLINK("https://cao.dolgi.msk.ru/account/1011410376/", 1011410376)</f>
        <v>1011410376</v>
      </c>
      <c r="D14340">
        <v>0</v>
      </c>
    </row>
    <row r="14341" spans="1:4" hidden="1" x14ac:dyDescent="0.3">
      <c r="A14341" t="s">
        <v>958</v>
      </c>
      <c r="B14341" t="s">
        <v>80</v>
      </c>
      <c r="C14341" s="1">
        <f>HYPERLINK("https://cao.dolgi.msk.ru/account/1011410608/", 1011410608)</f>
        <v>1011410608</v>
      </c>
      <c r="D14341">
        <v>-6747.05</v>
      </c>
    </row>
    <row r="14342" spans="1:4" hidden="1" x14ac:dyDescent="0.3">
      <c r="A14342" t="s">
        <v>958</v>
      </c>
      <c r="B14342" t="s">
        <v>81</v>
      </c>
      <c r="C14342" s="1">
        <f>HYPERLINK("https://cao.dolgi.msk.ru/account/1011410472/", 1011410472)</f>
        <v>1011410472</v>
      </c>
      <c r="D14342">
        <v>0</v>
      </c>
    </row>
    <row r="14343" spans="1:4" hidden="1" x14ac:dyDescent="0.3">
      <c r="A14343" t="s">
        <v>958</v>
      </c>
      <c r="B14343" t="s">
        <v>101</v>
      </c>
      <c r="C14343" s="1">
        <f>HYPERLINK("https://cao.dolgi.msk.ru/account/1011410261/", 1011410261)</f>
        <v>1011410261</v>
      </c>
      <c r="D14343">
        <v>0</v>
      </c>
    </row>
    <row r="14344" spans="1:4" hidden="1" x14ac:dyDescent="0.3">
      <c r="A14344" t="s">
        <v>958</v>
      </c>
      <c r="B14344" t="s">
        <v>82</v>
      </c>
      <c r="C14344" s="1">
        <f>HYPERLINK("https://cao.dolgi.msk.ru/account/1011410771/", 1011410771)</f>
        <v>1011410771</v>
      </c>
      <c r="D14344">
        <v>0</v>
      </c>
    </row>
    <row r="14345" spans="1:4" x14ac:dyDescent="0.3">
      <c r="A14345" t="s">
        <v>958</v>
      </c>
      <c r="B14345" t="s">
        <v>83</v>
      </c>
      <c r="C14345" s="1">
        <f>HYPERLINK("https://cao.dolgi.msk.ru/account/1011410632/", 1011410632)</f>
        <v>1011410632</v>
      </c>
      <c r="D14345">
        <v>5336.19</v>
      </c>
    </row>
    <row r="14346" spans="1:4" x14ac:dyDescent="0.3">
      <c r="A14346" t="s">
        <v>958</v>
      </c>
      <c r="B14346" t="s">
        <v>84</v>
      </c>
      <c r="C14346" s="1">
        <f>HYPERLINK("https://cao.dolgi.msk.ru/account/1011410798/", 1011410798)</f>
        <v>1011410798</v>
      </c>
      <c r="D14346">
        <v>742.1</v>
      </c>
    </row>
    <row r="14347" spans="1:4" hidden="1" x14ac:dyDescent="0.3">
      <c r="A14347" t="s">
        <v>958</v>
      </c>
      <c r="B14347" t="s">
        <v>85</v>
      </c>
      <c r="C14347" s="1">
        <f>HYPERLINK("https://cao.dolgi.msk.ru/account/1011410309/", 1011410309)</f>
        <v>1011410309</v>
      </c>
      <c r="D14347">
        <v>0</v>
      </c>
    </row>
    <row r="14348" spans="1:4" hidden="1" x14ac:dyDescent="0.3">
      <c r="A14348" t="s">
        <v>958</v>
      </c>
      <c r="B14348" t="s">
        <v>102</v>
      </c>
      <c r="C14348" s="1">
        <f>HYPERLINK("https://cao.dolgi.msk.ru/account/1011410325/", 1011410325)</f>
        <v>1011410325</v>
      </c>
      <c r="D14348">
        <v>-8132.26</v>
      </c>
    </row>
    <row r="14349" spans="1:4" hidden="1" x14ac:dyDescent="0.3">
      <c r="A14349" t="s">
        <v>958</v>
      </c>
      <c r="B14349" t="s">
        <v>103</v>
      </c>
      <c r="C14349" s="1">
        <f>HYPERLINK("https://cao.dolgi.msk.ru/account/1011410499/", 1011410499)</f>
        <v>1011410499</v>
      </c>
      <c r="D14349">
        <v>0</v>
      </c>
    </row>
    <row r="14350" spans="1:4" x14ac:dyDescent="0.3">
      <c r="A14350" t="s">
        <v>958</v>
      </c>
      <c r="B14350" t="s">
        <v>104</v>
      </c>
      <c r="C14350" s="1">
        <f>HYPERLINK("https://cao.dolgi.msk.ru/account/1011410624/", 1011410624)</f>
        <v>1011410624</v>
      </c>
      <c r="D14350">
        <v>6440.19</v>
      </c>
    </row>
    <row r="14351" spans="1:4" hidden="1" x14ac:dyDescent="0.3">
      <c r="A14351" t="s">
        <v>958</v>
      </c>
      <c r="B14351" t="s">
        <v>105</v>
      </c>
      <c r="C14351" s="1">
        <f>HYPERLINK("https://cao.dolgi.msk.ru/account/1011410333/", 1011410333)</f>
        <v>1011410333</v>
      </c>
      <c r="D14351">
        <v>0</v>
      </c>
    </row>
    <row r="14352" spans="1:4" hidden="1" x14ac:dyDescent="0.3">
      <c r="A14352" t="s">
        <v>958</v>
      </c>
      <c r="B14352" t="s">
        <v>105</v>
      </c>
      <c r="C14352" s="1">
        <f>HYPERLINK("https://cao.dolgi.msk.ru/account/1011410827/", 1011410827)</f>
        <v>1011410827</v>
      </c>
      <c r="D14352">
        <v>0</v>
      </c>
    </row>
    <row r="14353" spans="1:4" hidden="1" x14ac:dyDescent="0.3">
      <c r="A14353" t="s">
        <v>958</v>
      </c>
      <c r="B14353" t="s">
        <v>106</v>
      </c>
      <c r="C14353" s="1">
        <f>HYPERLINK("https://cao.dolgi.msk.ru/account/1011410456/", 1011410456)</f>
        <v>1011410456</v>
      </c>
      <c r="D14353">
        <v>-6895.04</v>
      </c>
    </row>
    <row r="14354" spans="1:4" hidden="1" x14ac:dyDescent="0.3">
      <c r="A14354" t="s">
        <v>958</v>
      </c>
      <c r="B14354" t="s">
        <v>107</v>
      </c>
      <c r="C14354" s="1">
        <f>HYPERLINK("https://cao.dolgi.msk.ru/account/1011410464/", 1011410464)</f>
        <v>1011410464</v>
      </c>
      <c r="D14354">
        <v>-7883.18</v>
      </c>
    </row>
    <row r="14355" spans="1:4" hidden="1" x14ac:dyDescent="0.3">
      <c r="A14355" t="s">
        <v>958</v>
      </c>
      <c r="B14355" t="s">
        <v>108</v>
      </c>
      <c r="C14355" s="1">
        <f>HYPERLINK("https://cao.dolgi.msk.ru/account/1011410595/", 1011410595)</f>
        <v>1011410595</v>
      </c>
      <c r="D14355">
        <v>-5914.99</v>
      </c>
    </row>
    <row r="14356" spans="1:4" hidden="1" x14ac:dyDescent="0.3">
      <c r="A14356" t="s">
        <v>958</v>
      </c>
      <c r="B14356" t="s">
        <v>109</v>
      </c>
      <c r="C14356" s="1">
        <f>HYPERLINK("https://cao.dolgi.msk.ru/account/1011410659/", 1011410659)</f>
        <v>1011410659</v>
      </c>
      <c r="D14356">
        <v>0</v>
      </c>
    </row>
    <row r="14357" spans="1:4" hidden="1" x14ac:dyDescent="0.3">
      <c r="A14357" t="s">
        <v>958</v>
      </c>
      <c r="B14357" t="s">
        <v>110</v>
      </c>
      <c r="C14357" s="1">
        <f>HYPERLINK("https://cao.dolgi.msk.ru/account/1011410384/", 1011410384)</f>
        <v>1011410384</v>
      </c>
      <c r="D14357">
        <v>-5839.53</v>
      </c>
    </row>
    <row r="14358" spans="1:4" hidden="1" x14ac:dyDescent="0.3">
      <c r="A14358" t="s">
        <v>958</v>
      </c>
      <c r="B14358" t="s">
        <v>111</v>
      </c>
      <c r="C14358" s="1">
        <f>HYPERLINK("https://cao.dolgi.msk.ru/account/1011410245/", 1011410245)</f>
        <v>1011410245</v>
      </c>
      <c r="D14358">
        <v>-7559.69</v>
      </c>
    </row>
    <row r="14359" spans="1:4" hidden="1" x14ac:dyDescent="0.3">
      <c r="A14359" t="s">
        <v>958</v>
      </c>
      <c r="B14359" t="s">
        <v>112</v>
      </c>
      <c r="C14359" s="1">
        <f>HYPERLINK("https://cao.dolgi.msk.ru/account/1011410528/", 1011410528)</f>
        <v>1011410528</v>
      </c>
      <c r="D14359">
        <v>-8402.4</v>
      </c>
    </row>
    <row r="14360" spans="1:4" hidden="1" x14ac:dyDescent="0.3">
      <c r="A14360" t="s">
        <v>958</v>
      </c>
      <c r="B14360" t="s">
        <v>113</v>
      </c>
      <c r="C14360" s="1">
        <f>HYPERLINK("https://cao.dolgi.msk.ru/account/1011410341/", 1011410341)</f>
        <v>1011410341</v>
      </c>
      <c r="D14360">
        <v>0</v>
      </c>
    </row>
    <row r="14361" spans="1:4" hidden="1" x14ac:dyDescent="0.3">
      <c r="A14361" t="s">
        <v>958</v>
      </c>
      <c r="B14361" t="s">
        <v>113</v>
      </c>
      <c r="C14361" s="1">
        <f>HYPERLINK("https://cao.dolgi.msk.ru/account/1011410616/", 1011410616)</f>
        <v>1011410616</v>
      </c>
      <c r="D14361">
        <v>-1872.91</v>
      </c>
    </row>
    <row r="14362" spans="1:4" hidden="1" x14ac:dyDescent="0.3">
      <c r="A14362" t="s">
        <v>958</v>
      </c>
      <c r="B14362" t="s">
        <v>114</v>
      </c>
      <c r="C14362" s="1">
        <f>HYPERLINK("https://cao.dolgi.msk.ru/account/1011410413/", 1011410413)</f>
        <v>1011410413</v>
      </c>
      <c r="D14362">
        <v>-14788.16</v>
      </c>
    </row>
    <row r="14363" spans="1:4" hidden="1" x14ac:dyDescent="0.3">
      <c r="A14363" t="s">
        <v>958</v>
      </c>
      <c r="B14363" t="s">
        <v>115</v>
      </c>
      <c r="C14363" s="1">
        <f>HYPERLINK("https://cao.dolgi.msk.ru/account/1011410747/", 1011410747)</f>
        <v>1011410747</v>
      </c>
      <c r="D14363">
        <v>-3285.36</v>
      </c>
    </row>
    <row r="14364" spans="1:4" x14ac:dyDescent="0.3">
      <c r="A14364" t="s">
        <v>958</v>
      </c>
      <c r="B14364" t="s">
        <v>116</v>
      </c>
      <c r="C14364" s="1">
        <f>HYPERLINK("https://cao.dolgi.msk.ru/account/1011410587/", 1011410587)</f>
        <v>1011410587</v>
      </c>
      <c r="D14364">
        <v>60024.160000000003</v>
      </c>
    </row>
    <row r="14365" spans="1:4" hidden="1" x14ac:dyDescent="0.3">
      <c r="A14365" t="s">
        <v>958</v>
      </c>
      <c r="B14365" t="s">
        <v>266</v>
      </c>
      <c r="C14365" s="1">
        <f>HYPERLINK("https://cao.dolgi.msk.ru/account/1011410683/", 1011410683)</f>
        <v>1011410683</v>
      </c>
      <c r="D14365">
        <v>0</v>
      </c>
    </row>
    <row r="14366" spans="1:4" hidden="1" x14ac:dyDescent="0.3">
      <c r="A14366" t="s">
        <v>958</v>
      </c>
      <c r="B14366" t="s">
        <v>117</v>
      </c>
      <c r="C14366" s="1">
        <f>HYPERLINK("https://cao.dolgi.msk.ru/account/1011410288/", 1011410288)</f>
        <v>1011410288</v>
      </c>
      <c r="D14366">
        <v>0</v>
      </c>
    </row>
    <row r="14367" spans="1:4" hidden="1" x14ac:dyDescent="0.3">
      <c r="A14367" t="s">
        <v>958</v>
      </c>
      <c r="B14367" t="s">
        <v>118</v>
      </c>
      <c r="C14367" s="1">
        <f>HYPERLINK("https://cao.dolgi.msk.ru/account/1011410405/", 1011410405)</f>
        <v>1011410405</v>
      </c>
      <c r="D14367">
        <v>-1101.26</v>
      </c>
    </row>
    <row r="14368" spans="1:4" hidden="1" x14ac:dyDescent="0.3">
      <c r="A14368" t="s">
        <v>958</v>
      </c>
      <c r="B14368" t="s">
        <v>119</v>
      </c>
      <c r="C14368" s="1">
        <f>HYPERLINK("https://cao.dolgi.msk.ru/account/1011410501/", 1011410501)</f>
        <v>1011410501</v>
      </c>
      <c r="D14368">
        <v>0</v>
      </c>
    </row>
    <row r="14369" spans="1:4" hidden="1" x14ac:dyDescent="0.3">
      <c r="A14369" t="s">
        <v>958</v>
      </c>
      <c r="B14369" t="s">
        <v>120</v>
      </c>
      <c r="C14369" s="1">
        <f>HYPERLINK("https://cao.dolgi.msk.ru/account/1011410392/", 1011410392)</f>
        <v>1011410392</v>
      </c>
      <c r="D14369">
        <v>0</v>
      </c>
    </row>
    <row r="14370" spans="1:4" hidden="1" x14ac:dyDescent="0.3">
      <c r="A14370" t="s">
        <v>958</v>
      </c>
      <c r="B14370" t="s">
        <v>121</v>
      </c>
      <c r="C14370" s="1">
        <f>HYPERLINK("https://cao.dolgi.msk.ru/account/1011410704/", 1011410704)</f>
        <v>1011410704</v>
      </c>
      <c r="D14370">
        <v>0</v>
      </c>
    </row>
    <row r="14371" spans="1:4" hidden="1" x14ac:dyDescent="0.3">
      <c r="A14371" t="s">
        <v>958</v>
      </c>
      <c r="B14371" t="s">
        <v>122</v>
      </c>
      <c r="C14371" s="1">
        <f>HYPERLINK("https://cao.dolgi.msk.ru/account/1011410755/", 1011410755)</f>
        <v>1011410755</v>
      </c>
      <c r="D14371">
        <v>0</v>
      </c>
    </row>
    <row r="14372" spans="1:4" hidden="1" x14ac:dyDescent="0.3">
      <c r="A14372" t="s">
        <v>958</v>
      </c>
      <c r="B14372" t="s">
        <v>123</v>
      </c>
      <c r="C14372" s="1">
        <f>HYPERLINK("https://cao.dolgi.msk.ru/account/1011410739/", 1011410739)</f>
        <v>1011410739</v>
      </c>
      <c r="D14372">
        <v>-31185.42</v>
      </c>
    </row>
    <row r="14373" spans="1:4" hidden="1" x14ac:dyDescent="0.3">
      <c r="A14373" t="s">
        <v>959</v>
      </c>
      <c r="B14373" t="s">
        <v>104</v>
      </c>
      <c r="C14373" s="1">
        <f>HYPERLINK("https://cao.dolgi.msk.ru/account/1011411897/", 1011411897)</f>
        <v>1011411897</v>
      </c>
      <c r="D14373">
        <v>-5917.71</v>
      </c>
    </row>
    <row r="14374" spans="1:4" x14ac:dyDescent="0.3">
      <c r="A14374" t="s">
        <v>959</v>
      </c>
      <c r="B14374" t="s">
        <v>960</v>
      </c>
      <c r="C14374" s="1">
        <f>HYPERLINK("https://cao.dolgi.msk.ru/account/1011531792/", 1011531792)</f>
        <v>1011531792</v>
      </c>
      <c r="D14374">
        <v>90.99</v>
      </c>
    </row>
    <row r="14375" spans="1:4" hidden="1" x14ac:dyDescent="0.3">
      <c r="A14375" t="s">
        <v>959</v>
      </c>
      <c r="B14375" t="s">
        <v>960</v>
      </c>
      <c r="C14375" s="1">
        <f>HYPERLINK("https://cao.dolgi.msk.ru/account/1011538783/", 1011538783)</f>
        <v>1011538783</v>
      </c>
      <c r="D14375">
        <v>-39.35</v>
      </c>
    </row>
    <row r="14376" spans="1:4" hidden="1" x14ac:dyDescent="0.3">
      <c r="A14376" t="s">
        <v>959</v>
      </c>
      <c r="B14376" t="s">
        <v>105</v>
      </c>
      <c r="C14376" s="1">
        <f>HYPERLINK("https://cao.dolgi.msk.ru/account/1011411774/", 1011411774)</f>
        <v>1011411774</v>
      </c>
      <c r="D14376">
        <v>0</v>
      </c>
    </row>
    <row r="14377" spans="1:4" hidden="1" x14ac:dyDescent="0.3">
      <c r="A14377" t="s">
        <v>959</v>
      </c>
      <c r="B14377" t="s">
        <v>106</v>
      </c>
      <c r="C14377" s="1">
        <f>HYPERLINK("https://cao.dolgi.msk.ru/account/1011411918/", 1011411918)</f>
        <v>1011411918</v>
      </c>
      <c r="D14377">
        <v>-1695.22</v>
      </c>
    </row>
    <row r="14378" spans="1:4" hidden="1" x14ac:dyDescent="0.3">
      <c r="A14378" t="s">
        <v>959</v>
      </c>
      <c r="B14378" t="s">
        <v>107</v>
      </c>
      <c r="C14378" s="1">
        <f>HYPERLINK("https://cao.dolgi.msk.ru/account/1011411395/", 1011411395)</f>
        <v>1011411395</v>
      </c>
      <c r="D14378">
        <v>0</v>
      </c>
    </row>
    <row r="14379" spans="1:4" hidden="1" x14ac:dyDescent="0.3">
      <c r="A14379" t="s">
        <v>959</v>
      </c>
      <c r="B14379" t="s">
        <v>108</v>
      </c>
      <c r="C14379" s="1">
        <f>HYPERLINK("https://cao.dolgi.msk.ru/account/1011411109/", 1011411109)</f>
        <v>1011411109</v>
      </c>
      <c r="D14379">
        <v>0</v>
      </c>
    </row>
    <row r="14380" spans="1:4" hidden="1" x14ac:dyDescent="0.3">
      <c r="A14380" t="s">
        <v>959</v>
      </c>
      <c r="B14380" t="s">
        <v>109</v>
      </c>
      <c r="C14380" s="1">
        <f>HYPERLINK("https://cao.dolgi.msk.ru/account/1011410923/", 1011410923)</f>
        <v>1011410923</v>
      </c>
      <c r="D14380">
        <v>0</v>
      </c>
    </row>
    <row r="14381" spans="1:4" hidden="1" x14ac:dyDescent="0.3">
      <c r="A14381" t="s">
        <v>959</v>
      </c>
      <c r="B14381" t="s">
        <v>109</v>
      </c>
      <c r="C14381" s="1">
        <f>HYPERLINK("https://cao.dolgi.msk.ru/account/1011411432/", 1011411432)</f>
        <v>1011411432</v>
      </c>
      <c r="D14381">
        <v>0</v>
      </c>
    </row>
    <row r="14382" spans="1:4" hidden="1" x14ac:dyDescent="0.3">
      <c r="A14382" t="s">
        <v>959</v>
      </c>
      <c r="B14382" t="s">
        <v>110</v>
      </c>
      <c r="C14382" s="1">
        <f>HYPERLINK("https://cao.dolgi.msk.ru/account/1011411782/", 1011411782)</f>
        <v>1011411782</v>
      </c>
      <c r="D14382">
        <v>-10820.86</v>
      </c>
    </row>
    <row r="14383" spans="1:4" hidden="1" x14ac:dyDescent="0.3">
      <c r="A14383" t="s">
        <v>959</v>
      </c>
      <c r="B14383" t="s">
        <v>111</v>
      </c>
      <c r="C14383" s="1">
        <f>HYPERLINK("https://cao.dolgi.msk.ru/account/1011411491/", 1011411491)</f>
        <v>1011411491</v>
      </c>
      <c r="D14383">
        <v>-2016.34</v>
      </c>
    </row>
    <row r="14384" spans="1:4" x14ac:dyDescent="0.3">
      <c r="A14384" t="s">
        <v>959</v>
      </c>
      <c r="B14384" t="s">
        <v>111</v>
      </c>
      <c r="C14384" s="1">
        <f>HYPERLINK("https://cao.dolgi.msk.ru/account/1011411627/", 1011411627)</f>
        <v>1011411627</v>
      </c>
      <c r="D14384">
        <v>6529.82</v>
      </c>
    </row>
    <row r="14385" spans="1:4" hidden="1" x14ac:dyDescent="0.3">
      <c r="A14385" t="s">
        <v>959</v>
      </c>
      <c r="B14385" t="s">
        <v>112</v>
      </c>
      <c r="C14385" s="1">
        <f>HYPERLINK("https://cao.dolgi.msk.ru/account/1011411045/", 1011411045)</f>
        <v>1011411045</v>
      </c>
      <c r="D14385">
        <v>0</v>
      </c>
    </row>
    <row r="14386" spans="1:4" hidden="1" x14ac:dyDescent="0.3">
      <c r="A14386" t="s">
        <v>959</v>
      </c>
      <c r="B14386" t="s">
        <v>113</v>
      </c>
      <c r="C14386" s="1">
        <f>HYPERLINK("https://cao.dolgi.msk.ru/account/1011411328/", 1011411328)</f>
        <v>1011411328</v>
      </c>
      <c r="D14386">
        <v>0</v>
      </c>
    </row>
    <row r="14387" spans="1:4" hidden="1" x14ac:dyDescent="0.3">
      <c r="A14387" t="s">
        <v>959</v>
      </c>
      <c r="B14387" t="s">
        <v>114</v>
      </c>
      <c r="C14387" s="1">
        <f>HYPERLINK("https://cao.dolgi.msk.ru/account/1011411344/", 1011411344)</f>
        <v>1011411344</v>
      </c>
      <c r="D14387">
        <v>0</v>
      </c>
    </row>
    <row r="14388" spans="1:4" hidden="1" x14ac:dyDescent="0.3">
      <c r="A14388" t="s">
        <v>959</v>
      </c>
      <c r="B14388" t="s">
        <v>115</v>
      </c>
      <c r="C14388" s="1">
        <f>HYPERLINK("https://cao.dolgi.msk.ru/account/1011411248/", 1011411248)</f>
        <v>1011411248</v>
      </c>
      <c r="D14388">
        <v>0</v>
      </c>
    </row>
    <row r="14389" spans="1:4" hidden="1" x14ac:dyDescent="0.3">
      <c r="A14389" t="s">
        <v>959</v>
      </c>
      <c r="B14389" t="s">
        <v>116</v>
      </c>
      <c r="C14389" s="1">
        <f>HYPERLINK("https://cao.dolgi.msk.ru/account/1011411264/", 1011411264)</f>
        <v>1011411264</v>
      </c>
      <c r="D14389">
        <v>0</v>
      </c>
    </row>
    <row r="14390" spans="1:4" hidden="1" x14ac:dyDescent="0.3">
      <c r="A14390" t="s">
        <v>959</v>
      </c>
      <c r="B14390" t="s">
        <v>266</v>
      </c>
      <c r="C14390" s="1">
        <f>HYPERLINK("https://cao.dolgi.msk.ru/account/1011411053/", 1011411053)</f>
        <v>1011411053</v>
      </c>
      <c r="D14390">
        <v>0</v>
      </c>
    </row>
    <row r="14391" spans="1:4" hidden="1" x14ac:dyDescent="0.3">
      <c r="A14391" t="s">
        <v>959</v>
      </c>
      <c r="B14391" t="s">
        <v>117</v>
      </c>
      <c r="C14391" s="1">
        <f>HYPERLINK("https://cao.dolgi.msk.ru/account/1011411299/", 1011411299)</f>
        <v>1011411299</v>
      </c>
      <c r="D14391">
        <v>-2363.79</v>
      </c>
    </row>
    <row r="14392" spans="1:4" hidden="1" x14ac:dyDescent="0.3">
      <c r="A14392" t="s">
        <v>959</v>
      </c>
      <c r="B14392" t="s">
        <v>117</v>
      </c>
      <c r="C14392" s="1">
        <f>HYPERLINK("https://cao.dolgi.msk.ru/account/1011540103/", 1011540103)</f>
        <v>1011540103</v>
      </c>
      <c r="D14392">
        <v>0</v>
      </c>
    </row>
    <row r="14393" spans="1:4" hidden="1" x14ac:dyDescent="0.3">
      <c r="A14393" t="s">
        <v>959</v>
      </c>
      <c r="B14393" t="s">
        <v>122</v>
      </c>
      <c r="C14393" s="1">
        <f>HYPERLINK("https://cao.dolgi.msk.ru/account/1011411088/", 1011411088)</f>
        <v>1011411088</v>
      </c>
      <c r="D14393">
        <v>0</v>
      </c>
    </row>
    <row r="14394" spans="1:4" x14ac:dyDescent="0.3">
      <c r="A14394" t="s">
        <v>959</v>
      </c>
      <c r="B14394" t="s">
        <v>123</v>
      </c>
      <c r="C14394" s="1">
        <f>HYPERLINK("https://cao.dolgi.msk.ru/account/1011411889/", 1011411889)</f>
        <v>1011411889</v>
      </c>
      <c r="D14394">
        <v>4189.3900000000003</v>
      </c>
    </row>
    <row r="14395" spans="1:4" x14ac:dyDescent="0.3">
      <c r="A14395" t="s">
        <v>959</v>
      </c>
      <c r="B14395" t="s">
        <v>124</v>
      </c>
      <c r="C14395" s="1">
        <f>HYPERLINK("https://cao.dolgi.msk.ru/account/1011410835/", 1011410835)</f>
        <v>1011410835</v>
      </c>
      <c r="D14395">
        <v>8200.8799999999992</v>
      </c>
    </row>
    <row r="14396" spans="1:4" hidden="1" x14ac:dyDescent="0.3">
      <c r="A14396" t="s">
        <v>959</v>
      </c>
      <c r="B14396" t="s">
        <v>125</v>
      </c>
      <c r="C14396" s="1">
        <f>HYPERLINK("https://cao.dolgi.msk.ru/account/1011411168/", 1011411168)</f>
        <v>1011411168</v>
      </c>
      <c r="D14396">
        <v>0</v>
      </c>
    </row>
    <row r="14397" spans="1:4" hidden="1" x14ac:dyDescent="0.3">
      <c r="A14397" t="s">
        <v>959</v>
      </c>
      <c r="B14397" t="s">
        <v>125</v>
      </c>
      <c r="C14397" s="1">
        <f>HYPERLINK("https://cao.dolgi.msk.ru/account/1011411563/", 1011411563)</f>
        <v>1011411563</v>
      </c>
      <c r="D14397">
        <v>0</v>
      </c>
    </row>
    <row r="14398" spans="1:4" hidden="1" x14ac:dyDescent="0.3">
      <c r="A14398" t="s">
        <v>959</v>
      </c>
      <c r="B14398" t="s">
        <v>126</v>
      </c>
      <c r="C14398" s="1">
        <f>HYPERLINK("https://cao.dolgi.msk.ru/account/1011411301/", 1011411301)</f>
        <v>1011411301</v>
      </c>
      <c r="D14398">
        <v>0</v>
      </c>
    </row>
    <row r="14399" spans="1:4" hidden="1" x14ac:dyDescent="0.3">
      <c r="A14399" t="s">
        <v>959</v>
      </c>
      <c r="B14399" t="s">
        <v>127</v>
      </c>
      <c r="C14399" s="1">
        <f>HYPERLINK("https://cao.dolgi.msk.ru/account/1011411838/", 1011411838)</f>
        <v>1011411838</v>
      </c>
      <c r="D14399">
        <v>0</v>
      </c>
    </row>
    <row r="14400" spans="1:4" hidden="1" x14ac:dyDescent="0.3">
      <c r="A14400" t="s">
        <v>959</v>
      </c>
      <c r="B14400" t="s">
        <v>262</v>
      </c>
      <c r="C14400" s="1">
        <f>HYPERLINK("https://cao.dolgi.msk.ru/account/1011411133/", 1011411133)</f>
        <v>1011411133</v>
      </c>
      <c r="D14400">
        <v>-54.46</v>
      </c>
    </row>
    <row r="14401" spans="1:4" hidden="1" x14ac:dyDescent="0.3">
      <c r="A14401" t="s">
        <v>959</v>
      </c>
      <c r="B14401" t="s">
        <v>128</v>
      </c>
      <c r="C14401" s="1">
        <f>HYPERLINK("https://cao.dolgi.msk.ru/account/1011411635/", 1011411635)</f>
        <v>1011411635</v>
      </c>
      <c r="D14401">
        <v>0</v>
      </c>
    </row>
    <row r="14402" spans="1:4" hidden="1" x14ac:dyDescent="0.3">
      <c r="A14402" t="s">
        <v>959</v>
      </c>
      <c r="B14402" t="s">
        <v>129</v>
      </c>
      <c r="C14402" s="1">
        <f>HYPERLINK("https://cao.dolgi.msk.ru/account/1011411758/", 1011411758)</f>
        <v>1011411758</v>
      </c>
      <c r="D14402">
        <v>0</v>
      </c>
    </row>
    <row r="14403" spans="1:4" hidden="1" x14ac:dyDescent="0.3">
      <c r="A14403" t="s">
        <v>959</v>
      </c>
      <c r="B14403" t="s">
        <v>129</v>
      </c>
      <c r="C14403" s="1">
        <f>HYPERLINK("https://cao.dolgi.msk.ru/account/1011504508/", 1011504508)</f>
        <v>1011504508</v>
      </c>
      <c r="D14403">
        <v>0</v>
      </c>
    </row>
    <row r="14404" spans="1:4" hidden="1" x14ac:dyDescent="0.3">
      <c r="A14404" t="s">
        <v>959</v>
      </c>
      <c r="B14404" t="s">
        <v>130</v>
      </c>
      <c r="C14404" s="1">
        <f>HYPERLINK("https://cao.dolgi.msk.ru/account/1011410894/", 1011410894)</f>
        <v>1011410894</v>
      </c>
      <c r="D14404">
        <v>0</v>
      </c>
    </row>
    <row r="14405" spans="1:4" hidden="1" x14ac:dyDescent="0.3">
      <c r="A14405" t="s">
        <v>959</v>
      </c>
      <c r="B14405" t="s">
        <v>131</v>
      </c>
      <c r="C14405" s="1">
        <f>HYPERLINK("https://cao.dolgi.msk.ru/account/1011411512/", 1011411512)</f>
        <v>1011411512</v>
      </c>
      <c r="D14405">
        <v>0</v>
      </c>
    </row>
    <row r="14406" spans="1:4" hidden="1" x14ac:dyDescent="0.3">
      <c r="A14406" t="s">
        <v>959</v>
      </c>
      <c r="B14406" t="s">
        <v>132</v>
      </c>
      <c r="C14406" s="1">
        <f>HYPERLINK("https://cao.dolgi.msk.ru/account/1011505463/", 1011505463)</f>
        <v>1011505463</v>
      </c>
      <c r="D14406">
        <v>-8854.84</v>
      </c>
    </row>
    <row r="14407" spans="1:4" hidden="1" x14ac:dyDescent="0.3">
      <c r="A14407" t="s">
        <v>959</v>
      </c>
      <c r="B14407" t="s">
        <v>134</v>
      </c>
      <c r="C14407" s="1">
        <f>HYPERLINK("https://cao.dolgi.msk.ru/account/1011411272/", 1011411272)</f>
        <v>1011411272</v>
      </c>
      <c r="D14407">
        <v>0</v>
      </c>
    </row>
    <row r="14408" spans="1:4" hidden="1" x14ac:dyDescent="0.3">
      <c r="A14408" t="s">
        <v>959</v>
      </c>
      <c r="B14408" t="s">
        <v>135</v>
      </c>
      <c r="C14408" s="1">
        <f>HYPERLINK("https://cao.dolgi.msk.ru/account/1011411117/", 1011411117)</f>
        <v>1011411117</v>
      </c>
      <c r="D14408">
        <v>-6881.17</v>
      </c>
    </row>
    <row r="14409" spans="1:4" hidden="1" x14ac:dyDescent="0.3">
      <c r="A14409" t="s">
        <v>959</v>
      </c>
      <c r="B14409" t="s">
        <v>264</v>
      </c>
      <c r="C14409" s="1">
        <f>HYPERLINK("https://cao.dolgi.msk.ru/account/1011411643/", 1011411643)</f>
        <v>1011411643</v>
      </c>
      <c r="D14409">
        <v>0</v>
      </c>
    </row>
    <row r="14410" spans="1:4" hidden="1" x14ac:dyDescent="0.3">
      <c r="A14410" t="s">
        <v>959</v>
      </c>
      <c r="B14410" t="s">
        <v>136</v>
      </c>
      <c r="C14410" s="1">
        <f>HYPERLINK("https://cao.dolgi.msk.ru/account/1011410907/", 1011410907)</f>
        <v>1011410907</v>
      </c>
      <c r="D14410">
        <v>0</v>
      </c>
    </row>
    <row r="14411" spans="1:4" hidden="1" x14ac:dyDescent="0.3">
      <c r="A14411" t="s">
        <v>959</v>
      </c>
      <c r="B14411" t="s">
        <v>137</v>
      </c>
      <c r="C14411" s="1">
        <f>HYPERLINK("https://cao.dolgi.msk.ru/account/1011411176/", 1011411176)</f>
        <v>1011411176</v>
      </c>
      <c r="D14411">
        <v>0</v>
      </c>
    </row>
    <row r="14412" spans="1:4" hidden="1" x14ac:dyDescent="0.3">
      <c r="A14412" t="s">
        <v>959</v>
      </c>
      <c r="B14412" t="s">
        <v>138</v>
      </c>
      <c r="C14412" s="1">
        <f>HYPERLINK("https://cao.dolgi.msk.ru/account/1011410878/", 1011410878)</f>
        <v>1011410878</v>
      </c>
      <c r="D14412">
        <v>0</v>
      </c>
    </row>
    <row r="14413" spans="1:4" hidden="1" x14ac:dyDescent="0.3">
      <c r="A14413" t="s">
        <v>959</v>
      </c>
      <c r="B14413" t="s">
        <v>139</v>
      </c>
      <c r="C14413" s="1">
        <f>HYPERLINK("https://cao.dolgi.msk.ru/account/1011411192/", 1011411192)</f>
        <v>1011411192</v>
      </c>
      <c r="D14413">
        <v>0</v>
      </c>
    </row>
    <row r="14414" spans="1:4" hidden="1" x14ac:dyDescent="0.3">
      <c r="A14414" t="s">
        <v>959</v>
      </c>
      <c r="B14414" t="s">
        <v>140</v>
      </c>
      <c r="C14414" s="1">
        <f>HYPERLINK("https://cao.dolgi.msk.ru/account/1011411651/", 1011411651)</f>
        <v>1011411651</v>
      </c>
      <c r="D14414">
        <v>0</v>
      </c>
    </row>
    <row r="14415" spans="1:4" x14ac:dyDescent="0.3">
      <c r="A14415" t="s">
        <v>959</v>
      </c>
      <c r="B14415" t="s">
        <v>141</v>
      </c>
      <c r="C14415" s="1">
        <f>HYPERLINK("https://cao.dolgi.msk.ru/account/1011411061/", 1011411061)</f>
        <v>1011411061</v>
      </c>
      <c r="D14415">
        <v>224</v>
      </c>
    </row>
    <row r="14416" spans="1:4" hidden="1" x14ac:dyDescent="0.3">
      <c r="A14416" t="s">
        <v>959</v>
      </c>
      <c r="B14416" t="s">
        <v>141</v>
      </c>
      <c r="C14416" s="1">
        <f>HYPERLINK("https://cao.dolgi.msk.ru/account/1011411416/", 1011411416)</f>
        <v>1011411416</v>
      </c>
      <c r="D14416">
        <v>0</v>
      </c>
    </row>
    <row r="14417" spans="1:4" hidden="1" x14ac:dyDescent="0.3">
      <c r="A14417" t="s">
        <v>959</v>
      </c>
      <c r="B14417" t="s">
        <v>142</v>
      </c>
      <c r="C14417" s="1">
        <f>HYPERLINK("https://cao.dolgi.msk.ru/account/1011411475/", 1011411475)</f>
        <v>1011411475</v>
      </c>
      <c r="D14417">
        <v>0</v>
      </c>
    </row>
    <row r="14418" spans="1:4" hidden="1" x14ac:dyDescent="0.3">
      <c r="A14418" t="s">
        <v>959</v>
      </c>
      <c r="B14418" t="s">
        <v>143</v>
      </c>
      <c r="C14418" s="1">
        <f>HYPERLINK("https://cao.dolgi.msk.ru/account/1011411715/", 1011411715)</f>
        <v>1011411715</v>
      </c>
      <c r="D14418">
        <v>0</v>
      </c>
    </row>
    <row r="14419" spans="1:4" hidden="1" x14ac:dyDescent="0.3">
      <c r="A14419" t="s">
        <v>959</v>
      </c>
      <c r="B14419" t="s">
        <v>144</v>
      </c>
      <c r="C14419" s="1">
        <f>HYPERLINK("https://cao.dolgi.msk.ru/account/1011411803/", 1011411803)</f>
        <v>1011411803</v>
      </c>
      <c r="D14419">
        <v>0</v>
      </c>
    </row>
    <row r="14420" spans="1:4" x14ac:dyDescent="0.3">
      <c r="A14420" t="s">
        <v>959</v>
      </c>
      <c r="B14420" t="s">
        <v>145</v>
      </c>
      <c r="C14420" s="1">
        <f>HYPERLINK("https://cao.dolgi.msk.ru/account/1011541536/", 1011541536)</f>
        <v>1011541536</v>
      </c>
      <c r="D14420">
        <v>5337.03</v>
      </c>
    </row>
    <row r="14421" spans="1:4" hidden="1" x14ac:dyDescent="0.3">
      <c r="A14421" t="s">
        <v>959</v>
      </c>
      <c r="B14421" t="s">
        <v>146</v>
      </c>
      <c r="C14421" s="1">
        <f>HYPERLINK("https://cao.dolgi.msk.ru/account/1011410886/", 1011410886)</f>
        <v>1011410886</v>
      </c>
      <c r="D14421">
        <v>-1482.69</v>
      </c>
    </row>
    <row r="14422" spans="1:4" x14ac:dyDescent="0.3">
      <c r="A14422" t="s">
        <v>959</v>
      </c>
      <c r="B14422" t="s">
        <v>147</v>
      </c>
      <c r="C14422" s="1">
        <f>HYPERLINK("https://cao.dolgi.msk.ru/account/1011411846/", 1011411846)</f>
        <v>1011411846</v>
      </c>
      <c r="D14422">
        <v>5573.86</v>
      </c>
    </row>
    <row r="14423" spans="1:4" hidden="1" x14ac:dyDescent="0.3">
      <c r="A14423" t="s">
        <v>959</v>
      </c>
      <c r="B14423" t="s">
        <v>148</v>
      </c>
      <c r="C14423" s="1">
        <f>HYPERLINK("https://cao.dolgi.msk.ru/account/1011411336/", 1011411336)</f>
        <v>1011411336</v>
      </c>
      <c r="D14423">
        <v>0</v>
      </c>
    </row>
    <row r="14424" spans="1:4" hidden="1" x14ac:dyDescent="0.3">
      <c r="A14424" t="s">
        <v>959</v>
      </c>
      <c r="B14424" t="s">
        <v>149</v>
      </c>
      <c r="C14424" s="1">
        <f>HYPERLINK("https://cao.dolgi.msk.ru/account/1011411539/", 1011411539)</f>
        <v>1011411539</v>
      </c>
      <c r="D14424">
        <v>-5618.67</v>
      </c>
    </row>
    <row r="14425" spans="1:4" hidden="1" x14ac:dyDescent="0.3">
      <c r="A14425" t="s">
        <v>959</v>
      </c>
      <c r="B14425" t="s">
        <v>150</v>
      </c>
      <c r="C14425" s="1">
        <f>HYPERLINK("https://cao.dolgi.msk.ru/account/1011411002/", 1011411002)</f>
        <v>1011411002</v>
      </c>
      <c r="D14425">
        <v>-356.25</v>
      </c>
    </row>
    <row r="14426" spans="1:4" hidden="1" x14ac:dyDescent="0.3">
      <c r="A14426" t="s">
        <v>959</v>
      </c>
      <c r="B14426" t="s">
        <v>151</v>
      </c>
      <c r="C14426" s="1">
        <f>HYPERLINK("https://cao.dolgi.msk.ru/account/1011411598/", 1011411598)</f>
        <v>1011411598</v>
      </c>
      <c r="D14426">
        <v>-1215.22</v>
      </c>
    </row>
    <row r="14427" spans="1:4" hidden="1" x14ac:dyDescent="0.3">
      <c r="A14427" t="s">
        <v>959</v>
      </c>
      <c r="B14427" t="s">
        <v>152</v>
      </c>
      <c r="C14427" s="1">
        <f>HYPERLINK("https://cao.dolgi.msk.ru/account/1011410966/", 1011410966)</f>
        <v>1011410966</v>
      </c>
      <c r="D14427">
        <v>-2721.59</v>
      </c>
    </row>
    <row r="14428" spans="1:4" hidden="1" x14ac:dyDescent="0.3">
      <c r="A14428" t="s">
        <v>959</v>
      </c>
      <c r="B14428" t="s">
        <v>153</v>
      </c>
      <c r="C14428" s="1">
        <f>HYPERLINK("https://cao.dolgi.msk.ru/account/1011411547/", 1011411547)</f>
        <v>1011411547</v>
      </c>
      <c r="D14428">
        <v>0</v>
      </c>
    </row>
    <row r="14429" spans="1:4" hidden="1" x14ac:dyDescent="0.3">
      <c r="A14429" t="s">
        <v>959</v>
      </c>
      <c r="B14429" t="s">
        <v>154</v>
      </c>
      <c r="C14429" s="1">
        <f>HYPERLINK("https://cao.dolgi.msk.ru/account/1011411184/", 1011411184)</f>
        <v>1011411184</v>
      </c>
      <c r="D14429">
        <v>0</v>
      </c>
    </row>
    <row r="14430" spans="1:4" hidden="1" x14ac:dyDescent="0.3">
      <c r="A14430" t="s">
        <v>959</v>
      </c>
      <c r="B14430" t="s">
        <v>155</v>
      </c>
      <c r="C14430" s="1">
        <f>HYPERLINK("https://cao.dolgi.msk.ru/account/1011410974/", 1011410974)</f>
        <v>1011410974</v>
      </c>
      <c r="D14430">
        <v>0</v>
      </c>
    </row>
    <row r="14431" spans="1:4" hidden="1" x14ac:dyDescent="0.3">
      <c r="A14431" t="s">
        <v>959</v>
      </c>
      <c r="B14431" t="s">
        <v>156</v>
      </c>
      <c r="C14431" s="1">
        <f>HYPERLINK("https://cao.dolgi.msk.ru/account/1011410915/", 1011410915)</f>
        <v>1011410915</v>
      </c>
      <c r="D14431">
        <v>0</v>
      </c>
    </row>
    <row r="14432" spans="1:4" x14ac:dyDescent="0.3">
      <c r="A14432" t="s">
        <v>959</v>
      </c>
      <c r="B14432" t="s">
        <v>157</v>
      </c>
      <c r="C14432" s="1">
        <f>HYPERLINK("https://cao.dolgi.msk.ru/account/1011411352/", 1011411352)</f>
        <v>1011411352</v>
      </c>
      <c r="D14432">
        <v>14107.95</v>
      </c>
    </row>
    <row r="14433" spans="1:4" hidden="1" x14ac:dyDescent="0.3">
      <c r="A14433" t="s">
        <v>959</v>
      </c>
      <c r="B14433" t="s">
        <v>158</v>
      </c>
      <c r="C14433" s="1">
        <f>HYPERLINK("https://cao.dolgi.msk.ru/account/1011411811/", 1011411811)</f>
        <v>1011411811</v>
      </c>
      <c r="D14433">
        <v>-4589.29</v>
      </c>
    </row>
    <row r="14434" spans="1:4" hidden="1" x14ac:dyDescent="0.3">
      <c r="A14434" t="s">
        <v>959</v>
      </c>
      <c r="B14434" t="s">
        <v>159</v>
      </c>
      <c r="C14434" s="1">
        <f>HYPERLINK("https://cao.dolgi.msk.ru/account/1011410931/", 1011410931)</f>
        <v>1011410931</v>
      </c>
      <c r="D14434">
        <v>0</v>
      </c>
    </row>
    <row r="14435" spans="1:4" hidden="1" x14ac:dyDescent="0.3">
      <c r="A14435" t="s">
        <v>959</v>
      </c>
      <c r="B14435" t="s">
        <v>160</v>
      </c>
      <c r="C14435" s="1">
        <f>HYPERLINK("https://cao.dolgi.msk.ru/account/1011410851/", 1011410851)</f>
        <v>1011410851</v>
      </c>
      <c r="D14435">
        <v>0</v>
      </c>
    </row>
    <row r="14436" spans="1:4" hidden="1" x14ac:dyDescent="0.3">
      <c r="A14436" t="s">
        <v>959</v>
      </c>
      <c r="B14436" t="s">
        <v>161</v>
      </c>
      <c r="C14436" s="1">
        <f>HYPERLINK("https://cao.dolgi.msk.ru/account/1011411731/", 1011411731)</f>
        <v>1011411731</v>
      </c>
      <c r="D14436">
        <v>-4666.1000000000004</v>
      </c>
    </row>
    <row r="14437" spans="1:4" x14ac:dyDescent="0.3">
      <c r="A14437" t="s">
        <v>959</v>
      </c>
      <c r="B14437" t="s">
        <v>162</v>
      </c>
      <c r="C14437" s="1">
        <f>HYPERLINK("https://cao.dolgi.msk.ru/account/1011411678/", 1011411678)</f>
        <v>1011411678</v>
      </c>
      <c r="D14437">
        <v>3292.06</v>
      </c>
    </row>
    <row r="14438" spans="1:4" hidden="1" x14ac:dyDescent="0.3">
      <c r="A14438" t="s">
        <v>959</v>
      </c>
      <c r="B14438" t="s">
        <v>163</v>
      </c>
      <c r="C14438" s="1">
        <f>HYPERLINK("https://cao.dolgi.msk.ru/account/1011411686/", 1011411686)</f>
        <v>1011411686</v>
      </c>
      <c r="D14438">
        <v>0</v>
      </c>
    </row>
    <row r="14439" spans="1:4" hidden="1" x14ac:dyDescent="0.3">
      <c r="A14439" t="s">
        <v>959</v>
      </c>
      <c r="B14439" t="s">
        <v>225</v>
      </c>
      <c r="C14439" s="1">
        <f>HYPERLINK("https://cao.dolgi.msk.ru/account/1011411694/", 1011411694)</f>
        <v>1011411694</v>
      </c>
      <c r="D14439">
        <v>-8260.7999999999993</v>
      </c>
    </row>
    <row r="14440" spans="1:4" hidden="1" x14ac:dyDescent="0.3">
      <c r="A14440" t="s">
        <v>959</v>
      </c>
      <c r="B14440" t="s">
        <v>226</v>
      </c>
      <c r="C14440" s="1">
        <f>HYPERLINK("https://cao.dolgi.msk.ru/account/1011411459/", 1011411459)</f>
        <v>1011411459</v>
      </c>
      <c r="D14440">
        <v>-17867.95</v>
      </c>
    </row>
    <row r="14441" spans="1:4" hidden="1" x14ac:dyDescent="0.3">
      <c r="A14441" t="s">
        <v>959</v>
      </c>
      <c r="B14441" t="s">
        <v>227</v>
      </c>
      <c r="C14441" s="1">
        <f>HYPERLINK("https://cao.dolgi.msk.ru/account/1011411037/", 1011411037)</f>
        <v>1011411037</v>
      </c>
      <c r="D14441">
        <v>-3443.79</v>
      </c>
    </row>
    <row r="14442" spans="1:4" hidden="1" x14ac:dyDescent="0.3">
      <c r="A14442" t="s">
        <v>959</v>
      </c>
      <c r="B14442" t="s">
        <v>228</v>
      </c>
      <c r="C14442" s="1">
        <f>HYPERLINK("https://cao.dolgi.msk.ru/account/1011411379/", 1011411379)</f>
        <v>1011411379</v>
      </c>
      <c r="D14442">
        <v>-5433.61</v>
      </c>
    </row>
    <row r="14443" spans="1:4" x14ac:dyDescent="0.3">
      <c r="A14443" t="s">
        <v>959</v>
      </c>
      <c r="B14443" t="s">
        <v>229</v>
      </c>
      <c r="C14443" s="1">
        <f>HYPERLINK("https://cao.dolgi.msk.ru/account/1011411723/", 1011411723)</f>
        <v>1011411723</v>
      </c>
      <c r="D14443">
        <v>1005.38</v>
      </c>
    </row>
    <row r="14444" spans="1:4" hidden="1" x14ac:dyDescent="0.3">
      <c r="A14444" t="s">
        <v>959</v>
      </c>
      <c r="B14444" t="s">
        <v>230</v>
      </c>
      <c r="C14444" s="1">
        <f>HYPERLINK("https://cao.dolgi.msk.ru/account/1011411141/", 1011411141)</f>
        <v>1011411141</v>
      </c>
      <c r="D14444">
        <v>-8201.9500000000007</v>
      </c>
    </row>
    <row r="14445" spans="1:4" hidden="1" x14ac:dyDescent="0.3">
      <c r="A14445" t="s">
        <v>959</v>
      </c>
      <c r="B14445" t="s">
        <v>231</v>
      </c>
      <c r="C14445" s="1">
        <f>HYPERLINK("https://cao.dolgi.msk.ru/account/1011411256/", 1011411256)</f>
        <v>1011411256</v>
      </c>
      <c r="D14445">
        <v>0</v>
      </c>
    </row>
    <row r="14446" spans="1:4" x14ac:dyDescent="0.3">
      <c r="A14446" t="s">
        <v>959</v>
      </c>
      <c r="B14446" t="s">
        <v>232</v>
      </c>
      <c r="C14446" s="1">
        <f>HYPERLINK("https://cao.dolgi.msk.ru/account/1011411854/", 1011411854)</f>
        <v>1011411854</v>
      </c>
      <c r="D14446">
        <v>5447.34</v>
      </c>
    </row>
    <row r="14447" spans="1:4" hidden="1" x14ac:dyDescent="0.3">
      <c r="A14447" t="s">
        <v>959</v>
      </c>
      <c r="B14447" t="s">
        <v>233</v>
      </c>
      <c r="C14447" s="1">
        <f>HYPERLINK("https://cao.dolgi.msk.ru/account/1011411483/", 1011411483)</f>
        <v>1011411483</v>
      </c>
      <c r="D14447">
        <v>0</v>
      </c>
    </row>
    <row r="14448" spans="1:4" hidden="1" x14ac:dyDescent="0.3">
      <c r="A14448" t="s">
        <v>959</v>
      </c>
      <c r="B14448" t="s">
        <v>234</v>
      </c>
      <c r="C14448" s="1">
        <f>HYPERLINK("https://cao.dolgi.msk.ru/account/1011411926/", 1011411926)</f>
        <v>1011411926</v>
      </c>
      <c r="D14448">
        <v>0</v>
      </c>
    </row>
    <row r="14449" spans="1:4" hidden="1" x14ac:dyDescent="0.3">
      <c r="A14449" t="s">
        <v>959</v>
      </c>
      <c r="B14449" t="s">
        <v>235</v>
      </c>
      <c r="C14449" s="1">
        <f>HYPERLINK("https://cao.dolgi.msk.ru/account/1011411504/", 1011411504)</f>
        <v>1011411504</v>
      </c>
      <c r="D14449">
        <v>0</v>
      </c>
    </row>
    <row r="14450" spans="1:4" hidden="1" x14ac:dyDescent="0.3">
      <c r="A14450" t="s">
        <v>959</v>
      </c>
      <c r="B14450" t="s">
        <v>288</v>
      </c>
      <c r="C14450" s="1">
        <f>HYPERLINK("https://cao.dolgi.msk.ru/account/1011411387/", 1011411387)</f>
        <v>1011411387</v>
      </c>
      <c r="D14450">
        <v>-187.62</v>
      </c>
    </row>
    <row r="14451" spans="1:4" hidden="1" x14ac:dyDescent="0.3">
      <c r="A14451" t="s">
        <v>959</v>
      </c>
      <c r="B14451" t="s">
        <v>236</v>
      </c>
      <c r="C14451" s="1">
        <f>HYPERLINK("https://cao.dolgi.msk.ru/account/1011410843/", 1011410843)</f>
        <v>1011410843</v>
      </c>
      <c r="D14451">
        <v>-7805.92</v>
      </c>
    </row>
    <row r="14452" spans="1:4" x14ac:dyDescent="0.3">
      <c r="A14452" t="s">
        <v>959</v>
      </c>
      <c r="B14452" t="s">
        <v>237</v>
      </c>
      <c r="C14452" s="1">
        <f>HYPERLINK("https://cao.dolgi.msk.ru/account/1011411555/", 1011411555)</f>
        <v>1011411555</v>
      </c>
      <c r="D14452">
        <v>192.23</v>
      </c>
    </row>
    <row r="14453" spans="1:4" x14ac:dyDescent="0.3">
      <c r="A14453" t="s">
        <v>959</v>
      </c>
      <c r="B14453" t="s">
        <v>238</v>
      </c>
      <c r="C14453" s="1">
        <f>HYPERLINK("https://cao.dolgi.msk.ru/account/1011411707/", 1011411707)</f>
        <v>1011411707</v>
      </c>
      <c r="D14453">
        <v>243</v>
      </c>
    </row>
    <row r="14454" spans="1:4" x14ac:dyDescent="0.3">
      <c r="A14454" t="s">
        <v>959</v>
      </c>
      <c r="B14454" t="s">
        <v>239</v>
      </c>
      <c r="C14454" s="1">
        <f>HYPERLINK("https://cao.dolgi.msk.ru/account/1011410982/", 1011410982)</f>
        <v>1011410982</v>
      </c>
      <c r="D14454">
        <v>6522.58</v>
      </c>
    </row>
    <row r="14455" spans="1:4" hidden="1" x14ac:dyDescent="0.3">
      <c r="A14455" t="s">
        <v>959</v>
      </c>
      <c r="B14455" t="s">
        <v>240</v>
      </c>
      <c r="C14455" s="1">
        <f>HYPERLINK("https://cao.dolgi.msk.ru/account/1011411096/", 1011411096)</f>
        <v>1011411096</v>
      </c>
      <c r="D14455">
        <v>-1591.22</v>
      </c>
    </row>
    <row r="14456" spans="1:4" x14ac:dyDescent="0.3">
      <c r="A14456" t="s">
        <v>959</v>
      </c>
      <c r="B14456" t="s">
        <v>241</v>
      </c>
      <c r="C14456" s="1">
        <f>HYPERLINK("https://cao.dolgi.msk.ru/account/1011411205/", 1011411205)</f>
        <v>1011411205</v>
      </c>
      <c r="D14456">
        <v>1136.8800000000001</v>
      </c>
    </row>
    <row r="14457" spans="1:4" hidden="1" x14ac:dyDescent="0.3">
      <c r="A14457" t="s">
        <v>959</v>
      </c>
      <c r="B14457" t="s">
        <v>242</v>
      </c>
      <c r="C14457" s="1">
        <f>HYPERLINK("https://cao.dolgi.msk.ru/account/1011411467/", 1011411467)</f>
        <v>1011411467</v>
      </c>
      <c r="D14457">
        <v>0</v>
      </c>
    </row>
    <row r="14458" spans="1:4" hidden="1" x14ac:dyDescent="0.3">
      <c r="A14458" t="s">
        <v>959</v>
      </c>
      <c r="B14458" t="s">
        <v>289</v>
      </c>
      <c r="C14458" s="1">
        <f>HYPERLINK("https://cao.dolgi.msk.ru/account/1011411766/", 1011411766)</f>
        <v>1011411766</v>
      </c>
      <c r="D14458">
        <v>0</v>
      </c>
    </row>
    <row r="14459" spans="1:4" hidden="1" x14ac:dyDescent="0.3">
      <c r="A14459" t="s">
        <v>961</v>
      </c>
      <c r="B14459" t="s">
        <v>124</v>
      </c>
      <c r="C14459" s="1">
        <f>HYPERLINK("https://cao.dolgi.msk.ru/account/1011412347/", 1011412347)</f>
        <v>1011412347</v>
      </c>
      <c r="D14459">
        <v>0</v>
      </c>
    </row>
    <row r="14460" spans="1:4" hidden="1" x14ac:dyDescent="0.3">
      <c r="A14460" t="s">
        <v>961</v>
      </c>
      <c r="B14460" t="s">
        <v>125</v>
      </c>
      <c r="C14460" s="1">
        <f>HYPERLINK("https://cao.dolgi.msk.ru/account/1011412398/", 1011412398)</f>
        <v>1011412398</v>
      </c>
      <c r="D14460">
        <v>-8776.25</v>
      </c>
    </row>
    <row r="14461" spans="1:4" hidden="1" x14ac:dyDescent="0.3">
      <c r="A14461" t="s">
        <v>961</v>
      </c>
      <c r="B14461" t="s">
        <v>126</v>
      </c>
      <c r="C14461" s="1">
        <f>HYPERLINK("https://cao.dolgi.msk.ru/account/1011412179/", 1011412179)</f>
        <v>1011412179</v>
      </c>
      <c r="D14461">
        <v>0</v>
      </c>
    </row>
    <row r="14462" spans="1:4" x14ac:dyDescent="0.3">
      <c r="A14462" t="s">
        <v>961</v>
      </c>
      <c r="B14462" t="s">
        <v>127</v>
      </c>
      <c r="C14462" s="1">
        <f>HYPERLINK("https://cao.dolgi.msk.ru/account/1011412099/", 1011412099)</f>
        <v>1011412099</v>
      </c>
      <c r="D14462">
        <v>6091.71</v>
      </c>
    </row>
    <row r="14463" spans="1:4" hidden="1" x14ac:dyDescent="0.3">
      <c r="A14463" t="s">
        <v>961</v>
      </c>
      <c r="B14463" t="s">
        <v>262</v>
      </c>
      <c r="C14463" s="1">
        <f>HYPERLINK("https://cao.dolgi.msk.ru/account/1011412072/", 1011412072)</f>
        <v>1011412072</v>
      </c>
      <c r="D14463">
        <v>0</v>
      </c>
    </row>
    <row r="14464" spans="1:4" hidden="1" x14ac:dyDescent="0.3">
      <c r="A14464" t="s">
        <v>961</v>
      </c>
      <c r="B14464" t="s">
        <v>128</v>
      </c>
      <c r="C14464" s="1">
        <f>HYPERLINK("https://cao.dolgi.msk.ru/account/1011412507/", 1011412507)</f>
        <v>1011412507</v>
      </c>
      <c r="D14464">
        <v>0</v>
      </c>
    </row>
    <row r="14465" spans="1:4" hidden="1" x14ac:dyDescent="0.3">
      <c r="A14465" t="s">
        <v>961</v>
      </c>
      <c r="B14465" t="s">
        <v>129</v>
      </c>
      <c r="C14465" s="1">
        <f>HYPERLINK("https://cao.dolgi.msk.ru/account/1011412435/", 1011412435)</f>
        <v>1011412435</v>
      </c>
      <c r="D14465">
        <v>0</v>
      </c>
    </row>
    <row r="14466" spans="1:4" hidden="1" x14ac:dyDescent="0.3">
      <c r="A14466" t="s">
        <v>961</v>
      </c>
      <c r="B14466" t="s">
        <v>130</v>
      </c>
      <c r="C14466" s="1">
        <f>HYPERLINK("https://cao.dolgi.msk.ru/account/1011412355/", 1011412355)</f>
        <v>1011412355</v>
      </c>
      <c r="D14466">
        <v>0</v>
      </c>
    </row>
    <row r="14467" spans="1:4" hidden="1" x14ac:dyDescent="0.3">
      <c r="A14467" t="s">
        <v>961</v>
      </c>
      <c r="B14467" t="s">
        <v>131</v>
      </c>
      <c r="C14467" s="1">
        <f>HYPERLINK("https://cao.dolgi.msk.ru/account/1011412259/", 1011412259)</f>
        <v>1011412259</v>
      </c>
      <c r="D14467">
        <v>-6602.6</v>
      </c>
    </row>
    <row r="14468" spans="1:4" hidden="1" x14ac:dyDescent="0.3">
      <c r="A14468" t="s">
        <v>961</v>
      </c>
      <c r="B14468" t="s">
        <v>132</v>
      </c>
      <c r="C14468" s="1">
        <f>HYPERLINK("https://cao.dolgi.msk.ru/account/1011412427/", 1011412427)</f>
        <v>1011412427</v>
      </c>
      <c r="D14468">
        <v>-2334.7399999999998</v>
      </c>
    </row>
    <row r="14469" spans="1:4" x14ac:dyDescent="0.3">
      <c r="A14469" t="s">
        <v>961</v>
      </c>
      <c r="B14469" t="s">
        <v>133</v>
      </c>
      <c r="C14469" s="1">
        <f>HYPERLINK("https://cao.dolgi.msk.ru/account/1011412101/", 1011412101)</f>
        <v>1011412101</v>
      </c>
      <c r="D14469">
        <v>6011.31</v>
      </c>
    </row>
    <row r="14470" spans="1:4" hidden="1" x14ac:dyDescent="0.3">
      <c r="A14470" t="s">
        <v>961</v>
      </c>
      <c r="B14470" t="s">
        <v>134</v>
      </c>
      <c r="C14470" s="1">
        <f>HYPERLINK("https://cao.dolgi.msk.ru/account/1011412144/", 1011412144)</f>
        <v>1011412144</v>
      </c>
      <c r="D14470">
        <v>-852.7</v>
      </c>
    </row>
    <row r="14471" spans="1:4" x14ac:dyDescent="0.3">
      <c r="A14471" t="s">
        <v>961</v>
      </c>
      <c r="B14471" t="s">
        <v>135</v>
      </c>
      <c r="C14471" s="1">
        <f>HYPERLINK("https://cao.dolgi.msk.ru/account/1011412013/", 1011412013)</f>
        <v>1011412013</v>
      </c>
      <c r="D14471">
        <v>7683.37</v>
      </c>
    </row>
    <row r="14472" spans="1:4" hidden="1" x14ac:dyDescent="0.3">
      <c r="A14472" t="s">
        <v>961</v>
      </c>
      <c r="B14472" t="s">
        <v>264</v>
      </c>
      <c r="C14472" s="1">
        <f>HYPERLINK("https://cao.dolgi.msk.ru/account/1011411985/", 1011411985)</f>
        <v>1011411985</v>
      </c>
      <c r="D14472">
        <v>-6038.09</v>
      </c>
    </row>
    <row r="14473" spans="1:4" hidden="1" x14ac:dyDescent="0.3">
      <c r="A14473" t="s">
        <v>961</v>
      </c>
      <c r="B14473" t="s">
        <v>136</v>
      </c>
      <c r="C14473" s="1">
        <f>HYPERLINK("https://cao.dolgi.msk.ru/account/1011412689/", 1011412689)</f>
        <v>1011412689</v>
      </c>
      <c r="D14473">
        <v>0</v>
      </c>
    </row>
    <row r="14474" spans="1:4" hidden="1" x14ac:dyDescent="0.3">
      <c r="A14474" t="s">
        <v>961</v>
      </c>
      <c r="B14474" t="s">
        <v>137</v>
      </c>
      <c r="C14474" s="1">
        <f>HYPERLINK("https://cao.dolgi.msk.ru/account/1011412646/", 1011412646)</f>
        <v>1011412646</v>
      </c>
      <c r="D14474">
        <v>-325.25</v>
      </c>
    </row>
    <row r="14475" spans="1:4" hidden="1" x14ac:dyDescent="0.3">
      <c r="A14475" t="s">
        <v>961</v>
      </c>
      <c r="B14475" t="s">
        <v>138</v>
      </c>
      <c r="C14475" s="1">
        <f>HYPERLINK("https://cao.dolgi.msk.ru/account/1011412128/", 1011412128)</f>
        <v>1011412128</v>
      </c>
      <c r="D14475">
        <v>0</v>
      </c>
    </row>
    <row r="14476" spans="1:4" hidden="1" x14ac:dyDescent="0.3">
      <c r="A14476" t="s">
        <v>961</v>
      </c>
      <c r="B14476" t="s">
        <v>139</v>
      </c>
      <c r="C14476" s="1">
        <f>HYPERLINK("https://cao.dolgi.msk.ru/account/1011412654/", 1011412654)</f>
        <v>1011412654</v>
      </c>
      <c r="D14476">
        <v>-6899.59</v>
      </c>
    </row>
    <row r="14477" spans="1:4" x14ac:dyDescent="0.3">
      <c r="A14477" t="s">
        <v>961</v>
      </c>
      <c r="B14477" t="s">
        <v>140</v>
      </c>
      <c r="C14477" s="1">
        <f>HYPERLINK("https://cao.dolgi.msk.ru/account/1011412363/", 1011412363)</f>
        <v>1011412363</v>
      </c>
      <c r="D14477">
        <v>102936.2</v>
      </c>
    </row>
    <row r="14478" spans="1:4" x14ac:dyDescent="0.3">
      <c r="A14478" t="s">
        <v>961</v>
      </c>
      <c r="B14478" t="s">
        <v>140</v>
      </c>
      <c r="C14478" s="1">
        <f>HYPERLINK("https://cao.dolgi.msk.ru/account/1011412486/", 1011412486)</f>
        <v>1011412486</v>
      </c>
      <c r="D14478">
        <v>80820.13</v>
      </c>
    </row>
    <row r="14479" spans="1:4" hidden="1" x14ac:dyDescent="0.3">
      <c r="A14479" t="s">
        <v>961</v>
      </c>
      <c r="B14479" t="s">
        <v>141</v>
      </c>
      <c r="C14479" s="1">
        <f>HYPERLINK("https://cao.dolgi.msk.ru/account/1011412558/", 1011412558)</f>
        <v>1011412558</v>
      </c>
      <c r="D14479">
        <v>0</v>
      </c>
    </row>
    <row r="14480" spans="1:4" hidden="1" x14ac:dyDescent="0.3">
      <c r="A14480" t="s">
        <v>961</v>
      </c>
      <c r="B14480" t="s">
        <v>142</v>
      </c>
      <c r="C14480" s="1">
        <f>HYPERLINK("https://cao.dolgi.msk.ru/account/1011412064/", 1011412064)</f>
        <v>1011412064</v>
      </c>
      <c r="D14480">
        <v>0</v>
      </c>
    </row>
    <row r="14481" spans="1:4" hidden="1" x14ac:dyDescent="0.3">
      <c r="A14481" t="s">
        <v>961</v>
      </c>
      <c r="B14481" t="s">
        <v>143</v>
      </c>
      <c r="C14481" s="1">
        <f>HYPERLINK("https://cao.dolgi.msk.ru/account/1011412232/", 1011412232)</f>
        <v>1011412232</v>
      </c>
      <c r="D14481">
        <v>0</v>
      </c>
    </row>
    <row r="14482" spans="1:4" x14ac:dyDescent="0.3">
      <c r="A14482" t="s">
        <v>961</v>
      </c>
      <c r="B14482" t="s">
        <v>144</v>
      </c>
      <c r="C14482" s="1">
        <f>HYPERLINK("https://cao.dolgi.msk.ru/account/1011411934/", 1011411934)</f>
        <v>1011411934</v>
      </c>
      <c r="D14482">
        <v>113333.2</v>
      </c>
    </row>
    <row r="14483" spans="1:4" hidden="1" x14ac:dyDescent="0.3">
      <c r="A14483" t="s">
        <v>961</v>
      </c>
      <c r="B14483" t="s">
        <v>145</v>
      </c>
      <c r="C14483" s="1">
        <f>HYPERLINK("https://cao.dolgi.msk.ru/account/1011412611/", 1011412611)</f>
        <v>1011412611</v>
      </c>
      <c r="D14483">
        <v>0</v>
      </c>
    </row>
    <row r="14484" spans="1:4" hidden="1" x14ac:dyDescent="0.3">
      <c r="A14484" t="s">
        <v>961</v>
      </c>
      <c r="B14484" t="s">
        <v>146</v>
      </c>
      <c r="C14484" s="1">
        <f>HYPERLINK("https://cao.dolgi.msk.ru/account/1011412136/", 1011412136)</f>
        <v>1011412136</v>
      </c>
      <c r="D14484">
        <v>-6469.63</v>
      </c>
    </row>
    <row r="14485" spans="1:4" hidden="1" x14ac:dyDescent="0.3">
      <c r="A14485" t="s">
        <v>961</v>
      </c>
      <c r="B14485" t="s">
        <v>147</v>
      </c>
      <c r="C14485" s="1">
        <f>HYPERLINK("https://cao.dolgi.msk.ru/account/1011412574/", 1011412574)</f>
        <v>1011412574</v>
      </c>
      <c r="D14485">
        <v>0</v>
      </c>
    </row>
    <row r="14486" spans="1:4" hidden="1" x14ac:dyDescent="0.3">
      <c r="A14486" t="s">
        <v>961</v>
      </c>
      <c r="B14486" t="s">
        <v>148</v>
      </c>
      <c r="C14486" s="1">
        <f>HYPERLINK("https://cao.dolgi.msk.ru/account/1011411942/", 1011411942)</f>
        <v>1011411942</v>
      </c>
      <c r="D14486">
        <v>0</v>
      </c>
    </row>
    <row r="14487" spans="1:4" hidden="1" x14ac:dyDescent="0.3">
      <c r="A14487" t="s">
        <v>961</v>
      </c>
      <c r="B14487" t="s">
        <v>149</v>
      </c>
      <c r="C14487" s="1">
        <f>HYPERLINK("https://cao.dolgi.msk.ru/account/1011412419/", 1011412419)</f>
        <v>1011412419</v>
      </c>
      <c r="D14487">
        <v>0</v>
      </c>
    </row>
    <row r="14488" spans="1:4" hidden="1" x14ac:dyDescent="0.3">
      <c r="A14488" t="s">
        <v>961</v>
      </c>
      <c r="B14488" t="s">
        <v>150</v>
      </c>
      <c r="C14488" s="1">
        <f>HYPERLINK("https://cao.dolgi.msk.ru/account/1011412662/", 1011412662)</f>
        <v>1011412662</v>
      </c>
      <c r="D14488">
        <v>-8061.7</v>
      </c>
    </row>
    <row r="14489" spans="1:4" hidden="1" x14ac:dyDescent="0.3">
      <c r="A14489" t="s">
        <v>961</v>
      </c>
      <c r="B14489" t="s">
        <v>151</v>
      </c>
      <c r="C14489" s="1">
        <f>HYPERLINK("https://cao.dolgi.msk.ru/account/1011411993/", 1011411993)</f>
        <v>1011411993</v>
      </c>
      <c r="D14489">
        <v>0</v>
      </c>
    </row>
    <row r="14490" spans="1:4" hidden="1" x14ac:dyDescent="0.3">
      <c r="A14490" t="s">
        <v>961</v>
      </c>
      <c r="B14490" t="s">
        <v>151</v>
      </c>
      <c r="C14490" s="1">
        <f>HYPERLINK("https://cao.dolgi.msk.ru/account/1011412208/", 1011412208)</f>
        <v>1011412208</v>
      </c>
      <c r="D14490">
        <v>0</v>
      </c>
    </row>
    <row r="14491" spans="1:4" hidden="1" x14ac:dyDescent="0.3">
      <c r="A14491" t="s">
        <v>961</v>
      </c>
      <c r="B14491" t="s">
        <v>152</v>
      </c>
      <c r="C14491" s="1">
        <f>HYPERLINK("https://cao.dolgi.msk.ru/account/1011412515/", 1011412515)</f>
        <v>1011412515</v>
      </c>
      <c r="D14491">
        <v>0</v>
      </c>
    </row>
    <row r="14492" spans="1:4" hidden="1" x14ac:dyDescent="0.3">
      <c r="A14492" t="s">
        <v>961</v>
      </c>
      <c r="B14492" t="s">
        <v>153</v>
      </c>
      <c r="C14492" s="1">
        <f>HYPERLINK("https://cao.dolgi.msk.ru/account/1011412312/", 1011412312)</f>
        <v>1011412312</v>
      </c>
      <c r="D14492">
        <v>-4002.01</v>
      </c>
    </row>
    <row r="14493" spans="1:4" hidden="1" x14ac:dyDescent="0.3">
      <c r="A14493" t="s">
        <v>961</v>
      </c>
      <c r="B14493" t="s">
        <v>154</v>
      </c>
      <c r="C14493" s="1">
        <f>HYPERLINK("https://cao.dolgi.msk.ru/account/1011412443/", 1011412443)</f>
        <v>1011412443</v>
      </c>
      <c r="D14493">
        <v>0</v>
      </c>
    </row>
    <row r="14494" spans="1:4" hidden="1" x14ac:dyDescent="0.3">
      <c r="A14494" t="s">
        <v>961</v>
      </c>
      <c r="B14494" t="s">
        <v>155</v>
      </c>
      <c r="C14494" s="1">
        <f>HYPERLINK("https://cao.dolgi.msk.ru/account/1011412152/", 1011412152)</f>
        <v>1011412152</v>
      </c>
      <c r="D14494">
        <v>0</v>
      </c>
    </row>
    <row r="14495" spans="1:4" hidden="1" x14ac:dyDescent="0.3">
      <c r="A14495" t="s">
        <v>961</v>
      </c>
      <c r="B14495" t="s">
        <v>156</v>
      </c>
      <c r="C14495" s="1">
        <f>HYPERLINK("https://cao.dolgi.msk.ru/account/1011412304/", 1011412304)</f>
        <v>1011412304</v>
      </c>
      <c r="D14495">
        <v>0</v>
      </c>
    </row>
    <row r="14496" spans="1:4" hidden="1" x14ac:dyDescent="0.3">
      <c r="A14496" t="s">
        <v>961</v>
      </c>
      <c r="B14496" t="s">
        <v>157</v>
      </c>
      <c r="C14496" s="1">
        <f>HYPERLINK("https://cao.dolgi.msk.ru/account/1011411977/", 1011411977)</f>
        <v>1011411977</v>
      </c>
      <c r="D14496">
        <v>0</v>
      </c>
    </row>
    <row r="14497" spans="1:4" hidden="1" x14ac:dyDescent="0.3">
      <c r="A14497" t="s">
        <v>961</v>
      </c>
      <c r="B14497" t="s">
        <v>157</v>
      </c>
      <c r="C14497" s="1">
        <f>HYPERLINK("https://cao.dolgi.msk.ru/account/1011412494/", 1011412494)</f>
        <v>1011412494</v>
      </c>
      <c r="D14497">
        <v>0</v>
      </c>
    </row>
    <row r="14498" spans="1:4" hidden="1" x14ac:dyDescent="0.3">
      <c r="A14498" t="s">
        <v>961</v>
      </c>
      <c r="B14498" t="s">
        <v>158</v>
      </c>
      <c r="C14498" s="1">
        <f>HYPERLINK("https://cao.dolgi.msk.ru/account/1011412451/", 1011412451)</f>
        <v>1011412451</v>
      </c>
      <c r="D14498">
        <v>0</v>
      </c>
    </row>
    <row r="14499" spans="1:4" hidden="1" x14ac:dyDescent="0.3">
      <c r="A14499" t="s">
        <v>961</v>
      </c>
      <c r="B14499" t="s">
        <v>159</v>
      </c>
      <c r="C14499" s="1">
        <f>HYPERLINK("https://cao.dolgi.msk.ru/account/1011412638/", 1011412638)</f>
        <v>1011412638</v>
      </c>
      <c r="D14499">
        <v>-5681.1</v>
      </c>
    </row>
    <row r="14500" spans="1:4" hidden="1" x14ac:dyDescent="0.3">
      <c r="A14500" t="s">
        <v>961</v>
      </c>
      <c r="B14500" t="s">
        <v>160</v>
      </c>
      <c r="C14500" s="1">
        <f>HYPERLINK("https://cao.dolgi.msk.ru/account/1011412195/", 1011412195)</f>
        <v>1011412195</v>
      </c>
      <c r="D14500">
        <v>0</v>
      </c>
    </row>
    <row r="14501" spans="1:4" hidden="1" x14ac:dyDescent="0.3">
      <c r="A14501" t="s">
        <v>961</v>
      </c>
      <c r="B14501" t="s">
        <v>161</v>
      </c>
      <c r="C14501" s="1">
        <f>HYPERLINK("https://cao.dolgi.msk.ru/account/1011412021/", 1011412021)</f>
        <v>1011412021</v>
      </c>
      <c r="D14501">
        <v>0</v>
      </c>
    </row>
    <row r="14502" spans="1:4" hidden="1" x14ac:dyDescent="0.3">
      <c r="A14502" t="s">
        <v>961</v>
      </c>
      <c r="B14502" t="s">
        <v>161</v>
      </c>
      <c r="C14502" s="1">
        <f>HYPERLINK("https://cao.dolgi.msk.ru/account/1011412291/", 1011412291)</f>
        <v>1011412291</v>
      </c>
      <c r="D14502">
        <v>0</v>
      </c>
    </row>
    <row r="14503" spans="1:4" hidden="1" x14ac:dyDescent="0.3">
      <c r="A14503" t="s">
        <v>961</v>
      </c>
      <c r="B14503" t="s">
        <v>162</v>
      </c>
      <c r="C14503" s="1">
        <f>HYPERLINK("https://cao.dolgi.msk.ru/account/1011412275/", 1011412275)</f>
        <v>1011412275</v>
      </c>
      <c r="D14503">
        <v>0</v>
      </c>
    </row>
    <row r="14504" spans="1:4" x14ac:dyDescent="0.3">
      <c r="A14504" t="s">
        <v>961</v>
      </c>
      <c r="B14504" t="s">
        <v>163</v>
      </c>
      <c r="C14504" s="1">
        <f>HYPERLINK("https://cao.dolgi.msk.ru/account/1011412048/", 1011412048)</f>
        <v>1011412048</v>
      </c>
      <c r="D14504">
        <v>108670.6</v>
      </c>
    </row>
    <row r="14505" spans="1:4" hidden="1" x14ac:dyDescent="0.3">
      <c r="A14505" t="s">
        <v>961</v>
      </c>
      <c r="B14505" t="s">
        <v>163</v>
      </c>
      <c r="C14505" s="1">
        <f>HYPERLINK("https://cao.dolgi.msk.ru/account/1011412224/", 1011412224)</f>
        <v>1011412224</v>
      </c>
      <c r="D14505">
        <v>-4684.6499999999996</v>
      </c>
    </row>
    <row r="14506" spans="1:4" hidden="1" x14ac:dyDescent="0.3">
      <c r="A14506" t="s">
        <v>961</v>
      </c>
      <c r="B14506" t="s">
        <v>164</v>
      </c>
      <c r="C14506" s="1">
        <f>HYPERLINK("https://cao.dolgi.msk.ru/account/1011412267/", 1011412267)</f>
        <v>1011412267</v>
      </c>
      <c r="D14506">
        <v>-5910.73</v>
      </c>
    </row>
    <row r="14507" spans="1:4" hidden="1" x14ac:dyDescent="0.3">
      <c r="A14507" t="s">
        <v>961</v>
      </c>
      <c r="B14507" t="s">
        <v>165</v>
      </c>
      <c r="C14507" s="1">
        <f>HYPERLINK("https://cao.dolgi.msk.ru/account/1011412523/", 1011412523)</f>
        <v>1011412523</v>
      </c>
      <c r="D14507">
        <v>-5739.03</v>
      </c>
    </row>
    <row r="14508" spans="1:4" hidden="1" x14ac:dyDescent="0.3">
      <c r="A14508" t="s">
        <v>961</v>
      </c>
      <c r="B14508" t="s">
        <v>166</v>
      </c>
      <c r="C14508" s="1">
        <f>HYPERLINK("https://cao.dolgi.msk.ru/account/1011412056/", 1011412056)</f>
        <v>1011412056</v>
      </c>
      <c r="D14508">
        <v>0</v>
      </c>
    </row>
    <row r="14509" spans="1:4" hidden="1" x14ac:dyDescent="0.3">
      <c r="A14509" t="s">
        <v>961</v>
      </c>
      <c r="B14509" t="s">
        <v>167</v>
      </c>
      <c r="C14509" s="1">
        <f>HYPERLINK("https://cao.dolgi.msk.ru/account/1011412339/", 1011412339)</f>
        <v>1011412339</v>
      </c>
      <c r="D14509">
        <v>-8002.76</v>
      </c>
    </row>
    <row r="14510" spans="1:4" hidden="1" x14ac:dyDescent="0.3">
      <c r="A14510" t="s">
        <v>961</v>
      </c>
      <c r="B14510" t="s">
        <v>168</v>
      </c>
      <c r="C14510" s="1">
        <f>HYPERLINK("https://cao.dolgi.msk.ru/account/1011412566/", 1011412566)</f>
        <v>1011412566</v>
      </c>
      <c r="D14510">
        <v>0</v>
      </c>
    </row>
    <row r="14511" spans="1:4" hidden="1" x14ac:dyDescent="0.3">
      <c r="A14511" t="s">
        <v>961</v>
      </c>
      <c r="B14511" t="s">
        <v>169</v>
      </c>
      <c r="C14511" s="1">
        <f>HYPERLINK("https://cao.dolgi.msk.ru/account/1011412187/", 1011412187)</f>
        <v>1011412187</v>
      </c>
      <c r="D14511">
        <v>-8052.87</v>
      </c>
    </row>
    <row r="14512" spans="1:4" hidden="1" x14ac:dyDescent="0.3">
      <c r="A14512" t="s">
        <v>961</v>
      </c>
      <c r="B14512" t="s">
        <v>170</v>
      </c>
      <c r="C14512" s="1">
        <f>HYPERLINK("https://cao.dolgi.msk.ru/account/1011411969/", 1011411969)</f>
        <v>1011411969</v>
      </c>
      <c r="D14512">
        <v>-1618.23</v>
      </c>
    </row>
    <row r="14513" spans="1:4" x14ac:dyDescent="0.3">
      <c r="A14513" t="s">
        <v>961</v>
      </c>
      <c r="B14513" t="s">
        <v>170</v>
      </c>
      <c r="C14513" s="1">
        <f>HYPERLINK("https://cao.dolgi.msk.ru/account/1011412216/", 1011412216)</f>
        <v>1011412216</v>
      </c>
      <c r="D14513">
        <v>2109.7399999999998</v>
      </c>
    </row>
    <row r="14514" spans="1:4" x14ac:dyDescent="0.3">
      <c r="A14514" t="s">
        <v>961</v>
      </c>
      <c r="B14514" t="s">
        <v>170</v>
      </c>
      <c r="C14514" s="1">
        <f>HYPERLINK("https://cao.dolgi.msk.ru/account/1011412478/", 1011412478)</f>
        <v>1011412478</v>
      </c>
      <c r="D14514">
        <v>12668.89</v>
      </c>
    </row>
    <row r="14515" spans="1:4" hidden="1" x14ac:dyDescent="0.3">
      <c r="A14515" t="s">
        <v>961</v>
      </c>
      <c r="B14515" t="s">
        <v>171</v>
      </c>
      <c r="C14515" s="1">
        <f>HYPERLINK("https://cao.dolgi.msk.ru/account/1011412582/", 1011412582)</f>
        <v>1011412582</v>
      </c>
      <c r="D14515">
        <v>0</v>
      </c>
    </row>
    <row r="14516" spans="1:4" hidden="1" x14ac:dyDescent="0.3">
      <c r="A14516" t="s">
        <v>961</v>
      </c>
      <c r="B14516" t="s">
        <v>172</v>
      </c>
      <c r="C14516" s="1">
        <f>HYPERLINK("https://cao.dolgi.msk.ru/account/1011412005/", 1011412005)</f>
        <v>1011412005</v>
      </c>
      <c r="D14516">
        <v>0</v>
      </c>
    </row>
    <row r="14517" spans="1:4" hidden="1" x14ac:dyDescent="0.3">
      <c r="A14517" t="s">
        <v>961</v>
      </c>
      <c r="B14517" t="s">
        <v>173</v>
      </c>
      <c r="C14517" s="1">
        <f>HYPERLINK("https://cao.dolgi.msk.ru/account/1011412371/", 1011412371)</f>
        <v>1011412371</v>
      </c>
      <c r="D14517">
        <v>0</v>
      </c>
    </row>
    <row r="14518" spans="1:4" hidden="1" x14ac:dyDescent="0.3">
      <c r="A14518" t="s">
        <v>961</v>
      </c>
      <c r="B14518" t="s">
        <v>174</v>
      </c>
      <c r="C14518" s="1">
        <f>HYPERLINK("https://cao.dolgi.msk.ru/account/1011412697/", 1011412697)</f>
        <v>1011412697</v>
      </c>
      <c r="D14518">
        <v>-3496.86</v>
      </c>
    </row>
    <row r="14519" spans="1:4" hidden="1" x14ac:dyDescent="0.3">
      <c r="A14519" t="s">
        <v>961</v>
      </c>
      <c r="B14519" t="s">
        <v>175</v>
      </c>
      <c r="C14519" s="1">
        <f>HYPERLINK("https://cao.dolgi.msk.ru/account/1011412531/", 1011412531)</f>
        <v>1011412531</v>
      </c>
      <c r="D14519">
        <v>-10090.58</v>
      </c>
    </row>
    <row r="14520" spans="1:4" hidden="1" x14ac:dyDescent="0.3">
      <c r="A14520" t="s">
        <v>961</v>
      </c>
      <c r="B14520" t="s">
        <v>176</v>
      </c>
      <c r="C14520" s="1">
        <f>HYPERLINK("https://cao.dolgi.msk.ru/account/1011412603/", 1011412603)</f>
        <v>1011412603</v>
      </c>
      <c r="D14520">
        <v>0</v>
      </c>
    </row>
    <row r="14521" spans="1:4" hidden="1" x14ac:dyDescent="0.3">
      <c r="A14521" t="s">
        <v>961</v>
      </c>
      <c r="B14521" t="s">
        <v>177</v>
      </c>
      <c r="C14521" s="1">
        <f>HYPERLINK("https://cao.dolgi.msk.ru/account/1011412283/", 1011412283)</f>
        <v>1011412283</v>
      </c>
      <c r="D14521">
        <v>0</v>
      </c>
    </row>
    <row r="14522" spans="1:4" hidden="1" x14ac:dyDescent="0.3">
      <c r="A14522" t="s">
        <v>962</v>
      </c>
      <c r="B14522" t="s">
        <v>6</v>
      </c>
      <c r="C14522" s="1">
        <f>HYPERLINK("https://cao.dolgi.msk.ru/account/1011412734/", 1011412734)</f>
        <v>1011412734</v>
      </c>
      <c r="D14522">
        <v>0</v>
      </c>
    </row>
    <row r="14523" spans="1:4" hidden="1" x14ac:dyDescent="0.3">
      <c r="A14523" t="s">
        <v>962</v>
      </c>
      <c r="B14523" t="s">
        <v>28</v>
      </c>
      <c r="C14523" s="1">
        <f>HYPERLINK("https://cao.dolgi.msk.ru/account/1011412937/", 1011412937)</f>
        <v>1011412937</v>
      </c>
      <c r="D14523">
        <v>-49.97</v>
      </c>
    </row>
    <row r="14524" spans="1:4" hidden="1" x14ac:dyDescent="0.3">
      <c r="A14524" t="s">
        <v>962</v>
      </c>
      <c r="B14524" t="s">
        <v>35</v>
      </c>
      <c r="C14524" s="1">
        <f>HYPERLINK("https://cao.dolgi.msk.ru/account/1011413067/", 1011413067)</f>
        <v>1011413067</v>
      </c>
      <c r="D14524">
        <v>0</v>
      </c>
    </row>
    <row r="14525" spans="1:4" hidden="1" x14ac:dyDescent="0.3">
      <c r="A14525" t="s">
        <v>962</v>
      </c>
      <c r="B14525" t="s">
        <v>5</v>
      </c>
      <c r="C14525" s="1">
        <f>HYPERLINK("https://cao.dolgi.msk.ru/account/1011412814/", 1011412814)</f>
        <v>1011412814</v>
      </c>
      <c r="D14525">
        <v>0</v>
      </c>
    </row>
    <row r="14526" spans="1:4" hidden="1" x14ac:dyDescent="0.3">
      <c r="A14526" t="s">
        <v>962</v>
      </c>
      <c r="B14526" t="s">
        <v>7</v>
      </c>
      <c r="C14526" s="1">
        <f>HYPERLINK("https://cao.dolgi.msk.ru/account/1011412769/", 1011412769)</f>
        <v>1011412769</v>
      </c>
      <c r="D14526">
        <v>-74.239999999999995</v>
      </c>
    </row>
    <row r="14527" spans="1:4" hidden="1" x14ac:dyDescent="0.3">
      <c r="A14527" t="s">
        <v>962</v>
      </c>
      <c r="B14527" t="s">
        <v>8</v>
      </c>
      <c r="C14527" s="1">
        <f>HYPERLINK("https://cao.dolgi.msk.ru/account/1011413219/", 1011413219)</f>
        <v>1011413219</v>
      </c>
      <c r="D14527">
        <v>-6110.5</v>
      </c>
    </row>
    <row r="14528" spans="1:4" hidden="1" x14ac:dyDescent="0.3">
      <c r="A14528" t="s">
        <v>962</v>
      </c>
      <c r="B14528" t="s">
        <v>31</v>
      </c>
      <c r="C14528" s="1">
        <f>HYPERLINK("https://cao.dolgi.msk.ru/account/1011412718/", 1011412718)</f>
        <v>1011412718</v>
      </c>
      <c r="D14528">
        <v>0</v>
      </c>
    </row>
    <row r="14529" spans="1:4" hidden="1" x14ac:dyDescent="0.3">
      <c r="A14529" t="s">
        <v>962</v>
      </c>
      <c r="B14529" t="s">
        <v>9</v>
      </c>
      <c r="C14529" s="1">
        <f>HYPERLINK("https://cao.dolgi.msk.ru/account/1011412902/", 1011412902)</f>
        <v>1011412902</v>
      </c>
      <c r="D14529">
        <v>0</v>
      </c>
    </row>
    <row r="14530" spans="1:4" hidden="1" x14ac:dyDescent="0.3">
      <c r="A14530" t="s">
        <v>962</v>
      </c>
      <c r="B14530" t="s">
        <v>963</v>
      </c>
      <c r="C14530" s="1">
        <f>HYPERLINK("https://cao.dolgi.msk.ru/account/1011412945/", 1011412945)</f>
        <v>1011412945</v>
      </c>
      <c r="D14530">
        <v>-16762.740000000002</v>
      </c>
    </row>
    <row r="14531" spans="1:4" hidden="1" x14ac:dyDescent="0.3">
      <c r="A14531" t="s">
        <v>962</v>
      </c>
      <c r="B14531" t="s">
        <v>12</v>
      </c>
      <c r="C14531" s="1">
        <f>HYPERLINK("https://cao.dolgi.msk.ru/account/1011412793/", 1011412793)</f>
        <v>1011412793</v>
      </c>
      <c r="D14531">
        <v>0</v>
      </c>
    </row>
    <row r="14532" spans="1:4" hidden="1" x14ac:dyDescent="0.3">
      <c r="A14532" t="s">
        <v>962</v>
      </c>
      <c r="B14532" t="s">
        <v>23</v>
      </c>
      <c r="C14532" s="1">
        <f>HYPERLINK("https://cao.dolgi.msk.ru/account/1011413112/", 1011413112)</f>
        <v>1011413112</v>
      </c>
      <c r="D14532">
        <v>0</v>
      </c>
    </row>
    <row r="14533" spans="1:4" hidden="1" x14ac:dyDescent="0.3">
      <c r="A14533" t="s">
        <v>962</v>
      </c>
      <c r="B14533" t="s">
        <v>13</v>
      </c>
      <c r="C14533" s="1">
        <f>HYPERLINK("https://cao.dolgi.msk.ru/account/1011412961/", 1011412961)</f>
        <v>1011412961</v>
      </c>
      <c r="D14533">
        <v>-6856.93</v>
      </c>
    </row>
    <row r="14534" spans="1:4" hidden="1" x14ac:dyDescent="0.3">
      <c r="A14534" t="s">
        <v>962</v>
      </c>
      <c r="B14534" t="s">
        <v>14</v>
      </c>
      <c r="C14534" s="1">
        <f>HYPERLINK("https://cao.dolgi.msk.ru/account/1011413331/", 1011413331)</f>
        <v>1011413331</v>
      </c>
      <c r="D14534">
        <v>-19995.689999999999</v>
      </c>
    </row>
    <row r="14535" spans="1:4" x14ac:dyDescent="0.3">
      <c r="A14535" t="s">
        <v>962</v>
      </c>
      <c r="B14535" t="s">
        <v>18</v>
      </c>
      <c r="C14535" s="1">
        <f>HYPERLINK("https://cao.dolgi.msk.ru/account/1011413235/", 1011413235)</f>
        <v>1011413235</v>
      </c>
      <c r="D14535">
        <v>19976.669999999998</v>
      </c>
    </row>
    <row r="14536" spans="1:4" hidden="1" x14ac:dyDescent="0.3">
      <c r="A14536" t="s">
        <v>962</v>
      </c>
      <c r="B14536" t="s">
        <v>20</v>
      </c>
      <c r="C14536" s="1">
        <f>HYPERLINK("https://cao.dolgi.msk.ru/account/1011412849/", 1011412849)</f>
        <v>1011412849</v>
      </c>
      <c r="D14536">
        <v>0</v>
      </c>
    </row>
    <row r="14537" spans="1:4" hidden="1" x14ac:dyDescent="0.3">
      <c r="A14537" t="s">
        <v>962</v>
      </c>
      <c r="B14537" t="s">
        <v>21</v>
      </c>
      <c r="C14537" s="1">
        <f>HYPERLINK("https://cao.dolgi.msk.ru/account/1011413091/", 1011413091)</f>
        <v>1011413091</v>
      </c>
      <c r="D14537">
        <v>0</v>
      </c>
    </row>
    <row r="14538" spans="1:4" hidden="1" x14ac:dyDescent="0.3">
      <c r="A14538" t="s">
        <v>962</v>
      </c>
      <c r="B14538" t="s">
        <v>22</v>
      </c>
      <c r="C14538" s="1">
        <f>HYPERLINK("https://cao.dolgi.msk.ru/account/1011413147/", 1011413147)</f>
        <v>1011413147</v>
      </c>
      <c r="D14538">
        <v>-1632.31</v>
      </c>
    </row>
    <row r="14539" spans="1:4" hidden="1" x14ac:dyDescent="0.3">
      <c r="A14539" t="s">
        <v>962</v>
      </c>
      <c r="B14539" t="s">
        <v>24</v>
      </c>
      <c r="C14539" s="1">
        <f>HYPERLINK("https://cao.dolgi.msk.ru/account/1011412865/", 1011412865)</f>
        <v>1011412865</v>
      </c>
      <c r="D14539">
        <v>0</v>
      </c>
    </row>
    <row r="14540" spans="1:4" hidden="1" x14ac:dyDescent="0.3">
      <c r="A14540" t="s">
        <v>962</v>
      </c>
      <c r="B14540" t="s">
        <v>26</v>
      </c>
      <c r="C14540" s="1">
        <f>HYPERLINK("https://cao.dolgi.msk.ru/account/1011413024/", 1011413024)</f>
        <v>1011413024</v>
      </c>
      <c r="D14540">
        <v>-75.75</v>
      </c>
    </row>
    <row r="14541" spans="1:4" x14ac:dyDescent="0.3">
      <c r="A14541" t="s">
        <v>962</v>
      </c>
      <c r="B14541" t="s">
        <v>27</v>
      </c>
      <c r="C14541" s="1">
        <f>HYPERLINK("https://cao.dolgi.msk.ru/account/1011413083/", 1011413083)</f>
        <v>1011413083</v>
      </c>
      <c r="D14541">
        <v>17763.68</v>
      </c>
    </row>
    <row r="14542" spans="1:4" hidden="1" x14ac:dyDescent="0.3">
      <c r="A14542" t="s">
        <v>962</v>
      </c>
      <c r="B14542" t="s">
        <v>29</v>
      </c>
      <c r="C14542" s="1">
        <f>HYPERLINK("https://cao.dolgi.msk.ru/account/1011413227/", 1011413227)</f>
        <v>1011413227</v>
      </c>
      <c r="D14542">
        <v>0</v>
      </c>
    </row>
    <row r="14543" spans="1:4" hidden="1" x14ac:dyDescent="0.3">
      <c r="A14543" t="s">
        <v>962</v>
      </c>
      <c r="B14543" t="s">
        <v>38</v>
      </c>
      <c r="C14543" s="1">
        <f>HYPERLINK("https://cao.dolgi.msk.ru/account/1011412806/", 1011412806)</f>
        <v>1011412806</v>
      </c>
      <c r="D14543">
        <v>0</v>
      </c>
    </row>
    <row r="14544" spans="1:4" hidden="1" x14ac:dyDescent="0.3">
      <c r="A14544" t="s">
        <v>962</v>
      </c>
      <c r="B14544" t="s">
        <v>39</v>
      </c>
      <c r="C14544" s="1">
        <f>HYPERLINK("https://cao.dolgi.msk.ru/account/1011413315/", 1011413315)</f>
        <v>1011413315</v>
      </c>
      <c r="D14544">
        <v>0</v>
      </c>
    </row>
    <row r="14545" spans="1:4" x14ac:dyDescent="0.3">
      <c r="A14545" t="s">
        <v>962</v>
      </c>
      <c r="B14545" t="s">
        <v>40</v>
      </c>
      <c r="C14545" s="1">
        <f>HYPERLINK("https://cao.dolgi.msk.ru/account/1011413075/", 1011413075)</f>
        <v>1011413075</v>
      </c>
      <c r="D14545">
        <v>13724.94</v>
      </c>
    </row>
    <row r="14546" spans="1:4" hidden="1" x14ac:dyDescent="0.3">
      <c r="A14546" t="s">
        <v>962</v>
      </c>
      <c r="B14546" t="s">
        <v>41</v>
      </c>
      <c r="C14546" s="1">
        <f>HYPERLINK("https://cao.dolgi.msk.ru/account/1011413251/", 1011413251)</f>
        <v>1011413251</v>
      </c>
      <c r="D14546">
        <v>0</v>
      </c>
    </row>
    <row r="14547" spans="1:4" x14ac:dyDescent="0.3">
      <c r="A14547" t="s">
        <v>962</v>
      </c>
      <c r="B14547" t="s">
        <v>51</v>
      </c>
      <c r="C14547" s="1">
        <f>HYPERLINK("https://cao.dolgi.msk.ru/account/1011413358/", 1011413358)</f>
        <v>1011413358</v>
      </c>
      <c r="D14547">
        <v>6141.03</v>
      </c>
    </row>
    <row r="14548" spans="1:4" hidden="1" x14ac:dyDescent="0.3">
      <c r="A14548" t="s">
        <v>962</v>
      </c>
      <c r="B14548" t="s">
        <v>52</v>
      </c>
      <c r="C14548" s="1">
        <f>HYPERLINK("https://cao.dolgi.msk.ru/account/1011412873/", 1011412873)</f>
        <v>1011412873</v>
      </c>
      <c r="D14548">
        <v>-7428.85</v>
      </c>
    </row>
    <row r="14549" spans="1:4" hidden="1" x14ac:dyDescent="0.3">
      <c r="A14549" t="s">
        <v>962</v>
      </c>
      <c r="B14549" t="s">
        <v>53</v>
      </c>
      <c r="C14549" s="1">
        <f>HYPERLINK("https://cao.dolgi.msk.ru/account/1011412857/", 1011412857)</f>
        <v>1011412857</v>
      </c>
      <c r="D14549">
        <v>-9116.61</v>
      </c>
    </row>
    <row r="14550" spans="1:4" hidden="1" x14ac:dyDescent="0.3">
      <c r="A14550" t="s">
        <v>962</v>
      </c>
      <c r="B14550" t="s">
        <v>54</v>
      </c>
      <c r="C14550" s="1">
        <f>HYPERLINK("https://cao.dolgi.msk.ru/account/1011412822/", 1011412822)</f>
        <v>1011412822</v>
      </c>
      <c r="D14550">
        <v>-4926.7</v>
      </c>
    </row>
    <row r="14551" spans="1:4" hidden="1" x14ac:dyDescent="0.3">
      <c r="A14551" t="s">
        <v>962</v>
      </c>
      <c r="B14551" t="s">
        <v>55</v>
      </c>
      <c r="C14551" s="1">
        <f>HYPERLINK("https://cao.dolgi.msk.ru/account/1011413278/", 1011413278)</f>
        <v>1011413278</v>
      </c>
      <c r="D14551">
        <v>-6326.95</v>
      </c>
    </row>
    <row r="14552" spans="1:4" hidden="1" x14ac:dyDescent="0.3">
      <c r="A14552" t="s">
        <v>962</v>
      </c>
      <c r="B14552" t="s">
        <v>56</v>
      </c>
      <c r="C14552" s="1">
        <f>HYPERLINK("https://cao.dolgi.msk.ru/account/1011412929/", 1011412929)</f>
        <v>1011412929</v>
      </c>
      <c r="D14552">
        <v>0</v>
      </c>
    </row>
    <row r="14553" spans="1:4" hidden="1" x14ac:dyDescent="0.3">
      <c r="A14553" t="s">
        <v>962</v>
      </c>
      <c r="B14553" t="s">
        <v>87</v>
      </c>
      <c r="C14553" s="1">
        <f>HYPERLINK("https://cao.dolgi.msk.ru/account/1011413139/", 1011413139)</f>
        <v>1011413139</v>
      </c>
      <c r="D14553">
        <v>0</v>
      </c>
    </row>
    <row r="14554" spans="1:4" hidden="1" x14ac:dyDescent="0.3">
      <c r="A14554" t="s">
        <v>962</v>
      </c>
      <c r="B14554" t="s">
        <v>88</v>
      </c>
      <c r="C14554" s="1">
        <f>HYPERLINK("https://cao.dolgi.msk.ru/account/1011413198/", 1011413198)</f>
        <v>1011413198</v>
      </c>
      <c r="D14554">
        <v>0</v>
      </c>
    </row>
    <row r="14555" spans="1:4" hidden="1" x14ac:dyDescent="0.3">
      <c r="A14555" t="s">
        <v>962</v>
      </c>
      <c r="B14555" t="s">
        <v>89</v>
      </c>
      <c r="C14555" s="1">
        <f>HYPERLINK("https://cao.dolgi.msk.ru/account/1011412726/", 1011412726)</f>
        <v>1011412726</v>
      </c>
      <c r="D14555">
        <v>0</v>
      </c>
    </row>
    <row r="14556" spans="1:4" hidden="1" x14ac:dyDescent="0.3">
      <c r="A14556" t="s">
        <v>962</v>
      </c>
      <c r="B14556" t="s">
        <v>90</v>
      </c>
      <c r="C14556" s="1">
        <f>HYPERLINK("https://cao.dolgi.msk.ru/account/1011412777/", 1011412777)</f>
        <v>1011412777</v>
      </c>
      <c r="D14556">
        <v>0</v>
      </c>
    </row>
    <row r="14557" spans="1:4" x14ac:dyDescent="0.3">
      <c r="A14557" t="s">
        <v>962</v>
      </c>
      <c r="B14557" t="s">
        <v>96</v>
      </c>
      <c r="C14557" s="1">
        <f>HYPERLINK("https://cao.dolgi.msk.ru/account/1011412953/", 1011412953)</f>
        <v>1011412953</v>
      </c>
      <c r="D14557">
        <v>2123.2399999999998</v>
      </c>
    </row>
    <row r="14558" spans="1:4" hidden="1" x14ac:dyDescent="0.3">
      <c r="A14558" t="s">
        <v>962</v>
      </c>
      <c r="B14558" t="s">
        <v>97</v>
      </c>
      <c r="C14558" s="1">
        <f>HYPERLINK("https://cao.dolgi.msk.ru/account/1011413366/", 1011413366)</f>
        <v>1011413366</v>
      </c>
      <c r="D14558">
        <v>0</v>
      </c>
    </row>
    <row r="14559" spans="1:4" hidden="1" x14ac:dyDescent="0.3">
      <c r="A14559" t="s">
        <v>962</v>
      </c>
      <c r="B14559" t="s">
        <v>98</v>
      </c>
      <c r="C14559" s="1">
        <f>HYPERLINK("https://cao.dolgi.msk.ru/account/1011413323/", 1011413323)</f>
        <v>1011413323</v>
      </c>
      <c r="D14559">
        <v>0</v>
      </c>
    </row>
    <row r="14560" spans="1:4" x14ac:dyDescent="0.3">
      <c r="A14560" t="s">
        <v>962</v>
      </c>
      <c r="B14560" t="s">
        <v>58</v>
      </c>
      <c r="C14560" s="1">
        <f>HYPERLINK("https://cao.dolgi.msk.ru/account/1011413374/", 1011413374)</f>
        <v>1011413374</v>
      </c>
      <c r="D14560">
        <v>10019.19</v>
      </c>
    </row>
    <row r="14561" spans="1:4" hidden="1" x14ac:dyDescent="0.3">
      <c r="A14561" t="s">
        <v>962</v>
      </c>
      <c r="B14561" t="s">
        <v>59</v>
      </c>
      <c r="C14561" s="1">
        <f>HYPERLINK("https://cao.dolgi.msk.ru/account/1011413155/", 1011413155)</f>
        <v>1011413155</v>
      </c>
      <c r="D14561">
        <v>-9652.61</v>
      </c>
    </row>
    <row r="14562" spans="1:4" hidden="1" x14ac:dyDescent="0.3">
      <c r="A14562" t="s">
        <v>962</v>
      </c>
      <c r="B14562" t="s">
        <v>60</v>
      </c>
      <c r="C14562" s="1">
        <f>HYPERLINK("https://cao.dolgi.msk.ru/account/1011413294/", 1011413294)</f>
        <v>1011413294</v>
      </c>
      <c r="D14562">
        <v>0</v>
      </c>
    </row>
    <row r="14563" spans="1:4" hidden="1" x14ac:dyDescent="0.3">
      <c r="A14563" t="s">
        <v>962</v>
      </c>
      <c r="B14563" t="s">
        <v>61</v>
      </c>
      <c r="C14563" s="1">
        <f>HYPERLINK("https://cao.dolgi.msk.ru/account/1011413032/", 1011413032)</f>
        <v>1011413032</v>
      </c>
      <c r="D14563">
        <v>-16814.25</v>
      </c>
    </row>
    <row r="14564" spans="1:4" x14ac:dyDescent="0.3">
      <c r="A14564" t="s">
        <v>962</v>
      </c>
      <c r="B14564" t="s">
        <v>62</v>
      </c>
      <c r="C14564" s="1">
        <f>HYPERLINK("https://cao.dolgi.msk.ru/account/1011412785/", 1011412785)</f>
        <v>1011412785</v>
      </c>
      <c r="D14564">
        <v>30304.43</v>
      </c>
    </row>
    <row r="14565" spans="1:4" hidden="1" x14ac:dyDescent="0.3">
      <c r="A14565" t="s">
        <v>962</v>
      </c>
      <c r="B14565" t="s">
        <v>65</v>
      </c>
      <c r="C14565" s="1">
        <f>HYPERLINK("https://cao.dolgi.msk.ru/account/1011413008/", 1011413008)</f>
        <v>1011413008</v>
      </c>
      <c r="D14565">
        <v>0</v>
      </c>
    </row>
    <row r="14566" spans="1:4" hidden="1" x14ac:dyDescent="0.3">
      <c r="A14566" t="s">
        <v>962</v>
      </c>
      <c r="B14566" t="s">
        <v>66</v>
      </c>
      <c r="C14566" s="1">
        <f>HYPERLINK("https://cao.dolgi.msk.ru/account/1011413307/", 1011413307)</f>
        <v>1011413307</v>
      </c>
      <c r="D14566">
        <v>0</v>
      </c>
    </row>
    <row r="14567" spans="1:4" hidden="1" x14ac:dyDescent="0.3">
      <c r="A14567" t="s">
        <v>962</v>
      </c>
      <c r="B14567" t="s">
        <v>67</v>
      </c>
      <c r="C14567" s="1">
        <f>HYPERLINK("https://cao.dolgi.msk.ru/account/1011413163/", 1011413163)</f>
        <v>1011413163</v>
      </c>
      <c r="D14567">
        <v>0</v>
      </c>
    </row>
    <row r="14568" spans="1:4" hidden="1" x14ac:dyDescent="0.3">
      <c r="A14568" t="s">
        <v>962</v>
      </c>
      <c r="B14568" t="s">
        <v>68</v>
      </c>
      <c r="C14568" s="1">
        <f>HYPERLINK("https://cao.dolgi.msk.ru/account/1011412988/", 1011412988)</f>
        <v>1011412988</v>
      </c>
      <c r="D14568">
        <v>0</v>
      </c>
    </row>
    <row r="14569" spans="1:4" hidden="1" x14ac:dyDescent="0.3">
      <c r="A14569" t="s">
        <v>962</v>
      </c>
      <c r="B14569" t="s">
        <v>69</v>
      </c>
      <c r="C14569" s="1">
        <f>HYPERLINK("https://cao.dolgi.msk.ru/account/1011412996/", 1011412996)</f>
        <v>1011412996</v>
      </c>
      <c r="D14569">
        <v>0</v>
      </c>
    </row>
    <row r="14570" spans="1:4" hidden="1" x14ac:dyDescent="0.3">
      <c r="A14570" t="s">
        <v>962</v>
      </c>
      <c r="B14570" t="s">
        <v>69</v>
      </c>
      <c r="C14570" s="1">
        <f>HYPERLINK("https://cao.dolgi.msk.ru/account/1011413171/", 1011413171)</f>
        <v>1011413171</v>
      </c>
      <c r="D14570">
        <v>0</v>
      </c>
    </row>
    <row r="14571" spans="1:4" hidden="1" x14ac:dyDescent="0.3">
      <c r="A14571" t="s">
        <v>962</v>
      </c>
      <c r="B14571" t="s">
        <v>70</v>
      </c>
      <c r="C14571" s="1">
        <f>HYPERLINK("https://cao.dolgi.msk.ru/account/1011413286/", 1011413286)</f>
        <v>1011413286</v>
      </c>
      <c r="D14571">
        <v>0</v>
      </c>
    </row>
    <row r="14572" spans="1:4" hidden="1" x14ac:dyDescent="0.3">
      <c r="A14572" t="s">
        <v>962</v>
      </c>
      <c r="B14572" t="s">
        <v>259</v>
      </c>
      <c r="C14572" s="1">
        <f>HYPERLINK("https://cao.dolgi.msk.ru/account/1011413059/", 1011413059)</f>
        <v>1011413059</v>
      </c>
      <c r="D14572">
        <v>0</v>
      </c>
    </row>
    <row r="14573" spans="1:4" hidden="1" x14ac:dyDescent="0.3">
      <c r="A14573" t="s">
        <v>962</v>
      </c>
      <c r="B14573" t="s">
        <v>100</v>
      </c>
      <c r="C14573" s="1">
        <f>HYPERLINK("https://cao.dolgi.msk.ru/account/1011413243/", 1011413243)</f>
        <v>1011413243</v>
      </c>
      <c r="D14573">
        <v>-1064.72</v>
      </c>
    </row>
    <row r="14574" spans="1:4" hidden="1" x14ac:dyDescent="0.3">
      <c r="A14574" t="s">
        <v>962</v>
      </c>
      <c r="B14574" t="s">
        <v>72</v>
      </c>
      <c r="C14574" s="1">
        <f>HYPERLINK("https://cao.dolgi.msk.ru/account/1011412742/", 1011412742)</f>
        <v>1011412742</v>
      </c>
      <c r="D14574">
        <v>-1744.23</v>
      </c>
    </row>
    <row r="14575" spans="1:4" x14ac:dyDescent="0.3">
      <c r="A14575" t="s">
        <v>962</v>
      </c>
      <c r="B14575" t="s">
        <v>73</v>
      </c>
      <c r="C14575" s="1">
        <f>HYPERLINK("https://cao.dolgi.msk.ru/account/1011413104/", 1011413104)</f>
        <v>1011413104</v>
      </c>
      <c r="D14575">
        <v>8143.94</v>
      </c>
    </row>
    <row r="14576" spans="1:4" hidden="1" x14ac:dyDescent="0.3">
      <c r="A14576" t="s">
        <v>962</v>
      </c>
      <c r="B14576" t="s">
        <v>74</v>
      </c>
      <c r="C14576" s="1">
        <f>HYPERLINK("https://cao.dolgi.msk.ru/account/1011412881/", 1011412881)</f>
        <v>1011412881</v>
      </c>
      <c r="D14576">
        <v>-8573.18</v>
      </c>
    </row>
    <row r="14577" spans="1:4" hidden="1" x14ac:dyDescent="0.3">
      <c r="A14577" t="s">
        <v>962</v>
      </c>
      <c r="B14577" t="s">
        <v>75</v>
      </c>
      <c r="C14577" s="1">
        <f>HYPERLINK("https://cao.dolgi.msk.ru/account/1011413016/", 1011413016)</f>
        <v>1011413016</v>
      </c>
      <c r="D14577">
        <v>0</v>
      </c>
    </row>
    <row r="14578" spans="1:4" hidden="1" x14ac:dyDescent="0.3">
      <c r="A14578" t="s">
        <v>964</v>
      </c>
      <c r="B14578" t="s">
        <v>6</v>
      </c>
      <c r="C14578" s="1">
        <f>HYPERLINK("https://cao.dolgi.msk.ru/account/1011413884/", 1011413884)</f>
        <v>1011413884</v>
      </c>
      <c r="D14578">
        <v>0</v>
      </c>
    </row>
    <row r="14579" spans="1:4" x14ac:dyDescent="0.3">
      <c r="A14579" t="s">
        <v>964</v>
      </c>
      <c r="B14579" t="s">
        <v>28</v>
      </c>
      <c r="C14579" s="1">
        <f>HYPERLINK("https://cao.dolgi.msk.ru/account/1011413809/", 1011413809)</f>
        <v>1011413809</v>
      </c>
      <c r="D14579">
        <v>8776.44</v>
      </c>
    </row>
    <row r="14580" spans="1:4" x14ac:dyDescent="0.3">
      <c r="A14580" t="s">
        <v>964</v>
      </c>
      <c r="B14580" t="s">
        <v>28</v>
      </c>
      <c r="C14580" s="1">
        <f>HYPERLINK("https://cao.dolgi.msk.ru/account/1011414166/", 1011414166)</f>
        <v>1011414166</v>
      </c>
      <c r="D14580">
        <v>299366.67</v>
      </c>
    </row>
    <row r="14581" spans="1:4" hidden="1" x14ac:dyDescent="0.3">
      <c r="A14581" t="s">
        <v>964</v>
      </c>
      <c r="B14581" t="s">
        <v>35</v>
      </c>
      <c r="C14581" s="1">
        <f>HYPERLINK("https://cao.dolgi.msk.ru/account/1011413788/", 1011413788)</f>
        <v>1011413788</v>
      </c>
      <c r="D14581">
        <v>0</v>
      </c>
    </row>
    <row r="14582" spans="1:4" hidden="1" x14ac:dyDescent="0.3">
      <c r="A14582" t="s">
        <v>964</v>
      </c>
      <c r="B14582" t="s">
        <v>5</v>
      </c>
      <c r="C14582" s="1">
        <f>HYPERLINK("https://cao.dolgi.msk.ru/account/1011413438/", 1011413438)</f>
        <v>1011413438</v>
      </c>
      <c r="D14582">
        <v>-4908.97</v>
      </c>
    </row>
    <row r="14583" spans="1:4" hidden="1" x14ac:dyDescent="0.3">
      <c r="A14583" t="s">
        <v>964</v>
      </c>
      <c r="B14583" t="s">
        <v>5</v>
      </c>
      <c r="C14583" s="1">
        <f>HYPERLINK("https://cao.dolgi.msk.ru/account/1011413956/", 1011413956)</f>
        <v>1011413956</v>
      </c>
      <c r="D14583">
        <v>0</v>
      </c>
    </row>
    <row r="14584" spans="1:4" x14ac:dyDescent="0.3">
      <c r="A14584" t="s">
        <v>964</v>
      </c>
      <c r="B14584" t="s">
        <v>7</v>
      </c>
      <c r="C14584" s="1">
        <f>HYPERLINK("https://cao.dolgi.msk.ru/account/1011414529/", 1011414529)</f>
        <v>1011414529</v>
      </c>
      <c r="D14584">
        <v>15910.64</v>
      </c>
    </row>
    <row r="14585" spans="1:4" hidden="1" x14ac:dyDescent="0.3">
      <c r="A14585" t="s">
        <v>964</v>
      </c>
      <c r="B14585" t="s">
        <v>8</v>
      </c>
      <c r="C14585" s="1">
        <f>HYPERLINK("https://cao.dolgi.msk.ru/account/1011413964/", 1011413964)</f>
        <v>1011413964</v>
      </c>
      <c r="D14585">
        <v>0</v>
      </c>
    </row>
    <row r="14586" spans="1:4" hidden="1" x14ac:dyDescent="0.3">
      <c r="A14586" t="s">
        <v>964</v>
      </c>
      <c r="B14586" t="s">
        <v>31</v>
      </c>
      <c r="C14586" s="1">
        <f>HYPERLINK("https://cao.dolgi.msk.ru/account/1011413892/", 1011413892)</f>
        <v>1011413892</v>
      </c>
      <c r="D14586">
        <v>-4657.0200000000004</v>
      </c>
    </row>
    <row r="14587" spans="1:4" hidden="1" x14ac:dyDescent="0.3">
      <c r="A14587" t="s">
        <v>964</v>
      </c>
      <c r="B14587" t="s">
        <v>31</v>
      </c>
      <c r="C14587" s="1">
        <f>HYPERLINK("https://cao.dolgi.msk.ru/account/1011414422/", 1011414422)</f>
        <v>1011414422</v>
      </c>
      <c r="D14587">
        <v>0</v>
      </c>
    </row>
    <row r="14588" spans="1:4" hidden="1" x14ac:dyDescent="0.3">
      <c r="A14588" t="s">
        <v>964</v>
      </c>
      <c r="B14588" t="s">
        <v>31</v>
      </c>
      <c r="C14588" s="1">
        <f>HYPERLINK("https://cao.dolgi.msk.ru/account/1011414465/", 1011414465)</f>
        <v>1011414465</v>
      </c>
      <c r="D14588">
        <v>0</v>
      </c>
    </row>
    <row r="14589" spans="1:4" hidden="1" x14ac:dyDescent="0.3">
      <c r="A14589" t="s">
        <v>964</v>
      </c>
      <c r="B14589" t="s">
        <v>9</v>
      </c>
      <c r="C14589" s="1">
        <f>HYPERLINK("https://cao.dolgi.msk.ru/account/1011413729/", 1011413729)</f>
        <v>1011413729</v>
      </c>
      <c r="D14589">
        <v>-7638.49</v>
      </c>
    </row>
    <row r="14590" spans="1:4" x14ac:dyDescent="0.3">
      <c r="A14590" t="s">
        <v>964</v>
      </c>
      <c r="B14590" t="s">
        <v>9</v>
      </c>
      <c r="C14590" s="1">
        <f>HYPERLINK("https://cao.dolgi.msk.ru/account/1011414078/", 1011414078)</f>
        <v>1011414078</v>
      </c>
      <c r="D14590">
        <v>2268.44</v>
      </c>
    </row>
    <row r="14591" spans="1:4" hidden="1" x14ac:dyDescent="0.3">
      <c r="A14591" t="s">
        <v>964</v>
      </c>
      <c r="B14591" t="s">
        <v>10</v>
      </c>
      <c r="C14591" s="1">
        <f>HYPERLINK("https://cao.dolgi.msk.ru/account/1011413649/", 1011413649)</f>
        <v>1011413649</v>
      </c>
      <c r="D14591">
        <v>0</v>
      </c>
    </row>
    <row r="14592" spans="1:4" hidden="1" x14ac:dyDescent="0.3">
      <c r="A14592" t="s">
        <v>964</v>
      </c>
      <c r="B14592" t="s">
        <v>10</v>
      </c>
      <c r="C14592" s="1">
        <f>HYPERLINK("https://cao.dolgi.msk.ru/account/1011414377/", 1011414377)</f>
        <v>1011414377</v>
      </c>
      <c r="D14592">
        <v>-2530.0700000000002</v>
      </c>
    </row>
    <row r="14593" spans="1:4" hidden="1" x14ac:dyDescent="0.3">
      <c r="A14593" t="s">
        <v>964</v>
      </c>
      <c r="B14593" t="s">
        <v>11</v>
      </c>
      <c r="C14593" s="1">
        <f>HYPERLINK("https://cao.dolgi.msk.ru/account/1011413606/", 1011413606)</f>
        <v>1011413606</v>
      </c>
      <c r="D14593">
        <v>-8066.32</v>
      </c>
    </row>
    <row r="14594" spans="1:4" hidden="1" x14ac:dyDescent="0.3">
      <c r="A14594" t="s">
        <v>964</v>
      </c>
      <c r="B14594" t="s">
        <v>11</v>
      </c>
      <c r="C14594" s="1">
        <f>HYPERLINK("https://cao.dolgi.msk.ru/account/1011414246/", 1011414246)</f>
        <v>1011414246</v>
      </c>
      <c r="D14594">
        <v>0</v>
      </c>
    </row>
    <row r="14595" spans="1:4" hidden="1" x14ac:dyDescent="0.3">
      <c r="A14595" t="s">
        <v>964</v>
      </c>
      <c r="B14595" t="s">
        <v>11</v>
      </c>
      <c r="C14595" s="1">
        <f>HYPERLINK("https://cao.dolgi.msk.ru/account/1011414406/", 1011414406)</f>
        <v>1011414406</v>
      </c>
      <c r="D14595">
        <v>-5244.17</v>
      </c>
    </row>
    <row r="14596" spans="1:4" hidden="1" x14ac:dyDescent="0.3">
      <c r="A14596" t="s">
        <v>964</v>
      </c>
      <c r="B14596" t="s">
        <v>12</v>
      </c>
      <c r="C14596" s="1">
        <f>HYPERLINK("https://cao.dolgi.msk.ru/account/1011414254/", 1011414254)</f>
        <v>1011414254</v>
      </c>
      <c r="D14596">
        <v>-8717.1200000000008</v>
      </c>
    </row>
    <row r="14597" spans="1:4" hidden="1" x14ac:dyDescent="0.3">
      <c r="A14597" t="s">
        <v>964</v>
      </c>
      <c r="B14597" t="s">
        <v>23</v>
      </c>
      <c r="C14597" s="1">
        <f>HYPERLINK("https://cao.dolgi.msk.ru/account/1011413446/", 1011413446)</f>
        <v>1011413446</v>
      </c>
      <c r="D14597">
        <v>0</v>
      </c>
    </row>
    <row r="14598" spans="1:4" hidden="1" x14ac:dyDescent="0.3">
      <c r="A14598" t="s">
        <v>964</v>
      </c>
      <c r="B14598" t="s">
        <v>23</v>
      </c>
      <c r="C14598" s="1">
        <f>HYPERLINK("https://cao.dolgi.msk.ru/account/1011413753/", 1011413753)</f>
        <v>1011413753</v>
      </c>
      <c r="D14598">
        <v>0</v>
      </c>
    </row>
    <row r="14599" spans="1:4" hidden="1" x14ac:dyDescent="0.3">
      <c r="A14599" t="s">
        <v>964</v>
      </c>
      <c r="B14599" t="s">
        <v>23</v>
      </c>
      <c r="C14599" s="1">
        <f>HYPERLINK("https://cao.dolgi.msk.ru/account/1011414449/", 1011414449)</f>
        <v>1011414449</v>
      </c>
      <c r="D14599">
        <v>0</v>
      </c>
    </row>
    <row r="14600" spans="1:4" hidden="1" x14ac:dyDescent="0.3">
      <c r="A14600" t="s">
        <v>964</v>
      </c>
      <c r="B14600" t="s">
        <v>13</v>
      </c>
      <c r="C14600" s="1">
        <f>HYPERLINK("https://cao.dolgi.msk.ru/account/1011413569/", 1011413569)</f>
        <v>1011413569</v>
      </c>
      <c r="D14600">
        <v>0</v>
      </c>
    </row>
    <row r="14601" spans="1:4" hidden="1" x14ac:dyDescent="0.3">
      <c r="A14601" t="s">
        <v>964</v>
      </c>
      <c r="B14601" t="s">
        <v>14</v>
      </c>
      <c r="C14601" s="1">
        <f>HYPERLINK("https://cao.dolgi.msk.ru/account/1011414473/", 1011414473)</f>
        <v>1011414473</v>
      </c>
      <c r="D14601">
        <v>-10527.02</v>
      </c>
    </row>
    <row r="14602" spans="1:4" hidden="1" x14ac:dyDescent="0.3">
      <c r="A14602" t="s">
        <v>964</v>
      </c>
      <c r="B14602" t="s">
        <v>16</v>
      </c>
      <c r="C14602" s="1">
        <f>HYPERLINK("https://cao.dolgi.msk.ru/account/1011414262/", 1011414262)</f>
        <v>1011414262</v>
      </c>
      <c r="D14602">
        <v>-3800.94</v>
      </c>
    </row>
    <row r="14603" spans="1:4" hidden="1" x14ac:dyDescent="0.3">
      <c r="A14603" t="s">
        <v>964</v>
      </c>
      <c r="B14603" t="s">
        <v>16</v>
      </c>
      <c r="C14603" s="1">
        <f>HYPERLINK("https://cao.dolgi.msk.ru/account/1011414326/", 1011414326)</f>
        <v>1011414326</v>
      </c>
      <c r="D14603">
        <v>0</v>
      </c>
    </row>
    <row r="14604" spans="1:4" hidden="1" x14ac:dyDescent="0.3">
      <c r="A14604" t="s">
        <v>964</v>
      </c>
      <c r="B14604" t="s">
        <v>16</v>
      </c>
      <c r="C14604" s="1">
        <f>HYPERLINK("https://cao.dolgi.msk.ru/account/1011414457/", 1011414457)</f>
        <v>1011414457</v>
      </c>
      <c r="D14604">
        <v>-4723.5200000000004</v>
      </c>
    </row>
    <row r="14605" spans="1:4" hidden="1" x14ac:dyDescent="0.3">
      <c r="A14605" t="s">
        <v>964</v>
      </c>
      <c r="B14605" t="s">
        <v>16</v>
      </c>
      <c r="C14605" s="1">
        <f>HYPERLINK("https://cao.dolgi.msk.ru/account/1011504567/", 1011504567)</f>
        <v>1011504567</v>
      </c>
      <c r="D14605">
        <v>0</v>
      </c>
    </row>
    <row r="14606" spans="1:4" hidden="1" x14ac:dyDescent="0.3">
      <c r="A14606" t="s">
        <v>964</v>
      </c>
      <c r="B14606" t="s">
        <v>17</v>
      </c>
      <c r="C14606" s="1">
        <f>HYPERLINK("https://cao.dolgi.msk.ru/account/1011414123/", 1011414123)</f>
        <v>1011414123</v>
      </c>
      <c r="D14606">
        <v>-0.01</v>
      </c>
    </row>
    <row r="14607" spans="1:4" hidden="1" x14ac:dyDescent="0.3">
      <c r="A14607" t="s">
        <v>964</v>
      </c>
      <c r="B14607" t="s">
        <v>17</v>
      </c>
      <c r="C14607" s="1">
        <f>HYPERLINK("https://cao.dolgi.msk.ru/account/1011414238/", 1011414238)</f>
        <v>1011414238</v>
      </c>
      <c r="D14607">
        <v>-0.01</v>
      </c>
    </row>
    <row r="14608" spans="1:4" hidden="1" x14ac:dyDescent="0.3">
      <c r="A14608" t="s">
        <v>964</v>
      </c>
      <c r="B14608" t="s">
        <v>18</v>
      </c>
      <c r="C14608" s="1">
        <f>HYPERLINK("https://cao.dolgi.msk.ru/account/1011413657/", 1011413657)</f>
        <v>1011413657</v>
      </c>
      <c r="D14608">
        <v>0</v>
      </c>
    </row>
    <row r="14609" spans="1:4" hidden="1" x14ac:dyDescent="0.3">
      <c r="A14609" t="s">
        <v>964</v>
      </c>
      <c r="B14609" t="s">
        <v>18</v>
      </c>
      <c r="C14609" s="1">
        <f>HYPERLINK("https://cao.dolgi.msk.ru/account/1011414545/", 1011414545)</f>
        <v>1011414545</v>
      </c>
      <c r="D14609">
        <v>0</v>
      </c>
    </row>
    <row r="14610" spans="1:4" hidden="1" x14ac:dyDescent="0.3">
      <c r="A14610" t="s">
        <v>964</v>
      </c>
      <c r="B14610" t="s">
        <v>19</v>
      </c>
      <c r="C14610" s="1">
        <f>HYPERLINK("https://cao.dolgi.msk.ru/account/1011413577/", 1011413577)</f>
        <v>1011413577</v>
      </c>
      <c r="D14610">
        <v>-331.03</v>
      </c>
    </row>
    <row r="14611" spans="1:4" x14ac:dyDescent="0.3">
      <c r="A14611" t="s">
        <v>964</v>
      </c>
      <c r="B14611" t="s">
        <v>20</v>
      </c>
      <c r="C14611" s="1">
        <f>HYPERLINK("https://cao.dolgi.msk.ru/account/1011413454/", 1011413454)</f>
        <v>1011413454</v>
      </c>
      <c r="D14611">
        <v>43777.72</v>
      </c>
    </row>
    <row r="14612" spans="1:4" hidden="1" x14ac:dyDescent="0.3">
      <c r="A14612" t="s">
        <v>964</v>
      </c>
      <c r="B14612" t="s">
        <v>21</v>
      </c>
      <c r="C14612" s="1">
        <f>HYPERLINK("https://cao.dolgi.msk.ru/account/1011413876/", 1011413876)</f>
        <v>1011413876</v>
      </c>
      <c r="D14612">
        <v>-13116.82</v>
      </c>
    </row>
    <row r="14613" spans="1:4" x14ac:dyDescent="0.3">
      <c r="A14613" t="s">
        <v>964</v>
      </c>
      <c r="B14613" t="s">
        <v>22</v>
      </c>
      <c r="C14613" s="1">
        <f>HYPERLINK("https://cao.dolgi.msk.ru/account/1011414086/", 1011414086)</f>
        <v>1011414086</v>
      </c>
      <c r="D14613">
        <v>11854.3</v>
      </c>
    </row>
    <row r="14614" spans="1:4" hidden="1" x14ac:dyDescent="0.3">
      <c r="A14614" t="s">
        <v>964</v>
      </c>
      <c r="B14614" t="s">
        <v>22</v>
      </c>
      <c r="C14614" s="1">
        <f>HYPERLINK("https://cao.dolgi.msk.ru/account/1011414537/", 1011414537)</f>
        <v>1011414537</v>
      </c>
      <c r="D14614">
        <v>-488.11</v>
      </c>
    </row>
    <row r="14615" spans="1:4" hidden="1" x14ac:dyDescent="0.3">
      <c r="A14615" t="s">
        <v>964</v>
      </c>
      <c r="B14615" t="s">
        <v>24</v>
      </c>
      <c r="C14615" s="1">
        <f>HYPERLINK("https://cao.dolgi.msk.ru/account/1011413411/", 1011413411)</f>
        <v>1011413411</v>
      </c>
      <c r="D14615">
        <v>0</v>
      </c>
    </row>
    <row r="14616" spans="1:4" hidden="1" x14ac:dyDescent="0.3">
      <c r="A14616" t="s">
        <v>964</v>
      </c>
      <c r="B14616" t="s">
        <v>25</v>
      </c>
      <c r="C14616" s="1">
        <f>HYPERLINK("https://cao.dolgi.msk.ru/account/1011413585/", 1011413585)</f>
        <v>1011413585</v>
      </c>
      <c r="D14616">
        <v>-132.27000000000001</v>
      </c>
    </row>
    <row r="14617" spans="1:4" x14ac:dyDescent="0.3">
      <c r="A14617" t="s">
        <v>964</v>
      </c>
      <c r="B14617" t="s">
        <v>26</v>
      </c>
      <c r="C14617" s="1">
        <f>HYPERLINK("https://cao.dolgi.msk.ru/account/1011413913/", 1011413913)</f>
        <v>1011413913</v>
      </c>
      <c r="D14617">
        <v>116756.37</v>
      </c>
    </row>
    <row r="14618" spans="1:4" hidden="1" x14ac:dyDescent="0.3">
      <c r="A14618" t="s">
        <v>964</v>
      </c>
      <c r="B14618" t="s">
        <v>26</v>
      </c>
      <c r="C14618" s="1">
        <f>HYPERLINK("https://cao.dolgi.msk.ru/account/1011413948/", 1011413948)</f>
        <v>1011413948</v>
      </c>
      <c r="D14618">
        <v>-2873.11</v>
      </c>
    </row>
    <row r="14619" spans="1:4" x14ac:dyDescent="0.3">
      <c r="A14619" t="s">
        <v>964</v>
      </c>
      <c r="B14619" t="s">
        <v>26</v>
      </c>
      <c r="C14619" s="1">
        <f>HYPERLINK("https://cao.dolgi.msk.ru/account/1011414342/", 1011414342)</f>
        <v>1011414342</v>
      </c>
      <c r="D14619">
        <v>110597.18</v>
      </c>
    </row>
    <row r="14620" spans="1:4" hidden="1" x14ac:dyDescent="0.3">
      <c r="A14620" t="s">
        <v>964</v>
      </c>
      <c r="B14620" t="s">
        <v>27</v>
      </c>
      <c r="C14620" s="1">
        <f>HYPERLINK("https://cao.dolgi.msk.ru/account/1011414131/", 1011414131)</f>
        <v>1011414131</v>
      </c>
      <c r="D14620">
        <v>0</v>
      </c>
    </row>
    <row r="14621" spans="1:4" hidden="1" x14ac:dyDescent="0.3">
      <c r="A14621" t="s">
        <v>964</v>
      </c>
      <c r="B14621" t="s">
        <v>27</v>
      </c>
      <c r="C14621" s="1">
        <f>HYPERLINK("https://cao.dolgi.msk.ru/account/1011414203/", 1011414203)</f>
        <v>1011414203</v>
      </c>
      <c r="D14621">
        <v>-3132.68</v>
      </c>
    </row>
    <row r="14622" spans="1:4" hidden="1" x14ac:dyDescent="0.3">
      <c r="A14622" t="s">
        <v>964</v>
      </c>
      <c r="B14622" t="s">
        <v>29</v>
      </c>
      <c r="C14622" s="1">
        <f>HYPERLINK("https://cao.dolgi.msk.ru/account/1011413462/", 1011413462)</f>
        <v>1011413462</v>
      </c>
      <c r="D14622">
        <v>-5435.2</v>
      </c>
    </row>
    <row r="14623" spans="1:4" hidden="1" x14ac:dyDescent="0.3">
      <c r="A14623" t="s">
        <v>964</v>
      </c>
      <c r="B14623" t="s">
        <v>38</v>
      </c>
      <c r="C14623" s="1">
        <f>HYPERLINK("https://cao.dolgi.msk.ru/account/1011414174/", 1011414174)</f>
        <v>1011414174</v>
      </c>
      <c r="D14623">
        <v>0</v>
      </c>
    </row>
    <row r="14624" spans="1:4" hidden="1" x14ac:dyDescent="0.3">
      <c r="A14624" t="s">
        <v>964</v>
      </c>
      <c r="B14624" t="s">
        <v>39</v>
      </c>
      <c r="C14624" s="1">
        <f>HYPERLINK("https://cao.dolgi.msk.ru/account/1011413614/", 1011413614)</f>
        <v>1011413614</v>
      </c>
      <c r="D14624">
        <v>-692.13</v>
      </c>
    </row>
    <row r="14625" spans="1:4" hidden="1" x14ac:dyDescent="0.3">
      <c r="A14625" t="s">
        <v>964</v>
      </c>
      <c r="B14625" t="s">
        <v>39</v>
      </c>
      <c r="C14625" s="1">
        <f>HYPERLINK("https://cao.dolgi.msk.ru/account/1011414027/", 1011414027)</f>
        <v>1011414027</v>
      </c>
      <c r="D14625">
        <v>-1048.3699999999999</v>
      </c>
    </row>
    <row r="14626" spans="1:4" hidden="1" x14ac:dyDescent="0.3">
      <c r="A14626" t="s">
        <v>964</v>
      </c>
      <c r="B14626" t="s">
        <v>40</v>
      </c>
      <c r="C14626" s="1">
        <f>HYPERLINK("https://cao.dolgi.msk.ru/account/1011413489/", 1011413489)</f>
        <v>1011413489</v>
      </c>
      <c r="D14626">
        <v>0</v>
      </c>
    </row>
    <row r="14627" spans="1:4" hidden="1" x14ac:dyDescent="0.3">
      <c r="A14627" t="s">
        <v>964</v>
      </c>
      <c r="B14627" t="s">
        <v>41</v>
      </c>
      <c r="C14627" s="1">
        <f>HYPERLINK("https://cao.dolgi.msk.ru/account/1011413737/", 1011413737)</f>
        <v>1011413737</v>
      </c>
      <c r="D14627">
        <v>-13158.19</v>
      </c>
    </row>
    <row r="14628" spans="1:4" hidden="1" x14ac:dyDescent="0.3">
      <c r="A14628" t="s">
        <v>964</v>
      </c>
      <c r="B14628" t="s">
        <v>51</v>
      </c>
      <c r="C14628" s="1">
        <f>HYPERLINK("https://cao.dolgi.msk.ru/account/1011413673/", 1011413673)</f>
        <v>1011413673</v>
      </c>
      <c r="D14628">
        <v>-2537.11</v>
      </c>
    </row>
    <row r="14629" spans="1:4" hidden="1" x14ac:dyDescent="0.3">
      <c r="A14629" t="s">
        <v>964</v>
      </c>
      <c r="B14629" t="s">
        <v>51</v>
      </c>
      <c r="C14629" s="1">
        <f>HYPERLINK("https://cao.dolgi.msk.ru/account/1011413999/", 1011413999)</f>
        <v>1011413999</v>
      </c>
      <c r="D14629">
        <v>-4121.22</v>
      </c>
    </row>
    <row r="14630" spans="1:4" hidden="1" x14ac:dyDescent="0.3">
      <c r="A14630" t="s">
        <v>964</v>
      </c>
      <c r="B14630" t="s">
        <v>52</v>
      </c>
      <c r="C14630" s="1">
        <f>HYPERLINK("https://cao.dolgi.msk.ru/account/1011414182/", 1011414182)</f>
        <v>1011414182</v>
      </c>
      <c r="D14630">
        <v>-8316.27</v>
      </c>
    </row>
    <row r="14631" spans="1:4" hidden="1" x14ac:dyDescent="0.3">
      <c r="A14631" t="s">
        <v>964</v>
      </c>
      <c r="B14631" t="s">
        <v>52</v>
      </c>
      <c r="C14631" s="1">
        <f>HYPERLINK("https://cao.dolgi.msk.ru/account/1011414369/", 1011414369)</f>
        <v>1011414369</v>
      </c>
      <c r="D14631">
        <v>-36043.22</v>
      </c>
    </row>
    <row r="14632" spans="1:4" hidden="1" x14ac:dyDescent="0.3">
      <c r="A14632" t="s">
        <v>964</v>
      </c>
      <c r="B14632" t="s">
        <v>53</v>
      </c>
      <c r="C14632" s="1">
        <f>HYPERLINK("https://cao.dolgi.msk.ru/account/1011413745/", 1011413745)</f>
        <v>1011413745</v>
      </c>
      <c r="D14632">
        <v>0</v>
      </c>
    </row>
    <row r="14633" spans="1:4" hidden="1" x14ac:dyDescent="0.3">
      <c r="A14633" t="s">
        <v>964</v>
      </c>
      <c r="B14633" t="s">
        <v>53</v>
      </c>
      <c r="C14633" s="1">
        <f>HYPERLINK("https://cao.dolgi.msk.ru/account/1011414158/", 1011414158)</f>
        <v>1011414158</v>
      </c>
      <c r="D14633">
        <v>0</v>
      </c>
    </row>
    <row r="14634" spans="1:4" hidden="1" x14ac:dyDescent="0.3">
      <c r="A14634" t="s">
        <v>964</v>
      </c>
      <c r="B14634" t="s">
        <v>53</v>
      </c>
      <c r="C14634" s="1">
        <f>HYPERLINK("https://cao.dolgi.msk.ru/account/1011414385/", 1011414385)</f>
        <v>1011414385</v>
      </c>
      <c r="D14634">
        <v>0</v>
      </c>
    </row>
    <row r="14635" spans="1:4" hidden="1" x14ac:dyDescent="0.3">
      <c r="A14635" t="s">
        <v>964</v>
      </c>
      <c r="B14635" t="s">
        <v>54</v>
      </c>
      <c r="C14635" s="1">
        <f>HYPERLINK("https://cao.dolgi.msk.ru/account/1011413972/", 1011413972)</f>
        <v>1011413972</v>
      </c>
      <c r="D14635">
        <v>-701.12</v>
      </c>
    </row>
    <row r="14636" spans="1:4" x14ac:dyDescent="0.3">
      <c r="A14636" t="s">
        <v>964</v>
      </c>
      <c r="B14636" t="s">
        <v>55</v>
      </c>
      <c r="C14636" s="1">
        <f>HYPERLINK("https://cao.dolgi.msk.ru/account/1011413681/", 1011413681)</f>
        <v>1011413681</v>
      </c>
      <c r="D14636">
        <v>897.15</v>
      </c>
    </row>
    <row r="14637" spans="1:4" x14ac:dyDescent="0.3">
      <c r="A14637" t="s">
        <v>964</v>
      </c>
      <c r="B14637" t="s">
        <v>56</v>
      </c>
      <c r="C14637" s="1">
        <f>HYPERLINK("https://cao.dolgi.msk.ru/account/1011413817/", 1011413817)</f>
        <v>1011413817</v>
      </c>
      <c r="D14637">
        <v>45724.68</v>
      </c>
    </row>
    <row r="14638" spans="1:4" hidden="1" x14ac:dyDescent="0.3">
      <c r="A14638" t="s">
        <v>964</v>
      </c>
      <c r="B14638" t="s">
        <v>56</v>
      </c>
      <c r="C14638" s="1">
        <f>HYPERLINK("https://cao.dolgi.msk.ru/account/1011414051/", 1011414051)</f>
        <v>1011414051</v>
      </c>
      <c r="D14638">
        <v>-4237.46</v>
      </c>
    </row>
    <row r="14639" spans="1:4" hidden="1" x14ac:dyDescent="0.3">
      <c r="A14639" t="s">
        <v>964</v>
      </c>
      <c r="B14639" t="s">
        <v>56</v>
      </c>
      <c r="C14639" s="1">
        <f>HYPERLINK("https://cao.dolgi.msk.ru/account/1011414414/", 1011414414)</f>
        <v>1011414414</v>
      </c>
      <c r="D14639">
        <v>0</v>
      </c>
    </row>
    <row r="14640" spans="1:4" hidden="1" x14ac:dyDescent="0.3">
      <c r="A14640" t="s">
        <v>964</v>
      </c>
      <c r="B14640" t="s">
        <v>87</v>
      </c>
      <c r="C14640" s="1">
        <f>HYPERLINK("https://cao.dolgi.msk.ru/account/1011413403/", 1011413403)</f>
        <v>1011413403</v>
      </c>
      <c r="D14640">
        <v>0</v>
      </c>
    </row>
    <row r="14641" spans="1:4" hidden="1" x14ac:dyDescent="0.3">
      <c r="A14641" t="s">
        <v>964</v>
      </c>
      <c r="B14641" t="s">
        <v>87</v>
      </c>
      <c r="C14641" s="1">
        <f>HYPERLINK("https://cao.dolgi.msk.ru/account/1011413622/", 1011413622)</f>
        <v>1011413622</v>
      </c>
      <c r="D14641">
        <v>0</v>
      </c>
    </row>
    <row r="14642" spans="1:4" x14ac:dyDescent="0.3">
      <c r="A14642" t="s">
        <v>964</v>
      </c>
      <c r="B14642" t="s">
        <v>87</v>
      </c>
      <c r="C14642" s="1">
        <f>HYPERLINK("https://cao.dolgi.msk.ru/account/1011414393/", 1011414393)</f>
        <v>1011414393</v>
      </c>
      <c r="D14642">
        <v>2178.9299999999998</v>
      </c>
    </row>
    <row r="14643" spans="1:4" hidden="1" x14ac:dyDescent="0.3">
      <c r="A14643" t="s">
        <v>964</v>
      </c>
      <c r="B14643" t="s">
        <v>88</v>
      </c>
      <c r="C14643" s="1">
        <f>HYPERLINK("https://cao.dolgi.msk.ru/account/1011414019/", 1011414019)</f>
        <v>1011414019</v>
      </c>
      <c r="D14643">
        <v>-3619.76</v>
      </c>
    </row>
    <row r="14644" spans="1:4" hidden="1" x14ac:dyDescent="0.3">
      <c r="A14644" t="s">
        <v>964</v>
      </c>
      <c r="B14644" t="s">
        <v>88</v>
      </c>
      <c r="C14644" s="1">
        <f>HYPERLINK("https://cao.dolgi.msk.ru/account/1011414289/", 1011414289)</f>
        <v>1011414289</v>
      </c>
      <c r="D14644">
        <v>0</v>
      </c>
    </row>
    <row r="14645" spans="1:4" hidden="1" x14ac:dyDescent="0.3">
      <c r="A14645" t="s">
        <v>964</v>
      </c>
      <c r="B14645" t="s">
        <v>88</v>
      </c>
      <c r="C14645" s="1">
        <f>HYPERLINK("https://cao.dolgi.msk.ru/account/1011414481/", 1011414481)</f>
        <v>1011414481</v>
      </c>
      <c r="D14645">
        <v>0</v>
      </c>
    </row>
    <row r="14646" spans="1:4" hidden="1" x14ac:dyDescent="0.3">
      <c r="A14646" t="s">
        <v>964</v>
      </c>
      <c r="B14646" t="s">
        <v>89</v>
      </c>
      <c r="C14646" s="1">
        <f>HYPERLINK("https://cao.dolgi.msk.ru/account/1011413382/", 1011413382)</f>
        <v>1011413382</v>
      </c>
      <c r="D14646">
        <v>0</v>
      </c>
    </row>
    <row r="14647" spans="1:4" hidden="1" x14ac:dyDescent="0.3">
      <c r="A14647" t="s">
        <v>964</v>
      </c>
      <c r="B14647" t="s">
        <v>89</v>
      </c>
      <c r="C14647" s="1">
        <f>HYPERLINK("https://cao.dolgi.msk.ru/account/1011413761/", 1011413761)</f>
        <v>1011413761</v>
      </c>
      <c r="D14647">
        <v>-2039.14</v>
      </c>
    </row>
    <row r="14648" spans="1:4" hidden="1" x14ac:dyDescent="0.3">
      <c r="A14648" t="s">
        <v>964</v>
      </c>
      <c r="B14648" t="s">
        <v>89</v>
      </c>
      <c r="C14648" s="1">
        <f>HYPERLINK("https://cao.dolgi.msk.ru/account/1011413833/", 1011413833)</f>
        <v>1011413833</v>
      </c>
      <c r="D14648">
        <v>-5313.2</v>
      </c>
    </row>
    <row r="14649" spans="1:4" hidden="1" x14ac:dyDescent="0.3">
      <c r="A14649" t="s">
        <v>964</v>
      </c>
      <c r="B14649" t="s">
        <v>89</v>
      </c>
      <c r="C14649" s="1">
        <f>HYPERLINK("https://cao.dolgi.msk.ru/account/1011413921/", 1011413921)</f>
        <v>1011413921</v>
      </c>
      <c r="D14649">
        <v>-1560.5</v>
      </c>
    </row>
    <row r="14650" spans="1:4" hidden="1" x14ac:dyDescent="0.3">
      <c r="A14650" t="s">
        <v>964</v>
      </c>
      <c r="B14650" t="s">
        <v>90</v>
      </c>
      <c r="C14650" s="1">
        <f>HYPERLINK("https://cao.dolgi.msk.ru/account/1011413665/", 1011413665)</f>
        <v>1011413665</v>
      </c>
      <c r="D14650">
        <v>0</v>
      </c>
    </row>
    <row r="14651" spans="1:4" x14ac:dyDescent="0.3">
      <c r="A14651" t="s">
        <v>964</v>
      </c>
      <c r="B14651" t="s">
        <v>90</v>
      </c>
      <c r="C14651" s="1">
        <f>HYPERLINK("https://cao.dolgi.msk.ru/account/1011414043/", 1011414043)</f>
        <v>1011414043</v>
      </c>
      <c r="D14651">
        <v>12924.48</v>
      </c>
    </row>
    <row r="14652" spans="1:4" x14ac:dyDescent="0.3">
      <c r="A14652" t="s">
        <v>964</v>
      </c>
      <c r="B14652" t="s">
        <v>90</v>
      </c>
      <c r="C14652" s="1">
        <f>HYPERLINK("https://cao.dolgi.msk.ru/account/1011414107/", 1011414107)</f>
        <v>1011414107</v>
      </c>
      <c r="D14652">
        <v>92026.97</v>
      </c>
    </row>
    <row r="14653" spans="1:4" hidden="1" x14ac:dyDescent="0.3">
      <c r="A14653" t="s">
        <v>964</v>
      </c>
      <c r="B14653" t="s">
        <v>96</v>
      </c>
      <c r="C14653" s="1">
        <f>HYPERLINK("https://cao.dolgi.msk.ru/account/1011413593/", 1011413593)</f>
        <v>1011413593</v>
      </c>
      <c r="D14653">
        <v>-8479.58</v>
      </c>
    </row>
    <row r="14654" spans="1:4" hidden="1" x14ac:dyDescent="0.3">
      <c r="A14654" t="s">
        <v>964</v>
      </c>
      <c r="B14654" t="s">
        <v>97</v>
      </c>
      <c r="C14654" s="1">
        <f>HYPERLINK("https://cao.dolgi.msk.ru/account/1011414094/", 1011414094)</f>
        <v>1011414094</v>
      </c>
      <c r="D14654">
        <v>0</v>
      </c>
    </row>
    <row r="14655" spans="1:4" hidden="1" x14ac:dyDescent="0.3">
      <c r="A14655" t="s">
        <v>964</v>
      </c>
      <c r="B14655" t="s">
        <v>98</v>
      </c>
      <c r="C14655" s="1">
        <f>HYPERLINK("https://cao.dolgi.msk.ru/account/1011414115/", 1011414115)</f>
        <v>1011414115</v>
      </c>
      <c r="D14655">
        <v>0</v>
      </c>
    </row>
    <row r="14656" spans="1:4" x14ac:dyDescent="0.3">
      <c r="A14656" t="s">
        <v>964</v>
      </c>
      <c r="B14656" t="s">
        <v>58</v>
      </c>
      <c r="C14656" s="1">
        <f>HYPERLINK("https://cao.dolgi.msk.ru/account/1011414553/", 1011414553)</f>
        <v>1011414553</v>
      </c>
      <c r="D14656">
        <v>32459.82</v>
      </c>
    </row>
    <row r="14657" spans="1:4" hidden="1" x14ac:dyDescent="0.3">
      <c r="A14657" t="s">
        <v>964</v>
      </c>
      <c r="B14657" t="s">
        <v>59</v>
      </c>
      <c r="C14657" s="1">
        <f>HYPERLINK("https://cao.dolgi.msk.ru/account/1011413702/", 1011413702)</f>
        <v>1011413702</v>
      </c>
      <c r="D14657">
        <v>-4423.59</v>
      </c>
    </row>
    <row r="14658" spans="1:4" hidden="1" x14ac:dyDescent="0.3">
      <c r="A14658" t="s">
        <v>964</v>
      </c>
      <c r="B14658" t="s">
        <v>59</v>
      </c>
      <c r="C14658" s="1">
        <f>HYPERLINK("https://cao.dolgi.msk.ru/account/1011414334/", 1011414334)</f>
        <v>1011414334</v>
      </c>
      <c r="D14658">
        <v>-16382.05</v>
      </c>
    </row>
    <row r="14659" spans="1:4" x14ac:dyDescent="0.3">
      <c r="A14659" t="s">
        <v>964</v>
      </c>
      <c r="B14659" t="s">
        <v>60</v>
      </c>
      <c r="C14659" s="1">
        <f>HYPERLINK("https://cao.dolgi.msk.ru/account/1011414297/", 1011414297)</f>
        <v>1011414297</v>
      </c>
      <c r="D14659">
        <v>26283.77</v>
      </c>
    </row>
    <row r="14660" spans="1:4" x14ac:dyDescent="0.3">
      <c r="A14660" t="s">
        <v>964</v>
      </c>
      <c r="B14660" t="s">
        <v>60</v>
      </c>
      <c r="C14660" s="1">
        <f>HYPERLINK("https://cao.dolgi.msk.ru/account/1011414502/", 1011414502)</f>
        <v>1011414502</v>
      </c>
      <c r="D14660">
        <v>22620.76</v>
      </c>
    </row>
    <row r="14661" spans="1:4" hidden="1" x14ac:dyDescent="0.3">
      <c r="A14661" t="s">
        <v>964</v>
      </c>
      <c r="B14661" t="s">
        <v>61</v>
      </c>
      <c r="C14661" s="1">
        <f>HYPERLINK("https://cao.dolgi.msk.ru/account/1011413497/", 1011413497)</f>
        <v>1011413497</v>
      </c>
      <c r="D14661">
        <v>-5955.76</v>
      </c>
    </row>
    <row r="14662" spans="1:4" hidden="1" x14ac:dyDescent="0.3">
      <c r="A14662" t="s">
        <v>964</v>
      </c>
      <c r="B14662" t="s">
        <v>61</v>
      </c>
      <c r="C14662" s="1">
        <f>HYPERLINK("https://cao.dolgi.msk.ru/account/1011413518/", 1011413518)</f>
        <v>1011413518</v>
      </c>
      <c r="D14662">
        <v>-2769.04</v>
      </c>
    </row>
    <row r="14663" spans="1:4" hidden="1" x14ac:dyDescent="0.3">
      <c r="A14663" t="s">
        <v>964</v>
      </c>
      <c r="B14663" t="s">
        <v>62</v>
      </c>
      <c r="C14663" s="1">
        <f>HYPERLINK("https://cao.dolgi.msk.ru/account/1011414318/", 1011414318)</f>
        <v>1011414318</v>
      </c>
      <c r="D14663">
        <v>-8004.95</v>
      </c>
    </row>
    <row r="14664" spans="1:4" hidden="1" x14ac:dyDescent="0.3">
      <c r="A14664" t="s">
        <v>964</v>
      </c>
      <c r="B14664" t="s">
        <v>63</v>
      </c>
      <c r="C14664" s="1">
        <f>HYPERLINK("https://cao.dolgi.msk.ru/account/1011413841/", 1011413841)</f>
        <v>1011413841</v>
      </c>
      <c r="D14664">
        <v>0</v>
      </c>
    </row>
    <row r="14665" spans="1:4" hidden="1" x14ac:dyDescent="0.3">
      <c r="A14665" t="s">
        <v>964</v>
      </c>
      <c r="B14665" t="s">
        <v>63</v>
      </c>
      <c r="C14665" s="1">
        <f>HYPERLINK("https://cao.dolgi.msk.ru/account/1011414211/", 1011414211)</f>
        <v>1011414211</v>
      </c>
      <c r="D14665">
        <v>0</v>
      </c>
    </row>
    <row r="14666" spans="1:4" x14ac:dyDescent="0.3">
      <c r="A14666" t="s">
        <v>964</v>
      </c>
      <c r="B14666" t="s">
        <v>64</v>
      </c>
      <c r="C14666" s="1">
        <f>HYPERLINK("https://cao.dolgi.msk.ru/account/1011413526/", 1011413526)</f>
        <v>1011413526</v>
      </c>
      <c r="D14666">
        <v>7925.52</v>
      </c>
    </row>
    <row r="14667" spans="1:4" hidden="1" x14ac:dyDescent="0.3">
      <c r="A14667" t="s">
        <v>964</v>
      </c>
      <c r="B14667" t="s">
        <v>64</v>
      </c>
      <c r="C14667" s="1">
        <f>HYPERLINK("https://cao.dolgi.msk.ru/account/1011413534/", 1011413534)</f>
        <v>1011413534</v>
      </c>
      <c r="D14667">
        <v>0</v>
      </c>
    </row>
    <row r="14668" spans="1:4" x14ac:dyDescent="0.3">
      <c r="A14668" t="s">
        <v>964</v>
      </c>
      <c r="B14668" t="s">
        <v>64</v>
      </c>
      <c r="C14668" s="1">
        <f>HYPERLINK("https://cao.dolgi.msk.ru/account/1011413542/", 1011413542)</f>
        <v>1011413542</v>
      </c>
      <c r="D14668">
        <v>1470.04</v>
      </c>
    </row>
    <row r="14669" spans="1:4" hidden="1" x14ac:dyDescent="0.3">
      <c r="A14669" t="s">
        <v>964</v>
      </c>
      <c r="B14669" t="s">
        <v>64</v>
      </c>
      <c r="C14669" s="1">
        <f>HYPERLINK("https://cao.dolgi.msk.ru/account/1011413825/", 1011413825)</f>
        <v>1011413825</v>
      </c>
      <c r="D14669">
        <v>-64.97</v>
      </c>
    </row>
    <row r="14670" spans="1:4" hidden="1" x14ac:dyDescent="0.3">
      <c r="A14670" t="s">
        <v>965</v>
      </c>
      <c r="B14670" t="s">
        <v>6</v>
      </c>
      <c r="C14670" s="1">
        <f>HYPERLINK("https://cao.dolgi.msk.ru/account/1011364314/", 1011364314)</f>
        <v>1011364314</v>
      </c>
      <c r="D14670">
        <v>0</v>
      </c>
    </row>
    <row r="14671" spans="1:4" x14ac:dyDescent="0.3">
      <c r="A14671" t="s">
        <v>965</v>
      </c>
      <c r="B14671" t="s">
        <v>6</v>
      </c>
      <c r="C14671" s="1">
        <f>HYPERLINK("https://cao.dolgi.msk.ru/account/1011364613/", 1011364613)</f>
        <v>1011364613</v>
      </c>
      <c r="D14671">
        <v>92168.13</v>
      </c>
    </row>
    <row r="14672" spans="1:4" hidden="1" x14ac:dyDescent="0.3">
      <c r="A14672" t="s">
        <v>965</v>
      </c>
      <c r="B14672" t="s">
        <v>6</v>
      </c>
      <c r="C14672" s="1">
        <f>HYPERLINK("https://cao.dolgi.msk.ru/account/1011364912/", 1011364912)</f>
        <v>1011364912</v>
      </c>
      <c r="D14672">
        <v>-1888.52</v>
      </c>
    </row>
    <row r="14673" spans="1:4" x14ac:dyDescent="0.3">
      <c r="A14673" t="s">
        <v>965</v>
      </c>
      <c r="B14673" t="s">
        <v>28</v>
      </c>
      <c r="C14673" s="1">
        <f>HYPERLINK("https://cao.dolgi.msk.ru/account/1011364904/", 1011364904)</f>
        <v>1011364904</v>
      </c>
      <c r="D14673">
        <v>33707.35</v>
      </c>
    </row>
    <row r="14674" spans="1:4" x14ac:dyDescent="0.3">
      <c r="A14674" t="s">
        <v>965</v>
      </c>
      <c r="B14674" t="s">
        <v>35</v>
      </c>
      <c r="C14674" s="1">
        <f>HYPERLINK("https://cao.dolgi.msk.ru/account/1011364402/", 1011364402)</f>
        <v>1011364402</v>
      </c>
      <c r="D14674">
        <v>2594.11</v>
      </c>
    </row>
    <row r="14675" spans="1:4" hidden="1" x14ac:dyDescent="0.3">
      <c r="A14675" t="s">
        <v>965</v>
      </c>
      <c r="B14675" t="s">
        <v>35</v>
      </c>
      <c r="C14675" s="1">
        <f>HYPERLINK("https://cao.dolgi.msk.ru/account/1011364525/", 1011364525)</f>
        <v>1011364525</v>
      </c>
      <c r="D14675">
        <v>0</v>
      </c>
    </row>
    <row r="14676" spans="1:4" hidden="1" x14ac:dyDescent="0.3">
      <c r="A14676" t="s">
        <v>965</v>
      </c>
      <c r="B14676" t="s">
        <v>35</v>
      </c>
      <c r="C14676" s="1">
        <f>HYPERLINK("https://cao.dolgi.msk.ru/account/1011364752/", 1011364752)</f>
        <v>1011364752</v>
      </c>
      <c r="D14676">
        <v>0</v>
      </c>
    </row>
    <row r="14677" spans="1:4" hidden="1" x14ac:dyDescent="0.3">
      <c r="A14677" t="s">
        <v>965</v>
      </c>
      <c r="B14677" t="s">
        <v>5</v>
      </c>
      <c r="C14677" s="1">
        <f>HYPERLINK("https://cao.dolgi.msk.ru/account/1011364285/", 1011364285)</f>
        <v>1011364285</v>
      </c>
      <c r="D14677">
        <v>0</v>
      </c>
    </row>
    <row r="14678" spans="1:4" hidden="1" x14ac:dyDescent="0.3">
      <c r="A14678" t="s">
        <v>965</v>
      </c>
      <c r="B14678" t="s">
        <v>5</v>
      </c>
      <c r="C14678" s="1">
        <f>HYPERLINK("https://cao.dolgi.msk.ru/account/1011364293/", 1011364293)</f>
        <v>1011364293</v>
      </c>
      <c r="D14678">
        <v>-326.32</v>
      </c>
    </row>
    <row r="14679" spans="1:4" hidden="1" x14ac:dyDescent="0.3">
      <c r="A14679" t="s">
        <v>965</v>
      </c>
      <c r="B14679" t="s">
        <v>5</v>
      </c>
      <c r="C14679" s="1">
        <f>HYPERLINK("https://cao.dolgi.msk.ru/account/1011364322/", 1011364322)</f>
        <v>1011364322</v>
      </c>
      <c r="D14679">
        <v>0</v>
      </c>
    </row>
    <row r="14680" spans="1:4" hidden="1" x14ac:dyDescent="0.3">
      <c r="A14680" t="s">
        <v>965</v>
      </c>
      <c r="B14680" t="s">
        <v>7</v>
      </c>
      <c r="C14680" s="1">
        <f>HYPERLINK("https://cao.dolgi.msk.ru/account/1011364197/", 1011364197)</f>
        <v>1011364197</v>
      </c>
      <c r="D14680">
        <v>0</v>
      </c>
    </row>
    <row r="14681" spans="1:4" x14ac:dyDescent="0.3">
      <c r="A14681" t="s">
        <v>965</v>
      </c>
      <c r="B14681" t="s">
        <v>8</v>
      </c>
      <c r="C14681" s="1">
        <f>HYPERLINK("https://cao.dolgi.msk.ru/account/1011364699/", 1011364699)</f>
        <v>1011364699</v>
      </c>
      <c r="D14681">
        <v>9404.94</v>
      </c>
    </row>
    <row r="14682" spans="1:4" hidden="1" x14ac:dyDescent="0.3">
      <c r="A14682" t="s">
        <v>965</v>
      </c>
      <c r="B14682" t="s">
        <v>31</v>
      </c>
      <c r="C14682" s="1">
        <f>HYPERLINK("https://cao.dolgi.msk.ru/account/1011364429/", 1011364429)</f>
        <v>1011364429</v>
      </c>
      <c r="D14682">
        <v>0</v>
      </c>
    </row>
    <row r="14683" spans="1:4" hidden="1" x14ac:dyDescent="0.3">
      <c r="A14683" t="s">
        <v>965</v>
      </c>
      <c r="B14683" t="s">
        <v>9</v>
      </c>
      <c r="C14683" s="1">
        <f>HYPERLINK("https://cao.dolgi.msk.ru/account/1011364357/", 1011364357)</f>
        <v>1011364357</v>
      </c>
      <c r="D14683">
        <v>-15507.63</v>
      </c>
    </row>
    <row r="14684" spans="1:4" hidden="1" x14ac:dyDescent="0.3">
      <c r="A14684" t="s">
        <v>965</v>
      </c>
      <c r="B14684" t="s">
        <v>10</v>
      </c>
      <c r="C14684" s="1">
        <f>HYPERLINK("https://cao.dolgi.msk.ru/account/1011364891/", 1011364891)</f>
        <v>1011364891</v>
      </c>
      <c r="D14684">
        <v>0</v>
      </c>
    </row>
    <row r="14685" spans="1:4" hidden="1" x14ac:dyDescent="0.3">
      <c r="A14685" t="s">
        <v>965</v>
      </c>
      <c r="B14685" t="s">
        <v>11</v>
      </c>
      <c r="C14685" s="1">
        <f>HYPERLINK("https://cao.dolgi.msk.ru/account/1011364349/", 1011364349)</f>
        <v>1011364349</v>
      </c>
      <c r="D14685">
        <v>-8670.4699999999993</v>
      </c>
    </row>
    <row r="14686" spans="1:4" hidden="1" x14ac:dyDescent="0.3">
      <c r="A14686" t="s">
        <v>965</v>
      </c>
      <c r="B14686" t="s">
        <v>12</v>
      </c>
      <c r="C14686" s="1">
        <f>HYPERLINK("https://cao.dolgi.msk.ru/account/1011364269/", 1011364269)</f>
        <v>1011364269</v>
      </c>
      <c r="D14686">
        <v>0</v>
      </c>
    </row>
    <row r="14687" spans="1:4" x14ac:dyDescent="0.3">
      <c r="A14687" t="s">
        <v>965</v>
      </c>
      <c r="B14687" t="s">
        <v>12</v>
      </c>
      <c r="C14687" s="1">
        <f>HYPERLINK("https://cao.dolgi.msk.ru/account/1011364568/", 1011364568)</f>
        <v>1011364568</v>
      </c>
      <c r="D14687">
        <v>5037.47</v>
      </c>
    </row>
    <row r="14688" spans="1:4" hidden="1" x14ac:dyDescent="0.3">
      <c r="A14688" t="s">
        <v>965</v>
      </c>
      <c r="B14688" t="s">
        <v>23</v>
      </c>
      <c r="C14688" s="1">
        <f>HYPERLINK("https://cao.dolgi.msk.ru/account/1011364218/", 1011364218)</f>
        <v>1011364218</v>
      </c>
      <c r="D14688">
        <v>0</v>
      </c>
    </row>
    <row r="14689" spans="1:4" hidden="1" x14ac:dyDescent="0.3">
      <c r="A14689" t="s">
        <v>965</v>
      </c>
      <c r="B14689" t="s">
        <v>13</v>
      </c>
      <c r="C14689" s="1">
        <f>HYPERLINK("https://cao.dolgi.msk.ru/account/1011364779/", 1011364779)</f>
        <v>1011364779</v>
      </c>
      <c r="D14689">
        <v>-8575.64</v>
      </c>
    </row>
    <row r="14690" spans="1:4" hidden="1" x14ac:dyDescent="0.3">
      <c r="A14690" t="s">
        <v>965</v>
      </c>
      <c r="B14690" t="s">
        <v>14</v>
      </c>
      <c r="C14690" s="1">
        <f>HYPERLINK("https://cao.dolgi.msk.ru/account/1011364381/", 1011364381)</f>
        <v>1011364381</v>
      </c>
      <c r="D14690">
        <v>0</v>
      </c>
    </row>
    <row r="14691" spans="1:4" hidden="1" x14ac:dyDescent="0.3">
      <c r="A14691" t="s">
        <v>965</v>
      </c>
      <c r="B14691" t="s">
        <v>14</v>
      </c>
      <c r="C14691" s="1">
        <f>HYPERLINK("https://cao.dolgi.msk.ru/account/1011364461/", 1011364461)</f>
        <v>1011364461</v>
      </c>
      <c r="D14691">
        <v>0</v>
      </c>
    </row>
    <row r="14692" spans="1:4" hidden="1" x14ac:dyDescent="0.3">
      <c r="A14692" t="s">
        <v>965</v>
      </c>
      <c r="B14692" t="s">
        <v>14</v>
      </c>
      <c r="C14692" s="1">
        <f>HYPERLINK("https://cao.dolgi.msk.ru/account/1011364728/", 1011364728)</f>
        <v>1011364728</v>
      </c>
      <c r="D14692">
        <v>0</v>
      </c>
    </row>
    <row r="14693" spans="1:4" hidden="1" x14ac:dyDescent="0.3">
      <c r="A14693" t="s">
        <v>965</v>
      </c>
      <c r="B14693" t="s">
        <v>16</v>
      </c>
      <c r="C14693" s="1">
        <f>HYPERLINK("https://cao.dolgi.msk.ru/account/1011364859/", 1011364859)</f>
        <v>1011364859</v>
      </c>
      <c r="D14693">
        <v>0</v>
      </c>
    </row>
    <row r="14694" spans="1:4" hidden="1" x14ac:dyDescent="0.3">
      <c r="A14694" t="s">
        <v>965</v>
      </c>
      <c r="B14694" t="s">
        <v>17</v>
      </c>
      <c r="C14694" s="1">
        <f>HYPERLINK("https://cao.dolgi.msk.ru/account/1011364656/", 1011364656)</f>
        <v>1011364656</v>
      </c>
      <c r="D14694">
        <v>0</v>
      </c>
    </row>
    <row r="14695" spans="1:4" hidden="1" x14ac:dyDescent="0.3">
      <c r="A14695" t="s">
        <v>965</v>
      </c>
      <c r="B14695" t="s">
        <v>18</v>
      </c>
      <c r="C14695" s="1">
        <f>HYPERLINK("https://cao.dolgi.msk.ru/account/1011364226/", 1011364226)</f>
        <v>1011364226</v>
      </c>
      <c r="D14695">
        <v>0</v>
      </c>
    </row>
    <row r="14696" spans="1:4" hidden="1" x14ac:dyDescent="0.3">
      <c r="A14696" t="s">
        <v>965</v>
      </c>
      <c r="B14696" t="s">
        <v>18</v>
      </c>
      <c r="C14696" s="1">
        <f>HYPERLINK("https://cao.dolgi.msk.ru/account/1011364437/", 1011364437)</f>
        <v>1011364437</v>
      </c>
      <c r="D14696">
        <v>-3342.92</v>
      </c>
    </row>
    <row r="14697" spans="1:4" hidden="1" x14ac:dyDescent="0.3">
      <c r="A14697" t="s">
        <v>965</v>
      </c>
      <c r="B14697" t="s">
        <v>18</v>
      </c>
      <c r="C14697" s="1">
        <f>HYPERLINK("https://cao.dolgi.msk.ru/account/1011364496/", 1011364496)</f>
        <v>1011364496</v>
      </c>
      <c r="D14697">
        <v>0</v>
      </c>
    </row>
    <row r="14698" spans="1:4" hidden="1" x14ac:dyDescent="0.3">
      <c r="A14698" t="s">
        <v>965</v>
      </c>
      <c r="B14698" t="s">
        <v>19</v>
      </c>
      <c r="C14698" s="1">
        <f>HYPERLINK("https://cao.dolgi.msk.ru/account/1011364234/", 1011364234)</f>
        <v>1011364234</v>
      </c>
      <c r="D14698">
        <v>0</v>
      </c>
    </row>
    <row r="14699" spans="1:4" hidden="1" x14ac:dyDescent="0.3">
      <c r="A14699" t="s">
        <v>965</v>
      </c>
      <c r="B14699" t="s">
        <v>20</v>
      </c>
      <c r="C14699" s="1">
        <f>HYPERLINK("https://cao.dolgi.msk.ru/account/1011364306/", 1011364306)</f>
        <v>1011364306</v>
      </c>
      <c r="D14699">
        <v>0</v>
      </c>
    </row>
    <row r="14700" spans="1:4" hidden="1" x14ac:dyDescent="0.3">
      <c r="A14700" t="s">
        <v>965</v>
      </c>
      <c r="B14700" t="s">
        <v>20</v>
      </c>
      <c r="C14700" s="1">
        <f>HYPERLINK("https://cao.dolgi.msk.ru/account/1011364488/", 1011364488)</f>
        <v>1011364488</v>
      </c>
      <c r="D14700">
        <v>0</v>
      </c>
    </row>
    <row r="14701" spans="1:4" hidden="1" x14ac:dyDescent="0.3">
      <c r="A14701" t="s">
        <v>965</v>
      </c>
      <c r="B14701" t="s">
        <v>20</v>
      </c>
      <c r="C14701" s="1">
        <f>HYPERLINK("https://cao.dolgi.msk.ru/account/1011512268/", 1011512268)</f>
        <v>1011512268</v>
      </c>
      <c r="D14701">
        <v>0</v>
      </c>
    </row>
    <row r="14702" spans="1:4" hidden="1" x14ac:dyDescent="0.3">
      <c r="A14702" t="s">
        <v>965</v>
      </c>
      <c r="B14702" t="s">
        <v>21</v>
      </c>
      <c r="C14702" s="1">
        <f>HYPERLINK("https://cao.dolgi.msk.ru/account/1011364277/", 1011364277)</f>
        <v>1011364277</v>
      </c>
      <c r="D14702">
        <v>0</v>
      </c>
    </row>
    <row r="14703" spans="1:4" hidden="1" x14ac:dyDescent="0.3">
      <c r="A14703" t="s">
        <v>965</v>
      </c>
      <c r="B14703" t="s">
        <v>22</v>
      </c>
      <c r="C14703" s="1">
        <f>HYPERLINK("https://cao.dolgi.msk.ru/account/1011364955/", 1011364955)</f>
        <v>1011364955</v>
      </c>
      <c r="D14703">
        <v>-340.32</v>
      </c>
    </row>
    <row r="14704" spans="1:4" hidden="1" x14ac:dyDescent="0.3">
      <c r="A14704" t="s">
        <v>965</v>
      </c>
      <c r="B14704" t="s">
        <v>24</v>
      </c>
      <c r="C14704" s="1">
        <f>HYPERLINK("https://cao.dolgi.msk.ru/account/1011364621/", 1011364621)</f>
        <v>1011364621</v>
      </c>
      <c r="D14704">
        <v>0</v>
      </c>
    </row>
    <row r="14705" spans="1:4" hidden="1" x14ac:dyDescent="0.3">
      <c r="A14705" t="s">
        <v>965</v>
      </c>
      <c r="B14705" t="s">
        <v>24</v>
      </c>
      <c r="C14705" s="1">
        <f>HYPERLINK("https://cao.dolgi.msk.ru/account/1011364867/", 1011364867)</f>
        <v>1011364867</v>
      </c>
      <c r="D14705">
        <v>0</v>
      </c>
    </row>
    <row r="14706" spans="1:4" hidden="1" x14ac:dyDescent="0.3">
      <c r="A14706" t="s">
        <v>965</v>
      </c>
      <c r="B14706" t="s">
        <v>25</v>
      </c>
      <c r="C14706" s="1">
        <f>HYPERLINK("https://cao.dolgi.msk.ru/account/1011364365/", 1011364365)</f>
        <v>1011364365</v>
      </c>
      <c r="D14706">
        <v>-2732.08</v>
      </c>
    </row>
    <row r="14707" spans="1:4" x14ac:dyDescent="0.3">
      <c r="A14707" t="s">
        <v>965</v>
      </c>
      <c r="B14707" t="s">
        <v>25</v>
      </c>
      <c r="C14707" s="1">
        <f>HYPERLINK("https://cao.dolgi.msk.ru/account/1011364533/", 1011364533)</f>
        <v>1011364533</v>
      </c>
      <c r="D14707">
        <v>105915.17</v>
      </c>
    </row>
    <row r="14708" spans="1:4" hidden="1" x14ac:dyDescent="0.3">
      <c r="A14708" t="s">
        <v>965</v>
      </c>
      <c r="B14708" t="s">
        <v>26</v>
      </c>
      <c r="C14708" s="1">
        <f>HYPERLINK("https://cao.dolgi.msk.ru/account/1011364445/", 1011364445)</f>
        <v>1011364445</v>
      </c>
      <c r="D14708">
        <v>-3976.38</v>
      </c>
    </row>
    <row r="14709" spans="1:4" hidden="1" x14ac:dyDescent="0.3">
      <c r="A14709" t="s">
        <v>965</v>
      </c>
      <c r="B14709" t="s">
        <v>26</v>
      </c>
      <c r="C14709" s="1">
        <f>HYPERLINK("https://cao.dolgi.msk.ru/account/1011364517/", 1011364517)</f>
        <v>1011364517</v>
      </c>
      <c r="D14709">
        <v>0</v>
      </c>
    </row>
    <row r="14710" spans="1:4" hidden="1" x14ac:dyDescent="0.3">
      <c r="A14710" t="s">
        <v>965</v>
      </c>
      <c r="B14710" t="s">
        <v>26</v>
      </c>
      <c r="C14710" s="1">
        <f>HYPERLINK("https://cao.dolgi.msk.ru/account/1011364808/", 1011364808)</f>
        <v>1011364808</v>
      </c>
      <c r="D14710">
        <v>0</v>
      </c>
    </row>
    <row r="14711" spans="1:4" hidden="1" x14ac:dyDescent="0.3">
      <c r="A14711" t="s">
        <v>965</v>
      </c>
      <c r="B14711" t="s">
        <v>26</v>
      </c>
      <c r="C14711" s="1">
        <f>HYPERLINK("https://cao.dolgi.msk.ru/account/1011364963/", 1011364963)</f>
        <v>1011364963</v>
      </c>
      <c r="D14711">
        <v>0</v>
      </c>
    </row>
    <row r="14712" spans="1:4" hidden="1" x14ac:dyDescent="0.3">
      <c r="A14712" t="s">
        <v>965</v>
      </c>
      <c r="B14712" t="s">
        <v>27</v>
      </c>
      <c r="C14712" s="1">
        <f>HYPERLINK("https://cao.dolgi.msk.ru/account/1011364701/", 1011364701)</f>
        <v>1011364701</v>
      </c>
      <c r="D14712">
        <v>0</v>
      </c>
    </row>
    <row r="14713" spans="1:4" hidden="1" x14ac:dyDescent="0.3">
      <c r="A14713" t="s">
        <v>965</v>
      </c>
      <c r="B14713" t="s">
        <v>29</v>
      </c>
      <c r="C14713" s="1">
        <f>HYPERLINK("https://cao.dolgi.msk.ru/account/1011364824/", 1011364824)</f>
        <v>1011364824</v>
      </c>
      <c r="D14713">
        <v>-5690.96</v>
      </c>
    </row>
    <row r="14714" spans="1:4" hidden="1" x14ac:dyDescent="0.3">
      <c r="A14714" t="s">
        <v>965</v>
      </c>
      <c r="B14714" t="s">
        <v>38</v>
      </c>
      <c r="C14714" s="1">
        <f>HYPERLINK("https://cao.dolgi.msk.ru/account/1011364664/", 1011364664)</f>
        <v>1011364664</v>
      </c>
      <c r="D14714">
        <v>0</v>
      </c>
    </row>
    <row r="14715" spans="1:4" x14ac:dyDescent="0.3">
      <c r="A14715" t="s">
        <v>965</v>
      </c>
      <c r="B14715" t="s">
        <v>39</v>
      </c>
      <c r="C14715" s="1">
        <f>HYPERLINK("https://cao.dolgi.msk.ru/account/1011364787/", 1011364787)</f>
        <v>1011364787</v>
      </c>
      <c r="D14715">
        <v>1359.72</v>
      </c>
    </row>
    <row r="14716" spans="1:4" hidden="1" x14ac:dyDescent="0.3">
      <c r="A14716" t="s">
        <v>965</v>
      </c>
      <c r="B14716" t="s">
        <v>39</v>
      </c>
      <c r="C14716" s="1">
        <f>HYPERLINK("https://cao.dolgi.msk.ru/account/1011364875/", 1011364875)</f>
        <v>1011364875</v>
      </c>
      <c r="D14716">
        <v>-139.5</v>
      </c>
    </row>
    <row r="14717" spans="1:4" hidden="1" x14ac:dyDescent="0.3">
      <c r="A14717" t="s">
        <v>965</v>
      </c>
      <c r="B14717" t="s">
        <v>39</v>
      </c>
      <c r="C14717" s="1">
        <f>HYPERLINK("https://cao.dolgi.msk.ru/account/1011364947/", 1011364947)</f>
        <v>1011364947</v>
      </c>
      <c r="D14717">
        <v>-3492.46</v>
      </c>
    </row>
    <row r="14718" spans="1:4" x14ac:dyDescent="0.3">
      <c r="A14718" t="s">
        <v>965</v>
      </c>
      <c r="B14718" t="s">
        <v>40</v>
      </c>
      <c r="C14718" s="1">
        <f>HYPERLINK("https://cao.dolgi.msk.ru/account/1011364648/", 1011364648)</f>
        <v>1011364648</v>
      </c>
      <c r="D14718">
        <v>28533.68</v>
      </c>
    </row>
    <row r="14719" spans="1:4" hidden="1" x14ac:dyDescent="0.3">
      <c r="A14719" t="s">
        <v>965</v>
      </c>
      <c r="B14719" t="s">
        <v>41</v>
      </c>
      <c r="C14719" s="1">
        <f>HYPERLINK("https://cao.dolgi.msk.ru/account/1011364509/", 1011364509)</f>
        <v>1011364509</v>
      </c>
      <c r="D14719">
        <v>0</v>
      </c>
    </row>
    <row r="14720" spans="1:4" hidden="1" x14ac:dyDescent="0.3">
      <c r="A14720" t="s">
        <v>965</v>
      </c>
      <c r="B14720" t="s">
        <v>41</v>
      </c>
      <c r="C14720" s="1">
        <f>HYPERLINK("https://cao.dolgi.msk.ru/account/1011364584/", 1011364584)</f>
        <v>1011364584</v>
      </c>
      <c r="D14720">
        <v>0</v>
      </c>
    </row>
    <row r="14721" spans="1:4" hidden="1" x14ac:dyDescent="0.3">
      <c r="A14721" t="s">
        <v>965</v>
      </c>
      <c r="B14721" t="s">
        <v>41</v>
      </c>
      <c r="C14721" s="1">
        <f>HYPERLINK("https://cao.dolgi.msk.ru/account/1011364939/", 1011364939)</f>
        <v>1011364939</v>
      </c>
      <c r="D14721">
        <v>-3218.85</v>
      </c>
    </row>
    <row r="14722" spans="1:4" hidden="1" x14ac:dyDescent="0.3">
      <c r="A14722" t="s">
        <v>965</v>
      </c>
      <c r="B14722" t="s">
        <v>51</v>
      </c>
      <c r="C14722" s="1">
        <f>HYPERLINK("https://cao.dolgi.msk.ru/account/1011364795/", 1011364795)</f>
        <v>1011364795</v>
      </c>
      <c r="D14722">
        <v>-4474.22</v>
      </c>
    </row>
    <row r="14723" spans="1:4" hidden="1" x14ac:dyDescent="0.3">
      <c r="A14723" t="s">
        <v>965</v>
      </c>
      <c r="B14723" t="s">
        <v>52</v>
      </c>
      <c r="C14723" s="1">
        <f>HYPERLINK("https://cao.dolgi.msk.ru/account/1011364816/", 1011364816)</f>
        <v>1011364816</v>
      </c>
      <c r="D14723">
        <v>0</v>
      </c>
    </row>
    <row r="14724" spans="1:4" hidden="1" x14ac:dyDescent="0.3">
      <c r="A14724" t="s">
        <v>965</v>
      </c>
      <c r="B14724" t="s">
        <v>53</v>
      </c>
      <c r="C14724" s="1">
        <f>HYPERLINK("https://cao.dolgi.msk.ru/account/1011364832/", 1011364832)</f>
        <v>1011364832</v>
      </c>
      <c r="D14724">
        <v>0</v>
      </c>
    </row>
    <row r="14725" spans="1:4" x14ac:dyDescent="0.3">
      <c r="A14725" t="s">
        <v>965</v>
      </c>
      <c r="B14725" t="s">
        <v>53</v>
      </c>
      <c r="C14725" s="1">
        <f>HYPERLINK("https://cao.dolgi.msk.ru/account/1011531696/", 1011531696)</f>
        <v>1011531696</v>
      </c>
      <c r="D14725">
        <v>8275.5400000000009</v>
      </c>
    </row>
    <row r="14726" spans="1:4" hidden="1" x14ac:dyDescent="0.3">
      <c r="A14726" t="s">
        <v>965</v>
      </c>
      <c r="B14726" t="s">
        <v>53</v>
      </c>
      <c r="C14726" s="1">
        <f>HYPERLINK("https://cao.dolgi.msk.ru/account/1011531709/", 1011531709)</f>
        <v>1011531709</v>
      </c>
      <c r="D14726">
        <v>0</v>
      </c>
    </row>
    <row r="14727" spans="1:4" x14ac:dyDescent="0.3">
      <c r="A14727" t="s">
        <v>965</v>
      </c>
      <c r="B14727" t="s">
        <v>54</v>
      </c>
      <c r="C14727" s="1">
        <f>HYPERLINK("https://cao.dolgi.msk.ru/account/1011364883/", 1011364883)</f>
        <v>1011364883</v>
      </c>
      <c r="D14727">
        <v>21408.84</v>
      </c>
    </row>
    <row r="14728" spans="1:4" hidden="1" x14ac:dyDescent="0.3">
      <c r="A14728" t="s">
        <v>965</v>
      </c>
      <c r="B14728" t="s">
        <v>55</v>
      </c>
      <c r="C14728" s="1">
        <f>HYPERLINK("https://cao.dolgi.msk.ru/account/1011364592/", 1011364592)</f>
        <v>1011364592</v>
      </c>
      <c r="D14728">
        <v>-4801.97</v>
      </c>
    </row>
    <row r="14729" spans="1:4" hidden="1" x14ac:dyDescent="0.3">
      <c r="A14729" t="s">
        <v>965</v>
      </c>
      <c r="B14729" t="s">
        <v>55</v>
      </c>
      <c r="C14729" s="1">
        <f>HYPERLINK("https://cao.dolgi.msk.ru/account/1011364605/", 1011364605)</f>
        <v>1011364605</v>
      </c>
      <c r="D14729">
        <v>-113.45</v>
      </c>
    </row>
    <row r="14730" spans="1:4" x14ac:dyDescent="0.3">
      <c r="A14730" t="s">
        <v>965</v>
      </c>
      <c r="B14730" t="s">
        <v>55</v>
      </c>
      <c r="C14730" s="1">
        <f>HYPERLINK("https://cao.dolgi.msk.ru/account/1011526387/", 1011526387)</f>
        <v>1011526387</v>
      </c>
      <c r="D14730">
        <v>32232.94</v>
      </c>
    </row>
    <row r="14731" spans="1:4" x14ac:dyDescent="0.3">
      <c r="A14731" t="s">
        <v>965</v>
      </c>
      <c r="B14731" t="s">
        <v>56</v>
      </c>
      <c r="C14731" s="1">
        <f>HYPERLINK("https://cao.dolgi.msk.ru/account/1011364672/", 1011364672)</f>
        <v>1011364672</v>
      </c>
      <c r="D14731">
        <v>7815.77</v>
      </c>
    </row>
    <row r="14732" spans="1:4" hidden="1" x14ac:dyDescent="0.3">
      <c r="A14732" t="s">
        <v>965</v>
      </c>
      <c r="B14732" t="s">
        <v>87</v>
      </c>
      <c r="C14732" s="1">
        <f>HYPERLINK("https://cao.dolgi.msk.ru/account/1011364373/", 1011364373)</f>
        <v>1011364373</v>
      </c>
      <c r="D14732">
        <v>0</v>
      </c>
    </row>
    <row r="14733" spans="1:4" hidden="1" x14ac:dyDescent="0.3">
      <c r="A14733" t="s">
        <v>965</v>
      </c>
      <c r="B14733" t="s">
        <v>88</v>
      </c>
      <c r="C14733" s="1">
        <f>HYPERLINK("https://cao.dolgi.msk.ru/account/1011364242/", 1011364242)</f>
        <v>1011364242</v>
      </c>
      <c r="D14733">
        <v>-2947.22</v>
      </c>
    </row>
    <row r="14734" spans="1:4" hidden="1" x14ac:dyDescent="0.3">
      <c r="A14734" t="s">
        <v>965</v>
      </c>
      <c r="B14734" t="s">
        <v>88</v>
      </c>
      <c r="C14734" s="1">
        <f>HYPERLINK("https://cao.dolgi.msk.ru/account/1011364453/", 1011364453)</f>
        <v>1011364453</v>
      </c>
      <c r="D14734">
        <v>0</v>
      </c>
    </row>
    <row r="14735" spans="1:4" hidden="1" x14ac:dyDescent="0.3">
      <c r="A14735" t="s">
        <v>965</v>
      </c>
      <c r="B14735" t="s">
        <v>89</v>
      </c>
      <c r="C14735" s="1">
        <f>HYPERLINK("https://cao.dolgi.msk.ru/account/1011364736/", 1011364736)</f>
        <v>1011364736</v>
      </c>
      <c r="D14735">
        <v>0</v>
      </c>
    </row>
    <row r="14736" spans="1:4" hidden="1" x14ac:dyDescent="0.3">
      <c r="A14736" t="s">
        <v>965</v>
      </c>
      <c r="B14736" t="s">
        <v>90</v>
      </c>
      <c r="C14736" s="1">
        <f>HYPERLINK("https://cao.dolgi.msk.ru/account/1011364744/", 1011364744)</f>
        <v>1011364744</v>
      </c>
      <c r="D14736">
        <v>0</v>
      </c>
    </row>
    <row r="14737" spans="1:4" hidden="1" x14ac:dyDescent="0.3">
      <c r="A14737" t="s">
        <v>966</v>
      </c>
      <c r="B14737" t="s">
        <v>28</v>
      </c>
      <c r="C14737" s="1">
        <f>HYPERLINK("https://cao.dolgi.msk.ru/account/1011414924/", 1011414924)</f>
        <v>1011414924</v>
      </c>
      <c r="D14737">
        <v>-162.1</v>
      </c>
    </row>
    <row r="14738" spans="1:4" hidden="1" x14ac:dyDescent="0.3">
      <c r="A14738" t="s">
        <v>966</v>
      </c>
      <c r="B14738" t="s">
        <v>35</v>
      </c>
      <c r="C14738" s="1">
        <f>HYPERLINK("https://cao.dolgi.msk.ru/account/1011414617/", 1011414617)</f>
        <v>1011414617</v>
      </c>
      <c r="D14738">
        <v>0</v>
      </c>
    </row>
    <row r="14739" spans="1:4" hidden="1" x14ac:dyDescent="0.3">
      <c r="A14739" t="s">
        <v>966</v>
      </c>
      <c r="B14739" t="s">
        <v>35</v>
      </c>
      <c r="C14739" s="1">
        <f>HYPERLINK("https://cao.dolgi.msk.ru/account/1011414668/", 1011414668)</f>
        <v>1011414668</v>
      </c>
      <c r="D14739">
        <v>-238.97</v>
      </c>
    </row>
    <row r="14740" spans="1:4" hidden="1" x14ac:dyDescent="0.3">
      <c r="A14740" t="s">
        <v>966</v>
      </c>
      <c r="B14740" t="s">
        <v>35</v>
      </c>
      <c r="C14740" s="1">
        <f>HYPERLINK("https://cao.dolgi.msk.ru/account/1011414932/", 1011414932)</f>
        <v>1011414932</v>
      </c>
      <c r="D14740">
        <v>0</v>
      </c>
    </row>
    <row r="14741" spans="1:4" hidden="1" x14ac:dyDescent="0.3">
      <c r="A14741" t="s">
        <v>966</v>
      </c>
      <c r="B14741" t="s">
        <v>5</v>
      </c>
      <c r="C14741" s="1">
        <f>HYPERLINK("https://cao.dolgi.msk.ru/account/1011414967/", 1011414967)</f>
        <v>1011414967</v>
      </c>
      <c r="D14741">
        <v>-722.12</v>
      </c>
    </row>
    <row r="14742" spans="1:4" hidden="1" x14ac:dyDescent="0.3">
      <c r="A14742" t="s">
        <v>966</v>
      </c>
      <c r="B14742" t="s">
        <v>7</v>
      </c>
      <c r="C14742" s="1">
        <f>HYPERLINK("https://cao.dolgi.msk.ru/account/1011414721/", 1011414721)</f>
        <v>1011414721</v>
      </c>
      <c r="D14742">
        <v>0</v>
      </c>
    </row>
    <row r="14743" spans="1:4" hidden="1" x14ac:dyDescent="0.3">
      <c r="A14743" t="s">
        <v>966</v>
      </c>
      <c r="B14743" t="s">
        <v>8</v>
      </c>
      <c r="C14743" s="1">
        <f>HYPERLINK("https://cao.dolgi.msk.ru/account/1011414844/", 1011414844)</f>
        <v>1011414844</v>
      </c>
      <c r="D14743">
        <v>0</v>
      </c>
    </row>
    <row r="14744" spans="1:4" x14ac:dyDescent="0.3">
      <c r="A14744" t="s">
        <v>966</v>
      </c>
      <c r="B14744" t="s">
        <v>31</v>
      </c>
      <c r="C14744" s="1">
        <f>HYPERLINK("https://cao.dolgi.msk.ru/account/1011414836/", 1011414836)</f>
        <v>1011414836</v>
      </c>
      <c r="D14744">
        <v>15008.74</v>
      </c>
    </row>
    <row r="14745" spans="1:4" hidden="1" x14ac:dyDescent="0.3">
      <c r="A14745" t="s">
        <v>966</v>
      </c>
      <c r="B14745" t="s">
        <v>31</v>
      </c>
      <c r="C14745" s="1">
        <f>HYPERLINK("https://cao.dolgi.msk.ru/account/1011414852/", 1011414852)</f>
        <v>1011414852</v>
      </c>
      <c r="D14745">
        <v>0</v>
      </c>
    </row>
    <row r="14746" spans="1:4" x14ac:dyDescent="0.3">
      <c r="A14746" t="s">
        <v>966</v>
      </c>
      <c r="B14746" t="s">
        <v>31</v>
      </c>
      <c r="C14746" s="1">
        <f>HYPERLINK("https://cao.dolgi.msk.ru/account/1011415011/", 1011415011)</f>
        <v>1011415011</v>
      </c>
      <c r="D14746">
        <v>183.05</v>
      </c>
    </row>
    <row r="14747" spans="1:4" x14ac:dyDescent="0.3">
      <c r="A14747" t="s">
        <v>966</v>
      </c>
      <c r="B14747" t="s">
        <v>9</v>
      </c>
      <c r="C14747" s="1">
        <f>HYPERLINK("https://cao.dolgi.msk.ru/account/1011414561/", 1011414561)</f>
        <v>1011414561</v>
      </c>
      <c r="D14747">
        <v>7273.87</v>
      </c>
    </row>
    <row r="14748" spans="1:4" x14ac:dyDescent="0.3">
      <c r="A14748" t="s">
        <v>966</v>
      </c>
      <c r="B14748" t="s">
        <v>9</v>
      </c>
      <c r="C14748" s="1">
        <f>HYPERLINK("https://cao.dolgi.msk.ru/account/1011414983/", 1011414983)</f>
        <v>1011414983</v>
      </c>
      <c r="D14748">
        <v>6771.93</v>
      </c>
    </row>
    <row r="14749" spans="1:4" hidden="1" x14ac:dyDescent="0.3">
      <c r="A14749" t="s">
        <v>966</v>
      </c>
      <c r="B14749" t="s">
        <v>10</v>
      </c>
      <c r="C14749" s="1">
        <f>HYPERLINK("https://cao.dolgi.msk.ru/account/1011414772/", 1011414772)</f>
        <v>1011414772</v>
      </c>
      <c r="D14749">
        <v>-2741.57</v>
      </c>
    </row>
    <row r="14750" spans="1:4" x14ac:dyDescent="0.3">
      <c r="A14750" t="s">
        <v>966</v>
      </c>
      <c r="B14750" t="s">
        <v>11</v>
      </c>
      <c r="C14750" s="1">
        <f>HYPERLINK("https://cao.dolgi.msk.ru/account/1011414633/", 1011414633)</f>
        <v>1011414633</v>
      </c>
      <c r="D14750">
        <v>59964.49</v>
      </c>
    </row>
    <row r="14751" spans="1:4" hidden="1" x14ac:dyDescent="0.3">
      <c r="A14751" t="s">
        <v>966</v>
      </c>
      <c r="B14751" t="s">
        <v>11</v>
      </c>
      <c r="C14751" s="1">
        <f>HYPERLINK("https://cao.dolgi.msk.ru/account/1011415126/", 1011415126)</f>
        <v>1011415126</v>
      </c>
      <c r="D14751">
        <v>0</v>
      </c>
    </row>
    <row r="14752" spans="1:4" x14ac:dyDescent="0.3">
      <c r="A14752" t="s">
        <v>966</v>
      </c>
      <c r="B14752" t="s">
        <v>12</v>
      </c>
      <c r="C14752" s="1">
        <f>HYPERLINK("https://cao.dolgi.msk.ru/account/1011414596/", 1011414596)</f>
        <v>1011414596</v>
      </c>
      <c r="D14752">
        <v>93401.31</v>
      </c>
    </row>
    <row r="14753" spans="1:4" hidden="1" x14ac:dyDescent="0.3">
      <c r="A14753" t="s">
        <v>966</v>
      </c>
      <c r="B14753" t="s">
        <v>12</v>
      </c>
      <c r="C14753" s="1">
        <f>HYPERLINK("https://cao.dolgi.msk.ru/account/1011415062/", 1011415062)</f>
        <v>1011415062</v>
      </c>
      <c r="D14753">
        <v>0</v>
      </c>
    </row>
    <row r="14754" spans="1:4" hidden="1" x14ac:dyDescent="0.3">
      <c r="A14754" t="s">
        <v>966</v>
      </c>
      <c r="B14754" t="s">
        <v>13</v>
      </c>
      <c r="C14754" s="1">
        <f>HYPERLINK("https://cao.dolgi.msk.ru/account/1011414756/", 1011414756)</f>
        <v>1011414756</v>
      </c>
      <c r="D14754">
        <v>0</v>
      </c>
    </row>
    <row r="14755" spans="1:4" hidden="1" x14ac:dyDescent="0.3">
      <c r="A14755" t="s">
        <v>966</v>
      </c>
      <c r="B14755" t="s">
        <v>14</v>
      </c>
      <c r="C14755" s="1">
        <f>HYPERLINK("https://cao.dolgi.msk.ru/account/1011415054/", 1011415054)</f>
        <v>1011415054</v>
      </c>
      <c r="D14755">
        <v>-2059.6799999999998</v>
      </c>
    </row>
    <row r="14756" spans="1:4" hidden="1" x14ac:dyDescent="0.3">
      <c r="A14756" t="s">
        <v>966</v>
      </c>
      <c r="B14756" t="s">
        <v>14</v>
      </c>
      <c r="C14756" s="1">
        <f>HYPERLINK("https://cao.dolgi.msk.ru/account/1011415089/", 1011415089)</f>
        <v>1011415089</v>
      </c>
      <c r="D14756">
        <v>-5099.0600000000004</v>
      </c>
    </row>
    <row r="14757" spans="1:4" hidden="1" x14ac:dyDescent="0.3">
      <c r="A14757" t="s">
        <v>966</v>
      </c>
      <c r="B14757" t="s">
        <v>14</v>
      </c>
      <c r="C14757" s="1">
        <f>HYPERLINK("https://cao.dolgi.msk.ru/account/1011415118/", 1011415118)</f>
        <v>1011415118</v>
      </c>
      <c r="D14757">
        <v>0</v>
      </c>
    </row>
    <row r="14758" spans="1:4" hidden="1" x14ac:dyDescent="0.3">
      <c r="A14758" t="s">
        <v>966</v>
      </c>
      <c r="B14758" t="s">
        <v>16</v>
      </c>
      <c r="C14758" s="1">
        <f>HYPERLINK("https://cao.dolgi.msk.ru/account/1011414705/", 1011414705)</f>
        <v>1011414705</v>
      </c>
      <c r="D14758">
        <v>-24450.78</v>
      </c>
    </row>
    <row r="14759" spans="1:4" hidden="1" x14ac:dyDescent="0.3">
      <c r="A14759" t="s">
        <v>966</v>
      </c>
      <c r="B14759" t="s">
        <v>16</v>
      </c>
      <c r="C14759" s="1">
        <f>HYPERLINK("https://cao.dolgi.msk.ru/account/1011414916/", 1011414916)</f>
        <v>1011414916</v>
      </c>
      <c r="D14759">
        <v>-1054.48</v>
      </c>
    </row>
    <row r="14760" spans="1:4" hidden="1" x14ac:dyDescent="0.3">
      <c r="A14760" t="s">
        <v>966</v>
      </c>
      <c r="B14760" t="s">
        <v>17</v>
      </c>
      <c r="C14760" s="1">
        <f>HYPERLINK("https://cao.dolgi.msk.ru/account/1011414748/", 1011414748)</f>
        <v>1011414748</v>
      </c>
      <c r="D14760">
        <v>-156.06</v>
      </c>
    </row>
    <row r="14761" spans="1:4" hidden="1" x14ac:dyDescent="0.3">
      <c r="A14761" t="s">
        <v>966</v>
      </c>
      <c r="B14761" t="s">
        <v>18</v>
      </c>
      <c r="C14761" s="1">
        <f>HYPERLINK("https://cao.dolgi.msk.ru/account/1011414676/", 1011414676)</f>
        <v>1011414676</v>
      </c>
      <c r="D14761">
        <v>-6436.76</v>
      </c>
    </row>
    <row r="14762" spans="1:4" hidden="1" x14ac:dyDescent="0.3">
      <c r="A14762" t="s">
        <v>966</v>
      </c>
      <c r="B14762" t="s">
        <v>19</v>
      </c>
      <c r="C14762" s="1">
        <f>HYPERLINK("https://cao.dolgi.msk.ru/account/1011414799/", 1011414799)</f>
        <v>1011414799</v>
      </c>
      <c r="D14762">
        <v>0</v>
      </c>
    </row>
    <row r="14763" spans="1:4" x14ac:dyDescent="0.3">
      <c r="A14763" t="s">
        <v>966</v>
      </c>
      <c r="B14763" t="s">
        <v>20</v>
      </c>
      <c r="C14763" s="1">
        <f>HYPERLINK("https://cao.dolgi.msk.ru/account/1011414641/", 1011414641)</f>
        <v>1011414641</v>
      </c>
      <c r="D14763">
        <v>2579.0700000000002</v>
      </c>
    </row>
    <row r="14764" spans="1:4" hidden="1" x14ac:dyDescent="0.3">
      <c r="A14764" t="s">
        <v>966</v>
      </c>
      <c r="B14764" t="s">
        <v>20</v>
      </c>
      <c r="C14764" s="1">
        <f>HYPERLINK("https://cao.dolgi.msk.ru/account/1011414879/", 1011414879)</f>
        <v>1011414879</v>
      </c>
      <c r="D14764">
        <v>0</v>
      </c>
    </row>
    <row r="14765" spans="1:4" hidden="1" x14ac:dyDescent="0.3">
      <c r="A14765" t="s">
        <v>966</v>
      </c>
      <c r="B14765" t="s">
        <v>20</v>
      </c>
      <c r="C14765" s="1">
        <f>HYPERLINK("https://cao.dolgi.msk.ru/account/1011415097/", 1011415097)</f>
        <v>1011415097</v>
      </c>
      <c r="D14765">
        <v>0</v>
      </c>
    </row>
    <row r="14766" spans="1:4" hidden="1" x14ac:dyDescent="0.3">
      <c r="A14766" t="s">
        <v>966</v>
      </c>
      <c r="B14766" t="s">
        <v>20</v>
      </c>
      <c r="C14766" s="1">
        <f>HYPERLINK("https://cao.dolgi.msk.ru/account/1011526344/", 1011526344)</f>
        <v>1011526344</v>
      </c>
      <c r="D14766">
        <v>-5304.7</v>
      </c>
    </row>
    <row r="14767" spans="1:4" x14ac:dyDescent="0.3">
      <c r="A14767" t="s">
        <v>966</v>
      </c>
      <c r="B14767" t="s">
        <v>21</v>
      </c>
      <c r="C14767" s="1">
        <f>HYPERLINK("https://cao.dolgi.msk.ru/account/1011414684/", 1011414684)</f>
        <v>1011414684</v>
      </c>
      <c r="D14767">
        <v>9458.86</v>
      </c>
    </row>
    <row r="14768" spans="1:4" x14ac:dyDescent="0.3">
      <c r="A14768" t="s">
        <v>966</v>
      </c>
      <c r="B14768" t="s">
        <v>22</v>
      </c>
      <c r="C14768" s="1">
        <f>HYPERLINK("https://cao.dolgi.msk.ru/account/1011414828/", 1011414828)</f>
        <v>1011414828</v>
      </c>
      <c r="D14768">
        <v>9333.56</v>
      </c>
    </row>
    <row r="14769" spans="1:4" hidden="1" x14ac:dyDescent="0.3">
      <c r="A14769" t="s">
        <v>966</v>
      </c>
      <c r="B14769" t="s">
        <v>24</v>
      </c>
      <c r="C14769" s="1">
        <f>HYPERLINK("https://cao.dolgi.msk.ru/account/1011414887/", 1011414887)</f>
        <v>1011414887</v>
      </c>
      <c r="D14769">
        <v>0</v>
      </c>
    </row>
    <row r="14770" spans="1:4" hidden="1" x14ac:dyDescent="0.3">
      <c r="A14770" t="s">
        <v>966</v>
      </c>
      <c r="B14770" t="s">
        <v>25</v>
      </c>
      <c r="C14770" s="1">
        <f>HYPERLINK("https://cao.dolgi.msk.ru/account/1011414801/", 1011414801)</f>
        <v>1011414801</v>
      </c>
      <c r="D14770">
        <v>-43543.49</v>
      </c>
    </row>
    <row r="14771" spans="1:4" x14ac:dyDescent="0.3">
      <c r="A14771" t="s">
        <v>966</v>
      </c>
      <c r="B14771" t="s">
        <v>26</v>
      </c>
      <c r="C14771" s="1">
        <f>HYPERLINK("https://cao.dolgi.msk.ru/account/1011414625/", 1011414625)</f>
        <v>1011414625</v>
      </c>
      <c r="D14771">
        <v>0.05</v>
      </c>
    </row>
    <row r="14772" spans="1:4" hidden="1" x14ac:dyDescent="0.3">
      <c r="A14772" t="s">
        <v>966</v>
      </c>
      <c r="B14772" t="s">
        <v>27</v>
      </c>
      <c r="C14772" s="1">
        <f>HYPERLINK("https://cao.dolgi.msk.ru/account/1011414959/", 1011414959)</f>
        <v>1011414959</v>
      </c>
      <c r="D14772">
        <v>0</v>
      </c>
    </row>
    <row r="14773" spans="1:4" hidden="1" x14ac:dyDescent="0.3">
      <c r="A14773" t="s">
        <v>966</v>
      </c>
      <c r="B14773" t="s">
        <v>27</v>
      </c>
      <c r="C14773" s="1">
        <f>HYPERLINK("https://cao.dolgi.msk.ru/account/1011415003/", 1011415003)</f>
        <v>1011415003</v>
      </c>
      <c r="D14773">
        <v>-4626.18</v>
      </c>
    </row>
    <row r="14774" spans="1:4" hidden="1" x14ac:dyDescent="0.3">
      <c r="A14774" t="s">
        <v>966</v>
      </c>
      <c r="B14774" t="s">
        <v>29</v>
      </c>
      <c r="C14774" s="1">
        <f>HYPERLINK("https://cao.dolgi.msk.ru/account/1011414764/", 1011414764)</f>
        <v>1011414764</v>
      </c>
      <c r="D14774">
        <v>-370.75</v>
      </c>
    </row>
    <row r="14775" spans="1:4" hidden="1" x14ac:dyDescent="0.3">
      <c r="A14775" t="s">
        <v>966</v>
      </c>
      <c r="B14775" t="s">
        <v>29</v>
      </c>
      <c r="C14775" s="1">
        <f>HYPERLINK("https://cao.dolgi.msk.ru/account/1011414895/", 1011414895)</f>
        <v>1011414895</v>
      </c>
      <c r="D14775">
        <v>-1218.24</v>
      </c>
    </row>
    <row r="14776" spans="1:4" hidden="1" x14ac:dyDescent="0.3">
      <c r="A14776" t="s">
        <v>966</v>
      </c>
      <c r="B14776" t="s">
        <v>29</v>
      </c>
      <c r="C14776" s="1">
        <f>HYPERLINK("https://cao.dolgi.msk.ru/account/1011527101/", 1011527101)</f>
        <v>1011527101</v>
      </c>
      <c r="D14776">
        <v>-21.33</v>
      </c>
    </row>
    <row r="14777" spans="1:4" x14ac:dyDescent="0.3">
      <c r="A14777" t="s">
        <v>966</v>
      </c>
      <c r="B14777" t="s">
        <v>38</v>
      </c>
      <c r="C14777" s="1">
        <f>HYPERLINK("https://cao.dolgi.msk.ru/account/1011414609/", 1011414609)</f>
        <v>1011414609</v>
      </c>
      <c r="D14777">
        <v>18312.849999999999</v>
      </c>
    </row>
    <row r="14778" spans="1:4" hidden="1" x14ac:dyDescent="0.3">
      <c r="A14778" t="s">
        <v>966</v>
      </c>
      <c r="B14778" t="s">
        <v>38</v>
      </c>
      <c r="C14778" s="1">
        <f>HYPERLINK("https://cao.dolgi.msk.ru/account/1011414692/", 1011414692)</f>
        <v>1011414692</v>
      </c>
      <c r="D14778">
        <v>0</v>
      </c>
    </row>
    <row r="14779" spans="1:4" hidden="1" x14ac:dyDescent="0.3">
      <c r="A14779" t="s">
        <v>966</v>
      </c>
      <c r="B14779" t="s">
        <v>39</v>
      </c>
      <c r="C14779" s="1">
        <f>HYPERLINK("https://cao.dolgi.msk.ru/account/1011414908/", 1011414908)</f>
        <v>1011414908</v>
      </c>
      <c r="D14779">
        <v>0</v>
      </c>
    </row>
    <row r="14780" spans="1:4" hidden="1" x14ac:dyDescent="0.3">
      <c r="A14780" t="s">
        <v>966</v>
      </c>
      <c r="B14780" t="s">
        <v>39</v>
      </c>
      <c r="C14780" s="1">
        <f>HYPERLINK("https://cao.dolgi.msk.ru/account/1011415142/", 1011415142)</f>
        <v>1011415142</v>
      </c>
      <c r="D14780">
        <v>0</v>
      </c>
    </row>
    <row r="14781" spans="1:4" hidden="1" x14ac:dyDescent="0.3">
      <c r="A14781" t="s">
        <v>966</v>
      </c>
      <c r="B14781" t="s">
        <v>40</v>
      </c>
      <c r="C14781" s="1">
        <f>HYPERLINK("https://cao.dolgi.msk.ru/account/1011415038/", 1011415038)</f>
        <v>1011415038</v>
      </c>
      <c r="D14781">
        <v>0</v>
      </c>
    </row>
    <row r="14782" spans="1:4" hidden="1" x14ac:dyDescent="0.3">
      <c r="A14782" t="s">
        <v>966</v>
      </c>
      <c r="B14782" t="s">
        <v>41</v>
      </c>
      <c r="C14782" s="1">
        <f>HYPERLINK("https://cao.dolgi.msk.ru/account/1011414588/", 1011414588)</f>
        <v>1011414588</v>
      </c>
      <c r="D14782">
        <v>-11361</v>
      </c>
    </row>
    <row r="14783" spans="1:4" hidden="1" x14ac:dyDescent="0.3">
      <c r="A14783" t="s">
        <v>967</v>
      </c>
      <c r="B14783" t="s">
        <v>96</v>
      </c>
      <c r="C14783" s="1">
        <f>HYPERLINK("https://cao.dolgi.msk.ru/account/1011441084/", 1011441084)</f>
        <v>1011441084</v>
      </c>
      <c r="D14783">
        <v>0</v>
      </c>
    </row>
    <row r="14784" spans="1:4" hidden="1" x14ac:dyDescent="0.3">
      <c r="A14784" t="s">
        <v>967</v>
      </c>
      <c r="B14784" t="s">
        <v>97</v>
      </c>
      <c r="C14784" s="1">
        <f>HYPERLINK("https://cao.dolgi.msk.ru/account/1011441092/", 1011441092)</f>
        <v>1011441092</v>
      </c>
      <c r="D14784">
        <v>0</v>
      </c>
    </row>
    <row r="14785" spans="1:4" hidden="1" x14ac:dyDescent="0.3">
      <c r="A14785" t="s">
        <v>967</v>
      </c>
      <c r="B14785" t="s">
        <v>97</v>
      </c>
      <c r="C14785" s="1">
        <f>HYPERLINK("https://cao.dolgi.msk.ru/account/1011441113/", 1011441113)</f>
        <v>1011441113</v>
      </c>
      <c r="D14785">
        <v>-6616.67</v>
      </c>
    </row>
    <row r="14786" spans="1:4" hidden="1" x14ac:dyDescent="0.3">
      <c r="A14786" t="s">
        <v>967</v>
      </c>
      <c r="B14786" t="s">
        <v>98</v>
      </c>
      <c r="C14786" s="1">
        <f>HYPERLINK("https://cao.dolgi.msk.ru/account/1011441172/", 1011441172)</f>
        <v>1011441172</v>
      </c>
      <c r="D14786">
        <v>0</v>
      </c>
    </row>
    <row r="14787" spans="1:4" hidden="1" x14ac:dyDescent="0.3">
      <c r="A14787" t="s">
        <v>967</v>
      </c>
      <c r="B14787" t="s">
        <v>98</v>
      </c>
      <c r="C14787" s="1">
        <f>HYPERLINK("https://cao.dolgi.msk.ru/account/1011441199/", 1011441199)</f>
        <v>1011441199</v>
      </c>
      <c r="D14787">
        <v>-1268.55</v>
      </c>
    </row>
    <row r="14788" spans="1:4" hidden="1" x14ac:dyDescent="0.3">
      <c r="A14788" t="s">
        <v>967</v>
      </c>
      <c r="B14788" t="s">
        <v>58</v>
      </c>
      <c r="C14788" s="1">
        <f>HYPERLINK("https://cao.dolgi.msk.ru/account/1011441201/", 1011441201)</f>
        <v>1011441201</v>
      </c>
      <c r="D14788">
        <v>0</v>
      </c>
    </row>
    <row r="14789" spans="1:4" hidden="1" x14ac:dyDescent="0.3">
      <c r="A14789" t="s">
        <v>967</v>
      </c>
      <c r="B14789" t="s">
        <v>59</v>
      </c>
      <c r="C14789" s="1">
        <f>HYPERLINK("https://cao.dolgi.msk.ru/account/1011441148/", 1011441148)</f>
        <v>1011441148</v>
      </c>
      <c r="D14789">
        <v>0</v>
      </c>
    </row>
    <row r="14790" spans="1:4" x14ac:dyDescent="0.3">
      <c r="A14790" t="s">
        <v>967</v>
      </c>
      <c r="B14790" t="s">
        <v>60</v>
      </c>
      <c r="C14790" s="1">
        <f>HYPERLINK("https://cao.dolgi.msk.ru/account/1011441164/", 1011441164)</f>
        <v>1011441164</v>
      </c>
      <c r="D14790">
        <v>4493.6499999999996</v>
      </c>
    </row>
    <row r="14791" spans="1:4" x14ac:dyDescent="0.3">
      <c r="A14791" t="s">
        <v>967</v>
      </c>
      <c r="B14791" t="s">
        <v>60</v>
      </c>
      <c r="C14791" s="1">
        <f>HYPERLINK("https://cao.dolgi.msk.ru/account/1011441228/", 1011441228)</f>
        <v>1011441228</v>
      </c>
      <c r="D14791">
        <v>3093.42</v>
      </c>
    </row>
    <row r="14792" spans="1:4" hidden="1" x14ac:dyDescent="0.3">
      <c r="A14792" t="s">
        <v>967</v>
      </c>
      <c r="B14792" t="s">
        <v>61</v>
      </c>
      <c r="C14792" s="1">
        <f>HYPERLINK("https://cao.dolgi.msk.ru/account/1011441156/", 1011441156)</f>
        <v>1011441156</v>
      </c>
      <c r="D14792">
        <v>-5616.38</v>
      </c>
    </row>
    <row r="14793" spans="1:4" hidden="1" x14ac:dyDescent="0.3">
      <c r="A14793" t="s">
        <v>967</v>
      </c>
      <c r="B14793" t="s">
        <v>62</v>
      </c>
      <c r="C14793" s="1">
        <f>HYPERLINK("https://cao.dolgi.msk.ru/account/1011441105/", 1011441105)</f>
        <v>1011441105</v>
      </c>
      <c r="D14793">
        <v>-5275.9</v>
      </c>
    </row>
    <row r="14794" spans="1:4" hidden="1" x14ac:dyDescent="0.3">
      <c r="A14794" t="s">
        <v>967</v>
      </c>
      <c r="B14794" t="s">
        <v>63</v>
      </c>
      <c r="C14794" s="1">
        <f>HYPERLINK("https://cao.dolgi.msk.ru/account/1011441121/", 1011441121)</f>
        <v>1011441121</v>
      </c>
      <c r="D14794">
        <v>0</v>
      </c>
    </row>
    <row r="14795" spans="1:4" hidden="1" x14ac:dyDescent="0.3">
      <c r="A14795" t="s">
        <v>967</v>
      </c>
      <c r="B14795" t="s">
        <v>64</v>
      </c>
      <c r="C14795" s="1">
        <f>HYPERLINK("https://cao.dolgi.msk.ru/account/1011441076/", 1011441076)</f>
        <v>1011441076</v>
      </c>
      <c r="D14795">
        <v>0</v>
      </c>
    </row>
    <row r="14796" spans="1:4" hidden="1" x14ac:dyDescent="0.3">
      <c r="A14796" t="s">
        <v>968</v>
      </c>
      <c r="B14796" t="s">
        <v>6</v>
      </c>
      <c r="C14796" s="1">
        <f>HYPERLINK("https://cao.dolgi.msk.ru/account/1011365931/", 1011365931)</f>
        <v>1011365931</v>
      </c>
      <c r="D14796">
        <v>-1916.07</v>
      </c>
    </row>
    <row r="14797" spans="1:4" hidden="1" x14ac:dyDescent="0.3">
      <c r="A14797" t="s">
        <v>968</v>
      </c>
      <c r="B14797" t="s">
        <v>6</v>
      </c>
      <c r="C14797" s="1">
        <f>HYPERLINK("https://cao.dolgi.msk.ru/account/1011366133/", 1011366133)</f>
        <v>1011366133</v>
      </c>
      <c r="D14797">
        <v>0</v>
      </c>
    </row>
    <row r="14798" spans="1:4" hidden="1" x14ac:dyDescent="0.3">
      <c r="A14798" t="s">
        <v>968</v>
      </c>
      <c r="B14798" t="s">
        <v>28</v>
      </c>
      <c r="C14798" s="1">
        <f>HYPERLINK("https://cao.dolgi.msk.ru/account/1011365077/", 1011365077)</f>
        <v>1011365077</v>
      </c>
      <c r="D14798">
        <v>-2477.92</v>
      </c>
    </row>
    <row r="14799" spans="1:4" hidden="1" x14ac:dyDescent="0.3">
      <c r="A14799" t="s">
        <v>968</v>
      </c>
      <c r="B14799" t="s">
        <v>28</v>
      </c>
      <c r="C14799" s="1">
        <f>HYPERLINK("https://cao.dolgi.msk.ru/account/1011366424/", 1011366424)</f>
        <v>1011366424</v>
      </c>
      <c r="D14799">
        <v>-1338.23</v>
      </c>
    </row>
    <row r="14800" spans="1:4" hidden="1" x14ac:dyDescent="0.3">
      <c r="A14800" t="s">
        <v>968</v>
      </c>
      <c r="B14800" t="s">
        <v>35</v>
      </c>
      <c r="C14800" s="1">
        <f>HYPERLINK("https://cao.dolgi.msk.ru/account/1011365245/", 1011365245)</f>
        <v>1011365245</v>
      </c>
      <c r="D14800">
        <v>-3009.29</v>
      </c>
    </row>
    <row r="14801" spans="1:4" hidden="1" x14ac:dyDescent="0.3">
      <c r="A14801" t="s">
        <v>968</v>
      </c>
      <c r="B14801" t="s">
        <v>35</v>
      </c>
      <c r="C14801" s="1">
        <f>HYPERLINK("https://cao.dolgi.msk.ru/account/1011365886/", 1011365886)</f>
        <v>1011365886</v>
      </c>
      <c r="D14801">
        <v>0</v>
      </c>
    </row>
    <row r="14802" spans="1:4" hidden="1" x14ac:dyDescent="0.3">
      <c r="A14802" t="s">
        <v>968</v>
      </c>
      <c r="B14802" t="s">
        <v>35</v>
      </c>
      <c r="C14802" s="1">
        <f>HYPERLINK("https://cao.dolgi.msk.ru/account/1011365907/", 1011365907)</f>
        <v>1011365907</v>
      </c>
      <c r="D14802">
        <v>-255.33</v>
      </c>
    </row>
    <row r="14803" spans="1:4" hidden="1" x14ac:dyDescent="0.3">
      <c r="A14803" t="s">
        <v>968</v>
      </c>
      <c r="B14803" t="s">
        <v>5</v>
      </c>
      <c r="C14803" s="1">
        <f>HYPERLINK("https://cao.dolgi.msk.ru/account/1011365499/", 1011365499)</f>
        <v>1011365499</v>
      </c>
      <c r="D14803">
        <v>0</v>
      </c>
    </row>
    <row r="14804" spans="1:4" x14ac:dyDescent="0.3">
      <c r="A14804" t="s">
        <v>968</v>
      </c>
      <c r="B14804" t="s">
        <v>7</v>
      </c>
      <c r="C14804" s="1">
        <f>HYPERLINK("https://cao.dolgi.msk.ru/account/1011365114/", 1011365114)</f>
        <v>1011365114</v>
      </c>
      <c r="D14804">
        <v>3258.16</v>
      </c>
    </row>
    <row r="14805" spans="1:4" hidden="1" x14ac:dyDescent="0.3">
      <c r="A14805" t="s">
        <v>968</v>
      </c>
      <c r="B14805" t="s">
        <v>8</v>
      </c>
      <c r="C14805" s="1">
        <f>HYPERLINK("https://cao.dolgi.msk.ru/account/1011365456/", 1011365456)</f>
        <v>1011365456</v>
      </c>
      <c r="D14805">
        <v>-1741.76</v>
      </c>
    </row>
    <row r="14806" spans="1:4" hidden="1" x14ac:dyDescent="0.3">
      <c r="A14806" t="s">
        <v>968</v>
      </c>
      <c r="B14806" t="s">
        <v>8</v>
      </c>
      <c r="C14806" s="1">
        <f>HYPERLINK("https://cao.dolgi.msk.ru/account/1011366117/", 1011366117)</f>
        <v>1011366117</v>
      </c>
      <c r="D14806">
        <v>-1699.9</v>
      </c>
    </row>
    <row r="14807" spans="1:4" hidden="1" x14ac:dyDescent="0.3">
      <c r="A14807" t="s">
        <v>968</v>
      </c>
      <c r="B14807" t="s">
        <v>8</v>
      </c>
      <c r="C14807" s="1">
        <f>HYPERLINK("https://cao.dolgi.msk.ru/account/1011366432/", 1011366432)</f>
        <v>1011366432</v>
      </c>
      <c r="D14807">
        <v>-2469.1</v>
      </c>
    </row>
    <row r="14808" spans="1:4" hidden="1" x14ac:dyDescent="0.3">
      <c r="A14808" t="s">
        <v>968</v>
      </c>
      <c r="B14808" t="s">
        <v>31</v>
      </c>
      <c r="C14808" s="1">
        <f>HYPERLINK("https://cao.dolgi.msk.ru/account/1011365843/", 1011365843)</f>
        <v>1011365843</v>
      </c>
      <c r="D14808">
        <v>-6470.75</v>
      </c>
    </row>
    <row r="14809" spans="1:4" hidden="1" x14ac:dyDescent="0.3">
      <c r="A14809" t="s">
        <v>968</v>
      </c>
      <c r="B14809" t="s">
        <v>9</v>
      </c>
      <c r="C14809" s="1">
        <f>HYPERLINK("https://cao.dolgi.msk.ru/account/1011365616/", 1011365616)</f>
        <v>1011365616</v>
      </c>
      <c r="D14809">
        <v>-6507.35</v>
      </c>
    </row>
    <row r="14810" spans="1:4" hidden="1" x14ac:dyDescent="0.3">
      <c r="A14810" t="s">
        <v>968</v>
      </c>
      <c r="B14810" t="s">
        <v>10</v>
      </c>
      <c r="C14810" s="1">
        <f>HYPERLINK("https://cao.dolgi.msk.ru/account/1011364971/", 1011364971)</f>
        <v>1011364971</v>
      </c>
      <c r="D14810">
        <v>0</v>
      </c>
    </row>
    <row r="14811" spans="1:4" hidden="1" x14ac:dyDescent="0.3">
      <c r="A14811" t="s">
        <v>968</v>
      </c>
      <c r="B14811" t="s">
        <v>11</v>
      </c>
      <c r="C14811" s="1">
        <f>HYPERLINK("https://cao.dolgi.msk.ru/account/1011365464/", 1011365464)</f>
        <v>1011365464</v>
      </c>
      <c r="D14811">
        <v>0</v>
      </c>
    </row>
    <row r="14812" spans="1:4" hidden="1" x14ac:dyDescent="0.3">
      <c r="A14812" t="s">
        <v>968</v>
      </c>
      <c r="B14812" t="s">
        <v>12</v>
      </c>
      <c r="C14812" s="1">
        <f>HYPERLINK("https://cao.dolgi.msk.ru/account/1011366328/", 1011366328)</f>
        <v>1011366328</v>
      </c>
      <c r="D14812">
        <v>0</v>
      </c>
    </row>
    <row r="14813" spans="1:4" hidden="1" x14ac:dyDescent="0.3">
      <c r="A14813" t="s">
        <v>968</v>
      </c>
      <c r="B14813" t="s">
        <v>23</v>
      </c>
      <c r="C14813" s="1">
        <f>HYPERLINK("https://cao.dolgi.msk.ru/account/1011365878/", 1011365878)</f>
        <v>1011365878</v>
      </c>
      <c r="D14813">
        <v>0</v>
      </c>
    </row>
    <row r="14814" spans="1:4" hidden="1" x14ac:dyDescent="0.3">
      <c r="A14814" t="s">
        <v>968</v>
      </c>
      <c r="B14814" t="s">
        <v>13</v>
      </c>
      <c r="C14814" s="1">
        <f>HYPERLINK("https://cao.dolgi.msk.ru/account/1011365851/", 1011365851)</f>
        <v>1011365851</v>
      </c>
      <c r="D14814">
        <v>0</v>
      </c>
    </row>
    <row r="14815" spans="1:4" hidden="1" x14ac:dyDescent="0.3">
      <c r="A14815" t="s">
        <v>968</v>
      </c>
      <c r="B14815" t="s">
        <v>13</v>
      </c>
      <c r="C14815" s="1">
        <f>HYPERLINK("https://cao.dolgi.msk.ru/account/1011515303/", 1011515303)</f>
        <v>1011515303</v>
      </c>
      <c r="D14815">
        <v>0</v>
      </c>
    </row>
    <row r="14816" spans="1:4" hidden="1" x14ac:dyDescent="0.3">
      <c r="A14816" t="s">
        <v>968</v>
      </c>
      <c r="B14816" t="s">
        <v>14</v>
      </c>
      <c r="C14816" s="1">
        <f>HYPERLINK("https://cao.dolgi.msk.ru/account/1011365237/", 1011365237)</f>
        <v>1011365237</v>
      </c>
      <c r="D14816">
        <v>0</v>
      </c>
    </row>
    <row r="14817" spans="1:4" hidden="1" x14ac:dyDescent="0.3">
      <c r="A14817" t="s">
        <v>968</v>
      </c>
      <c r="B14817" t="s">
        <v>16</v>
      </c>
      <c r="C14817" s="1">
        <f>HYPERLINK("https://cao.dolgi.msk.ru/account/1011365974/", 1011365974)</f>
        <v>1011365974</v>
      </c>
      <c r="D14817">
        <v>0</v>
      </c>
    </row>
    <row r="14818" spans="1:4" hidden="1" x14ac:dyDescent="0.3">
      <c r="A14818" t="s">
        <v>968</v>
      </c>
      <c r="B14818" t="s">
        <v>16</v>
      </c>
      <c r="C14818" s="1">
        <f>HYPERLINK("https://cao.dolgi.msk.ru/account/1011366088/", 1011366088)</f>
        <v>1011366088</v>
      </c>
      <c r="D14818">
        <v>0</v>
      </c>
    </row>
    <row r="14819" spans="1:4" hidden="1" x14ac:dyDescent="0.3">
      <c r="A14819" t="s">
        <v>968</v>
      </c>
      <c r="B14819" t="s">
        <v>17</v>
      </c>
      <c r="C14819" s="1">
        <f>HYPERLINK("https://cao.dolgi.msk.ru/account/1011365552/", 1011365552)</f>
        <v>1011365552</v>
      </c>
      <c r="D14819">
        <v>-5732.9</v>
      </c>
    </row>
    <row r="14820" spans="1:4" hidden="1" x14ac:dyDescent="0.3">
      <c r="A14820" t="s">
        <v>968</v>
      </c>
      <c r="B14820" t="s">
        <v>18</v>
      </c>
      <c r="C14820" s="1">
        <f>HYPERLINK("https://cao.dolgi.msk.ru/account/1011366141/", 1011366141)</f>
        <v>1011366141</v>
      </c>
      <c r="D14820">
        <v>-6583.3</v>
      </c>
    </row>
    <row r="14821" spans="1:4" hidden="1" x14ac:dyDescent="0.3">
      <c r="A14821" t="s">
        <v>968</v>
      </c>
      <c r="B14821" t="s">
        <v>19</v>
      </c>
      <c r="C14821" s="1">
        <f>HYPERLINK("https://cao.dolgi.msk.ru/account/1011366395/", 1011366395)</f>
        <v>1011366395</v>
      </c>
      <c r="D14821">
        <v>0</v>
      </c>
    </row>
    <row r="14822" spans="1:4" hidden="1" x14ac:dyDescent="0.3">
      <c r="A14822" t="s">
        <v>968</v>
      </c>
      <c r="B14822" t="s">
        <v>20</v>
      </c>
      <c r="C14822" s="1">
        <f>HYPERLINK("https://cao.dolgi.msk.ru/account/1011365042/", 1011365042)</f>
        <v>1011365042</v>
      </c>
      <c r="D14822">
        <v>-1184.26</v>
      </c>
    </row>
    <row r="14823" spans="1:4" hidden="1" x14ac:dyDescent="0.3">
      <c r="A14823" t="s">
        <v>968</v>
      </c>
      <c r="B14823" t="s">
        <v>20</v>
      </c>
      <c r="C14823" s="1">
        <f>HYPERLINK("https://cao.dolgi.msk.ru/account/1011365915/", 1011365915)</f>
        <v>1011365915</v>
      </c>
      <c r="D14823">
        <v>0</v>
      </c>
    </row>
    <row r="14824" spans="1:4" hidden="1" x14ac:dyDescent="0.3">
      <c r="A14824" t="s">
        <v>968</v>
      </c>
      <c r="B14824" t="s">
        <v>21</v>
      </c>
      <c r="C14824" s="1">
        <f>HYPERLINK("https://cao.dolgi.msk.ru/account/1011365624/", 1011365624)</f>
        <v>1011365624</v>
      </c>
      <c r="D14824">
        <v>0</v>
      </c>
    </row>
    <row r="14825" spans="1:4" hidden="1" x14ac:dyDescent="0.3">
      <c r="A14825" t="s">
        <v>968</v>
      </c>
      <c r="B14825" t="s">
        <v>22</v>
      </c>
      <c r="C14825" s="1">
        <f>HYPERLINK("https://cao.dolgi.msk.ru/account/1011366168/", 1011366168)</f>
        <v>1011366168</v>
      </c>
      <c r="D14825">
        <v>0</v>
      </c>
    </row>
    <row r="14826" spans="1:4" hidden="1" x14ac:dyDescent="0.3">
      <c r="A14826" t="s">
        <v>968</v>
      </c>
      <c r="B14826" t="s">
        <v>24</v>
      </c>
      <c r="C14826" s="1">
        <f>HYPERLINK("https://cao.dolgi.msk.ru/account/1011365333/", 1011365333)</f>
        <v>1011365333</v>
      </c>
      <c r="D14826">
        <v>-523.54</v>
      </c>
    </row>
    <row r="14827" spans="1:4" hidden="1" x14ac:dyDescent="0.3">
      <c r="A14827" t="s">
        <v>968</v>
      </c>
      <c r="B14827" t="s">
        <v>24</v>
      </c>
      <c r="C14827" s="1">
        <f>HYPERLINK("https://cao.dolgi.msk.ru/account/1011365683/", 1011365683)</f>
        <v>1011365683</v>
      </c>
      <c r="D14827">
        <v>-520.38</v>
      </c>
    </row>
    <row r="14828" spans="1:4" hidden="1" x14ac:dyDescent="0.3">
      <c r="A14828" t="s">
        <v>968</v>
      </c>
      <c r="B14828" t="s">
        <v>24</v>
      </c>
      <c r="C14828" s="1">
        <f>HYPERLINK("https://cao.dolgi.msk.ru/account/1011366256/", 1011366256)</f>
        <v>1011366256</v>
      </c>
      <c r="D14828">
        <v>-491.82</v>
      </c>
    </row>
    <row r="14829" spans="1:4" hidden="1" x14ac:dyDescent="0.3">
      <c r="A14829" t="s">
        <v>968</v>
      </c>
      <c r="B14829" t="s">
        <v>25</v>
      </c>
      <c r="C14829" s="1">
        <f>HYPERLINK("https://cao.dolgi.msk.ru/account/1011365982/", 1011365982)</f>
        <v>1011365982</v>
      </c>
      <c r="D14829">
        <v>-800.4</v>
      </c>
    </row>
    <row r="14830" spans="1:4" hidden="1" x14ac:dyDescent="0.3">
      <c r="A14830" t="s">
        <v>968</v>
      </c>
      <c r="B14830" t="s">
        <v>26</v>
      </c>
      <c r="C14830" s="1">
        <f>HYPERLINK("https://cao.dolgi.msk.ru/account/1011366336/", 1011366336)</f>
        <v>1011366336</v>
      </c>
      <c r="D14830">
        <v>-904.36</v>
      </c>
    </row>
    <row r="14831" spans="1:4" x14ac:dyDescent="0.3">
      <c r="A14831" t="s">
        <v>968</v>
      </c>
      <c r="B14831" t="s">
        <v>27</v>
      </c>
      <c r="C14831" s="1">
        <f>HYPERLINK("https://cao.dolgi.msk.ru/account/1011365472/", 1011365472)</f>
        <v>1011365472</v>
      </c>
      <c r="D14831">
        <v>4443</v>
      </c>
    </row>
    <row r="14832" spans="1:4" hidden="1" x14ac:dyDescent="0.3">
      <c r="A14832" t="s">
        <v>968</v>
      </c>
      <c r="B14832" t="s">
        <v>27</v>
      </c>
      <c r="C14832" s="1">
        <f>HYPERLINK("https://cao.dolgi.msk.ru/account/1011527136/", 1011527136)</f>
        <v>1011527136</v>
      </c>
      <c r="D14832">
        <v>-1962.89</v>
      </c>
    </row>
    <row r="14833" spans="1:4" x14ac:dyDescent="0.3">
      <c r="A14833" t="s">
        <v>968</v>
      </c>
      <c r="B14833" t="s">
        <v>29</v>
      </c>
      <c r="C14833" s="1">
        <f>HYPERLINK("https://cao.dolgi.msk.ru/account/1011365296/", 1011365296)</f>
        <v>1011365296</v>
      </c>
      <c r="D14833">
        <v>92547.55</v>
      </c>
    </row>
    <row r="14834" spans="1:4" hidden="1" x14ac:dyDescent="0.3">
      <c r="A14834" t="s">
        <v>968</v>
      </c>
      <c r="B14834" t="s">
        <v>38</v>
      </c>
      <c r="C14834" s="1">
        <f>HYPERLINK("https://cao.dolgi.msk.ru/account/1011365501/", 1011365501)</f>
        <v>1011365501</v>
      </c>
      <c r="D14834">
        <v>-392.36</v>
      </c>
    </row>
    <row r="14835" spans="1:4" hidden="1" x14ac:dyDescent="0.3">
      <c r="A14835" t="s">
        <v>968</v>
      </c>
      <c r="B14835" t="s">
        <v>39</v>
      </c>
      <c r="C14835" s="1">
        <f>HYPERLINK("https://cao.dolgi.msk.ru/account/1011366299/", 1011366299)</f>
        <v>1011366299</v>
      </c>
      <c r="D14835">
        <v>0</v>
      </c>
    </row>
    <row r="14836" spans="1:4" hidden="1" x14ac:dyDescent="0.3">
      <c r="A14836" t="s">
        <v>968</v>
      </c>
      <c r="B14836" t="s">
        <v>40</v>
      </c>
      <c r="C14836" s="1">
        <f>HYPERLINK("https://cao.dolgi.msk.ru/account/1011365149/", 1011365149)</f>
        <v>1011365149</v>
      </c>
      <c r="D14836">
        <v>-2793.95</v>
      </c>
    </row>
    <row r="14837" spans="1:4" hidden="1" x14ac:dyDescent="0.3">
      <c r="A14837" t="s">
        <v>968</v>
      </c>
      <c r="B14837" t="s">
        <v>40</v>
      </c>
      <c r="C14837" s="1">
        <f>HYPERLINK("https://cao.dolgi.msk.ru/account/1011366408/", 1011366408)</f>
        <v>1011366408</v>
      </c>
      <c r="D14837">
        <v>-1572.29</v>
      </c>
    </row>
    <row r="14838" spans="1:4" hidden="1" x14ac:dyDescent="0.3">
      <c r="A14838" t="s">
        <v>968</v>
      </c>
      <c r="B14838" t="s">
        <v>41</v>
      </c>
      <c r="C14838" s="1">
        <f>HYPERLINK("https://cao.dolgi.msk.ru/account/1011365608/", 1011365608)</f>
        <v>1011365608</v>
      </c>
      <c r="D14838">
        <v>0</v>
      </c>
    </row>
    <row r="14839" spans="1:4" hidden="1" x14ac:dyDescent="0.3">
      <c r="A14839" t="s">
        <v>968</v>
      </c>
      <c r="B14839" t="s">
        <v>41</v>
      </c>
      <c r="C14839" s="1">
        <f>HYPERLINK("https://cao.dolgi.msk.ru/account/1011365966/", 1011365966)</f>
        <v>1011365966</v>
      </c>
      <c r="D14839">
        <v>0</v>
      </c>
    </row>
    <row r="14840" spans="1:4" hidden="1" x14ac:dyDescent="0.3">
      <c r="A14840" t="s">
        <v>968</v>
      </c>
      <c r="B14840" t="s">
        <v>41</v>
      </c>
      <c r="C14840" s="1">
        <f>HYPERLINK("https://cao.dolgi.msk.ru/account/1011366467/", 1011366467)</f>
        <v>1011366467</v>
      </c>
      <c r="D14840">
        <v>-259.8</v>
      </c>
    </row>
    <row r="14841" spans="1:4" hidden="1" x14ac:dyDescent="0.3">
      <c r="A14841" t="s">
        <v>968</v>
      </c>
      <c r="B14841" t="s">
        <v>51</v>
      </c>
      <c r="C14841" s="1">
        <f>HYPERLINK("https://cao.dolgi.msk.ru/account/1011365691/", 1011365691)</f>
        <v>1011365691</v>
      </c>
      <c r="D14841">
        <v>-775.74</v>
      </c>
    </row>
    <row r="14842" spans="1:4" hidden="1" x14ac:dyDescent="0.3">
      <c r="A14842" t="s">
        <v>968</v>
      </c>
      <c r="B14842" t="s">
        <v>52</v>
      </c>
      <c r="C14842" s="1">
        <f>HYPERLINK("https://cao.dolgi.msk.ru/account/1011365341/", 1011365341)</f>
        <v>1011365341</v>
      </c>
      <c r="D14842">
        <v>-13024.88</v>
      </c>
    </row>
    <row r="14843" spans="1:4" hidden="1" x14ac:dyDescent="0.3">
      <c r="A14843" t="s">
        <v>968</v>
      </c>
      <c r="B14843" t="s">
        <v>52</v>
      </c>
      <c r="C14843" s="1">
        <f>HYPERLINK("https://cao.dolgi.msk.ru/account/1011365368/", 1011365368)</f>
        <v>1011365368</v>
      </c>
      <c r="D14843">
        <v>-5494.04</v>
      </c>
    </row>
    <row r="14844" spans="1:4" hidden="1" x14ac:dyDescent="0.3">
      <c r="A14844" t="s">
        <v>968</v>
      </c>
      <c r="B14844" t="s">
        <v>53</v>
      </c>
      <c r="C14844" s="1">
        <f>HYPERLINK("https://cao.dolgi.msk.ru/account/1011365632/", 1011365632)</f>
        <v>1011365632</v>
      </c>
      <c r="D14844">
        <v>0</v>
      </c>
    </row>
    <row r="14845" spans="1:4" x14ac:dyDescent="0.3">
      <c r="A14845" t="s">
        <v>968</v>
      </c>
      <c r="B14845" t="s">
        <v>54</v>
      </c>
      <c r="C14845" s="1">
        <f>HYPERLINK("https://cao.dolgi.msk.ru/account/1011365026/", 1011365026)</f>
        <v>1011365026</v>
      </c>
      <c r="D14845">
        <v>106072.7</v>
      </c>
    </row>
    <row r="14846" spans="1:4" hidden="1" x14ac:dyDescent="0.3">
      <c r="A14846" t="s">
        <v>968</v>
      </c>
      <c r="B14846" t="s">
        <v>55</v>
      </c>
      <c r="C14846" s="1">
        <f>HYPERLINK("https://cao.dolgi.msk.ru/account/1011365405/", 1011365405)</f>
        <v>1011365405</v>
      </c>
      <c r="D14846">
        <v>-1376.72</v>
      </c>
    </row>
    <row r="14847" spans="1:4" hidden="1" x14ac:dyDescent="0.3">
      <c r="A14847" t="s">
        <v>968</v>
      </c>
      <c r="B14847" t="s">
        <v>55</v>
      </c>
      <c r="C14847" s="1">
        <f>HYPERLINK("https://cao.dolgi.msk.ru/account/1011365659/", 1011365659)</f>
        <v>1011365659</v>
      </c>
      <c r="D14847">
        <v>-154.6</v>
      </c>
    </row>
    <row r="14848" spans="1:4" hidden="1" x14ac:dyDescent="0.3">
      <c r="A14848" t="s">
        <v>968</v>
      </c>
      <c r="B14848" t="s">
        <v>55</v>
      </c>
      <c r="C14848" s="1">
        <f>HYPERLINK("https://cao.dolgi.msk.ru/account/1011365667/", 1011365667)</f>
        <v>1011365667</v>
      </c>
      <c r="D14848">
        <v>-132.74</v>
      </c>
    </row>
    <row r="14849" spans="1:4" hidden="1" x14ac:dyDescent="0.3">
      <c r="A14849" t="s">
        <v>968</v>
      </c>
      <c r="B14849" t="s">
        <v>55</v>
      </c>
      <c r="C14849" s="1">
        <f>HYPERLINK("https://cao.dolgi.msk.ru/account/1011366416/", 1011366416)</f>
        <v>1011366416</v>
      </c>
      <c r="D14849">
        <v>0</v>
      </c>
    </row>
    <row r="14850" spans="1:4" hidden="1" x14ac:dyDescent="0.3">
      <c r="A14850" t="s">
        <v>968</v>
      </c>
      <c r="B14850" t="s">
        <v>56</v>
      </c>
      <c r="C14850" s="1">
        <f>HYPERLINK("https://cao.dolgi.msk.ru/account/1011366387/", 1011366387)</f>
        <v>1011366387</v>
      </c>
      <c r="D14850">
        <v>-100.64</v>
      </c>
    </row>
    <row r="14851" spans="1:4" hidden="1" x14ac:dyDescent="0.3">
      <c r="A14851" t="s">
        <v>968</v>
      </c>
      <c r="B14851" t="s">
        <v>87</v>
      </c>
      <c r="C14851" s="1">
        <f>HYPERLINK("https://cao.dolgi.msk.ru/account/1011366301/", 1011366301)</f>
        <v>1011366301</v>
      </c>
      <c r="D14851">
        <v>-4577.37</v>
      </c>
    </row>
    <row r="14852" spans="1:4" hidden="1" x14ac:dyDescent="0.3">
      <c r="A14852" t="s">
        <v>968</v>
      </c>
      <c r="B14852" t="s">
        <v>88</v>
      </c>
      <c r="C14852" s="1">
        <f>HYPERLINK("https://cao.dolgi.msk.ru/account/1011365317/", 1011365317)</f>
        <v>1011365317</v>
      </c>
      <c r="D14852">
        <v>0</v>
      </c>
    </row>
    <row r="14853" spans="1:4" hidden="1" x14ac:dyDescent="0.3">
      <c r="A14853" t="s">
        <v>968</v>
      </c>
      <c r="B14853" t="s">
        <v>88</v>
      </c>
      <c r="C14853" s="1">
        <f>HYPERLINK("https://cao.dolgi.msk.ru/account/1011365595/", 1011365595)</f>
        <v>1011365595</v>
      </c>
      <c r="D14853">
        <v>-1050</v>
      </c>
    </row>
    <row r="14854" spans="1:4" hidden="1" x14ac:dyDescent="0.3">
      <c r="A14854" t="s">
        <v>968</v>
      </c>
      <c r="B14854" t="s">
        <v>88</v>
      </c>
      <c r="C14854" s="1">
        <f>HYPERLINK("https://cao.dolgi.msk.ru/account/1011366002/", 1011366002)</f>
        <v>1011366002</v>
      </c>
      <c r="D14854">
        <v>0</v>
      </c>
    </row>
    <row r="14855" spans="1:4" x14ac:dyDescent="0.3">
      <c r="A14855" t="s">
        <v>968</v>
      </c>
      <c r="B14855" t="s">
        <v>89</v>
      </c>
      <c r="C14855" s="1">
        <f>HYPERLINK("https://cao.dolgi.msk.ru/account/1011365675/", 1011365675)</f>
        <v>1011365675</v>
      </c>
      <c r="D14855">
        <v>6033.92</v>
      </c>
    </row>
    <row r="14856" spans="1:4" hidden="1" x14ac:dyDescent="0.3">
      <c r="A14856" t="s">
        <v>968</v>
      </c>
      <c r="B14856" t="s">
        <v>90</v>
      </c>
      <c r="C14856" s="1">
        <f>HYPERLINK("https://cao.dolgi.msk.ru/account/1011365261/", 1011365261)</f>
        <v>1011365261</v>
      </c>
      <c r="D14856">
        <v>0</v>
      </c>
    </row>
    <row r="14857" spans="1:4" hidden="1" x14ac:dyDescent="0.3">
      <c r="A14857" t="s">
        <v>968</v>
      </c>
      <c r="B14857" t="s">
        <v>96</v>
      </c>
      <c r="C14857" s="1">
        <f>HYPERLINK("https://cao.dolgi.msk.ru/account/1011366176/", 1011366176)</f>
        <v>1011366176</v>
      </c>
      <c r="D14857">
        <v>-751.13</v>
      </c>
    </row>
    <row r="14858" spans="1:4" hidden="1" x14ac:dyDescent="0.3">
      <c r="A14858" t="s">
        <v>968</v>
      </c>
      <c r="B14858" t="s">
        <v>97</v>
      </c>
      <c r="C14858" s="1">
        <f>HYPERLINK("https://cao.dolgi.msk.ru/account/1011366344/", 1011366344)</f>
        <v>1011366344</v>
      </c>
      <c r="D14858">
        <v>-1962.77</v>
      </c>
    </row>
    <row r="14859" spans="1:4" hidden="1" x14ac:dyDescent="0.3">
      <c r="A14859" t="s">
        <v>968</v>
      </c>
      <c r="B14859" t="s">
        <v>98</v>
      </c>
      <c r="C14859" s="1">
        <f>HYPERLINK("https://cao.dolgi.msk.ru/account/1011365704/", 1011365704)</f>
        <v>1011365704</v>
      </c>
      <c r="D14859">
        <v>-34714.089999999997</v>
      </c>
    </row>
    <row r="14860" spans="1:4" x14ac:dyDescent="0.3">
      <c r="A14860" t="s">
        <v>968</v>
      </c>
      <c r="B14860" t="s">
        <v>98</v>
      </c>
      <c r="C14860" s="1">
        <f>HYPERLINK("https://cao.dolgi.msk.ru/account/1011366037/", 1011366037)</f>
        <v>1011366037</v>
      </c>
      <c r="D14860">
        <v>1729.2</v>
      </c>
    </row>
    <row r="14861" spans="1:4" hidden="1" x14ac:dyDescent="0.3">
      <c r="A14861" t="s">
        <v>968</v>
      </c>
      <c r="B14861" t="s">
        <v>58</v>
      </c>
      <c r="C14861" s="1">
        <f>HYPERLINK("https://cao.dolgi.msk.ru/account/1011365122/", 1011365122)</f>
        <v>1011365122</v>
      </c>
      <c r="D14861">
        <v>0</v>
      </c>
    </row>
    <row r="14862" spans="1:4" hidden="1" x14ac:dyDescent="0.3">
      <c r="A14862" t="s">
        <v>968</v>
      </c>
      <c r="B14862" t="s">
        <v>59</v>
      </c>
      <c r="C14862" s="1">
        <f>HYPERLINK("https://cao.dolgi.msk.ru/account/1011365376/", 1011365376)</f>
        <v>1011365376</v>
      </c>
      <c r="D14862">
        <v>0</v>
      </c>
    </row>
    <row r="14863" spans="1:4" hidden="1" x14ac:dyDescent="0.3">
      <c r="A14863" t="s">
        <v>968</v>
      </c>
      <c r="B14863" t="s">
        <v>60</v>
      </c>
      <c r="C14863" s="1">
        <f>HYPERLINK("https://cao.dolgi.msk.ru/account/1011365288/", 1011365288)</f>
        <v>1011365288</v>
      </c>
      <c r="D14863">
        <v>-393.47</v>
      </c>
    </row>
    <row r="14864" spans="1:4" hidden="1" x14ac:dyDescent="0.3">
      <c r="A14864" t="s">
        <v>968</v>
      </c>
      <c r="B14864" t="s">
        <v>60</v>
      </c>
      <c r="C14864" s="1">
        <f>HYPERLINK("https://cao.dolgi.msk.ru/account/1011365536/", 1011365536)</f>
        <v>1011365536</v>
      </c>
      <c r="D14864">
        <v>-226.8</v>
      </c>
    </row>
    <row r="14865" spans="1:4" hidden="1" x14ac:dyDescent="0.3">
      <c r="A14865" t="s">
        <v>968</v>
      </c>
      <c r="B14865" t="s">
        <v>61</v>
      </c>
      <c r="C14865" s="1">
        <f>HYPERLINK("https://cao.dolgi.msk.ru/account/1011365579/", 1011365579)</f>
        <v>1011365579</v>
      </c>
      <c r="D14865">
        <v>-3842.5</v>
      </c>
    </row>
    <row r="14866" spans="1:4" hidden="1" x14ac:dyDescent="0.3">
      <c r="A14866" t="s">
        <v>968</v>
      </c>
      <c r="B14866" t="s">
        <v>62</v>
      </c>
      <c r="C14866" s="1">
        <f>HYPERLINK("https://cao.dolgi.msk.ru/account/1011365894/", 1011365894)</f>
        <v>1011365894</v>
      </c>
      <c r="D14866">
        <v>-575.04</v>
      </c>
    </row>
    <row r="14867" spans="1:4" hidden="1" x14ac:dyDescent="0.3">
      <c r="A14867" t="s">
        <v>968</v>
      </c>
      <c r="B14867" t="s">
        <v>63</v>
      </c>
      <c r="C14867" s="1">
        <f>HYPERLINK("https://cao.dolgi.msk.ru/account/1011365384/", 1011365384)</f>
        <v>1011365384</v>
      </c>
      <c r="D14867">
        <v>0</v>
      </c>
    </row>
    <row r="14868" spans="1:4" x14ac:dyDescent="0.3">
      <c r="A14868" t="s">
        <v>968</v>
      </c>
      <c r="B14868" t="s">
        <v>64</v>
      </c>
      <c r="C14868" s="1">
        <f>HYPERLINK("https://cao.dolgi.msk.ru/account/1011365413/", 1011365413)</f>
        <v>1011365413</v>
      </c>
      <c r="D14868">
        <v>42010.32</v>
      </c>
    </row>
    <row r="14869" spans="1:4" x14ac:dyDescent="0.3">
      <c r="A14869" t="s">
        <v>968</v>
      </c>
      <c r="B14869" t="s">
        <v>65</v>
      </c>
      <c r="C14869" s="1">
        <f>HYPERLINK("https://cao.dolgi.msk.ru/account/1011365421/", 1011365421)</f>
        <v>1011365421</v>
      </c>
      <c r="D14869">
        <v>16181.87</v>
      </c>
    </row>
    <row r="14870" spans="1:4" hidden="1" x14ac:dyDescent="0.3">
      <c r="A14870" t="s">
        <v>968</v>
      </c>
      <c r="B14870" t="s">
        <v>66</v>
      </c>
      <c r="C14870" s="1">
        <f>HYPERLINK("https://cao.dolgi.msk.ru/account/1011366045/", 1011366045)</f>
        <v>1011366045</v>
      </c>
      <c r="D14870">
        <v>0</v>
      </c>
    </row>
    <row r="14871" spans="1:4" hidden="1" x14ac:dyDescent="0.3">
      <c r="A14871" t="s">
        <v>968</v>
      </c>
      <c r="B14871" t="s">
        <v>67</v>
      </c>
      <c r="C14871" s="1">
        <f>HYPERLINK("https://cao.dolgi.msk.ru/account/1011365587/", 1011365587)</f>
        <v>1011365587</v>
      </c>
      <c r="D14871">
        <v>-1589.6</v>
      </c>
    </row>
    <row r="14872" spans="1:4" hidden="1" x14ac:dyDescent="0.3">
      <c r="A14872" t="s">
        <v>968</v>
      </c>
      <c r="B14872" t="s">
        <v>68</v>
      </c>
      <c r="C14872" s="1">
        <f>HYPERLINK("https://cao.dolgi.msk.ru/account/1011365085/", 1011365085)</f>
        <v>1011365085</v>
      </c>
      <c r="D14872">
        <v>0</v>
      </c>
    </row>
    <row r="14873" spans="1:4" hidden="1" x14ac:dyDescent="0.3">
      <c r="A14873" t="s">
        <v>968</v>
      </c>
      <c r="B14873" t="s">
        <v>69</v>
      </c>
      <c r="C14873" s="1">
        <f>HYPERLINK("https://cao.dolgi.msk.ru/account/1011365157/", 1011365157)</f>
        <v>1011365157</v>
      </c>
      <c r="D14873">
        <v>0</v>
      </c>
    </row>
    <row r="14874" spans="1:4" hidden="1" x14ac:dyDescent="0.3">
      <c r="A14874" t="s">
        <v>968</v>
      </c>
      <c r="B14874" t="s">
        <v>70</v>
      </c>
      <c r="C14874" s="1">
        <f>HYPERLINK("https://cao.dolgi.msk.ru/account/1011365034/", 1011365034)</f>
        <v>1011365034</v>
      </c>
      <c r="D14874">
        <v>-509.96</v>
      </c>
    </row>
    <row r="14875" spans="1:4" x14ac:dyDescent="0.3">
      <c r="A14875" t="s">
        <v>968</v>
      </c>
      <c r="B14875" t="s">
        <v>70</v>
      </c>
      <c r="C14875" s="1">
        <f>HYPERLINK("https://cao.dolgi.msk.ru/account/1011365181/", 1011365181)</f>
        <v>1011365181</v>
      </c>
      <c r="D14875">
        <v>3188.6</v>
      </c>
    </row>
    <row r="14876" spans="1:4" hidden="1" x14ac:dyDescent="0.3">
      <c r="A14876" t="s">
        <v>968</v>
      </c>
      <c r="B14876" t="s">
        <v>70</v>
      </c>
      <c r="C14876" s="1">
        <f>HYPERLINK("https://cao.dolgi.msk.ru/account/1011365712/", 1011365712)</f>
        <v>1011365712</v>
      </c>
      <c r="D14876">
        <v>-3017.04</v>
      </c>
    </row>
    <row r="14877" spans="1:4" hidden="1" x14ac:dyDescent="0.3">
      <c r="A14877" t="s">
        <v>968</v>
      </c>
      <c r="B14877" t="s">
        <v>70</v>
      </c>
      <c r="C14877" s="1">
        <f>HYPERLINK("https://cao.dolgi.msk.ru/account/1011366205/", 1011366205)</f>
        <v>1011366205</v>
      </c>
      <c r="D14877">
        <v>-280.16000000000003</v>
      </c>
    </row>
    <row r="14878" spans="1:4" hidden="1" x14ac:dyDescent="0.3">
      <c r="A14878" t="s">
        <v>968</v>
      </c>
      <c r="B14878" t="s">
        <v>259</v>
      </c>
      <c r="C14878" s="1">
        <f>HYPERLINK("https://cao.dolgi.msk.ru/account/1011365923/", 1011365923)</f>
        <v>1011365923</v>
      </c>
      <c r="D14878">
        <v>-1082.46</v>
      </c>
    </row>
    <row r="14879" spans="1:4" hidden="1" x14ac:dyDescent="0.3">
      <c r="A14879" t="s">
        <v>968</v>
      </c>
      <c r="B14879" t="s">
        <v>259</v>
      </c>
      <c r="C14879" s="1">
        <f>HYPERLINK("https://cao.dolgi.msk.ru/account/1011366459/", 1011366459)</f>
        <v>1011366459</v>
      </c>
      <c r="D14879">
        <v>-511.6</v>
      </c>
    </row>
    <row r="14880" spans="1:4" hidden="1" x14ac:dyDescent="0.3">
      <c r="A14880" t="s">
        <v>968</v>
      </c>
      <c r="B14880" t="s">
        <v>100</v>
      </c>
      <c r="C14880" s="1">
        <f>HYPERLINK("https://cao.dolgi.msk.ru/account/1011365798/", 1011365798)</f>
        <v>1011365798</v>
      </c>
      <c r="D14880">
        <v>-2840.32</v>
      </c>
    </row>
    <row r="14881" spans="1:4" hidden="1" x14ac:dyDescent="0.3">
      <c r="A14881" t="s">
        <v>968</v>
      </c>
      <c r="B14881" t="s">
        <v>72</v>
      </c>
      <c r="C14881" s="1">
        <f>HYPERLINK("https://cao.dolgi.msk.ru/account/1011365739/", 1011365739)</f>
        <v>1011365739</v>
      </c>
      <c r="D14881">
        <v>0</v>
      </c>
    </row>
    <row r="14882" spans="1:4" hidden="1" x14ac:dyDescent="0.3">
      <c r="A14882" t="s">
        <v>968</v>
      </c>
      <c r="B14882" t="s">
        <v>72</v>
      </c>
      <c r="C14882" s="1">
        <f>HYPERLINK("https://cao.dolgi.msk.ru/account/1011366264/", 1011366264)</f>
        <v>1011366264</v>
      </c>
      <c r="D14882">
        <v>0</v>
      </c>
    </row>
    <row r="14883" spans="1:4" hidden="1" x14ac:dyDescent="0.3">
      <c r="A14883" t="s">
        <v>968</v>
      </c>
      <c r="B14883" t="s">
        <v>73</v>
      </c>
      <c r="C14883" s="1">
        <f>HYPERLINK("https://cao.dolgi.msk.ru/account/1011365392/", 1011365392)</f>
        <v>1011365392</v>
      </c>
      <c r="D14883">
        <v>-4851.09</v>
      </c>
    </row>
    <row r="14884" spans="1:4" hidden="1" x14ac:dyDescent="0.3">
      <c r="A14884" t="s">
        <v>968</v>
      </c>
      <c r="B14884" t="s">
        <v>74</v>
      </c>
      <c r="C14884" s="1">
        <f>HYPERLINK("https://cao.dolgi.msk.ru/account/1011365771/", 1011365771)</f>
        <v>1011365771</v>
      </c>
      <c r="D14884">
        <v>0</v>
      </c>
    </row>
    <row r="14885" spans="1:4" hidden="1" x14ac:dyDescent="0.3">
      <c r="A14885" t="s">
        <v>968</v>
      </c>
      <c r="B14885" t="s">
        <v>75</v>
      </c>
      <c r="C14885" s="1">
        <f>HYPERLINK("https://cao.dolgi.msk.ru/account/1011366475/", 1011366475)</f>
        <v>1011366475</v>
      </c>
      <c r="D14885">
        <v>0</v>
      </c>
    </row>
    <row r="14886" spans="1:4" hidden="1" x14ac:dyDescent="0.3">
      <c r="A14886" t="s">
        <v>968</v>
      </c>
      <c r="B14886" t="s">
        <v>76</v>
      </c>
      <c r="C14886" s="1">
        <f>HYPERLINK("https://cao.dolgi.msk.ru/account/1011364998/", 1011364998)</f>
        <v>1011364998</v>
      </c>
      <c r="D14886">
        <v>-253.07</v>
      </c>
    </row>
    <row r="14887" spans="1:4" hidden="1" x14ac:dyDescent="0.3">
      <c r="A14887" t="s">
        <v>968</v>
      </c>
      <c r="B14887" t="s">
        <v>76</v>
      </c>
      <c r="C14887" s="1">
        <f>HYPERLINK("https://cao.dolgi.msk.ru/account/1011365229/", 1011365229)</f>
        <v>1011365229</v>
      </c>
      <c r="D14887">
        <v>-403.54</v>
      </c>
    </row>
    <row r="14888" spans="1:4" x14ac:dyDescent="0.3">
      <c r="A14888" t="s">
        <v>968</v>
      </c>
      <c r="B14888" t="s">
        <v>76</v>
      </c>
      <c r="C14888" s="1">
        <f>HYPERLINK("https://cao.dolgi.msk.ru/account/1011366352/", 1011366352)</f>
        <v>1011366352</v>
      </c>
      <c r="D14888">
        <v>2378.79</v>
      </c>
    </row>
    <row r="14889" spans="1:4" hidden="1" x14ac:dyDescent="0.3">
      <c r="A14889" t="s">
        <v>968</v>
      </c>
      <c r="B14889" t="s">
        <v>77</v>
      </c>
      <c r="C14889" s="1">
        <f>HYPERLINK("https://cao.dolgi.msk.ru/account/1011366029/", 1011366029)</f>
        <v>1011366029</v>
      </c>
      <c r="D14889">
        <v>0</v>
      </c>
    </row>
    <row r="14890" spans="1:4" hidden="1" x14ac:dyDescent="0.3">
      <c r="A14890" t="s">
        <v>968</v>
      </c>
      <c r="B14890" t="s">
        <v>77</v>
      </c>
      <c r="C14890" s="1">
        <f>HYPERLINK("https://cao.dolgi.msk.ru/account/1011366125/", 1011366125)</f>
        <v>1011366125</v>
      </c>
      <c r="D14890">
        <v>0</v>
      </c>
    </row>
    <row r="14891" spans="1:4" hidden="1" x14ac:dyDescent="0.3">
      <c r="A14891" t="s">
        <v>968</v>
      </c>
      <c r="B14891" t="s">
        <v>78</v>
      </c>
      <c r="C14891" s="1">
        <f>HYPERLINK("https://cao.dolgi.msk.ru/account/1011365069/", 1011365069)</f>
        <v>1011365069</v>
      </c>
      <c r="D14891">
        <v>0</v>
      </c>
    </row>
    <row r="14892" spans="1:4" hidden="1" x14ac:dyDescent="0.3">
      <c r="A14892" t="s">
        <v>968</v>
      </c>
      <c r="B14892" t="s">
        <v>79</v>
      </c>
      <c r="C14892" s="1">
        <f>HYPERLINK("https://cao.dolgi.msk.ru/account/1011365544/", 1011365544)</f>
        <v>1011365544</v>
      </c>
      <c r="D14892">
        <v>0</v>
      </c>
    </row>
    <row r="14893" spans="1:4" hidden="1" x14ac:dyDescent="0.3">
      <c r="A14893" t="s">
        <v>968</v>
      </c>
      <c r="B14893" t="s">
        <v>79</v>
      </c>
      <c r="C14893" s="1">
        <f>HYPERLINK("https://cao.dolgi.msk.ru/account/1011366053/", 1011366053)</f>
        <v>1011366053</v>
      </c>
      <c r="D14893">
        <v>-98.28</v>
      </c>
    </row>
    <row r="14894" spans="1:4" hidden="1" x14ac:dyDescent="0.3">
      <c r="A14894" t="s">
        <v>968</v>
      </c>
      <c r="B14894" t="s">
        <v>80</v>
      </c>
      <c r="C14894" s="1">
        <f>HYPERLINK("https://cao.dolgi.msk.ru/account/1011365202/", 1011365202)</f>
        <v>1011365202</v>
      </c>
      <c r="D14894">
        <v>0</v>
      </c>
    </row>
    <row r="14895" spans="1:4" hidden="1" x14ac:dyDescent="0.3">
      <c r="A14895" t="s">
        <v>968</v>
      </c>
      <c r="B14895" t="s">
        <v>81</v>
      </c>
      <c r="C14895" s="1">
        <f>HYPERLINK("https://cao.dolgi.msk.ru/account/1011365448/", 1011365448)</f>
        <v>1011365448</v>
      </c>
      <c r="D14895">
        <v>0</v>
      </c>
    </row>
    <row r="14896" spans="1:4" x14ac:dyDescent="0.3">
      <c r="A14896" t="s">
        <v>968</v>
      </c>
      <c r="B14896" t="s">
        <v>81</v>
      </c>
      <c r="C14896" s="1">
        <f>HYPERLINK("https://cao.dolgi.msk.ru/account/1011366184/", 1011366184)</f>
        <v>1011366184</v>
      </c>
      <c r="D14896">
        <v>13369.03</v>
      </c>
    </row>
    <row r="14897" spans="1:4" hidden="1" x14ac:dyDescent="0.3">
      <c r="A14897" t="s">
        <v>968</v>
      </c>
      <c r="B14897" t="s">
        <v>101</v>
      </c>
      <c r="C14897" s="1">
        <f>HYPERLINK("https://cao.dolgi.msk.ru/account/1011365093/", 1011365093)</f>
        <v>1011365093</v>
      </c>
      <c r="D14897">
        <v>0</v>
      </c>
    </row>
    <row r="14898" spans="1:4" hidden="1" x14ac:dyDescent="0.3">
      <c r="A14898" t="s">
        <v>968</v>
      </c>
      <c r="B14898" t="s">
        <v>101</v>
      </c>
      <c r="C14898" s="1">
        <f>HYPERLINK("https://cao.dolgi.msk.ru/account/1011365106/", 1011365106)</f>
        <v>1011365106</v>
      </c>
      <c r="D14898">
        <v>0</v>
      </c>
    </row>
    <row r="14899" spans="1:4" hidden="1" x14ac:dyDescent="0.3">
      <c r="A14899" t="s">
        <v>968</v>
      </c>
      <c r="B14899" t="s">
        <v>101</v>
      </c>
      <c r="C14899" s="1">
        <f>HYPERLINK("https://cao.dolgi.msk.ru/account/1011365747/", 1011365747)</f>
        <v>1011365747</v>
      </c>
      <c r="D14899">
        <v>0</v>
      </c>
    </row>
    <row r="14900" spans="1:4" x14ac:dyDescent="0.3">
      <c r="A14900" t="s">
        <v>968</v>
      </c>
      <c r="B14900" t="s">
        <v>101</v>
      </c>
      <c r="C14900" s="1">
        <f>HYPERLINK("https://cao.dolgi.msk.ru/account/1011366061/", 1011366061)</f>
        <v>1011366061</v>
      </c>
      <c r="D14900">
        <v>8090.65</v>
      </c>
    </row>
    <row r="14901" spans="1:4" x14ac:dyDescent="0.3">
      <c r="A14901" t="s">
        <v>968</v>
      </c>
      <c r="B14901" t="s">
        <v>82</v>
      </c>
      <c r="C14901" s="1">
        <f>HYPERLINK("https://cao.dolgi.msk.ru/account/1011365819/", 1011365819)</f>
        <v>1011365819</v>
      </c>
      <c r="D14901">
        <v>4152.84</v>
      </c>
    </row>
    <row r="14902" spans="1:4" hidden="1" x14ac:dyDescent="0.3">
      <c r="A14902" t="s">
        <v>968</v>
      </c>
      <c r="B14902" t="s">
        <v>83</v>
      </c>
      <c r="C14902" s="1">
        <f>HYPERLINK("https://cao.dolgi.msk.ru/account/1011365325/", 1011365325)</f>
        <v>1011365325</v>
      </c>
      <c r="D14902">
        <v>0</v>
      </c>
    </row>
    <row r="14903" spans="1:4" hidden="1" x14ac:dyDescent="0.3">
      <c r="A14903" t="s">
        <v>968</v>
      </c>
      <c r="B14903" t="s">
        <v>84</v>
      </c>
      <c r="C14903" s="1">
        <f>HYPERLINK("https://cao.dolgi.msk.ru/account/1011365528/", 1011365528)</f>
        <v>1011365528</v>
      </c>
      <c r="D14903">
        <v>-6151.28</v>
      </c>
    </row>
    <row r="14904" spans="1:4" hidden="1" x14ac:dyDescent="0.3">
      <c r="A14904" t="s">
        <v>968</v>
      </c>
      <c r="B14904" t="s">
        <v>84</v>
      </c>
      <c r="C14904" s="1">
        <f>HYPERLINK("https://cao.dolgi.msk.ru/account/1011366221/", 1011366221)</f>
        <v>1011366221</v>
      </c>
      <c r="D14904">
        <v>0</v>
      </c>
    </row>
    <row r="14905" spans="1:4" x14ac:dyDescent="0.3">
      <c r="A14905" t="s">
        <v>968</v>
      </c>
      <c r="B14905" t="s">
        <v>85</v>
      </c>
      <c r="C14905" s="1">
        <f>HYPERLINK("https://cao.dolgi.msk.ru/account/1011365835/", 1011365835)</f>
        <v>1011365835</v>
      </c>
      <c r="D14905">
        <v>110753.72</v>
      </c>
    </row>
    <row r="14906" spans="1:4" hidden="1" x14ac:dyDescent="0.3">
      <c r="A14906" t="s">
        <v>968</v>
      </c>
      <c r="B14906" t="s">
        <v>85</v>
      </c>
      <c r="C14906" s="1">
        <f>HYPERLINK("https://cao.dolgi.msk.ru/account/1011366213/", 1011366213)</f>
        <v>1011366213</v>
      </c>
      <c r="D14906">
        <v>0</v>
      </c>
    </row>
    <row r="14907" spans="1:4" x14ac:dyDescent="0.3">
      <c r="A14907" t="s">
        <v>968</v>
      </c>
      <c r="B14907" t="s">
        <v>102</v>
      </c>
      <c r="C14907" s="1">
        <f>HYPERLINK("https://cao.dolgi.msk.ru/account/1011365173/", 1011365173)</f>
        <v>1011365173</v>
      </c>
      <c r="D14907">
        <v>115317.92</v>
      </c>
    </row>
    <row r="14908" spans="1:4" hidden="1" x14ac:dyDescent="0.3">
      <c r="A14908" t="s">
        <v>968</v>
      </c>
      <c r="B14908" t="s">
        <v>102</v>
      </c>
      <c r="C14908" s="1">
        <f>HYPERLINK("https://cao.dolgi.msk.ru/account/1011366491/", 1011366491)</f>
        <v>1011366491</v>
      </c>
      <c r="D14908">
        <v>0</v>
      </c>
    </row>
    <row r="14909" spans="1:4" hidden="1" x14ac:dyDescent="0.3">
      <c r="A14909" t="s">
        <v>968</v>
      </c>
      <c r="B14909" t="s">
        <v>103</v>
      </c>
      <c r="C14909" s="1">
        <f>HYPERLINK("https://cao.dolgi.msk.ru/account/1011366096/", 1011366096)</f>
        <v>1011366096</v>
      </c>
      <c r="D14909">
        <v>-9784.36</v>
      </c>
    </row>
    <row r="14910" spans="1:4" hidden="1" x14ac:dyDescent="0.3">
      <c r="A14910" t="s">
        <v>968</v>
      </c>
      <c r="B14910" t="s">
        <v>104</v>
      </c>
      <c r="C14910" s="1">
        <f>HYPERLINK("https://cao.dolgi.msk.ru/account/1011366483/", 1011366483)</f>
        <v>1011366483</v>
      </c>
      <c r="D14910">
        <v>-708.83</v>
      </c>
    </row>
    <row r="14911" spans="1:4" x14ac:dyDescent="0.3">
      <c r="A14911" t="s">
        <v>968</v>
      </c>
      <c r="B14911" t="s">
        <v>105</v>
      </c>
      <c r="C14911" s="1">
        <f>HYPERLINK("https://cao.dolgi.msk.ru/account/1011365018/", 1011365018)</f>
        <v>1011365018</v>
      </c>
      <c r="D14911">
        <v>2979.63</v>
      </c>
    </row>
    <row r="14912" spans="1:4" hidden="1" x14ac:dyDescent="0.3">
      <c r="A14912" t="s">
        <v>968</v>
      </c>
      <c r="B14912" t="s">
        <v>105</v>
      </c>
      <c r="C14912" s="1">
        <f>HYPERLINK("https://cao.dolgi.msk.ru/account/1011365165/", 1011365165)</f>
        <v>1011365165</v>
      </c>
      <c r="D14912">
        <v>0</v>
      </c>
    </row>
    <row r="14913" spans="1:4" hidden="1" x14ac:dyDescent="0.3">
      <c r="A14913" t="s">
        <v>968</v>
      </c>
      <c r="B14913" t="s">
        <v>105</v>
      </c>
      <c r="C14913" s="1">
        <f>HYPERLINK("https://cao.dolgi.msk.ru/account/1011366248/", 1011366248)</f>
        <v>1011366248</v>
      </c>
      <c r="D14913">
        <v>0</v>
      </c>
    </row>
    <row r="14914" spans="1:4" hidden="1" x14ac:dyDescent="0.3">
      <c r="A14914" t="s">
        <v>968</v>
      </c>
      <c r="B14914" t="s">
        <v>106</v>
      </c>
      <c r="C14914" s="1">
        <f>HYPERLINK("https://cao.dolgi.msk.ru/account/1011365958/", 1011365958)</f>
        <v>1011365958</v>
      </c>
      <c r="D14914">
        <v>0</v>
      </c>
    </row>
    <row r="14915" spans="1:4" hidden="1" x14ac:dyDescent="0.3">
      <c r="A14915" t="s">
        <v>968</v>
      </c>
      <c r="B14915" t="s">
        <v>106</v>
      </c>
      <c r="C14915" s="1">
        <f>HYPERLINK("https://cao.dolgi.msk.ru/account/1011366272/", 1011366272)</f>
        <v>1011366272</v>
      </c>
      <c r="D14915">
        <v>0</v>
      </c>
    </row>
    <row r="14916" spans="1:4" x14ac:dyDescent="0.3">
      <c r="A14916" t="s">
        <v>968</v>
      </c>
      <c r="B14916" t="s">
        <v>106</v>
      </c>
      <c r="C14916" s="1">
        <f>HYPERLINK("https://cao.dolgi.msk.ru/account/1011366379/", 1011366379)</f>
        <v>1011366379</v>
      </c>
      <c r="D14916">
        <v>1295.6099999999999</v>
      </c>
    </row>
    <row r="14917" spans="1:4" hidden="1" x14ac:dyDescent="0.3">
      <c r="A14917" t="s">
        <v>968</v>
      </c>
      <c r="B14917" t="s">
        <v>107</v>
      </c>
      <c r="C14917" s="1">
        <f>HYPERLINK("https://cao.dolgi.msk.ru/account/1011365253/", 1011365253)</f>
        <v>1011365253</v>
      </c>
      <c r="D14917">
        <v>0</v>
      </c>
    </row>
    <row r="14918" spans="1:4" hidden="1" x14ac:dyDescent="0.3">
      <c r="A14918" t="s">
        <v>968</v>
      </c>
      <c r="B14918" t="s">
        <v>107</v>
      </c>
      <c r="C14918" s="1">
        <f>HYPERLINK("https://cao.dolgi.msk.ru/account/1011365755/", 1011365755)</f>
        <v>1011365755</v>
      </c>
      <c r="D14918">
        <v>0</v>
      </c>
    </row>
    <row r="14919" spans="1:4" hidden="1" x14ac:dyDescent="0.3">
      <c r="A14919" t="s">
        <v>968</v>
      </c>
      <c r="B14919" t="s">
        <v>107</v>
      </c>
      <c r="C14919" s="1">
        <f>HYPERLINK("https://cao.dolgi.msk.ru/account/1011366109/", 1011366109)</f>
        <v>1011366109</v>
      </c>
      <c r="D14919">
        <v>-1018.16</v>
      </c>
    </row>
    <row r="14920" spans="1:4" hidden="1" x14ac:dyDescent="0.3">
      <c r="A14920" t="s">
        <v>968</v>
      </c>
      <c r="B14920" t="s">
        <v>108</v>
      </c>
      <c r="C14920" s="1">
        <f>HYPERLINK("https://cao.dolgi.msk.ru/account/1011365309/", 1011365309)</f>
        <v>1011365309</v>
      </c>
      <c r="D14920">
        <v>-391.14</v>
      </c>
    </row>
    <row r="14921" spans="1:4" x14ac:dyDescent="0.3">
      <c r="A14921" t="s">
        <v>969</v>
      </c>
      <c r="B14921" t="s">
        <v>6</v>
      </c>
      <c r="C14921" s="1">
        <f>HYPERLINK("https://cao.dolgi.msk.ru/account/1011510385/", 1011510385)</f>
        <v>1011510385</v>
      </c>
      <c r="D14921">
        <v>5027.54</v>
      </c>
    </row>
    <row r="14922" spans="1:4" hidden="1" x14ac:dyDescent="0.3">
      <c r="A14922" t="s">
        <v>969</v>
      </c>
      <c r="B14922" t="s">
        <v>799</v>
      </c>
      <c r="C14922" s="1">
        <f>HYPERLINK("https://cao.dolgi.msk.ru/account/1011416372/", 1011416372)</f>
        <v>1011416372</v>
      </c>
      <c r="D14922">
        <v>0</v>
      </c>
    </row>
    <row r="14923" spans="1:4" hidden="1" x14ac:dyDescent="0.3">
      <c r="A14923" t="s">
        <v>969</v>
      </c>
      <c r="B14923" t="s">
        <v>35</v>
      </c>
      <c r="C14923" s="1">
        <f>HYPERLINK("https://cao.dolgi.msk.ru/account/1011415185/", 1011415185)</f>
        <v>1011415185</v>
      </c>
      <c r="D14923">
        <v>0</v>
      </c>
    </row>
    <row r="14924" spans="1:4" hidden="1" x14ac:dyDescent="0.3">
      <c r="A14924" t="s">
        <v>969</v>
      </c>
      <c r="B14924" t="s">
        <v>5</v>
      </c>
      <c r="C14924" s="1">
        <f>HYPERLINK("https://cao.dolgi.msk.ru/account/1011416145/", 1011416145)</f>
        <v>1011416145</v>
      </c>
      <c r="D14924">
        <v>0</v>
      </c>
    </row>
    <row r="14925" spans="1:4" hidden="1" x14ac:dyDescent="0.3">
      <c r="A14925" t="s">
        <v>969</v>
      </c>
      <c r="B14925" t="s">
        <v>7</v>
      </c>
      <c r="C14925" s="1">
        <f>HYPERLINK("https://cao.dolgi.msk.ru/account/1011415716/", 1011415716)</f>
        <v>1011415716</v>
      </c>
      <c r="D14925">
        <v>0</v>
      </c>
    </row>
    <row r="14926" spans="1:4" hidden="1" x14ac:dyDescent="0.3">
      <c r="A14926" t="s">
        <v>969</v>
      </c>
      <c r="B14926" t="s">
        <v>7</v>
      </c>
      <c r="C14926" s="1">
        <f>HYPERLINK("https://cao.dolgi.msk.ru/account/1011415732/", 1011415732)</f>
        <v>1011415732</v>
      </c>
      <c r="D14926">
        <v>0</v>
      </c>
    </row>
    <row r="14927" spans="1:4" hidden="1" x14ac:dyDescent="0.3">
      <c r="A14927" t="s">
        <v>969</v>
      </c>
      <c r="B14927" t="s">
        <v>7</v>
      </c>
      <c r="C14927" s="1">
        <f>HYPERLINK("https://cao.dolgi.msk.ru/account/1011416161/", 1011416161)</f>
        <v>1011416161</v>
      </c>
      <c r="D14927">
        <v>0</v>
      </c>
    </row>
    <row r="14928" spans="1:4" hidden="1" x14ac:dyDescent="0.3">
      <c r="A14928" t="s">
        <v>969</v>
      </c>
      <c r="B14928" t="s">
        <v>8</v>
      </c>
      <c r="C14928" s="1">
        <f>HYPERLINK("https://cao.dolgi.msk.ru/account/1011415695/", 1011415695)</f>
        <v>1011415695</v>
      </c>
      <c r="D14928">
        <v>0</v>
      </c>
    </row>
    <row r="14929" spans="1:4" hidden="1" x14ac:dyDescent="0.3">
      <c r="A14929" t="s">
        <v>969</v>
      </c>
      <c r="B14929" t="s">
        <v>31</v>
      </c>
      <c r="C14929" s="1">
        <f>HYPERLINK("https://cao.dolgi.msk.ru/account/1011416129/", 1011416129)</f>
        <v>1011416129</v>
      </c>
      <c r="D14929">
        <v>0</v>
      </c>
    </row>
    <row r="14930" spans="1:4" hidden="1" x14ac:dyDescent="0.3">
      <c r="A14930" t="s">
        <v>969</v>
      </c>
      <c r="B14930" t="s">
        <v>9</v>
      </c>
      <c r="C14930" s="1">
        <f>HYPERLINK("https://cao.dolgi.msk.ru/account/1011416049/", 1011416049)</f>
        <v>1011416049</v>
      </c>
      <c r="D14930">
        <v>0</v>
      </c>
    </row>
    <row r="14931" spans="1:4" hidden="1" x14ac:dyDescent="0.3">
      <c r="A14931" t="s">
        <v>969</v>
      </c>
      <c r="B14931" t="s">
        <v>10</v>
      </c>
      <c r="C14931" s="1">
        <f>HYPERLINK("https://cao.dolgi.msk.ru/account/1011415783/", 1011415783)</f>
        <v>1011415783</v>
      </c>
      <c r="D14931">
        <v>0</v>
      </c>
    </row>
    <row r="14932" spans="1:4" hidden="1" x14ac:dyDescent="0.3">
      <c r="A14932" t="s">
        <v>969</v>
      </c>
      <c r="B14932" t="s">
        <v>11</v>
      </c>
      <c r="C14932" s="1">
        <f>HYPERLINK("https://cao.dolgi.msk.ru/account/1011415572/", 1011415572)</f>
        <v>1011415572</v>
      </c>
      <c r="D14932">
        <v>-5618.42</v>
      </c>
    </row>
    <row r="14933" spans="1:4" hidden="1" x14ac:dyDescent="0.3">
      <c r="A14933" t="s">
        <v>969</v>
      </c>
      <c r="B14933" t="s">
        <v>23</v>
      </c>
      <c r="C14933" s="1">
        <f>HYPERLINK("https://cao.dolgi.msk.ru/account/1011416399/", 1011416399)</f>
        <v>1011416399</v>
      </c>
      <c r="D14933">
        <v>0</v>
      </c>
    </row>
    <row r="14934" spans="1:4" x14ac:dyDescent="0.3">
      <c r="A14934" t="s">
        <v>969</v>
      </c>
      <c r="B14934" t="s">
        <v>13</v>
      </c>
      <c r="C14934" s="1">
        <f>HYPERLINK("https://cao.dolgi.msk.ru/account/1011415329/", 1011415329)</f>
        <v>1011415329</v>
      </c>
      <c r="D14934">
        <v>7459.3</v>
      </c>
    </row>
    <row r="14935" spans="1:4" hidden="1" x14ac:dyDescent="0.3">
      <c r="A14935" t="s">
        <v>969</v>
      </c>
      <c r="B14935" t="s">
        <v>14</v>
      </c>
      <c r="C14935" s="1">
        <f>HYPERLINK("https://cao.dolgi.msk.ru/account/1011415417/", 1011415417)</f>
        <v>1011415417</v>
      </c>
      <c r="D14935">
        <v>0</v>
      </c>
    </row>
    <row r="14936" spans="1:4" hidden="1" x14ac:dyDescent="0.3">
      <c r="A14936" t="s">
        <v>969</v>
      </c>
      <c r="B14936" t="s">
        <v>14</v>
      </c>
      <c r="C14936" s="1">
        <f>HYPERLINK("https://cao.dolgi.msk.ru/account/1011415708/", 1011415708)</f>
        <v>1011415708</v>
      </c>
      <c r="D14936">
        <v>-3617.16</v>
      </c>
    </row>
    <row r="14937" spans="1:4" x14ac:dyDescent="0.3">
      <c r="A14937" t="s">
        <v>969</v>
      </c>
      <c r="B14937" t="s">
        <v>14</v>
      </c>
      <c r="C14937" s="1">
        <f>HYPERLINK("https://cao.dolgi.msk.ru/account/1011416516/", 1011416516)</f>
        <v>1011416516</v>
      </c>
      <c r="D14937">
        <v>63194.79</v>
      </c>
    </row>
    <row r="14938" spans="1:4" x14ac:dyDescent="0.3">
      <c r="A14938" t="s">
        <v>969</v>
      </c>
      <c r="B14938" t="s">
        <v>16</v>
      </c>
      <c r="C14938" s="1">
        <f>HYPERLINK("https://cao.dolgi.msk.ru/account/1011415177/", 1011415177)</f>
        <v>1011415177</v>
      </c>
      <c r="D14938">
        <v>7266.03</v>
      </c>
    </row>
    <row r="14939" spans="1:4" x14ac:dyDescent="0.3">
      <c r="A14939" t="s">
        <v>969</v>
      </c>
      <c r="B14939" t="s">
        <v>16</v>
      </c>
      <c r="C14939" s="1">
        <f>HYPERLINK("https://cao.dolgi.msk.ru/account/1011415388/", 1011415388)</f>
        <v>1011415388</v>
      </c>
      <c r="D14939">
        <v>1494.73</v>
      </c>
    </row>
    <row r="14940" spans="1:4" hidden="1" x14ac:dyDescent="0.3">
      <c r="A14940" t="s">
        <v>969</v>
      </c>
      <c r="B14940" t="s">
        <v>16</v>
      </c>
      <c r="C14940" s="1">
        <f>HYPERLINK("https://cao.dolgi.msk.ru/account/1011415839/", 1011415839)</f>
        <v>1011415839</v>
      </c>
      <c r="D14940">
        <v>-9899.91</v>
      </c>
    </row>
    <row r="14941" spans="1:4" hidden="1" x14ac:dyDescent="0.3">
      <c r="A14941" t="s">
        <v>969</v>
      </c>
      <c r="B14941" t="s">
        <v>17</v>
      </c>
      <c r="C14941" s="1">
        <f>HYPERLINK("https://cao.dolgi.msk.ru/account/1011416655/", 1011416655)</f>
        <v>1011416655</v>
      </c>
      <c r="D14941">
        <v>0</v>
      </c>
    </row>
    <row r="14942" spans="1:4" hidden="1" x14ac:dyDescent="0.3">
      <c r="A14942" t="s">
        <v>969</v>
      </c>
      <c r="B14942" t="s">
        <v>18</v>
      </c>
      <c r="C14942" s="1">
        <f>HYPERLINK("https://cao.dolgi.msk.ru/account/1011415169/", 1011415169)</f>
        <v>1011415169</v>
      </c>
      <c r="D14942">
        <v>-8354.41</v>
      </c>
    </row>
    <row r="14943" spans="1:4" hidden="1" x14ac:dyDescent="0.3">
      <c r="A14943" t="s">
        <v>969</v>
      </c>
      <c r="B14943" t="s">
        <v>19</v>
      </c>
      <c r="C14943" s="1">
        <f>HYPERLINK("https://cao.dolgi.msk.ru/account/1011415337/", 1011415337)</f>
        <v>1011415337</v>
      </c>
      <c r="D14943">
        <v>0</v>
      </c>
    </row>
    <row r="14944" spans="1:4" hidden="1" x14ac:dyDescent="0.3">
      <c r="A14944" t="s">
        <v>969</v>
      </c>
      <c r="B14944" t="s">
        <v>19</v>
      </c>
      <c r="C14944" s="1">
        <f>HYPERLINK("https://cao.dolgi.msk.ru/account/1011416073/", 1011416073)</f>
        <v>1011416073</v>
      </c>
      <c r="D14944">
        <v>0</v>
      </c>
    </row>
    <row r="14945" spans="1:4" hidden="1" x14ac:dyDescent="0.3">
      <c r="A14945" t="s">
        <v>969</v>
      </c>
      <c r="B14945" t="s">
        <v>19</v>
      </c>
      <c r="C14945" s="1">
        <f>HYPERLINK("https://cao.dolgi.msk.ru/account/1011416081/", 1011416081)</f>
        <v>1011416081</v>
      </c>
      <c r="D14945">
        <v>0</v>
      </c>
    </row>
    <row r="14946" spans="1:4" hidden="1" x14ac:dyDescent="0.3">
      <c r="A14946" t="s">
        <v>969</v>
      </c>
      <c r="B14946" t="s">
        <v>20</v>
      </c>
      <c r="C14946" s="1">
        <f>HYPERLINK("https://cao.dolgi.msk.ru/account/1011416102/", 1011416102)</f>
        <v>1011416102</v>
      </c>
      <c r="D14946">
        <v>0</v>
      </c>
    </row>
    <row r="14947" spans="1:4" hidden="1" x14ac:dyDescent="0.3">
      <c r="A14947" t="s">
        <v>969</v>
      </c>
      <c r="B14947" t="s">
        <v>21</v>
      </c>
      <c r="C14947" s="1">
        <f>HYPERLINK("https://cao.dolgi.msk.ru/account/1011415636/", 1011415636)</f>
        <v>1011415636</v>
      </c>
      <c r="D14947">
        <v>-9530.42</v>
      </c>
    </row>
    <row r="14948" spans="1:4" hidden="1" x14ac:dyDescent="0.3">
      <c r="A14948" t="s">
        <v>969</v>
      </c>
      <c r="B14948" t="s">
        <v>22</v>
      </c>
      <c r="C14948" s="1">
        <f>HYPERLINK("https://cao.dolgi.msk.ru/account/1011415505/", 1011415505)</f>
        <v>1011415505</v>
      </c>
      <c r="D14948">
        <v>0</v>
      </c>
    </row>
    <row r="14949" spans="1:4" hidden="1" x14ac:dyDescent="0.3">
      <c r="A14949" t="s">
        <v>969</v>
      </c>
      <c r="B14949" t="s">
        <v>24</v>
      </c>
      <c r="C14949" s="1">
        <f>HYPERLINK("https://cao.dolgi.msk.ru/account/1011415206/", 1011415206)</f>
        <v>1011415206</v>
      </c>
      <c r="D14949">
        <v>-6094.25</v>
      </c>
    </row>
    <row r="14950" spans="1:4" hidden="1" x14ac:dyDescent="0.3">
      <c r="A14950" t="s">
        <v>969</v>
      </c>
      <c r="B14950" t="s">
        <v>25</v>
      </c>
      <c r="C14950" s="1">
        <f>HYPERLINK("https://cao.dolgi.msk.ru/account/1011415687/", 1011415687)</f>
        <v>1011415687</v>
      </c>
      <c r="D14950">
        <v>-2713.9</v>
      </c>
    </row>
    <row r="14951" spans="1:4" x14ac:dyDescent="0.3">
      <c r="A14951" t="s">
        <v>969</v>
      </c>
      <c r="B14951" t="s">
        <v>26</v>
      </c>
      <c r="C14951" s="1">
        <f>HYPERLINK("https://cao.dolgi.msk.ru/account/1011415441/", 1011415441)</f>
        <v>1011415441</v>
      </c>
      <c r="D14951">
        <v>64793.760000000002</v>
      </c>
    </row>
    <row r="14952" spans="1:4" hidden="1" x14ac:dyDescent="0.3">
      <c r="A14952" t="s">
        <v>969</v>
      </c>
      <c r="B14952" t="s">
        <v>27</v>
      </c>
      <c r="C14952" s="1">
        <f>HYPERLINK("https://cao.dolgi.msk.ru/account/1011416401/", 1011416401)</f>
        <v>1011416401</v>
      </c>
      <c r="D14952">
        <v>0</v>
      </c>
    </row>
    <row r="14953" spans="1:4" hidden="1" x14ac:dyDescent="0.3">
      <c r="A14953" t="s">
        <v>969</v>
      </c>
      <c r="B14953" t="s">
        <v>29</v>
      </c>
      <c r="C14953" s="1">
        <f>HYPERLINK("https://cao.dolgi.msk.ru/account/1011416479/", 1011416479)</f>
        <v>1011416479</v>
      </c>
      <c r="D14953">
        <v>0</v>
      </c>
    </row>
    <row r="14954" spans="1:4" x14ac:dyDescent="0.3">
      <c r="A14954" t="s">
        <v>969</v>
      </c>
      <c r="B14954" t="s">
        <v>38</v>
      </c>
      <c r="C14954" s="1">
        <f>HYPERLINK("https://cao.dolgi.msk.ru/account/1011415425/", 1011415425)</f>
        <v>1011415425</v>
      </c>
      <c r="D14954">
        <v>5008.13</v>
      </c>
    </row>
    <row r="14955" spans="1:4" hidden="1" x14ac:dyDescent="0.3">
      <c r="A14955" t="s">
        <v>969</v>
      </c>
      <c r="B14955" t="s">
        <v>39</v>
      </c>
      <c r="C14955" s="1">
        <f>HYPERLINK("https://cao.dolgi.msk.ru/account/1011416487/", 1011416487)</f>
        <v>1011416487</v>
      </c>
      <c r="D14955">
        <v>-1611.17</v>
      </c>
    </row>
    <row r="14956" spans="1:4" hidden="1" x14ac:dyDescent="0.3">
      <c r="A14956" t="s">
        <v>969</v>
      </c>
      <c r="B14956" t="s">
        <v>40</v>
      </c>
      <c r="C14956" s="1">
        <f>HYPERLINK("https://cao.dolgi.msk.ru/account/1011415847/", 1011415847)</f>
        <v>1011415847</v>
      </c>
      <c r="D14956">
        <v>0</v>
      </c>
    </row>
    <row r="14957" spans="1:4" hidden="1" x14ac:dyDescent="0.3">
      <c r="A14957" t="s">
        <v>969</v>
      </c>
      <c r="B14957" t="s">
        <v>41</v>
      </c>
      <c r="C14957" s="1">
        <f>HYPERLINK("https://cao.dolgi.msk.ru/account/1011415951/", 1011415951)</f>
        <v>1011415951</v>
      </c>
      <c r="D14957">
        <v>0</v>
      </c>
    </row>
    <row r="14958" spans="1:4" hidden="1" x14ac:dyDescent="0.3">
      <c r="A14958" t="s">
        <v>969</v>
      </c>
      <c r="B14958" t="s">
        <v>51</v>
      </c>
      <c r="C14958" s="1">
        <f>HYPERLINK("https://cao.dolgi.msk.ru/account/1011416524/", 1011416524)</f>
        <v>1011416524</v>
      </c>
      <c r="D14958">
        <v>-9404.77</v>
      </c>
    </row>
    <row r="14959" spans="1:4" hidden="1" x14ac:dyDescent="0.3">
      <c r="A14959" t="s">
        <v>969</v>
      </c>
      <c r="B14959" t="s">
        <v>52</v>
      </c>
      <c r="C14959" s="1">
        <f>HYPERLINK("https://cao.dolgi.msk.ru/account/1011416268/", 1011416268)</f>
        <v>1011416268</v>
      </c>
      <c r="D14959">
        <v>0</v>
      </c>
    </row>
    <row r="14960" spans="1:4" hidden="1" x14ac:dyDescent="0.3">
      <c r="A14960" t="s">
        <v>969</v>
      </c>
      <c r="B14960" t="s">
        <v>53</v>
      </c>
      <c r="C14960" s="1">
        <f>HYPERLINK("https://cao.dolgi.msk.ru/account/1011415345/", 1011415345)</f>
        <v>1011415345</v>
      </c>
      <c r="D14960">
        <v>0</v>
      </c>
    </row>
    <row r="14961" spans="1:4" hidden="1" x14ac:dyDescent="0.3">
      <c r="A14961" t="s">
        <v>969</v>
      </c>
      <c r="B14961" t="s">
        <v>54</v>
      </c>
      <c r="C14961" s="1">
        <f>HYPERLINK("https://cao.dolgi.msk.ru/account/1011415396/", 1011415396)</f>
        <v>1011415396</v>
      </c>
      <c r="D14961">
        <v>0</v>
      </c>
    </row>
    <row r="14962" spans="1:4" hidden="1" x14ac:dyDescent="0.3">
      <c r="A14962" t="s">
        <v>969</v>
      </c>
      <c r="B14962" t="s">
        <v>55</v>
      </c>
      <c r="C14962" s="1">
        <f>HYPERLINK("https://cao.dolgi.msk.ru/account/1011416233/", 1011416233)</f>
        <v>1011416233</v>
      </c>
      <c r="D14962">
        <v>0</v>
      </c>
    </row>
    <row r="14963" spans="1:4" hidden="1" x14ac:dyDescent="0.3">
      <c r="A14963" t="s">
        <v>969</v>
      </c>
      <c r="B14963" t="s">
        <v>56</v>
      </c>
      <c r="C14963" s="1">
        <f>HYPERLINK("https://cao.dolgi.msk.ru/account/1011415302/", 1011415302)</f>
        <v>1011415302</v>
      </c>
      <c r="D14963">
        <v>-3880.9</v>
      </c>
    </row>
    <row r="14964" spans="1:4" hidden="1" x14ac:dyDescent="0.3">
      <c r="A14964" t="s">
        <v>969</v>
      </c>
      <c r="B14964" t="s">
        <v>87</v>
      </c>
      <c r="C14964" s="1">
        <f>HYPERLINK("https://cao.dolgi.msk.ru/account/1011416612/", 1011416612)</f>
        <v>1011416612</v>
      </c>
      <c r="D14964">
        <v>0</v>
      </c>
    </row>
    <row r="14965" spans="1:4" x14ac:dyDescent="0.3">
      <c r="A14965" t="s">
        <v>969</v>
      </c>
      <c r="B14965" t="s">
        <v>88</v>
      </c>
      <c r="C14965" s="1">
        <f>HYPERLINK("https://cao.dolgi.msk.ru/account/1011415919/", 1011415919)</f>
        <v>1011415919</v>
      </c>
      <c r="D14965">
        <v>9696.8700000000008</v>
      </c>
    </row>
    <row r="14966" spans="1:4" hidden="1" x14ac:dyDescent="0.3">
      <c r="A14966" t="s">
        <v>969</v>
      </c>
      <c r="B14966" t="s">
        <v>89</v>
      </c>
      <c r="C14966" s="1">
        <f>HYPERLINK("https://cao.dolgi.msk.ru/account/1011416225/", 1011416225)</f>
        <v>1011416225</v>
      </c>
      <c r="D14966">
        <v>-2453.08</v>
      </c>
    </row>
    <row r="14967" spans="1:4" x14ac:dyDescent="0.3">
      <c r="A14967" t="s">
        <v>969</v>
      </c>
      <c r="B14967" t="s">
        <v>90</v>
      </c>
      <c r="C14967" s="1">
        <f>HYPERLINK("https://cao.dolgi.msk.ru/account/1011415265/", 1011415265)</f>
        <v>1011415265</v>
      </c>
      <c r="D14967">
        <v>8741.07</v>
      </c>
    </row>
    <row r="14968" spans="1:4" hidden="1" x14ac:dyDescent="0.3">
      <c r="A14968" t="s">
        <v>969</v>
      </c>
      <c r="B14968" t="s">
        <v>96</v>
      </c>
      <c r="C14968" s="1">
        <f>HYPERLINK("https://cao.dolgi.msk.ru/account/1011415855/", 1011415855)</f>
        <v>1011415855</v>
      </c>
      <c r="D14968">
        <v>-3605.21</v>
      </c>
    </row>
    <row r="14969" spans="1:4" hidden="1" x14ac:dyDescent="0.3">
      <c r="A14969" t="s">
        <v>969</v>
      </c>
      <c r="B14969" t="s">
        <v>97</v>
      </c>
      <c r="C14969" s="1">
        <f>HYPERLINK("https://cao.dolgi.msk.ru/account/1011416567/", 1011416567)</f>
        <v>1011416567</v>
      </c>
      <c r="D14969">
        <v>-2092.06</v>
      </c>
    </row>
    <row r="14970" spans="1:4" hidden="1" x14ac:dyDescent="0.3">
      <c r="A14970" t="s">
        <v>969</v>
      </c>
      <c r="B14970" t="s">
        <v>98</v>
      </c>
      <c r="C14970" s="1">
        <f>HYPERLINK("https://cao.dolgi.msk.ru/account/1011415409/", 1011415409)</f>
        <v>1011415409</v>
      </c>
      <c r="D14970">
        <v>0</v>
      </c>
    </row>
    <row r="14971" spans="1:4" x14ac:dyDescent="0.3">
      <c r="A14971" t="s">
        <v>969</v>
      </c>
      <c r="B14971" t="s">
        <v>58</v>
      </c>
      <c r="C14971" s="1">
        <f>HYPERLINK("https://cao.dolgi.msk.ru/account/1011416313/", 1011416313)</f>
        <v>1011416313</v>
      </c>
      <c r="D14971">
        <v>4454.3599999999997</v>
      </c>
    </row>
    <row r="14972" spans="1:4" hidden="1" x14ac:dyDescent="0.3">
      <c r="A14972" t="s">
        <v>969</v>
      </c>
      <c r="B14972" t="s">
        <v>59</v>
      </c>
      <c r="C14972" s="1">
        <f>HYPERLINK("https://cao.dolgi.msk.ru/account/1011415353/", 1011415353)</f>
        <v>1011415353</v>
      </c>
      <c r="D14972">
        <v>-468.54</v>
      </c>
    </row>
    <row r="14973" spans="1:4" hidden="1" x14ac:dyDescent="0.3">
      <c r="A14973" t="s">
        <v>969</v>
      </c>
      <c r="B14973" t="s">
        <v>60</v>
      </c>
      <c r="C14973" s="1">
        <f>HYPERLINK("https://cao.dolgi.msk.ru/account/1011416006/", 1011416006)</f>
        <v>1011416006</v>
      </c>
      <c r="D14973">
        <v>0</v>
      </c>
    </row>
    <row r="14974" spans="1:4" hidden="1" x14ac:dyDescent="0.3">
      <c r="A14974" t="s">
        <v>969</v>
      </c>
      <c r="B14974" t="s">
        <v>61</v>
      </c>
      <c r="C14974" s="1">
        <f>HYPERLINK("https://cao.dolgi.msk.ru/account/1011416188/", 1011416188)</f>
        <v>1011416188</v>
      </c>
      <c r="D14974">
        <v>0</v>
      </c>
    </row>
    <row r="14975" spans="1:4" hidden="1" x14ac:dyDescent="0.3">
      <c r="A14975" t="s">
        <v>969</v>
      </c>
      <c r="B14975" t="s">
        <v>62</v>
      </c>
      <c r="C14975" s="1">
        <f>HYPERLINK("https://cao.dolgi.msk.ru/account/1011416583/", 1011416583)</f>
        <v>1011416583</v>
      </c>
      <c r="D14975">
        <v>-3374.48</v>
      </c>
    </row>
    <row r="14976" spans="1:4" hidden="1" x14ac:dyDescent="0.3">
      <c r="A14976" t="s">
        <v>969</v>
      </c>
      <c r="B14976" t="s">
        <v>63</v>
      </c>
      <c r="C14976" s="1">
        <f>HYPERLINK("https://cao.dolgi.msk.ru/account/1011416057/", 1011416057)</f>
        <v>1011416057</v>
      </c>
      <c r="D14976">
        <v>-2802.44</v>
      </c>
    </row>
    <row r="14977" spans="1:4" hidden="1" x14ac:dyDescent="0.3">
      <c r="A14977" t="s">
        <v>969</v>
      </c>
      <c r="B14977" t="s">
        <v>64</v>
      </c>
      <c r="C14977" s="1">
        <f>HYPERLINK("https://cao.dolgi.msk.ru/account/1011416137/", 1011416137)</f>
        <v>1011416137</v>
      </c>
      <c r="D14977">
        <v>-3477.13</v>
      </c>
    </row>
    <row r="14978" spans="1:4" hidden="1" x14ac:dyDescent="0.3">
      <c r="A14978" t="s">
        <v>969</v>
      </c>
      <c r="B14978" t="s">
        <v>65</v>
      </c>
      <c r="C14978" s="1">
        <f>HYPERLINK("https://cao.dolgi.msk.ru/account/1011415513/", 1011415513)</f>
        <v>1011415513</v>
      </c>
      <c r="D14978">
        <v>-490.57</v>
      </c>
    </row>
    <row r="14979" spans="1:4" hidden="1" x14ac:dyDescent="0.3">
      <c r="A14979" t="s">
        <v>969</v>
      </c>
      <c r="B14979" t="s">
        <v>66</v>
      </c>
      <c r="C14979" s="1">
        <f>HYPERLINK("https://cao.dolgi.msk.ru/account/1011415521/", 1011415521)</f>
        <v>1011415521</v>
      </c>
      <c r="D14979">
        <v>-0.01</v>
      </c>
    </row>
    <row r="14980" spans="1:4" hidden="1" x14ac:dyDescent="0.3">
      <c r="A14980" t="s">
        <v>969</v>
      </c>
      <c r="B14980" t="s">
        <v>67</v>
      </c>
      <c r="C14980" s="1">
        <f>HYPERLINK("https://cao.dolgi.msk.ru/account/1011416321/", 1011416321)</f>
        <v>1011416321</v>
      </c>
      <c r="D14980">
        <v>0</v>
      </c>
    </row>
    <row r="14981" spans="1:4" hidden="1" x14ac:dyDescent="0.3">
      <c r="A14981" t="s">
        <v>969</v>
      </c>
      <c r="B14981" t="s">
        <v>68</v>
      </c>
      <c r="C14981" s="1">
        <f>HYPERLINK("https://cao.dolgi.msk.ru/account/1011415927/", 1011415927)</f>
        <v>1011415927</v>
      </c>
      <c r="D14981">
        <v>0</v>
      </c>
    </row>
    <row r="14982" spans="1:4" hidden="1" x14ac:dyDescent="0.3">
      <c r="A14982" t="s">
        <v>969</v>
      </c>
      <c r="B14982" t="s">
        <v>69</v>
      </c>
      <c r="C14982" s="1">
        <f>HYPERLINK("https://cao.dolgi.msk.ru/account/1011415273/", 1011415273)</f>
        <v>1011415273</v>
      </c>
      <c r="D14982">
        <v>-6818.47</v>
      </c>
    </row>
    <row r="14983" spans="1:4" hidden="1" x14ac:dyDescent="0.3">
      <c r="A14983" t="s">
        <v>969</v>
      </c>
      <c r="B14983" t="s">
        <v>70</v>
      </c>
      <c r="C14983" s="1">
        <f>HYPERLINK("https://cao.dolgi.msk.ru/account/1011415484/", 1011415484)</f>
        <v>1011415484</v>
      </c>
      <c r="D14983">
        <v>0</v>
      </c>
    </row>
    <row r="14984" spans="1:4" hidden="1" x14ac:dyDescent="0.3">
      <c r="A14984" t="s">
        <v>969</v>
      </c>
      <c r="B14984" t="s">
        <v>259</v>
      </c>
      <c r="C14984" s="1">
        <f>HYPERLINK("https://cao.dolgi.msk.ru/account/1011416209/", 1011416209)</f>
        <v>1011416209</v>
      </c>
      <c r="D14984">
        <v>0</v>
      </c>
    </row>
    <row r="14985" spans="1:4" hidden="1" x14ac:dyDescent="0.3">
      <c r="A14985" t="s">
        <v>969</v>
      </c>
      <c r="B14985" t="s">
        <v>100</v>
      </c>
      <c r="C14985" s="1">
        <f>HYPERLINK("https://cao.dolgi.msk.ru/account/1011416604/", 1011416604)</f>
        <v>1011416604</v>
      </c>
      <c r="D14985">
        <v>0</v>
      </c>
    </row>
    <row r="14986" spans="1:4" hidden="1" x14ac:dyDescent="0.3">
      <c r="A14986" t="s">
        <v>969</v>
      </c>
      <c r="B14986" t="s">
        <v>72</v>
      </c>
      <c r="C14986" s="1">
        <f>HYPERLINK("https://cao.dolgi.msk.ru/account/1011416022/", 1011416022)</f>
        <v>1011416022</v>
      </c>
      <c r="D14986">
        <v>0</v>
      </c>
    </row>
    <row r="14987" spans="1:4" x14ac:dyDescent="0.3">
      <c r="A14987" t="s">
        <v>969</v>
      </c>
      <c r="B14987" t="s">
        <v>73</v>
      </c>
      <c r="C14987" s="1">
        <f>HYPERLINK("https://cao.dolgi.msk.ru/account/1011415978/", 1011415978)</f>
        <v>1011415978</v>
      </c>
      <c r="D14987">
        <v>10266.41</v>
      </c>
    </row>
    <row r="14988" spans="1:4" x14ac:dyDescent="0.3">
      <c r="A14988" t="s">
        <v>969</v>
      </c>
      <c r="B14988" t="s">
        <v>74</v>
      </c>
      <c r="C14988" s="1">
        <f>HYPERLINK("https://cao.dolgi.msk.ru/account/1011415257/", 1011415257)</f>
        <v>1011415257</v>
      </c>
      <c r="D14988">
        <v>10141.620000000001</v>
      </c>
    </row>
    <row r="14989" spans="1:4" hidden="1" x14ac:dyDescent="0.3">
      <c r="A14989" t="s">
        <v>969</v>
      </c>
      <c r="B14989" t="s">
        <v>75</v>
      </c>
      <c r="C14989" s="1">
        <f>HYPERLINK("https://cao.dolgi.msk.ru/account/1011416241/", 1011416241)</f>
        <v>1011416241</v>
      </c>
      <c r="D14989">
        <v>-43507.13</v>
      </c>
    </row>
    <row r="14990" spans="1:4" hidden="1" x14ac:dyDescent="0.3">
      <c r="A14990" t="s">
        <v>969</v>
      </c>
      <c r="B14990" t="s">
        <v>76</v>
      </c>
      <c r="C14990" s="1">
        <f>HYPERLINK("https://cao.dolgi.msk.ru/account/1011415249/", 1011415249)</f>
        <v>1011415249</v>
      </c>
      <c r="D14990">
        <v>0</v>
      </c>
    </row>
    <row r="14991" spans="1:4" hidden="1" x14ac:dyDescent="0.3">
      <c r="A14991" t="s">
        <v>969</v>
      </c>
      <c r="B14991" t="s">
        <v>77</v>
      </c>
      <c r="C14991" s="1">
        <f>HYPERLINK("https://cao.dolgi.msk.ru/account/1011416532/", 1011416532)</f>
        <v>1011416532</v>
      </c>
      <c r="D14991">
        <v>0</v>
      </c>
    </row>
    <row r="14992" spans="1:4" hidden="1" x14ac:dyDescent="0.3">
      <c r="A14992" t="s">
        <v>969</v>
      </c>
      <c r="B14992" t="s">
        <v>78</v>
      </c>
      <c r="C14992" s="1">
        <f>HYPERLINK("https://cao.dolgi.msk.ru/account/1011416305/", 1011416305)</f>
        <v>1011416305</v>
      </c>
      <c r="D14992">
        <v>0</v>
      </c>
    </row>
    <row r="14993" spans="1:4" hidden="1" x14ac:dyDescent="0.3">
      <c r="A14993" t="s">
        <v>969</v>
      </c>
      <c r="B14993" t="s">
        <v>79</v>
      </c>
      <c r="C14993" s="1">
        <f>HYPERLINK("https://cao.dolgi.msk.ru/account/1011415601/", 1011415601)</f>
        <v>1011415601</v>
      </c>
      <c r="D14993">
        <v>0</v>
      </c>
    </row>
    <row r="14994" spans="1:4" hidden="1" x14ac:dyDescent="0.3">
      <c r="A14994" t="s">
        <v>969</v>
      </c>
      <c r="B14994" t="s">
        <v>80</v>
      </c>
      <c r="C14994" s="1">
        <f>HYPERLINK("https://cao.dolgi.msk.ru/account/1011530693/", 1011530693)</f>
        <v>1011530693</v>
      </c>
      <c r="D14994">
        <v>-4596.08</v>
      </c>
    </row>
    <row r="14995" spans="1:4" hidden="1" x14ac:dyDescent="0.3">
      <c r="A14995" t="s">
        <v>969</v>
      </c>
      <c r="B14995" t="s">
        <v>81</v>
      </c>
      <c r="C14995" s="1">
        <f>HYPERLINK("https://cao.dolgi.msk.ru/account/1011415767/", 1011415767)</f>
        <v>1011415767</v>
      </c>
      <c r="D14995">
        <v>-2514.0100000000002</v>
      </c>
    </row>
    <row r="14996" spans="1:4" hidden="1" x14ac:dyDescent="0.3">
      <c r="A14996" t="s">
        <v>969</v>
      </c>
      <c r="B14996" t="s">
        <v>101</v>
      </c>
      <c r="C14996" s="1">
        <f>HYPERLINK("https://cao.dolgi.msk.ru/account/1011415724/", 1011415724)</f>
        <v>1011415724</v>
      </c>
      <c r="D14996">
        <v>-201727.3</v>
      </c>
    </row>
    <row r="14997" spans="1:4" hidden="1" x14ac:dyDescent="0.3">
      <c r="A14997" t="s">
        <v>969</v>
      </c>
      <c r="B14997" t="s">
        <v>82</v>
      </c>
      <c r="C14997" s="1">
        <f>HYPERLINK("https://cao.dolgi.msk.ru/account/1011416217/", 1011416217)</f>
        <v>1011416217</v>
      </c>
      <c r="D14997">
        <v>0</v>
      </c>
    </row>
    <row r="14998" spans="1:4" hidden="1" x14ac:dyDescent="0.3">
      <c r="A14998" t="s">
        <v>969</v>
      </c>
      <c r="B14998" t="s">
        <v>83</v>
      </c>
      <c r="C14998" s="1">
        <f>HYPERLINK("https://cao.dolgi.msk.ru/account/1011415599/", 1011415599)</f>
        <v>1011415599</v>
      </c>
      <c r="D14998">
        <v>0</v>
      </c>
    </row>
    <row r="14999" spans="1:4" hidden="1" x14ac:dyDescent="0.3">
      <c r="A14999" t="s">
        <v>969</v>
      </c>
      <c r="B14999" t="s">
        <v>84</v>
      </c>
      <c r="C14999" s="1">
        <f>HYPERLINK("https://cao.dolgi.msk.ru/account/1011415986/", 1011415986)</f>
        <v>1011415986</v>
      </c>
      <c r="D14999">
        <v>0</v>
      </c>
    </row>
    <row r="15000" spans="1:4" hidden="1" x14ac:dyDescent="0.3">
      <c r="A15000" t="s">
        <v>969</v>
      </c>
      <c r="B15000" t="s">
        <v>85</v>
      </c>
      <c r="C15000" s="1">
        <f>HYPERLINK("https://cao.dolgi.msk.ru/account/1011415652/", 1011415652)</f>
        <v>1011415652</v>
      </c>
      <c r="D15000">
        <v>0</v>
      </c>
    </row>
    <row r="15001" spans="1:4" hidden="1" x14ac:dyDescent="0.3">
      <c r="A15001" t="s">
        <v>969</v>
      </c>
      <c r="B15001" t="s">
        <v>102</v>
      </c>
      <c r="C15001" s="1">
        <f>HYPERLINK("https://cao.dolgi.msk.ru/account/1011415804/", 1011415804)</f>
        <v>1011415804</v>
      </c>
      <c r="D15001">
        <v>-5344.74</v>
      </c>
    </row>
    <row r="15002" spans="1:4" hidden="1" x14ac:dyDescent="0.3">
      <c r="A15002" t="s">
        <v>969</v>
      </c>
      <c r="B15002" t="s">
        <v>103</v>
      </c>
      <c r="C15002" s="1">
        <f>HYPERLINK("https://cao.dolgi.msk.ru/account/1011415812/", 1011415812)</f>
        <v>1011415812</v>
      </c>
      <c r="D15002">
        <v>0</v>
      </c>
    </row>
    <row r="15003" spans="1:4" x14ac:dyDescent="0.3">
      <c r="A15003" t="s">
        <v>969</v>
      </c>
      <c r="B15003" t="s">
        <v>104</v>
      </c>
      <c r="C15003" s="1">
        <f>HYPERLINK("https://cao.dolgi.msk.ru/account/1011415548/", 1011415548)</f>
        <v>1011415548</v>
      </c>
      <c r="D15003">
        <v>5613.81</v>
      </c>
    </row>
    <row r="15004" spans="1:4" hidden="1" x14ac:dyDescent="0.3">
      <c r="A15004" t="s">
        <v>969</v>
      </c>
      <c r="B15004" t="s">
        <v>105</v>
      </c>
      <c r="C15004" s="1">
        <f>HYPERLINK("https://cao.dolgi.msk.ru/account/1011415468/", 1011415468)</f>
        <v>1011415468</v>
      </c>
      <c r="D15004">
        <v>-3412.56</v>
      </c>
    </row>
    <row r="15005" spans="1:4" hidden="1" x14ac:dyDescent="0.3">
      <c r="A15005" t="s">
        <v>969</v>
      </c>
      <c r="B15005" t="s">
        <v>106</v>
      </c>
      <c r="C15005" s="1">
        <f>HYPERLINK("https://cao.dolgi.msk.ru/account/1011516058/", 1011516058)</f>
        <v>1011516058</v>
      </c>
      <c r="D15005">
        <v>0</v>
      </c>
    </row>
    <row r="15006" spans="1:4" hidden="1" x14ac:dyDescent="0.3">
      <c r="A15006" t="s">
        <v>969</v>
      </c>
      <c r="B15006" t="s">
        <v>107</v>
      </c>
      <c r="C15006" s="1">
        <f>HYPERLINK("https://cao.dolgi.msk.ru/account/1011416196/", 1011416196)</f>
        <v>1011416196</v>
      </c>
      <c r="D15006">
        <v>0</v>
      </c>
    </row>
    <row r="15007" spans="1:4" x14ac:dyDescent="0.3">
      <c r="A15007" t="s">
        <v>969</v>
      </c>
      <c r="B15007" t="s">
        <v>108</v>
      </c>
      <c r="C15007" s="1">
        <f>HYPERLINK("https://cao.dolgi.msk.ru/account/1011415775/", 1011415775)</f>
        <v>1011415775</v>
      </c>
      <c r="D15007">
        <v>12927.47</v>
      </c>
    </row>
    <row r="15008" spans="1:4" x14ac:dyDescent="0.3">
      <c r="A15008" t="s">
        <v>969</v>
      </c>
      <c r="B15008" t="s">
        <v>109</v>
      </c>
      <c r="C15008" s="1">
        <f>HYPERLINK("https://cao.dolgi.msk.ru/account/1011415943/", 1011415943)</f>
        <v>1011415943</v>
      </c>
      <c r="D15008">
        <v>266.31</v>
      </c>
    </row>
    <row r="15009" spans="1:4" hidden="1" x14ac:dyDescent="0.3">
      <c r="A15009" t="s">
        <v>969</v>
      </c>
      <c r="B15009" t="s">
        <v>110</v>
      </c>
      <c r="C15009" s="1">
        <f>HYPERLINK("https://cao.dolgi.msk.ru/account/1011415214/", 1011415214)</f>
        <v>1011415214</v>
      </c>
      <c r="D15009">
        <v>0</v>
      </c>
    </row>
    <row r="15010" spans="1:4" hidden="1" x14ac:dyDescent="0.3">
      <c r="A15010" t="s">
        <v>969</v>
      </c>
      <c r="B15010" t="s">
        <v>111</v>
      </c>
      <c r="C15010" s="1">
        <f>HYPERLINK("https://cao.dolgi.msk.ru/account/1011416436/", 1011416436)</f>
        <v>1011416436</v>
      </c>
      <c r="D15010">
        <v>-3830.03</v>
      </c>
    </row>
    <row r="15011" spans="1:4" hidden="1" x14ac:dyDescent="0.3">
      <c r="A15011" t="s">
        <v>969</v>
      </c>
      <c r="B15011" t="s">
        <v>112</v>
      </c>
      <c r="C15011" s="1">
        <f>HYPERLINK("https://cao.dolgi.msk.ru/account/1011415556/", 1011415556)</f>
        <v>1011415556</v>
      </c>
      <c r="D15011">
        <v>0</v>
      </c>
    </row>
    <row r="15012" spans="1:4" hidden="1" x14ac:dyDescent="0.3">
      <c r="A15012" t="s">
        <v>969</v>
      </c>
      <c r="B15012" t="s">
        <v>113</v>
      </c>
      <c r="C15012" s="1">
        <f>HYPERLINK("https://cao.dolgi.msk.ru/account/1011415863/", 1011415863)</f>
        <v>1011415863</v>
      </c>
      <c r="D15012">
        <v>0</v>
      </c>
    </row>
    <row r="15013" spans="1:4" hidden="1" x14ac:dyDescent="0.3">
      <c r="A15013" t="s">
        <v>969</v>
      </c>
      <c r="B15013" t="s">
        <v>114</v>
      </c>
      <c r="C15013" s="1">
        <f>HYPERLINK("https://cao.dolgi.msk.ru/account/1011416276/", 1011416276)</f>
        <v>1011416276</v>
      </c>
      <c r="D15013">
        <v>-170.13</v>
      </c>
    </row>
    <row r="15014" spans="1:4" hidden="1" x14ac:dyDescent="0.3">
      <c r="A15014" t="s">
        <v>969</v>
      </c>
      <c r="B15014" t="s">
        <v>115</v>
      </c>
      <c r="C15014" s="1">
        <f>HYPERLINK("https://cao.dolgi.msk.ru/account/1011415222/", 1011415222)</f>
        <v>1011415222</v>
      </c>
      <c r="D15014">
        <v>0</v>
      </c>
    </row>
    <row r="15015" spans="1:4" x14ac:dyDescent="0.3">
      <c r="A15015" t="s">
        <v>969</v>
      </c>
      <c r="B15015" t="s">
        <v>116</v>
      </c>
      <c r="C15015" s="1">
        <f>HYPERLINK("https://cao.dolgi.msk.ru/account/1011415871/", 1011415871)</f>
        <v>1011415871</v>
      </c>
      <c r="D15015">
        <v>7647.38</v>
      </c>
    </row>
    <row r="15016" spans="1:4" hidden="1" x14ac:dyDescent="0.3">
      <c r="A15016" t="s">
        <v>969</v>
      </c>
      <c r="B15016" t="s">
        <v>266</v>
      </c>
      <c r="C15016" s="1">
        <f>HYPERLINK("https://cao.dolgi.msk.ru/account/1011416065/", 1011416065)</f>
        <v>1011416065</v>
      </c>
      <c r="D15016">
        <v>0</v>
      </c>
    </row>
    <row r="15017" spans="1:4" hidden="1" x14ac:dyDescent="0.3">
      <c r="A15017" t="s">
        <v>969</v>
      </c>
      <c r="B15017" t="s">
        <v>266</v>
      </c>
      <c r="C15017" s="1">
        <f>HYPERLINK("https://cao.dolgi.msk.ru/account/1011416153/", 1011416153)</f>
        <v>1011416153</v>
      </c>
      <c r="D15017">
        <v>0</v>
      </c>
    </row>
    <row r="15018" spans="1:4" hidden="1" x14ac:dyDescent="0.3">
      <c r="A15018" t="s">
        <v>969</v>
      </c>
      <c r="B15018" t="s">
        <v>117</v>
      </c>
      <c r="C15018" s="1">
        <f>HYPERLINK("https://cao.dolgi.msk.ru/account/1011415791/", 1011415791)</f>
        <v>1011415791</v>
      </c>
      <c r="D15018">
        <v>0</v>
      </c>
    </row>
    <row r="15019" spans="1:4" hidden="1" x14ac:dyDescent="0.3">
      <c r="A15019" t="s">
        <v>969</v>
      </c>
      <c r="B15019" t="s">
        <v>118</v>
      </c>
      <c r="C15019" s="1">
        <f>HYPERLINK("https://cao.dolgi.msk.ru/account/1011415994/", 1011415994)</f>
        <v>1011415994</v>
      </c>
      <c r="D15019">
        <v>-39255.410000000003</v>
      </c>
    </row>
    <row r="15020" spans="1:4" hidden="1" x14ac:dyDescent="0.3">
      <c r="A15020" t="s">
        <v>969</v>
      </c>
      <c r="B15020" t="s">
        <v>119</v>
      </c>
      <c r="C15020" s="1">
        <f>HYPERLINK("https://cao.dolgi.msk.ru/account/1011416428/", 1011416428)</f>
        <v>1011416428</v>
      </c>
      <c r="D15020">
        <v>-40.71</v>
      </c>
    </row>
    <row r="15021" spans="1:4" hidden="1" x14ac:dyDescent="0.3">
      <c r="A15021" t="s">
        <v>969</v>
      </c>
      <c r="B15021" t="s">
        <v>120</v>
      </c>
      <c r="C15021" s="1">
        <f>HYPERLINK("https://cao.dolgi.msk.ru/account/1011415759/", 1011415759)</f>
        <v>1011415759</v>
      </c>
      <c r="D15021">
        <v>-4358.9399999999996</v>
      </c>
    </row>
    <row r="15022" spans="1:4" x14ac:dyDescent="0.3">
      <c r="A15022" t="s">
        <v>969</v>
      </c>
      <c r="B15022" t="s">
        <v>121</v>
      </c>
      <c r="C15022" s="1">
        <f>HYPERLINK("https://cao.dolgi.msk.ru/account/1011415564/", 1011415564)</f>
        <v>1011415564</v>
      </c>
      <c r="D15022">
        <v>16107.74</v>
      </c>
    </row>
    <row r="15023" spans="1:4" x14ac:dyDescent="0.3">
      <c r="A15023" t="s">
        <v>969</v>
      </c>
      <c r="B15023" t="s">
        <v>122</v>
      </c>
      <c r="C15023" s="1">
        <f>HYPERLINK("https://cao.dolgi.msk.ru/account/1011415476/", 1011415476)</f>
        <v>1011415476</v>
      </c>
      <c r="D15023">
        <v>14762.6</v>
      </c>
    </row>
    <row r="15024" spans="1:4" hidden="1" x14ac:dyDescent="0.3">
      <c r="A15024" t="s">
        <v>969</v>
      </c>
      <c r="B15024" t="s">
        <v>123</v>
      </c>
      <c r="C15024" s="1">
        <f>HYPERLINK("https://cao.dolgi.msk.ru/account/1011415193/", 1011415193)</f>
        <v>1011415193</v>
      </c>
      <c r="D15024">
        <v>0</v>
      </c>
    </row>
    <row r="15025" spans="1:4" hidden="1" x14ac:dyDescent="0.3">
      <c r="A15025" t="s">
        <v>969</v>
      </c>
      <c r="B15025" t="s">
        <v>124</v>
      </c>
      <c r="C15025" s="1">
        <f>HYPERLINK("https://cao.dolgi.msk.ru/account/1011416348/", 1011416348)</f>
        <v>1011416348</v>
      </c>
      <c r="D15025">
        <v>0</v>
      </c>
    </row>
    <row r="15026" spans="1:4" hidden="1" x14ac:dyDescent="0.3">
      <c r="A15026" t="s">
        <v>969</v>
      </c>
      <c r="B15026" t="s">
        <v>125</v>
      </c>
      <c r="C15026" s="1">
        <f>HYPERLINK("https://cao.dolgi.msk.ru/account/1011416284/", 1011416284)</f>
        <v>1011416284</v>
      </c>
      <c r="D15026">
        <v>0</v>
      </c>
    </row>
    <row r="15027" spans="1:4" hidden="1" x14ac:dyDescent="0.3">
      <c r="A15027" t="s">
        <v>969</v>
      </c>
      <c r="B15027" t="s">
        <v>126</v>
      </c>
      <c r="C15027" s="1">
        <f>HYPERLINK("https://cao.dolgi.msk.ru/account/1011415935/", 1011415935)</f>
        <v>1011415935</v>
      </c>
      <c r="D15027">
        <v>0</v>
      </c>
    </row>
    <row r="15028" spans="1:4" hidden="1" x14ac:dyDescent="0.3">
      <c r="A15028" t="s">
        <v>969</v>
      </c>
      <c r="B15028" t="s">
        <v>262</v>
      </c>
      <c r="C15028" s="1">
        <f>HYPERLINK("https://cao.dolgi.msk.ru/account/1011415361/", 1011415361)</f>
        <v>1011415361</v>
      </c>
      <c r="D15028">
        <v>0</v>
      </c>
    </row>
    <row r="15029" spans="1:4" hidden="1" x14ac:dyDescent="0.3">
      <c r="A15029" t="s">
        <v>969</v>
      </c>
      <c r="B15029" t="s">
        <v>262</v>
      </c>
      <c r="C15029" s="1">
        <f>HYPERLINK("https://cao.dolgi.msk.ru/account/1011415628/", 1011415628)</f>
        <v>1011415628</v>
      </c>
      <c r="D15029">
        <v>-1904.22</v>
      </c>
    </row>
    <row r="15030" spans="1:4" x14ac:dyDescent="0.3">
      <c r="A15030" t="s">
        <v>969</v>
      </c>
      <c r="B15030" t="s">
        <v>262</v>
      </c>
      <c r="C15030" s="1">
        <f>HYPERLINK("https://cao.dolgi.msk.ru/account/1011416508/", 1011416508)</f>
        <v>1011416508</v>
      </c>
      <c r="D15030">
        <v>7851.35</v>
      </c>
    </row>
    <row r="15031" spans="1:4" hidden="1" x14ac:dyDescent="0.3">
      <c r="A15031" t="s">
        <v>969</v>
      </c>
      <c r="B15031" t="s">
        <v>128</v>
      </c>
      <c r="C15031" s="1">
        <f>HYPERLINK("https://cao.dolgi.msk.ru/account/1011416292/", 1011416292)</f>
        <v>1011416292</v>
      </c>
      <c r="D15031">
        <v>-562.09</v>
      </c>
    </row>
    <row r="15032" spans="1:4" x14ac:dyDescent="0.3">
      <c r="A15032" t="s">
        <v>969</v>
      </c>
      <c r="B15032" t="s">
        <v>128</v>
      </c>
      <c r="C15032" s="1">
        <f>HYPERLINK("https://cao.dolgi.msk.ru/account/1011416444/", 1011416444)</f>
        <v>1011416444</v>
      </c>
      <c r="D15032">
        <v>19367.23</v>
      </c>
    </row>
    <row r="15033" spans="1:4" x14ac:dyDescent="0.3">
      <c r="A15033" t="s">
        <v>969</v>
      </c>
      <c r="B15033" t="s">
        <v>128</v>
      </c>
      <c r="C15033" s="1">
        <f>HYPERLINK("https://cao.dolgi.msk.ru/account/1011416591/", 1011416591)</f>
        <v>1011416591</v>
      </c>
      <c r="D15033">
        <v>64.06</v>
      </c>
    </row>
    <row r="15034" spans="1:4" hidden="1" x14ac:dyDescent="0.3">
      <c r="A15034" t="s">
        <v>969</v>
      </c>
      <c r="B15034" t="s">
        <v>129</v>
      </c>
      <c r="C15034" s="1">
        <f>HYPERLINK("https://cao.dolgi.msk.ru/account/1011416575/", 1011416575)</f>
        <v>1011416575</v>
      </c>
      <c r="D15034">
        <v>-20604.64</v>
      </c>
    </row>
    <row r="15035" spans="1:4" hidden="1" x14ac:dyDescent="0.3">
      <c r="A15035" t="s">
        <v>969</v>
      </c>
      <c r="B15035" t="s">
        <v>130</v>
      </c>
      <c r="C15035" s="1">
        <f>HYPERLINK("https://cao.dolgi.msk.ru/account/1011416364/", 1011416364)</f>
        <v>1011416364</v>
      </c>
      <c r="D15035">
        <v>0</v>
      </c>
    </row>
    <row r="15036" spans="1:4" hidden="1" x14ac:dyDescent="0.3">
      <c r="A15036" t="s">
        <v>969</v>
      </c>
      <c r="B15036" t="s">
        <v>131</v>
      </c>
      <c r="C15036" s="1">
        <f>HYPERLINK("https://cao.dolgi.msk.ru/account/1011416559/", 1011416559)</f>
        <v>1011416559</v>
      </c>
      <c r="D15036">
        <v>0</v>
      </c>
    </row>
    <row r="15037" spans="1:4" x14ac:dyDescent="0.3">
      <c r="A15037" t="s">
        <v>969</v>
      </c>
      <c r="B15037" t="s">
        <v>132</v>
      </c>
      <c r="C15037" s="1">
        <f>HYPERLINK("https://cao.dolgi.msk.ru/account/1011415898/", 1011415898)</f>
        <v>1011415898</v>
      </c>
      <c r="D15037">
        <v>141.61000000000001</v>
      </c>
    </row>
    <row r="15038" spans="1:4" hidden="1" x14ac:dyDescent="0.3">
      <c r="A15038" t="s">
        <v>969</v>
      </c>
      <c r="B15038" t="s">
        <v>132</v>
      </c>
      <c r="C15038" s="1">
        <f>HYPERLINK("https://cao.dolgi.msk.ru/account/1011538855/", 1011538855)</f>
        <v>1011538855</v>
      </c>
      <c r="D15038">
        <v>0</v>
      </c>
    </row>
    <row r="15039" spans="1:4" hidden="1" x14ac:dyDescent="0.3">
      <c r="A15039" t="s">
        <v>969</v>
      </c>
      <c r="B15039" t="s">
        <v>132</v>
      </c>
      <c r="C15039" s="1">
        <f>HYPERLINK("https://cao.dolgi.msk.ru/account/1011539591/", 1011539591)</f>
        <v>1011539591</v>
      </c>
      <c r="D15039">
        <v>0</v>
      </c>
    </row>
    <row r="15040" spans="1:4" x14ac:dyDescent="0.3">
      <c r="A15040" t="s">
        <v>969</v>
      </c>
      <c r="B15040" t="s">
        <v>132</v>
      </c>
      <c r="C15040" s="1">
        <f>HYPERLINK("https://cao.dolgi.msk.ru/account/1011541675/", 1011541675)</f>
        <v>1011541675</v>
      </c>
      <c r="D15040">
        <v>5845.27</v>
      </c>
    </row>
    <row r="15041" spans="1:4" hidden="1" x14ac:dyDescent="0.3">
      <c r="A15041" t="s">
        <v>969</v>
      </c>
      <c r="B15041" t="s">
        <v>133</v>
      </c>
      <c r="C15041" s="1">
        <f>HYPERLINK("https://cao.dolgi.msk.ru/account/1011415679/", 1011415679)</f>
        <v>1011415679</v>
      </c>
      <c r="D15041">
        <v>0</v>
      </c>
    </row>
    <row r="15042" spans="1:4" x14ac:dyDescent="0.3">
      <c r="A15042" t="s">
        <v>969</v>
      </c>
      <c r="B15042" t="s">
        <v>134</v>
      </c>
      <c r="C15042" s="1">
        <f>HYPERLINK("https://cao.dolgi.msk.ru/account/1011416647/", 1011416647)</f>
        <v>1011416647</v>
      </c>
      <c r="D15042">
        <v>21</v>
      </c>
    </row>
    <row r="15043" spans="1:4" x14ac:dyDescent="0.3">
      <c r="A15043" t="s">
        <v>969</v>
      </c>
      <c r="B15043" t="s">
        <v>135</v>
      </c>
      <c r="C15043" s="1">
        <f>HYPERLINK("https://cao.dolgi.msk.ru/account/1011416495/", 1011416495)</f>
        <v>1011416495</v>
      </c>
      <c r="D15043">
        <v>81775.12</v>
      </c>
    </row>
    <row r="15044" spans="1:4" hidden="1" x14ac:dyDescent="0.3">
      <c r="A15044" t="s">
        <v>969</v>
      </c>
      <c r="B15044" t="s">
        <v>264</v>
      </c>
      <c r="C15044" s="1">
        <f>HYPERLINK("https://cao.dolgi.msk.ru/account/1011415644/", 1011415644)</f>
        <v>1011415644</v>
      </c>
      <c r="D15044">
        <v>-9896.32</v>
      </c>
    </row>
    <row r="15045" spans="1:4" hidden="1" x14ac:dyDescent="0.3">
      <c r="A15045" t="s">
        <v>969</v>
      </c>
      <c r="B15045" t="s">
        <v>264</v>
      </c>
      <c r="C15045" s="1">
        <f>HYPERLINK("https://cao.dolgi.msk.ru/account/1011416452/", 1011416452)</f>
        <v>1011416452</v>
      </c>
      <c r="D15045">
        <v>-3987.19</v>
      </c>
    </row>
    <row r="15046" spans="1:4" hidden="1" x14ac:dyDescent="0.3">
      <c r="A15046" t="s">
        <v>970</v>
      </c>
      <c r="B15046" t="s">
        <v>6</v>
      </c>
      <c r="C15046" s="1">
        <f>HYPERLINK("https://cao.dolgi.msk.ru/account/1011417092/", 1011417092)</f>
        <v>1011417092</v>
      </c>
      <c r="D15046">
        <v>-170.14</v>
      </c>
    </row>
    <row r="15047" spans="1:4" hidden="1" x14ac:dyDescent="0.3">
      <c r="A15047" t="s">
        <v>970</v>
      </c>
      <c r="B15047" t="s">
        <v>35</v>
      </c>
      <c r="C15047" s="1">
        <f>HYPERLINK("https://cao.dolgi.msk.ru/account/1011417586/", 1011417586)</f>
        <v>1011417586</v>
      </c>
      <c r="D15047">
        <v>0</v>
      </c>
    </row>
    <row r="15048" spans="1:4" hidden="1" x14ac:dyDescent="0.3">
      <c r="A15048" t="s">
        <v>970</v>
      </c>
      <c r="B15048" t="s">
        <v>5</v>
      </c>
      <c r="C15048" s="1">
        <f>HYPERLINK("https://cao.dolgi.msk.ru/account/1011416751/", 1011416751)</f>
        <v>1011416751</v>
      </c>
      <c r="D15048">
        <v>-923</v>
      </c>
    </row>
    <row r="15049" spans="1:4" hidden="1" x14ac:dyDescent="0.3">
      <c r="A15049" t="s">
        <v>970</v>
      </c>
      <c r="B15049" t="s">
        <v>7</v>
      </c>
      <c r="C15049" s="1">
        <f>HYPERLINK("https://cao.dolgi.msk.ru/account/1011417308/", 1011417308)</f>
        <v>1011417308</v>
      </c>
      <c r="D15049">
        <v>-7039.86</v>
      </c>
    </row>
    <row r="15050" spans="1:4" x14ac:dyDescent="0.3">
      <c r="A15050" t="s">
        <v>970</v>
      </c>
      <c r="B15050" t="s">
        <v>8</v>
      </c>
      <c r="C15050" s="1">
        <f>HYPERLINK("https://cao.dolgi.msk.ru/account/1011417551/", 1011417551)</f>
        <v>1011417551</v>
      </c>
      <c r="D15050">
        <v>13627.57</v>
      </c>
    </row>
    <row r="15051" spans="1:4" hidden="1" x14ac:dyDescent="0.3">
      <c r="A15051" t="s">
        <v>970</v>
      </c>
      <c r="B15051" t="s">
        <v>31</v>
      </c>
      <c r="C15051" s="1">
        <f>HYPERLINK("https://cao.dolgi.msk.ru/account/1011417033/", 1011417033)</f>
        <v>1011417033</v>
      </c>
      <c r="D15051">
        <v>0</v>
      </c>
    </row>
    <row r="15052" spans="1:4" hidden="1" x14ac:dyDescent="0.3">
      <c r="A15052" t="s">
        <v>970</v>
      </c>
      <c r="B15052" t="s">
        <v>31</v>
      </c>
      <c r="C15052" s="1">
        <f>HYPERLINK("https://cao.dolgi.msk.ru/account/1011417674/", 1011417674)</f>
        <v>1011417674</v>
      </c>
      <c r="D15052">
        <v>-3732.05</v>
      </c>
    </row>
    <row r="15053" spans="1:4" x14ac:dyDescent="0.3">
      <c r="A15053" t="s">
        <v>970</v>
      </c>
      <c r="B15053" t="s">
        <v>9</v>
      </c>
      <c r="C15053" s="1">
        <f>HYPERLINK("https://cao.dolgi.msk.ru/account/1011416807/", 1011416807)</f>
        <v>1011416807</v>
      </c>
      <c r="D15053">
        <v>1631.84</v>
      </c>
    </row>
    <row r="15054" spans="1:4" x14ac:dyDescent="0.3">
      <c r="A15054" t="s">
        <v>970</v>
      </c>
      <c r="B15054" t="s">
        <v>9</v>
      </c>
      <c r="C15054" s="1">
        <f>HYPERLINK("https://cao.dolgi.msk.ru/account/1011416946/", 1011416946)</f>
        <v>1011416946</v>
      </c>
      <c r="D15054">
        <v>3584.39</v>
      </c>
    </row>
    <row r="15055" spans="1:4" x14ac:dyDescent="0.3">
      <c r="A15055" t="s">
        <v>970</v>
      </c>
      <c r="B15055" t="s">
        <v>9</v>
      </c>
      <c r="C15055" s="1">
        <f>HYPERLINK("https://cao.dolgi.msk.ru/account/1011417148/", 1011417148)</f>
        <v>1011417148</v>
      </c>
      <c r="D15055">
        <v>5788.88</v>
      </c>
    </row>
    <row r="15056" spans="1:4" x14ac:dyDescent="0.3">
      <c r="A15056" t="s">
        <v>970</v>
      </c>
      <c r="B15056" t="s">
        <v>10</v>
      </c>
      <c r="C15056" s="1">
        <f>HYPERLINK("https://cao.dolgi.msk.ru/account/1011416794/", 1011416794)</f>
        <v>1011416794</v>
      </c>
      <c r="D15056">
        <v>14240.6</v>
      </c>
    </row>
    <row r="15057" spans="1:4" x14ac:dyDescent="0.3">
      <c r="A15057" t="s">
        <v>970</v>
      </c>
      <c r="B15057" t="s">
        <v>10</v>
      </c>
      <c r="C15057" s="1">
        <f>HYPERLINK("https://cao.dolgi.msk.ru/account/1011417439/", 1011417439)</f>
        <v>1011417439</v>
      </c>
      <c r="D15057">
        <v>80165.89</v>
      </c>
    </row>
    <row r="15058" spans="1:4" hidden="1" x14ac:dyDescent="0.3">
      <c r="A15058" t="s">
        <v>970</v>
      </c>
      <c r="B15058" t="s">
        <v>11</v>
      </c>
      <c r="C15058" s="1">
        <f>HYPERLINK("https://cao.dolgi.msk.ru/account/1011416815/", 1011416815)</f>
        <v>1011416815</v>
      </c>
      <c r="D15058">
        <v>0</v>
      </c>
    </row>
    <row r="15059" spans="1:4" hidden="1" x14ac:dyDescent="0.3">
      <c r="A15059" t="s">
        <v>970</v>
      </c>
      <c r="B15059" t="s">
        <v>11</v>
      </c>
      <c r="C15059" s="1">
        <f>HYPERLINK("https://cao.dolgi.msk.ru/account/1011417201/", 1011417201)</f>
        <v>1011417201</v>
      </c>
      <c r="D15059">
        <v>0</v>
      </c>
    </row>
    <row r="15060" spans="1:4" hidden="1" x14ac:dyDescent="0.3">
      <c r="A15060" t="s">
        <v>970</v>
      </c>
      <c r="B15060" t="s">
        <v>11</v>
      </c>
      <c r="C15060" s="1">
        <f>HYPERLINK("https://cao.dolgi.msk.ru/account/1011417367/", 1011417367)</f>
        <v>1011417367</v>
      </c>
      <c r="D15060">
        <v>0</v>
      </c>
    </row>
    <row r="15061" spans="1:4" x14ac:dyDescent="0.3">
      <c r="A15061" t="s">
        <v>970</v>
      </c>
      <c r="B15061" t="s">
        <v>12</v>
      </c>
      <c r="C15061" s="1">
        <f>HYPERLINK("https://cao.dolgi.msk.ru/account/1011417025/", 1011417025)</f>
        <v>1011417025</v>
      </c>
      <c r="D15061">
        <v>10397.74</v>
      </c>
    </row>
    <row r="15062" spans="1:4" x14ac:dyDescent="0.3">
      <c r="A15062" t="s">
        <v>970</v>
      </c>
      <c r="B15062" t="s">
        <v>13</v>
      </c>
      <c r="C15062" s="1">
        <f>HYPERLINK("https://cao.dolgi.msk.ru/account/1011417615/", 1011417615)</f>
        <v>1011417615</v>
      </c>
      <c r="D15062">
        <v>7408.82</v>
      </c>
    </row>
    <row r="15063" spans="1:4" hidden="1" x14ac:dyDescent="0.3">
      <c r="A15063" t="s">
        <v>970</v>
      </c>
      <c r="B15063" t="s">
        <v>14</v>
      </c>
      <c r="C15063" s="1">
        <f>HYPERLINK("https://cao.dolgi.msk.ru/account/1011417076/", 1011417076)</f>
        <v>1011417076</v>
      </c>
      <c r="D15063">
        <v>0</v>
      </c>
    </row>
    <row r="15064" spans="1:4" hidden="1" x14ac:dyDescent="0.3">
      <c r="A15064" t="s">
        <v>970</v>
      </c>
      <c r="B15064" t="s">
        <v>16</v>
      </c>
      <c r="C15064" s="1">
        <f>HYPERLINK("https://cao.dolgi.msk.ru/account/1011416719/", 1011416719)</f>
        <v>1011416719</v>
      </c>
      <c r="D15064">
        <v>-108.47</v>
      </c>
    </row>
    <row r="15065" spans="1:4" hidden="1" x14ac:dyDescent="0.3">
      <c r="A15065" t="s">
        <v>970</v>
      </c>
      <c r="B15065" t="s">
        <v>16</v>
      </c>
      <c r="C15065" s="1">
        <f>HYPERLINK("https://cao.dolgi.msk.ru/account/1011417447/", 1011417447)</f>
        <v>1011417447</v>
      </c>
      <c r="D15065">
        <v>-382.77</v>
      </c>
    </row>
    <row r="15066" spans="1:4" x14ac:dyDescent="0.3">
      <c r="A15066" t="s">
        <v>970</v>
      </c>
      <c r="B15066" t="s">
        <v>17</v>
      </c>
      <c r="C15066" s="1">
        <f>HYPERLINK("https://cao.dolgi.msk.ru/account/1011416778/", 1011416778)</f>
        <v>1011416778</v>
      </c>
      <c r="D15066">
        <v>9683.76</v>
      </c>
    </row>
    <row r="15067" spans="1:4" x14ac:dyDescent="0.3">
      <c r="A15067" t="s">
        <v>970</v>
      </c>
      <c r="B15067" t="s">
        <v>17</v>
      </c>
      <c r="C15067" s="1">
        <f>HYPERLINK("https://cao.dolgi.msk.ru/account/1011416962/", 1011416962)</f>
        <v>1011416962</v>
      </c>
      <c r="D15067">
        <v>15589.88</v>
      </c>
    </row>
    <row r="15068" spans="1:4" x14ac:dyDescent="0.3">
      <c r="A15068" t="s">
        <v>970</v>
      </c>
      <c r="B15068" t="s">
        <v>18</v>
      </c>
      <c r="C15068" s="1">
        <f>HYPERLINK("https://cao.dolgi.msk.ru/account/1011417578/", 1011417578)</f>
        <v>1011417578</v>
      </c>
      <c r="D15068">
        <v>38767.03</v>
      </c>
    </row>
    <row r="15069" spans="1:4" hidden="1" x14ac:dyDescent="0.3">
      <c r="A15069" t="s">
        <v>970</v>
      </c>
      <c r="B15069" t="s">
        <v>19</v>
      </c>
      <c r="C15069" s="1">
        <f>HYPERLINK("https://cao.dolgi.msk.ru/account/1011417463/", 1011417463)</f>
        <v>1011417463</v>
      </c>
      <c r="D15069">
        <v>-175008.53</v>
      </c>
    </row>
    <row r="15070" spans="1:4" hidden="1" x14ac:dyDescent="0.3">
      <c r="A15070" t="s">
        <v>970</v>
      </c>
      <c r="B15070" t="s">
        <v>20</v>
      </c>
      <c r="C15070" s="1">
        <f>HYPERLINK("https://cao.dolgi.msk.ru/account/1011417156/", 1011417156)</f>
        <v>1011417156</v>
      </c>
      <c r="D15070">
        <v>0</v>
      </c>
    </row>
    <row r="15071" spans="1:4" hidden="1" x14ac:dyDescent="0.3">
      <c r="A15071" t="s">
        <v>970</v>
      </c>
      <c r="B15071" t="s">
        <v>20</v>
      </c>
      <c r="C15071" s="1">
        <f>HYPERLINK("https://cao.dolgi.msk.ru/account/1011417164/", 1011417164)</f>
        <v>1011417164</v>
      </c>
      <c r="D15071">
        <v>-8385.4500000000007</v>
      </c>
    </row>
    <row r="15072" spans="1:4" x14ac:dyDescent="0.3">
      <c r="A15072" t="s">
        <v>970</v>
      </c>
      <c r="B15072" t="s">
        <v>20</v>
      </c>
      <c r="C15072" s="1">
        <f>HYPERLINK("https://cao.dolgi.msk.ru/account/1011417199/", 1011417199)</f>
        <v>1011417199</v>
      </c>
      <c r="D15072">
        <v>16552.14</v>
      </c>
    </row>
    <row r="15073" spans="1:4" x14ac:dyDescent="0.3">
      <c r="A15073" t="s">
        <v>970</v>
      </c>
      <c r="B15073" t="s">
        <v>20</v>
      </c>
      <c r="C15073" s="1">
        <f>HYPERLINK("https://cao.dolgi.msk.ru/account/1011417244/", 1011417244)</f>
        <v>1011417244</v>
      </c>
      <c r="D15073">
        <v>85385.12</v>
      </c>
    </row>
    <row r="15074" spans="1:4" x14ac:dyDescent="0.3">
      <c r="A15074" t="s">
        <v>970</v>
      </c>
      <c r="B15074" t="s">
        <v>20</v>
      </c>
      <c r="C15074" s="1">
        <f>HYPERLINK("https://cao.dolgi.msk.ru/account/1011417623/", 1011417623)</f>
        <v>1011417623</v>
      </c>
      <c r="D15074">
        <v>63347.839999999997</v>
      </c>
    </row>
    <row r="15075" spans="1:4" hidden="1" x14ac:dyDescent="0.3">
      <c r="A15075" t="s">
        <v>970</v>
      </c>
      <c r="B15075" t="s">
        <v>20</v>
      </c>
      <c r="C15075" s="1">
        <f>HYPERLINK("https://cao.dolgi.msk.ru/account/1011486389/", 1011486389)</f>
        <v>1011486389</v>
      </c>
      <c r="D15075">
        <v>-1702.15</v>
      </c>
    </row>
    <row r="15076" spans="1:4" x14ac:dyDescent="0.3">
      <c r="A15076" t="s">
        <v>970</v>
      </c>
      <c r="B15076" t="s">
        <v>21</v>
      </c>
      <c r="C15076" s="1">
        <f>HYPERLINK("https://cao.dolgi.msk.ru/account/1011417682/", 1011417682)</f>
        <v>1011417682</v>
      </c>
      <c r="D15076">
        <v>10999.81</v>
      </c>
    </row>
    <row r="15077" spans="1:4" hidden="1" x14ac:dyDescent="0.3">
      <c r="A15077" t="s">
        <v>970</v>
      </c>
      <c r="B15077" t="s">
        <v>22</v>
      </c>
      <c r="C15077" s="1">
        <f>HYPERLINK("https://cao.dolgi.msk.ru/account/1011417009/", 1011417009)</f>
        <v>1011417009</v>
      </c>
      <c r="D15077">
        <v>-58.51</v>
      </c>
    </row>
    <row r="15078" spans="1:4" hidden="1" x14ac:dyDescent="0.3">
      <c r="A15078" t="s">
        <v>970</v>
      </c>
      <c r="B15078" t="s">
        <v>22</v>
      </c>
      <c r="C15078" s="1">
        <f>HYPERLINK("https://cao.dolgi.msk.ru/account/1011417375/", 1011417375)</f>
        <v>1011417375</v>
      </c>
      <c r="D15078">
        <v>-58.51</v>
      </c>
    </row>
    <row r="15079" spans="1:4" hidden="1" x14ac:dyDescent="0.3">
      <c r="A15079" t="s">
        <v>970</v>
      </c>
      <c r="B15079" t="s">
        <v>25</v>
      </c>
      <c r="C15079" s="1">
        <f>HYPERLINK("https://cao.dolgi.msk.ru/account/1011417711/", 1011417711)</f>
        <v>1011417711</v>
      </c>
      <c r="D15079">
        <v>-2797.2</v>
      </c>
    </row>
    <row r="15080" spans="1:4" hidden="1" x14ac:dyDescent="0.3">
      <c r="A15080" t="s">
        <v>970</v>
      </c>
      <c r="B15080" t="s">
        <v>26</v>
      </c>
      <c r="C15080" s="1">
        <f>HYPERLINK("https://cao.dolgi.msk.ru/account/1011416663/", 1011416663)</f>
        <v>1011416663</v>
      </c>
      <c r="D15080">
        <v>-3115.18</v>
      </c>
    </row>
    <row r="15081" spans="1:4" x14ac:dyDescent="0.3">
      <c r="A15081" t="s">
        <v>970</v>
      </c>
      <c r="B15081" t="s">
        <v>26</v>
      </c>
      <c r="C15081" s="1">
        <f>HYPERLINK("https://cao.dolgi.msk.ru/account/1011417105/", 1011417105)</f>
        <v>1011417105</v>
      </c>
      <c r="D15081">
        <v>2338.0300000000002</v>
      </c>
    </row>
    <row r="15082" spans="1:4" hidden="1" x14ac:dyDescent="0.3">
      <c r="A15082" t="s">
        <v>970</v>
      </c>
      <c r="B15082" t="s">
        <v>26</v>
      </c>
      <c r="C15082" s="1">
        <f>HYPERLINK("https://cao.dolgi.msk.ru/account/1011417332/", 1011417332)</f>
        <v>1011417332</v>
      </c>
      <c r="D15082">
        <v>0</v>
      </c>
    </row>
    <row r="15083" spans="1:4" x14ac:dyDescent="0.3">
      <c r="A15083" t="s">
        <v>970</v>
      </c>
      <c r="B15083" t="s">
        <v>26</v>
      </c>
      <c r="C15083" s="1">
        <f>HYPERLINK("https://cao.dolgi.msk.ru/account/1011417383/", 1011417383)</f>
        <v>1011417383</v>
      </c>
      <c r="D15083">
        <v>3365.54</v>
      </c>
    </row>
    <row r="15084" spans="1:4" hidden="1" x14ac:dyDescent="0.3">
      <c r="A15084" t="s">
        <v>970</v>
      </c>
      <c r="B15084" t="s">
        <v>27</v>
      </c>
      <c r="C15084" s="1">
        <f>HYPERLINK("https://cao.dolgi.msk.ru/account/1011417404/", 1011417404)</f>
        <v>1011417404</v>
      </c>
      <c r="D15084">
        <v>0</v>
      </c>
    </row>
    <row r="15085" spans="1:4" hidden="1" x14ac:dyDescent="0.3">
      <c r="A15085" t="s">
        <v>970</v>
      </c>
      <c r="B15085" t="s">
        <v>29</v>
      </c>
      <c r="C15085" s="1">
        <f>HYPERLINK("https://cao.dolgi.msk.ru/account/1011417703/", 1011417703)</f>
        <v>1011417703</v>
      </c>
      <c r="D15085">
        <v>-10748.14</v>
      </c>
    </row>
    <row r="15086" spans="1:4" x14ac:dyDescent="0.3">
      <c r="A15086" t="s">
        <v>970</v>
      </c>
      <c r="B15086" t="s">
        <v>38</v>
      </c>
      <c r="C15086" s="1">
        <f>HYPERLINK("https://cao.dolgi.msk.ru/account/1011417113/", 1011417113)</f>
        <v>1011417113</v>
      </c>
      <c r="D15086">
        <v>14397.8</v>
      </c>
    </row>
    <row r="15087" spans="1:4" x14ac:dyDescent="0.3">
      <c r="A15087" t="s">
        <v>970</v>
      </c>
      <c r="B15087" t="s">
        <v>38</v>
      </c>
      <c r="C15087" s="1">
        <f>HYPERLINK("https://cao.dolgi.msk.ru/account/1011417631/", 1011417631)</f>
        <v>1011417631</v>
      </c>
      <c r="D15087">
        <v>9241.4</v>
      </c>
    </row>
    <row r="15088" spans="1:4" hidden="1" x14ac:dyDescent="0.3">
      <c r="A15088" t="s">
        <v>970</v>
      </c>
      <c r="B15088" t="s">
        <v>39</v>
      </c>
      <c r="C15088" s="1">
        <f>HYPERLINK("https://cao.dolgi.msk.ru/account/1011416786/", 1011416786)</f>
        <v>1011416786</v>
      </c>
      <c r="D15088">
        <v>0</v>
      </c>
    </row>
    <row r="15089" spans="1:4" x14ac:dyDescent="0.3">
      <c r="A15089" t="s">
        <v>970</v>
      </c>
      <c r="B15089" t="s">
        <v>39</v>
      </c>
      <c r="C15089" s="1">
        <f>HYPERLINK("https://cao.dolgi.msk.ru/account/1011416874/", 1011416874)</f>
        <v>1011416874</v>
      </c>
      <c r="D15089">
        <v>406.24</v>
      </c>
    </row>
    <row r="15090" spans="1:4" hidden="1" x14ac:dyDescent="0.3">
      <c r="A15090" t="s">
        <v>970</v>
      </c>
      <c r="B15090" t="s">
        <v>39</v>
      </c>
      <c r="C15090" s="1">
        <f>HYPERLINK("https://cao.dolgi.msk.ru/account/1011417121/", 1011417121)</f>
        <v>1011417121</v>
      </c>
      <c r="D15090">
        <v>0</v>
      </c>
    </row>
    <row r="15091" spans="1:4" x14ac:dyDescent="0.3">
      <c r="A15091" t="s">
        <v>970</v>
      </c>
      <c r="B15091" t="s">
        <v>39</v>
      </c>
      <c r="C15091" s="1">
        <f>HYPERLINK("https://cao.dolgi.msk.ru/account/1011417746/", 1011417746)</f>
        <v>1011417746</v>
      </c>
      <c r="D15091">
        <v>3403.45</v>
      </c>
    </row>
    <row r="15092" spans="1:4" hidden="1" x14ac:dyDescent="0.3">
      <c r="A15092" t="s">
        <v>970</v>
      </c>
      <c r="B15092" t="s">
        <v>40</v>
      </c>
      <c r="C15092" s="1">
        <f>HYPERLINK("https://cao.dolgi.msk.ru/account/1011417316/", 1011417316)</f>
        <v>1011417316</v>
      </c>
      <c r="D15092">
        <v>-450.23</v>
      </c>
    </row>
    <row r="15093" spans="1:4" hidden="1" x14ac:dyDescent="0.3">
      <c r="A15093" t="s">
        <v>970</v>
      </c>
      <c r="B15093" t="s">
        <v>41</v>
      </c>
      <c r="C15093" s="1">
        <f>HYPERLINK("https://cao.dolgi.msk.ru/account/1011417172/", 1011417172)</f>
        <v>1011417172</v>
      </c>
      <c r="D15093">
        <v>0</v>
      </c>
    </row>
    <row r="15094" spans="1:4" hidden="1" x14ac:dyDescent="0.3">
      <c r="A15094" t="s">
        <v>970</v>
      </c>
      <c r="B15094" t="s">
        <v>41</v>
      </c>
      <c r="C15094" s="1">
        <f>HYPERLINK("https://cao.dolgi.msk.ru/account/1011417252/", 1011417252)</f>
        <v>1011417252</v>
      </c>
      <c r="D15094">
        <v>-1361.55</v>
      </c>
    </row>
    <row r="15095" spans="1:4" hidden="1" x14ac:dyDescent="0.3">
      <c r="A15095" t="s">
        <v>970</v>
      </c>
      <c r="B15095" t="s">
        <v>41</v>
      </c>
      <c r="C15095" s="1">
        <f>HYPERLINK("https://cao.dolgi.msk.ru/account/1011530191/", 1011530191)</f>
        <v>1011530191</v>
      </c>
      <c r="D15095">
        <v>0</v>
      </c>
    </row>
    <row r="15096" spans="1:4" x14ac:dyDescent="0.3">
      <c r="A15096" t="s">
        <v>970</v>
      </c>
      <c r="B15096" t="s">
        <v>51</v>
      </c>
      <c r="C15096" s="1">
        <f>HYPERLINK("https://cao.dolgi.msk.ru/account/1011416938/", 1011416938)</f>
        <v>1011416938</v>
      </c>
      <c r="D15096">
        <v>4410.84</v>
      </c>
    </row>
    <row r="15097" spans="1:4" hidden="1" x14ac:dyDescent="0.3">
      <c r="A15097" t="s">
        <v>970</v>
      </c>
      <c r="B15097" t="s">
        <v>52</v>
      </c>
      <c r="C15097" s="1">
        <f>HYPERLINK("https://cao.dolgi.msk.ru/account/1011416727/", 1011416727)</f>
        <v>1011416727</v>
      </c>
      <c r="D15097">
        <v>0</v>
      </c>
    </row>
    <row r="15098" spans="1:4" hidden="1" x14ac:dyDescent="0.3">
      <c r="A15098" t="s">
        <v>970</v>
      </c>
      <c r="B15098" t="s">
        <v>53</v>
      </c>
      <c r="C15098" s="1">
        <f>HYPERLINK("https://cao.dolgi.msk.ru/account/1011417084/", 1011417084)</f>
        <v>1011417084</v>
      </c>
      <c r="D15098">
        <v>0</v>
      </c>
    </row>
    <row r="15099" spans="1:4" hidden="1" x14ac:dyDescent="0.3">
      <c r="A15099" t="s">
        <v>970</v>
      </c>
      <c r="B15099" t="s">
        <v>54</v>
      </c>
      <c r="C15099" s="1">
        <f>HYPERLINK("https://cao.dolgi.msk.ru/account/1011417535/", 1011417535)</f>
        <v>1011417535</v>
      </c>
      <c r="D15099">
        <v>0</v>
      </c>
    </row>
    <row r="15100" spans="1:4" hidden="1" x14ac:dyDescent="0.3">
      <c r="A15100" t="s">
        <v>970</v>
      </c>
      <c r="B15100" t="s">
        <v>55</v>
      </c>
      <c r="C15100" s="1">
        <f>HYPERLINK("https://cao.dolgi.msk.ru/account/1011417471/", 1011417471)</f>
        <v>1011417471</v>
      </c>
      <c r="D15100">
        <v>0</v>
      </c>
    </row>
    <row r="15101" spans="1:4" hidden="1" x14ac:dyDescent="0.3">
      <c r="A15101" t="s">
        <v>970</v>
      </c>
      <c r="B15101" t="s">
        <v>56</v>
      </c>
      <c r="C15101" s="1">
        <f>HYPERLINK("https://cao.dolgi.msk.ru/account/1011417594/", 1011417594)</f>
        <v>1011417594</v>
      </c>
      <c r="D15101">
        <v>0</v>
      </c>
    </row>
    <row r="15102" spans="1:4" hidden="1" x14ac:dyDescent="0.3">
      <c r="A15102" t="s">
        <v>970</v>
      </c>
      <c r="B15102" t="s">
        <v>87</v>
      </c>
      <c r="C15102" s="1">
        <f>HYPERLINK("https://cao.dolgi.msk.ru/account/1011416954/", 1011416954)</f>
        <v>1011416954</v>
      </c>
      <c r="D15102">
        <v>0</v>
      </c>
    </row>
    <row r="15103" spans="1:4" hidden="1" x14ac:dyDescent="0.3">
      <c r="A15103" t="s">
        <v>970</v>
      </c>
      <c r="B15103" t="s">
        <v>88</v>
      </c>
      <c r="C15103" s="1">
        <f>HYPERLINK("https://cao.dolgi.msk.ru/account/1011417666/", 1011417666)</f>
        <v>1011417666</v>
      </c>
      <c r="D15103">
        <v>0</v>
      </c>
    </row>
    <row r="15104" spans="1:4" x14ac:dyDescent="0.3">
      <c r="A15104" t="s">
        <v>970</v>
      </c>
      <c r="B15104" t="s">
        <v>89</v>
      </c>
      <c r="C15104" s="1">
        <f>HYPERLINK("https://cao.dolgi.msk.ru/account/1011416997/", 1011416997)</f>
        <v>1011416997</v>
      </c>
      <c r="D15104">
        <v>13451.7</v>
      </c>
    </row>
    <row r="15105" spans="1:4" x14ac:dyDescent="0.3">
      <c r="A15105" t="s">
        <v>970</v>
      </c>
      <c r="B15105" t="s">
        <v>90</v>
      </c>
      <c r="C15105" s="1">
        <f>HYPERLINK("https://cao.dolgi.msk.ru/account/1011416671/", 1011416671)</f>
        <v>1011416671</v>
      </c>
      <c r="D15105">
        <v>7556.29</v>
      </c>
    </row>
    <row r="15106" spans="1:4" x14ac:dyDescent="0.3">
      <c r="A15106" t="s">
        <v>970</v>
      </c>
      <c r="B15106" t="s">
        <v>90</v>
      </c>
      <c r="C15106" s="1">
        <f>HYPERLINK("https://cao.dolgi.msk.ru/account/1011416903/", 1011416903)</f>
        <v>1011416903</v>
      </c>
      <c r="D15106">
        <v>4302</v>
      </c>
    </row>
    <row r="15107" spans="1:4" hidden="1" x14ac:dyDescent="0.3">
      <c r="A15107" t="s">
        <v>970</v>
      </c>
      <c r="B15107" t="s">
        <v>90</v>
      </c>
      <c r="C15107" s="1">
        <f>HYPERLINK("https://cao.dolgi.msk.ru/account/1011417359/", 1011417359)</f>
        <v>1011417359</v>
      </c>
      <c r="D15107">
        <v>-19793.490000000002</v>
      </c>
    </row>
    <row r="15108" spans="1:4" hidden="1" x14ac:dyDescent="0.3">
      <c r="A15108" t="s">
        <v>970</v>
      </c>
      <c r="B15108" t="s">
        <v>96</v>
      </c>
      <c r="C15108" s="1">
        <f>HYPERLINK("https://cao.dolgi.msk.ru/account/1011417412/", 1011417412)</f>
        <v>1011417412</v>
      </c>
      <c r="D15108">
        <v>-3630.34</v>
      </c>
    </row>
    <row r="15109" spans="1:4" hidden="1" x14ac:dyDescent="0.3">
      <c r="A15109" t="s">
        <v>970</v>
      </c>
      <c r="B15109" t="s">
        <v>97</v>
      </c>
      <c r="C15109" s="1">
        <f>HYPERLINK("https://cao.dolgi.msk.ru/account/1011417658/", 1011417658)</f>
        <v>1011417658</v>
      </c>
      <c r="D15109">
        <v>-4978.93</v>
      </c>
    </row>
    <row r="15110" spans="1:4" hidden="1" x14ac:dyDescent="0.3">
      <c r="A15110" t="s">
        <v>970</v>
      </c>
      <c r="B15110" t="s">
        <v>98</v>
      </c>
      <c r="C15110" s="1">
        <f>HYPERLINK("https://cao.dolgi.msk.ru/account/1011417279/", 1011417279)</f>
        <v>1011417279</v>
      </c>
      <c r="D15110">
        <v>0</v>
      </c>
    </row>
    <row r="15111" spans="1:4" hidden="1" x14ac:dyDescent="0.3">
      <c r="A15111" t="s">
        <v>970</v>
      </c>
      <c r="B15111" t="s">
        <v>58</v>
      </c>
      <c r="C15111" s="1">
        <f>HYPERLINK("https://cao.dolgi.msk.ru/account/1011417324/", 1011417324)</f>
        <v>1011417324</v>
      </c>
      <c r="D15111">
        <v>0</v>
      </c>
    </row>
    <row r="15112" spans="1:4" hidden="1" x14ac:dyDescent="0.3">
      <c r="A15112" t="s">
        <v>970</v>
      </c>
      <c r="B15112" t="s">
        <v>59</v>
      </c>
      <c r="C15112" s="1">
        <f>HYPERLINK("https://cao.dolgi.msk.ru/account/1011416989/", 1011416989)</f>
        <v>1011416989</v>
      </c>
      <c r="D15112">
        <v>-2167.33</v>
      </c>
    </row>
    <row r="15113" spans="1:4" hidden="1" x14ac:dyDescent="0.3">
      <c r="A15113" t="s">
        <v>970</v>
      </c>
      <c r="B15113" t="s">
        <v>60</v>
      </c>
      <c r="C15113" s="1">
        <f>HYPERLINK("https://cao.dolgi.msk.ru/account/1011417228/", 1011417228)</f>
        <v>1011417228</v>
      </c>
      <c r="D15113">
        <v>-8064.85</v>
      </c>
    </row>
    <row r="15114" spans="1:4" hidden="1" x14ac:dyDescent="0.3">
      <c r="A15114" t="s">
        <v>970</v>
      </c>
      <c r="B15114" t="s">
        <v>61</v>
      </c>
      <c r="C15114" s="1">
        <f>HYPERLINK("https://cao.dolgi.msk.ru/account/1011538767/", 1011538767)</f>
        <v>1011538767</v>
      </c>
      <c r="D15114">
        <v>-260</v>
      </c>
    </row>
    <row r="15115" spans="1:4" hidden="1" x14ac:dyDescent="0.3">
      <c r="A15115" t="s">
        <v>970</v>
      </c>
      <c r="B15115" t="s">
        <v>62</v>
      </c>
      <c r="C15115" s="1">
        <f>HYPERLINK("https://cao.dolgi.msk.ru/account/1011417295/", 1011417295)</f>
        <v>1011417295</v>
      </c>
      <c r="D15115">
        <v>0</v>
      </c>
    </row>
    <row r="15116" spans="1:4" x14ac:dyDescent="0.3">
      <c r="A15116" t="s">
        <v>970</v>
      </c>
      <c r="B15116" t="s">
        <v>63</v>
      </c>
      <c r="C15116" s="1">
        <f>HYPERLINK("https://cao.dolgi.msk.ru/account/1011416735/", 1011416735)</f>
        <v>1011416735</v>
      </c>
      <c r="D15116">
        <v>45581.48</v>
      </c>
    </row>
    <row r="15117" spans="1:4" hidden="1" x14ac:dyDescent="0.3">
      <c r="A15117" t="s">
        <v>970</v>
      </c>
      <c r="B15117" t="s">
        <v>64</v>
      </c>
      <c r="C15117" s="1">
        <f>HYPERLINK("https://cao.dolgi.msk.ru/account/1011416831/", 1011416831)</f>
        <v>1011416831</v>
      </c>
      <c r="D15117">
        <v>0</v>
      </c>
    </row>
    <row r="15118" spans="1:4" hidden="1" x14ac:dyDescent="0.3">
      <c r="A15118" t="s">
        <v>970</v>
      </c>
      <c r="B15118" t="s">
        <v>65</v>
      </c>
      <c r="C15118" s="1">
        <f>HYPERLINK("https://cao.dolgi.msk.ru/account/1011416858/", 1011416858)</f>
        <v>1011416858</v>
      </c>
      <c r="D15118">
        <v>0</v>
      </c>
    </row>
    <row r="15119" spans="1:4" x14ac:dyDescent="0.3">
      <c r="A15119" t="s">
        <v>970</v>
      </c>
      <c r="B15119" t="s">
        <v>66</v>
      </c>
      <c r="C15119" s="1">
        <f>HYPERLINK("https://cao.dolgi.msk.ru/account/1011416823/", 1011416823)</f>
        <v>1011416823</v>
      </c>
      <c r="D15119">
        <v>1575.38</v>
      </c>
    </row>
    <row r="15120" spans="1:4" x14ac:dyDescent="0.3">
      <c r="A15120" t="s">
        <v>970</v>
      </c>
      <c r="B15120" t="s">
        <v>66</v>
      </c>
      <c r="C15120" s="1">
        <f>HYPERLINK("https://cao.dolgi.msk.ru/account/1011416866/", 1011416866)</f>
        <v>1011416866</v>
      </c>
      <c r="D15120">
        <v>22211.200000000001</v>
      </c>
    </row>
    <row r="15121" spans="1:4" hidden="1" x14ac:dyDescent="0.3">
      <c r="A15121" t="s">
        <v>970</v>
      </c>
      <c r="B15121" t="s">
        <v>66</v>
      </c>
      <c r="C15121" s="1">
        <f>HYPERLINK("https://cao.dolgi.msk.ru/account/1011417068/", 1011417068)</f>
        <v>1011417068</v>
      </c>
      <c r="D15121">
        <v>-140.94</v>
      </c>
    </row>
    <row r="15122" spans="1:4" hidden="1" x14ac:dyDescent="0.3">
      <c r="A15122" t="s">
        <v>970</v>
      </c>
      <c r="B15122" t="s">
        <v>67</v>
      </c>
      <c r="C15122" s="1">
        <f>HYPERLINK("https://cao.dolgi.msk.ru/account/1011417017/", 1011417017)</f>
        <v>1011417017</v>
      </c>
      <c r="D15122">
        <v>-44.56</v>
      </c>
    </row>
    <row r="15123" spans="1:4" hidden="1" x14ac:dyDescent="0.3">
      <c r="A15123" t="s">
        <v>970</v>
      </c>
      <c r="B15123" t="s">
        <v>68</v>
      </c>
      <c r="C15123" s="1">
        <f>HYPERLINK("https://cao.dolgi.msk.ru/account/1011417287/", 1011417287)</f>
        <v>1011417287</v>
      </c>
      <c r="D15123">
        <v>0</v>
      </c>
    </row>
    <row r="15124" spans="1:4" hidden="1" x14ac:dyDescent="0.3">
      <c r="A15124" t="s">
        <v>970</v>
      </c>
      <c r="B15124" t="s">
        <v>69</v>
      </c>
      <c r="C15124" s="1">
        <f>HYPERLINK("https://cao.dolgi.msk.ru/account/1011416743/", 1011416743)</f>
        <v>1011416743</v>
      </c>
      <c r="D15124">
        <v>-9957.33</v>
      </c>
    </row>
    <row r="15125" spans="1:4" hidden="1" x14ac:dyDescent="0.3">
      <c r="A15125" t="s">
        <v>970</v>
      </c>
      <c r="B15125" t="s">
        <v>70</v>
      </c>
      <c r="C15125" s="1">
        <f>HYPERLINK("https://cao.dolgi.msk.ru/account/1011416911/", 1011416911)</f>
        <v>1011416911</v>
      </c>
      <c r="D15125">
        <v>-1190.8499999999999</v>
      </c>
    </row>
    <row r="15126" spans="1:4" x14ac:dyDescent="0.3">
      <c r="A15126" t="s">
        <v>970</v>
      </c>
      <c r="B15126" t="s">
        <v>259</v>
      </c>
      <c r="C15126" s="1">
        <f>HYPERLINK("https://cao.dolgi.msk.ru/account/1011417754/", 1011417754)</f>
        <v>1011417754</v>
      </c>
      <c r="D15126">
        <v>11516.18</v>
      </c>
    </row>
    <row r="15127" spans="1:4" hidden="1" x14ac:dyDescent="0.3">
      <c r="A15127" t="s">
        <v>970</v>
      </c>
      <c r="B15127" t="s">
        <v>100</v>
      </c>
      <c r="C15127" s="1">
        <f>HYPERLINK("https://cao.dolgi.msk.ru/account/1011416882/", 1011416882)</f>
        <v>1011416882</v>
      </c>
      <c r="D15127">
        <v>0</v>
      </c>
    </row>
    <row r="15128" spans="1:4" hidden="1" x14ac:dyDescent="0.3">
      <c r="A15128" t="s">
        <v>970</v>
      </c>
      <c r="B15128" t="s">
        <v>100</v>
      </c>
      <c r="C15128" s="1">
        <f>HYPERLINK("https://cao.dolgi.msk.ru/account/1011417455/", 1011417455)</f>
        <v>1011417455</v>
      </c>
      <c r="D15128">
        <v>-984.28</v>
      </c>
    </row>
    <row r="15129" spans="1:4" hidden="1" x14ac:dyDescent="0.3">
      <c r="A15129" t="s">
        <v>970</v>
      </c>
      <c r="B15129" t="s">
        <v>100</v>
      </c>
      <c r="C15129" s="1">
        <f>HYPERLINK("https://cao.dolgi.msk.ru/account/1011417498/", 1011417498)</f>
        <v>1011417498</v>
      </c>
      <c r="D15129">
        <v>-1475.37</v>
      </c>
    </row>
    <row r="15130" spans="1:4" hidden="1" x14ac:dyDescent="0.3">
      <c r="A15130" t="s">
        <v>970</v>
      </c>
      <c r="B15130" t="s">
        <v>100</v>
      </c>
      <c r="C15130" s="1">
        <f>HYPERLINK("https://cao.dolgi.msk.ru/account/1011417543/", 1011417543)</f>
        <v>1011417543</v>
      </c>
      <c r="D15130">
        <v>0</v>
      </c>
    </row>
    <row r="15131" spans="1:4" x14ac:dyDescent="0.3">
      <c r="A15131" t="s">
        <v>970</v>
      </c>
      <c r="B15131" t="s">
        <v>72</v>
      </c>
      <c r="C15131" s="1">
        <f>HYPERLINK("https://cao.dolgi.msk.ru/account/1011416698/", 1011416698)</f>
        <v>1011416698</v>
      </c>
      <c r="D15131">
        <v>65306.51</v>
      </c>
    </row>
    <row r="15132" spans="1:4" hidden="1" x14ac:dyDescent="0.3">
      <c r="A15132" t="s">
        <v>970</v>
      </c>
      <c r="B15132" t="s">
        <v>72</v>
      </c>
      <c r="C15132" s="1">
        <f>HYPERLINK("https://cao.dolgi.msk.ru/account/1011417236/", 1011417236)</f>
        <v>1011417236</v>
      </c>
      <c r="D15132">
        <v>-375.38</v>
      </c>
    </row>
    <row r="15133" spans="1:4" hidden="1" x14ac:dyDescent="0.3">
      <c r="A15133" t="s">
        <v>970</v>
      </c>
      <c r="B15133" t="s">
        <v>72</v>
      </c>
      <c r="C15133" s="1">
        <f>HYPERLINK("https://cao.dolgi.msk.ru/account/1011417519/", 1011417519)</f>
        <v>1011417519</v>
      </c>
      <c r="D15133">
        <v>-3920.62</v>
      </c>
    </row>
    <row r="15134" spans="1:4" hidden="1" x14ac:dyDescent="0.3">
      <c r="A15134" t="s">
        <v>970</v>
      </c>
      <c r="B15134" t="s">
        <v>73</v>
      </c>
      <c r="C15134" s="1">
        <f>HYPERLINK("https://cao.dolgi.msk.ru/account/1011417607/", 1011417607)</f>
        <v>1011417607</v>
      </c>
      <c r="D15134">
        <v>0</v>
      </c>
    </row>
    <row r="15135" spans="1:4" hidden="1" x14ac:dyDescent="0.3">
      <c r="A15135" t="s">
        <v>971</v>
      </c>
      <c r="B15135" t="s">
        <v>6</v>
      </c>
      <c r="C15135" s="1">
        <f>HYPERLINK("https://cao.dolgi.msk.ru/account/1011337578/", 1011337578)</f>
        <v>1011337578</v>
      </c>
      <c r="D15135">
        <v>0</v>
      </c>
    </row>
    <row r="15136" spans="1:4" hidden="1" x14ac:dyDescent="0.3">
      <c r="A15136" t="s">
        <v>971</v>
      </c>
      <c r="B15136" t="s">
        <v>28</v>
      </c>
      <c r="C15136" s="1">
        <f>HYPERLINK("https://cao.dolgi.msk.ru/account/1011337623/", 1011337623)</f>
        <v>1011337623</v>
      </c>
      <c r="D15136">
        <v>0</v>
      </c>
    </row>
    <row r="15137" spans="1:4" hidden="1" x14ac:dyDescent="0.3">
      <c r="A15137" t="s">
        <v>971</v>
      </c>
      <c r="B15137" t="s">
        <v>35</v>
      </c>
      <c r="C15137" s="1">
        <f>HYPERLINK("https://cao.dolgi.msk.ru/account/1011337121/", 1011337121)</f>
        <v>1011337121</v>
      </c>
      <c r="D15137">
        <v>-2454.64</v>
      </c>
    </row>
    <row r="15138" spans="1:4" hidden="1" x14ac:dyDescent="0.3">
      <c r="A15138" t="s">
        <v>971</v>
      </c>
      <c r="B15138" t="s">
        <v>35</v>
      </c>
      <c r="C15138" s="1">
        <f>HYPERLINK("https://cao.dolgi.msk.ru/account/1011337287/", 1011337287)</f>
        <v>1011337287</v>
      </c>
      <c r="D15138">
        <v>-4677.4399999999996</v>
      </c>
    </row>
    <row r="15139" spans="1:4" hidden="1" x14ac:dyDescent="0.3">
      <c r="A15139" t="s">
        <v>971</v>
      </c>
      <c r="B15139" t="s">
        <v>35</v>
      </c>
      <c r="C15139" s="1">
        <f>HYPERLINK("https://cao.dolgi.msk.ru/account/1011337703/", 1011337703)</f>
        <v>1011337703</v>
      </c>
      <c r="D15139">
        <v>0</v>
      </c>
    </row>
    <row r="15140" spans="1:4" x14ac:dyDescent="0.3">
      <c r="A15140" t="s">
        <v>971</v>
      </c>
      <c r="B15140" t="s">
        <v>5</v>
      </c>
      <c r="C15140" s="1">
        <f>HYPERLINK("https://cao.dolgi.msk.ru/account/1011337471/", 1011337471)</f>
        <v>1011337471</v>
      </c>
      <c r="D15140">
        <v>8472.61</v>
      </c>
    </row>
    <row r="15141" spans="1:4" hidden="1" x14ac:dyDescent="0.3">
      <c r="A15141" t="s">
        <v>971</v>
      </c>
      <c r="B15141" t="s">
        <v>7</v>
      </c>
      <c r="C15141" s="1">
        <f>HYPERLINK("https://cao.dolgi.msk.ru/account/1011337105/", 1011337105)</f>
        <v>1011337105</v>
      </c>
      <c r="D15141">
        <v>0</v>
      </c>
    </row>
    <row r="15142" spans="1:4" x14ac:dyDescent="0.3">
      <c r="A15142" t="s">
        <v>971</v>
      </c>
      <c r="B15142" t="s">
        <v>8</v>
      </c>
      <c r="C15142" s="1">
        <f>HYPERLINK("https://cao.dolgi.msk.ru/account/1011337092/", 1011337092)</f>
        <v>1011337092</v>
      </c>
      <c r="D15142">
        <v>2156.79</v>
      </c>
    </row>
    <row r="15143" spans="1:4" hidden="1" x14ac:dyDescent="0.3">
      <c r="A15143" t="s">
        <v>971</v>
      </c>
      <c r="B15143" t="s">
        <v>8</v>
      </c>
      <c r="C15143" s="1">
        <f>HYPERLINK("https://cao.dolgi.msk.ru/account/1011337201/", 1011337201)</f>
        <v>1011337201</v>
      </c>
      <c r="D15143">
        <v>0</v>
      </c>
    </row>
    <row r="15144" spans="1:4" hidden="1" x14ac:dyDescent="0.3">
      <c r="A15144" t="s">
        <v>971</v>
      </c>
      <c r="B15144" t="s">
        <v>31</v>
      </c>
      <c r="C15144" s="1">
        <f>HYPERLINK("https://cao.dolgi.msk.ru/account/1011337412/", 1011337412)</f>
        <v>1011337412</v>
      </c>
      <c r="D15144">
        <v>0</v>
      </c>
    </row>
    <row r="15145" spans="1:4" hidden="1" x14ac:dyDescent="0.3">
      <c r="A15145" t="s">
        <v>971</v>
      </c>
      <c r="B15145" t="s">
        <v>9</v>
      </c>
      <c r="C15145" s="1">
        <f>HYPERLINK("https://cao.dolgi.msk.ru/account/1011337914/", 1011337914)</f>
        <v>1011337914</v>
      </c>
      <c r="D15145">
        <v>0</v>
      </c>
    </row>
    <row r="15146" spans="1:4" hidden="1" x14ac:dyDescent="0.3">
      <c r="A15146" t="s">
        <v>971</v>
      </c>
      <c r="B15146" t="s">
        <v>10</v>
      </c>
      <c r="C15146" s="1">
        <f>HYPERLINK("https://cao.dolgi.msk.ru/account/1011337682/", 1011337682)</f>
        <v>1011337682</v>
      </c>
      <c r="D15146">
        <v>0</v>
      </c>
    </row>
    <row r="15147" spans="1:4" hidden="1" x14ac:dyDescent="0.3">
      <c r="A15147" t="s">
        <v>971</v>
      </c>
      <c r="B15147" t="s">
        <v>11</v>
      </c>
      <c r="C15147" s="1">
        <f>HYPERLINK("https://cao.dolgi.msk.ru/account/1011336997/", 1011336997)</f>
        <v>1011336997</v>
      </c>
      <c r="D15147">
        <v>0</v>
      </c>
    </row>
    <row r="15148" spans="1:4" hidden="1" x14ac:dyDescent="0.3">
      <c r="A15148" t="s">
        <v>971</v>
      </c>
      <c r="B15148" t="s">
        <v>11</v>
      </c>
      <c r="C15148" s="1">
        <f>HYPERLINK("https://cao.dolgi.msk.ru/account/1011337527/", 1011337527)</f>
        <v>1011337527</v>
      </c>
      <c r="D15148">
        <v>0</v>
      </c>
    </row>
    <row r="15149" spans="1:4" x14ac:dyDescent="0.3">
      <c r="A15149" t="s">
        <v>971</v>
      </c>
      <c r="B15149" t="s">
        <v>11</v>
      </c>
      <c r="C15149" s="1">
        <f>HYPERLINK("https://cao.dolgi.msk.ru/account/1011337877/", 1011337877)</f>
        <v>1011337877</v>
      </c>
      <c r="D15149">
        <v>133446.28</v>
      </c>
    </row>
    <row r="15150" spans="1:4" hidden="1" x14ac:dyDescent="0.3">
      <c r="A15150" t="s">
        <v>971</v>
      </c>
      <c r="B15150" t="s">
        <v>12</v>
      </c>
      <c r="C15150" s="1">
        <f>HYPERLINK("https://cao.dolgi.msk.ru/account/1011336954/", 1011336954)</f>
        <v>1011336954</v>
      </c>
      <c r="D15150">
        <v>-4691.04</v>
      </c>
    </row>
    <row r="15151" spans="1:4" hidden="1" x14ac:dyDescent="0.3">
      <c r="A15151" t="s">
        <v>971</v>
      </c>
      <c r="B15151" t="s">
        <v>12</v>
      </c>
      <c r="C15151" s="1">
        <f>HYPERLINK("https://cao.dolgi.msk.ru/account/1011337199/", 1011337199)</f>
        <v>1011337199</v>
      </c>
      <c r="D15151">
        <v>-3123.38</v>
      </c>
    </row>
    <row r="15152" spans="1:4" hidden="1" x14ac:dyDescent="0.3">
      <c r="A15152" t="s">
        <v>971</v>
      </c>
      <c r="B15152" t="s">
        <v>12</v>
      </c>
      <c r="C15152" s="1">
        <f>HYPERLINK("https://cao.dolgi.msk.ru/account/1011337252/", 1011337252)</f>
        <v>1011337252</v>
      </c>
      <c r="D15152">
        <v>-7630.92</v>
      </c>
    </row>
    <row r="15153" spans="1:4" x14ac:dyDescent="0.3">
      <c r="A15153" t="s">
        <v>971</v>
      </c>
      <c r="B15153" t="s">
        <v>23</v>
      </c>
      <c r="C15153" s="1">
        <f>HYPERLINK("https://cao.dolgi.msk.ru/account/1011337893/", 1011337893)</f>
        <v>1011337893</v>
      </c>
      <c r="D15153">
        <v>72.78</v>
      </c>
    </row>
    <row r="15154" spans="1:4" hidden="1" x14ac:dyDescent="0.3">
      <c r="A15154" t="s">
        <v>971</v>
      </c>
      <c r="B15154" t="s">
        <v>13</v>
      </c>
      <c r="C15154" s="1">
        <f>HYPERLINK("https://cao.dolgi.msk.ru/account/1011337842/", 1011337842)</f>
        <v>1011337842</v>
      </c>
      <c r="D15154">
        <v>-704.16</v>
      </c>
    </row>
    <row r="15155" spans="1:4" hidden="1" x14ac:dyDescent="0.3">
      <c r="A15155" t="s">
        <v>971</v>
      </c>
      <c r="B15155" t="s">
        <v>14</v>
      </c>
      <c r="C15155" s="1">
        <f>HYPERLINK("https://cao.dolgi.msk.ru/account/1011337041/", 1011337041)</f>
        <v>1011337041</v>
      </c>
      <c r="D15155">
        <v>0</v>
      </c>
    </row>
    <row r="15156" spans="1:4" hidden="1" x14ac:dyDescent="0.3">
      <c r="A15156" t="s">
        <v>971</v>
      </c>
      <c r="B15156" t="s">
        <v>14</v>
      </c>
      <c r="C15156" s="1">
        <f>HYPERLINK("https://cao.dolgi.msk.ru/account/1011337228/", 1011337228)</f>
        <v>1011337228</v>
      </c>
      <c r="D15156">
        <v>0</v>
      </c>
    </row>
    <row r="15157" spans="1:4" hidden="1" x14ac:dyDescent="0.3">
      <c r="A15157" t="s">
        <v>971</v>
      </c>
      <c r="B15157" t="s">
        <v>16</v>
      </c>
      <c r="C15157" s="1">
        <f>HYPERLINK("https://cao.dolgi.msk.ru/account/1011337068/", 1011337068)</f>
        <v>1011337068</v>
      </c>
      <c r="D15157">
        <v>-123.36</v>
      </c>
    </row>
    <row r="15158" spans="1:4" hidden="1" x14ac:dyDescent="0.3">
      <c r="A15158" t="s">
        <v>971</v>
      </c>
      <c r="B15158" t="s">
        <v>16</v>
      </c>
      <c r="C15158" s="1">
        <f>HYPERLINK("https://cao.dolgi.msk.ru/account/1011337762/", 1011337762)</f>
        <v>1011337762</v>
      </c>
      <c r="D15158">
        <v>0</v>
      </c>
    </row>
    <row r="15159" spans="1:4" hidden="1" x14ac:dyDescent="0.3">
      <c r="A15159" t="s">
        <v>971</v>
      </c>
      <c r="B15159" t="s">
        <v>17</v>
      </c>
      <c r="C15159" s="1">
        <f>HYPERLINK("https://cao.dolgi.msk.ru/account/1011337674/", 1011337674)</f>
        <v>1011337674</v>
      </c>
      <c r="D15159">
        <v>-5082.2299999999996</v>
      </c>
    </row>
    <row r="15160" spans="1:4" hidden="1" x14ac:dyDescent="0.3">
      <c r="A15160" t="s">
        <v>971</v>
      </c>
      <c r="B15160" t="s">
        <v>18</v>
      </c>
      <c r="C15160" s="1">
        <f>HYPERLINK("https://cao.dolgi.msk.ru/account/1011337009/", 1011337009)</f>
        <v>1011337009</v>
      </c>
      <c r="D15160">
        <v>0</v>
      </c>
    </row>
    <row r="15161" spans="1:4" hidden="1" x14ac:dyDescent="0.3">
      <c r="A15161" t="s">
        <v>971</v>
      </c>
      <c r="B15161" t="s">
        <v>19</v>
      </c>
      <c r="C15161" s="1">
        <f>HYPERLINK("https://cao.dolgi.msk.ru/account/1011337295/", 1011337295)</f>
        <v>1011337295</v>
      </c>
      <c r="D15161">
        <v>0</v>
      </c>
    </row>
    <row r="15162" spans="1:4" hidden="1" x14ac:dyDescent="0.3">
      <c r="A15162" t="s">
        <v>971</v>
      </c>
      <c r="B15162" t="s">
        <v>19</v>
      </c>
      <c r="C15162" s="1">
        <f>HYPERLINK("https://cao.dolgi.msk.ru/account/1011337383/", 1011337383)</f>
        <v>1011337383</v>
      </c>
      <c r="D15162">
        <v>-2004.42</v>
      </c>
    </row>
    <row r="15163" spans="1:4" hidden="1" x14ac:dyDescent="0.3">
      <c r="A15163" t="s">
        <v>971</v>
      </c>
      <c r="B15163" t="s">
        <v>19</v>
      </c>
      <c r="C15163" s="1">
        <f>HYPERLINK("https://cao.dolgi.msk.ru/account/1011337535/", 1011337535)</f>
        <v>1011337535</v>
      </c>
      <c r="D15163">
        <v>0</v>
      </c>
    </row>
    <row r="15164" spans="1:4" hidden="1" x14ac:dyDescent="0.3">
      <c r="A15164" t="s">
        <v>971</v>
      </c>
      <c r="B15164" t="s">
        <v>20</v>
      </c>
      <c r="C15164" s="1">
        <f>HYPERLINK("https://cao.dolgi.msk.ru/account/1011337359/", 1011337359)</f>
        <v>1011337359</v>
      </c>
      <c r="D15164">
        <v>0</v>
      </c>
    </row>
    <row r="15165" spans="1:4" hidden="1" x14ac:dyDescent="0.3">
      <c r="A15165" t="s">
        <v>971</v>
      </c>
      <c r="B15165" t="s">
        <v>21</v>
      </c>
      <c r="C15165" s="1">
        <f>HYPERLINK("https://cao.dolgi.msk.ru/account/1011337391/", 1011337391)</f>
        <v>1011337391</v>
      </c>
      <c r="D15165">
        <v>0</v>
      </c>
    </row>
    <row r="15166" spans="1:4" hidden="1" x14ac:dyDescent="0.3">
      <c r="A15166" t="s">
        <v>971</v>
      </c>
      <c r="B15166" t="s">
        <v>22</v>
      </c>
      <c r="C15166" s="1">
        <f>HYPERLINK("https://cao.dolgi.msk.ru/account/1011337447/", 1011337447)</f>
        <v>1011337447</v>
      </c>
      <c r="D15166">
        <v>0</v>
      </c>
    </row>
    <row r="15167" spans="1:4" hidden="1" x14ac:dyDescent="0.3">
      <c r="A15167" t="s">
        <v>971</v>
      </c>
      <c r="B15167" t="s">
        <v>22</v>
      </c>
      <c r="C15167" s="1">
        <f>HYPERLINK("https://cao.dolgi.msk.ru/account/1011337551/", 1011337551)</f>
        <v>1011337551</v>
      </c>
      <c r="D15167">
        <v>0</v>
      </c>
    </row>
    <row r="15168" spans="1:4" hidden="1" x14ac:dyDescent="0.3">
      <c r="A15168" t="s">
        <v>971</v>
      </c>
      <c r="B15168" t="s">
        <v>24</v>
      </c>
      <c r="C15168" s="1">
        <f>HYPERLINK("https://cao.dolgi.msk.ru/account/1011336874/", 1011336874)</f>
        <v>1011336874</v>
      </c>
      <c r="D15168">
        <v>-264</v>
      </c>
    </row>
    <row r="15169" spans="1:4" x14ac:dyDescent="0.3">
      <c r="A15169" t="s">
        <v>971</v>
      </c>
      <c r="B15169" t="s">
        <v>25</v>
      </c>
      <c r="C15169" s="1">
        <f>HYPERLINK("https://cao.dolgi.msk.ru/account/1011337316/", 1011337316)</f>
        <v>1011337316</v>
      </c>
      <c r="D15169">
        <v>7574.86</v>
      </c>
    </row>
    <row r="15170" spans="1:4" x14ac:dyDescent="0.3">
      <c r="A15170" t="s">
        <v>971</v>
      </c>
      <c r="B15170" t="s">
        <v>25</v>
      </c>
      <c r="C15170" s="1">
        <f>HYPERLINK("https://cao.dolgi.msk.ru/account/1011337607/", 1011337607)</f>
        <v>1011337607</v>
      </c>
      <c r="D15170">
        <v>107818.28</v>
      </c>
    </row>
    <row r="15171" spans="1:4" hidden="1" x14ac:dyDescent="0.3">
      <c r="A15171" t="s">
        <v>971</v>
      </c>
      <c r="B15171" t="s">
        <v>26</v>
      </c>
      <c r="C15171" s="1">
        <f>HYPERLINK("https://cao.dolgi.msk.ru/account/1011336882/", 1011336882)</f>
        <v>1011336882</v>
      </c>
      <c r="D15171">
        <v>0</v>
      </c>
    </row>
    <row r="15172" spans="1:4" hidden="1" x14ac:dyDescent="0.3">
      <c r="A15172" t="s">
        <v>971</v>
      </c>
      <c r="B15172" t="s">
        <v>27</v>
      </c>
      <c r="C15172" s="1">
        <f>HYPERLINK("https://cao.dolgi.msk.ru/account/1011337738/", 1011337738)</f>
        <v>1011337738</v>
      </c>
      <c r="D15172">
        <v>-11679.21</v>
      </c>
    </row>
    <row r="15173" spans="1:4" x14ac:dyDescent="0.3">
      <c r="A15173" t="s">
        <v>971</v>
      </c>
      <c r="B15173" t="s">
        <v>29</v>
      </c>
      <c r="C15173" s="1">
        <f>HYPERLINK("https://cao.dolgi.msk.ru/account/1011336962/", 1011336962)</f>
        <v>1011336962</v>
      </c>
      <c r="D15173">
        <v>9434.59</v>
      </c>
    </row>
    <row r="15174" spans="1:4" hidden="1" x14ac:dyDescent="0.3">
      <c r="A15174" t="s">
        <v>971</v>
      </c>
      <c r="B15174" t="s">
        <v>38</v>
      </c>
      <c r="C15174" s="1">
        <f>HYPERLINK("https://cao.dolgi.msk.ru/account/1011337148/", 1011337148)</f>
        <v>1011337148</v>
      </c>
      <c r="D15174">
        <v>0</v>
      </c>
    </row>
    <row r="15175" spans="1:4" hidden="1" x14ac:dyDescent="0.3">
      <c r="A15175" t="s">
        <v>971</v>
      </c>
      <c r="B15175" t="s">
        <v>38</v>
      </c>
      <c r="C15175" s="1">
        <f>HYPERLINK("https://cao.dolgi.msk.ru/account/1011337711/", 1011337711)</f>
        <v>1011337711</v>
      </c>
      <c r="D15175">
        <v>0</v>
      </c>
    </row>
    <row r="15176" spans="1:4" hidden="1" x14ac:dyDescent="0.3">
      <c r="A15176" t="s">
        <v>971</v>
      </c>
      <c r="B15176" t="s">
        <v>38</v>
      </c>
      <c r="C15176" s="1">
        <f>HYPERLINK("https://cao.dolgi.msk.ru/account/1011337746/", 1011337746)</f>
        <v>1011337746</v>
      </c>
      <c r="D15176">
        <v>0</v>
      </c>
    </row>
    <row r="15177" spans="1:4" hidden="1" x14ac:dyDescent="0.3">
      <c r="A15177" t="s">
        <v>971</v>
      </c>
      <c r="B15177" t="s">
        <v>39</v>
      </c>
      <c r="C15177" s="1">
        <f>HYPERLINK("https://cao.dolgi.msk.ru/account/1011336938/", 1011336938)</f>
        <v>1011336938</v>
      </c>
      <c r="D15177">
        <v>-14479.36</v>
      </c>
    </row>
    <row r="15178" spans="1:4" hidden="1" x14ac:dyDescent="0.3">
      <c r="A15178" t="s">
        <v>971</v>
      </c>
      <c r="B15178" t="s">
        <v>39</v>
      </c>
      <c r="C15178" s="1">
        <f>HYPERLINK("https://cao.dolgi.msk.ru/account/1011337869/", 1011337869)</f>
        <v>1011337869</v>
      </c>
      <c r="D15178">
        <v>-236.44</v>
      </c>
    </row>
    <row r="15179" spans="1:4" hidden="1" x14ac:dyDescent="0.3">
      <c r="A15179" t="s">
        <v>971</v>
      </c>
      <c r="B15179" t="s">
        <v>40</v>
      </c>
      <c r="C15179" s="1">
        <f>HYPERLINK("https://cao.dolgi.msk.ru/account/1011337236/", 1011337236)</f>
        <v>1011337236</v>
      </c>
      <c r="D15179">
        <v>-9999.75</v>
      </c>
    </row>
    <row r="15180" spans="1:4" hidden="1" x14ac:dyDescent="0.3">
      <c r="A15180" t="s">
        <v>971</v>
      </c>
      <c r="B15180" t="s">
        <v>41</v>
      </c>
      <c r="C15180" s="1">
        <f>HYPERLINK("https://cao.dolgi.msk.ru/account/1011337498/", 1011337498)</f>
        <v>1011337498</v>
      </c>
      <c r="D15180">
        <v>0</v>
      </c>
    </row>
    <row r="15181" spans="1:4" x14ac:dyDescent="0.3">
      <c r="A15181" t="s">
        <v>971</v>
      </c>
      <c r="B15181" t="s">
        <v>51</v>
      </c>
      <c r="C15181" s="1">
        <f>HYPERLINK("https://cao.dolgi.msk.ru/account/1011336903/", 1011336903)</f>
        <v>1011336903</v>
      </c>
      <c r="D15181">
        <v>1251.83</v>
      </c>
    </row>
    <row r="15182" spans="1:4" x14ac:dyDescent="0.3">
      <c r="A15182" t="s">
        <v>971</v>
      </c>
      <c r="B15182" t="s">
        <v>51</v>
      </c>
      <c r="C15182" s="1">
        <f>HYPERLINK("https://cao.dolgi.msk.ru/account/1011337017/", 1011337017)</f>
        <v>1011337017</v>
      </c>
      <c r="D15182">
        <v>2583.65</v>
      </c>
    </row>
    <row r="15183" spans="1:4" hidden="1" x14ac:dyDescent="0.3">
      <c r="A15183" t="s">
        <v>971</v>
      </c>
      <c r="B15183" t="s">
        <v>51</v>
      </c>
      <c r="C15183" s="1">
        <f>HYPERLINK("https://cao.dolgi.msk.ru/account/1011337076/", 1011337076)</f>
        <v>1011337076</v>
      </c>
      <c r="D15183">
        <v>0</v>
      </c>
    </row>
    <row r="15184" spans="1:4" hidden="1" x14ac:dyDescent="0.3">
      <c r="A15184" t="s">
        <v>971</v>
      </c>
      <c r="B15184" t="s">
        <v>52</v>
      </c>
      <c r="C15184" s="1">
        <f>HYPERLINK("https://cao.dolgi.msk.ru/account/1011337324/", 1011337324)</f>
        <v>1011337324</v>
      </c>
      <c r="D15184">
        <v>0</v>
      </c>
    </row>
    <row r="15185" spans="1:4" hidden="1" x14ac:dyDescent="0.3">
      <c r="A15185" t="s">
        <v>971</v>
      </c>
      <c r="B15185" t="s">
        <v>53</v>
      </c>
      <c r="C15185" s="1">
        <f>HYPERLINK("https://cao.dolgi.msk.ru/account/1011337279/", 1011337279)</f>
        <v>1011337279</v>
      </c>
      <c r="D15185">
        <v>0</v>
      </c>
    </row>
    <row r="15186" spans="1:4" hidden="1" x14ac:dyDescent="0.3">
      <c r="A15186" t="s">
        <v>971</v>
      </c>
      <c r="B15186" t="s">
        <v>54</v>
      </c>
      <c r="C15186" s="1">
        <f>HYPERLINK("https://cao.dolgi.msk.ru/account/1011337113/", 1011337113)</f>
        <v>1011337113</v>
      </c>
      <c r="D15186">
        <v>0</v>
      </c>
    </row>
    <row r="15187" spans="1:4" hidden="1" x14ac:dyDescent="0.3">
      <c r="A15187" t="s">
        <v>971</v>
      </c>
      <c r="B15187" t="s">
        <v>55</v>
      </c>
      <c r="C15187" s="1">
        <f>HYPERLINK("https://cao.dolgi.msk.ru/account/1011336989/", 1011336989)</f>
        <v>1011336989</v>
      </c>
      <c r="D15187">
        <v>0</v>
      </c>
    </row>
    <row r="15188" spans="1:4" hidden="1" x14ac:dyDescent="0.3">
      <c r="A15188" t="s">
        <v>971</v>
      </c>
      <c r="B15188" t="s">
        <v>56</v>
      </c>
      <c r="C15188" s="1">
        <f>HYPERLINK("https://cao.dolgi.msk.ru/account/1011514052/", 1011514052)</f>
        <v>1011514052</v>
      </c>
      <c r="D15188">
        <v>-6627.35</v>
      </c>
    </row>
    <row r="15189" spans="1:4" hidden="1" x14ac:dyDescent="0.3">
      <c r="A15189" t="s">
        <v>971</v>
      </c>
      <c r="B15189" t="s">
        <v>87</v>
      </c>
      <c r="C15189" s="1">
        <f>HYPERLINK("https://cao.dolgi.msk.ru/account/1011337885/", 1011337885)</f>
        <v>1011337885</v>
      </c>
      <c r="D15189">
        <v>0</v>
      </c>
    </row>
    <row r="15190" spans="1:4" hidden="1" x14ac:dyDescent="0.3">
      <c r="A15190" t="s">
        <v>971</v>
      </c>
      <c r="B15190" t="s">
        <v>88</v>
      </c>
      <c r="C15190" s="1">
        <f>HYPERLINK("https://cao.dolgi.msk.ru/account/1011337439/", 1011337439)</f>
        <v>1011337439</v>
      </c>
      <c r="D15190">
        <v>0</v>
      </c>
    </row>
    <row r="15191" spans="1:4" hidden="1" x14ac:dyDescent="0.3">
      <c r="A15191" t="s">
        <v>971</v>
      </c>
      <c r="B15191" t="s">
        <v>89</v>
      </c>
      <c r="C15191" s="1">
        <f>HYPERLINK("https://cao.dolgi.msk.ru/account/1011337084/", 1011337084)</f>
        <v>1011337084</v>
      </c>
      <c r="D15191">
        <v>-5184.0600000000004</v>
      </c>
    </row>
    <row r="15192" spans="1:4" x14ac:dyDescent="0.3">
      <c r="A15192" t="s">
        <v>971</v>
      </c>
      <c r="B15192" t="s">
        <v>89</v>
      </c>
      <c r="C15192" s="1">
        <f>HYPERLINK("https://cao.dolgi.msk.ru/account/1011337789/", 1011337789)</f>
        <v>1011337789</v>
      </c>
      <c r="D15192">
        <v>16453.169999999998</v>
      </c>
    </row>
    <row r="15193" spans="1:4" hidden="1" x14ac:dyDescent="0.3">
      <c r="A15193" t="s">
        <v>971</v>
      </c>
      <c r="B15193" t="s">
        <v>89</v>
      </c>
      <c r="C15193" s="1">
        <f>HYPERLINK("https://cao.dolgi.msk.ru/account/1011337906/", 1011337906)</f>
        <v>1011337906</v>
      </c>
      <c r="D15193">
        <v>-10771.2</v>
      </c>
    </row>
    <row r="15194" spans="1:4" x14ac:dyDescent="0.3">
      <c r="A15194" t="s">
        <v>971</v>
      </c>
      <c r="B15194" t="s">
        <v>90</v>
      </c>
      <c r="C15194" s="1">
        <f>HYPERLINK("https://cao.dolgi.msk.ru/account/1011337922/", 1011337922)</f>
        <v>1011337922</v>
      </c>
      <c r="D15194">
        <v>596.64</v>
      </c>
    </row>
    <row r="15195" spans="1:4" hidden="1" x14ac:dyDescent="0.3">
      <c r="A15195" t="s">
        <v>971</v>
      </c>
      <c r="B15195" t="s">
        <v>96</v>
      </c>
      <c r="C15195" s="1">
        <f>HYPERLINK("https://cao.dolgi.msk.ru/account/1011337033/", 1011337033)</f>
        <v>1011337033</v>
      </c>
      <c r="D15195">
        <v>0</v>
      </c>
    </row>
    <row r="15196" spans="1:4" hidden="1" x14ac:dyDescent="0.3">
      <c r="A15196" t="s">
        <v>971</v>
      </c>
      <c r="B15196" t="s">
        <v>97</v>
      </c>
      <c r="C15196" s="1">
        <f>HYPERLINK("https://cao.dolgi.msk.ru/account/1011337025/", 1011337025)</f>
        <v>1011337025</v>
      </c>
      <c r="D15196">
        <v>0</v>
      </c>
    </row>
    <row r="15197" spans="1:4" hidden="1" x14ac:dyDescent="0.3">
      <c r="A15197" t="s">
        <v>971</v>
      </c>
      <c r="B15197" t="s">
        <v>97</v>
      </c>
      <c r="C15197" s="1">
        <f>HYPERLINK("https://cao.dolgi.msk.ru/account/1011337586/", 1011337586)</f>
        <v>1011337586</v>
      </c>
      <c r="D15197">
        <v>0</v>
      </c>
    </row>
    <row r="15198" spans="1:4" hidden="1" x14ac:dyDescent="0.3">
      <c r="A15198" t="s">
        <v>971</v>
      </c>
      <c r="B15198" t="s">
        <v>97</v>
      </c>
      <c r="C15198" s="1">
        <f>HYPERLINK("https://cao.dolgi.msk.ru/account/1011337615/", 1011337615)</f>
        <v>1011337615</v>
      </c>
      <c r="D15198">
        <v>0</v>
      </c>
    </row>
    <row r="15199" spans="1:4" hidden="1" x14ac:dyDescent="0.3">
      <c r="A15199" t="s">
        <v>971</v>
      </c>
      <c r="B15199" t="s">
        <v>98</v>
      </c>
      <c r="C15199" s="1">
        <f>HYPERLINK("https://cao.dolgi.msk.ru/account/1011336911/", 1011336911)</f>
        <v>1011336911</v>
      </c>
      <c r="D15199">
        <v>0</v>
      </c>
    </row>
    <row r="15200" spans="1:4" hidden="1" x14ac:dyDescent="0.3">
      <c r="A15200" t="s">
        <v>971</v>
      </c>
      <c r="B15200" t="s">
        <v>98</v>
      </c>
      <c r="C15200" s="1">
        <f>HYPERLINK("https://cao.dolgi.msk.ru/account/1011337666/", 1011337666)</f>
        <v>1011337666</v>
      </c>
      <c r="D15200">
        <v>-6572.62</v>
      </c>
    </row>
    <row r="15201" spans="1:4" hidden="1" x14ac:dyDescent="0.3">
      <c r="A15201" t="s">
        <v>971</v>
      </c>
      <c r="B15201" t="s">
        <v>98</v>
      </c>
      <c r="C15201" s="1">
        <f>HYPERLINK("https://cao.dolgi.msk.ru/account/1011337818/", 1011337818)</f>
        <v>1011337818</v>
      </c>
      <c r="D15201">
        <v>0</v>
      </c>
    </row>
    <row r="15202" spans="1:4" hidden="1" x14ac:dyDescent="0.3">
      <c r="A15202" t="s">
        <v>971</v>
      </c>
      <c r="B15202" t="s">
        <v>58</v>
      </c>
      <c r="C15202" s="1">
        <f>HYPERLINK("https://cao.dolgi.msk.ru/account/1011337244/", 1011337244)</f>
        <v>1011337244</v>
      </c>
      <c r="D15202">
        <v>-8.27</v>
      </c>
    </row>
    <row r="15203" spans="1:4" hidden="1" x14ac:dyDescent="0.3">
      <c r="A15203" t="s">
        <v>971</v>
      </c>
      <c r="B15203" t="s">
        <v>59</v>
      </c>
      <c r="C15203" s="1">
        <f>HYPERLINK("https://cao.dolgi.msk.ru/account/1011337404/", 1011337404)</f>
        <v>1011337404</v>
      </c>
      <c r="D15203">
        <v>0</v>
      </c>
    </row>
    <row r="15204" spans="1:4" hidden="1" x14ac:dyDescent="0.3">
      <c r="A15204" t="s">
        <v>971</v>
      </c>
      <c r="B15204" t="s">
        <v>60</v>
      </c>
      <c r="C15204" s="1">
        <f>HYPERLINK("https://cao.dolgi.msk.ru/account/1011337463/", 1011337463)</f>
        <v>1011337463</v>
      </c>
      <c r="D15204">
        <v>0</v>
      </c>
    </row>
    <row r="15205" spans="1:4" hidden="1" x14ac:dyDescent="0.3">
      <c r="A15205" t="s">
        <v>971</v>
      </c>
      <c r="B15205" t="s">
        <v>61</v>
      </c>
      <c r="C15205" s="1">
        <f>HYPERLINK("https://cao.dolgi.msk.ru/account/1011337156/", 1011337156)</f>
        <v>1011337156</v>
      </c>
      <c r="D15205">
        <v>0</v>
      </c>
    </row>
    <row r="15206" spans="1:4" hidden="1" x14ac:dyDescent="0.3">
      <c r="A15206" t="s">
        <v>971</v>
      </c>
      <c r="B15206" t="s">
        <v>61</v>
      </c>
      <c r="C15206" s="1">
        <f>HYPERLINK("https://cao.dolgi.msk.ru/account/1011337631/", 1011337631)</f>
        <v>1011337631</v>
      </c>
      <c r="D15206">
        <v>0</v>
      </c>
    </row>
    <row r="15207" spans="1:4" hidden="1" x14ac:dyDescent="0.3">
      <c r="A15207" t="s">
        <v>971</v>
      </c>
      <c r="B15207" t="s">
        <v>62</v>
      </c>
      <c r="C15207" s="1">
        <f>HYPERLINK("https://cao.dolgi.msk.ru/account/1011337164/", 1011337164)</f>
        <v>1011337164</v>
      </c>
      <c r="D15207">
        <v>0</v>
      </c>
    </row>
    <row r="15208" spans="1:4" hidden="1" x14ac:dyDescent="0.3">
      <c r="A15208" t="s">
        <v>971</v>
      </c>
      <c r="B15208" t="s">
        <v>63</v>
      </c>
      <c r="C15208" s="1">
        <f>HYPERLINK("https://cao.dolgi.msk.ru/account/1011337367/", 1011337367)</f>
        <v>1011337367</v>
      </c>
      <c r="D15208">
        <v>0</v>
      </c>
    </row>
    <row r="15209" spans="1:4" x14ac:dyDescent="0.3">
      <c r="A15209" t="s">
        <v>971</v>
      </c>
      <c r="B15209" t="s">
        <v>64</v>
      </c>
      <c r="C15209" s="1">
        <f>HYPERLINK("https://cao.dolgi.msk.ru/account/1011336946/", 1011336946)</f>
        <v>1011336946</v>
      </c>
      <c r="D15209">
        <v>111.71</v>
      </c>
    </row>
    <row r="15210" spans="1:4" hidden="1" x14ac:dyDescent="0.3">
      <c r="A15210" t="s">
        <v>971</v>
      </c>
      <c r="B15210" t="s">
        <v>65</v>
      </c>
      <c r="C15210" s="1">
        <f>HYPERLINK("https://cao.dolgi.msk.ru/account/1011337519/", 1011337519)</f>
        <v>1011337519</v>
      </c>
      <c r="D15210">
        <v>0</v>
      </c>
    </row>
    <row r="15211" spans="1:4" hidden="1" x14ac:dyDescent="0.3">
      <c r="A15211" t="s">
        <v>971</v>
      </c>
      <c r="B15211" t="s">
        <v>65</v>
      </c>
      <c r="C15211" s="1">
        <f>HYPERLINK("https://cao.dolgi.msk.ru/account/1011337658/", 1011337658)</f>
        <v>1011337658</v>
      </c>
      <c r="D15211">
        <v>0</v>
      </c>
    </row>
    <row r="15212" spans="1:4" hidden="1" x14ac:dyDescent="0.3">
      <c r="A15212" t="s">
        <v>971</v>
      </c>
      <c r="B15212" t="s">
        <v>66</v>
      </c>
      <c r="C15212" s="1">
        <f>HYPERLINK("https://cao.dolgi.msk.ru/account/1011337332/", 1011337332)</f>
        <v>1011337332</v>
      </c>
      <c r="D15212">
        <v>0</v>
      </c>
    </row>
    <row r="15213" spans="1:4" x14ac:dyDescent="0.3">
      <c r="A15213" t="s">
        <v>971</v>
      </c>
      <c r="B15213" t="s">
        <v>66</v>
      </c>
      <c r="C15213" s="1">
        <f>HYPERLINK("https://cao.dolgi.msk.ru/account/1011337543/", 1011337543)</f>
        <v>1011337543</v>
      </c>
      <c r="D15213">
        <v>6995.73</v>
      </c>
    </row>
    <row r="15214" spans="1:4" hidden="1" x14ac:dyDescent="0.3">
      <c r="A15214" t="s">
        <v>971</v>
      </c>
      <c r="B15214" t="s">
        <v>66</v>
      </c>
      <c r="C15214" s="1">
        <f>HYPERLINK("https://cao.dolgi.msk.ru/account/1011337826/", 1011337826)</f>
        <v>1011337826</v>
      </c>
      <c r="D15214">
        <v>-4941.7299999999996</v>
      </c>
    </row>
    <row r="15215" spans="1:4" x14ac:dyDescent="0.3">
      <c r="A15215" t="s">
        <v>971</v>
      </c>
      <c r="B15215" t="s">
        <v>67</v>
      </c>
      <c r="C15215" s="1">
        <f>HYPERLINK("https://cao.dolgi.msk.ru/account/1011337172/", 1011337172)</f>
        <v>1011337172</v>
      </c>
      <c r="D15215">
        <v>14214.22</v>
      </c>
    </row>
    <row r="15216" spans="1:4" x14ac:dyDescent="0.3">
      <c r="A15216" t="s">
        <v>971</v>
      </c>
      <c r="B15216" t="s">
        <v>68</v>
      </c>
      <c r="C15216" s="1">
        <f>HYPERLINK("https://cao.dolgi.msk.ru/account/1011337754/", 1011337754)</f>
        <v>1011337754</v>
      </c>
      <c r="D15216">
        <v>286.62</v>
      </c>
    </row>
    <row r="15217" spans="1:4" hidden="1" x14ac:dyDescent="0.3">
      <c r="A15217" t="s">
        <v>971</v>
      </c>
      <c r="B15217" t="s">
        <v>68</v>
      </c>
      <c r="C15217" s="1">
        <f>HYPERLINK("https://cao.dolgi.msk.ru/account/1011337834/", 1011337834)</f>
        <v>1011337834</v>
      </c>
      <c r="D15217">
        <v>0</v>
      </c>
    </row>
    <row r="15218" spans="1:4" x14ac:dyDescent="0.3">
      <c r="A15218" t="s">
        <v>971</v>
      </c>
      <c r="B15218" t="s">
        <v>70</v>
      </c>
      <c r="C15218" s="1">
        <f>HYPERLINK("https://cao.dolgi.msk.ru/account/1011337308/", 1011337308)</f>
        <v>1011337308</v>
      </c>
      <c r="D15218">
        <v>10435.129999999999</v>
      </c>
    </row>
    <row r="15219" spans="1:4" hidden="1" x14ac:dyDescent="0.3">
      <c r="A15219" t="s">
        <v>971</v>
      </c>
      <c r="B15219" t="s">
        <v>70</v>
      </c>
      <c r="C15219" s="1">
        <f>HYPERLINK("https://cao.dolgi.msk.ru/account/1011337455/", 1011337455)</f>
        <v>1011337455</v>
      </c>
      <c r="D15219">
        <v>0</v>
      </c>
    </row>
    <row r="15220" spans="1:4" hidden="1" x14ac:dyDescent="0.3">
      <c r="A15220" t="s">
        <v>972</v>
      </c>
      <c r="B15220" t="s">
        <v>6</v>
      </c>
      <c r="C15220" s="1">
        <f>HYPERLINK("https://cao.dolgi.msk.ru/account/1011417981/", 1011417981)</f>
        <v>1011417981</v>
      </c>
      <c r="D15220">
        <v>0</v>
      </c>
    </row>
    <row r="15221" spans="1:4" hidden="1" x14ac:dyDescent="0.3">
      <c r="A15221" t="s">
        <v>972</v>
      </c>
      <c r="B15221" t="s">
        <v>6</v>
      </c>
      <c r="C15221" s="1">
        <f>HYPERLINK("https://cao.dolgi.msk.ru/account/1011418298/", 1011418298)</f>
        <v>1011418298</v>
      </c>
      <c r="D15221">
        <v>0</v>
      </c>
    </row>
    <row r="15222" spans="1:4" hidden="1" x14ac:dyDescent="0.3">
      <c r="A15222" t="s">
        <v>972</v>
      </c>
      <c r="B15222" t="s">
        <v>6</v>
      </c>
      <c r="C15222" s="1">
        <f>HYPERLINK("https://cao.dolgi.msk.ru/account/1011418407/", 1011418407)</f>
        <v>1011418407</v>
      </c>
      <c r="D15222">
        <v>-144.52000000000001</v>
      </c>
    </row>
    <row r="15223" spans="1:4" x14ac:dyDescent="0.3">
      <c r="A15223" t="s">
        <v>972</v>
      </c>
      <c r="B15223" t="s">
        <v>28</v>
      </c>
      <c r="C15223" s="1">
        <f>HYPERLINK("https://cao.dolgi.msk.ru/account/1011418028/", 1011418028)</f>
        <v>1011418028</v>
      </c>
      <c r="D15223">
        <v>111212.76</v>
      </c>
    </row>
    <row r="15224" spans="1:4" hidden="1" x14ac:dyDescent="0.3">
      <c r="A15224" t="s">
        <v>972</v>
      </c>
      <c r="B15224" t="s">
        <v>28</v>
      </c>
      <c r="C15224" s="1">
        <f>HYPERLINK("https://cao.dolgi.msk.ru/account/1011418511/", 1011418511)</f>
        <v>1011418511</v>
      </c>
      <c r="D15224">
        <v>0</v>
      </c>
    </row>
    <row r="15225" spans="1:4" hidden="1" x14ac:dyDescent="0.3">
      <c r="A15225" t="s">
        <v>972</v>
      </c>
      <c r="B15225" t="s">
        <v>28</v>
      </c>
      <c r="C15225" s="1">
        <f>HYPERLINK("https://cao.dolgi.msk.ru/account/1011418589/", 1011418589)</f>
        <v>1011418589</v>
      </c>
      <c r="D15225">
        <v>0</v>
      </c>
    </row>
    <row r="15226" spans="1:4" hidden="1" x14ac:dyDescent="0.3">
      <c r="A15226" t="s">
        <v>972</v>
      </c>
      <c r="B15226" t="s">
        <v>35</v>
      </c>
      <c r="C15226" s="1">
        <f>HYPERLINK("https://cao.dolgi.msk.ru/account/1011417834/", 1011417834)</f>
        <v>1011417834</v>
      </c>
      <c r="D15226">
        <v>0</v>
      </c>
    </row>
    <row r="15227" spans="1:4" hidden="1" x14ac:dyDescent="0.3">
      <c r="A15227" t="s">
        <v>972</v>
      </c>
      <c r="B15227" t="s">
        <v>35</v>
      </c>
      <c r="C15227" s="1">
        <f>HYPERLINK("https://cao.dolgi.msk.ru/account/1011418079/", 1011418079)</f>
        <v>1011418079</v>
      </c>
      <c r="D15227">
        <v>0</v>
      </c>
    </row>
    <row r="15228" spans="1:4" x14ac:dyDescent="0.3">
      <c r="A15228" t="s">
        <v>972</v>
      </c>
      <c r="B15228" t="s">
        <v>5</v>
      </c>
      <c r="C15228" s="1">
        <f>HYPERLINK("https://cao.dolgi.msk.ru/account/1011417797/", 1011417797)</f>
        <v>1011417797</v>
      </c>
      <c r="D15228">
        <v>6643.86</v>
      </c>
    </row>
    <row r="15229" spans="1:4" hidden="1" x14ac:dyDescent="0.3">
      <c r="A15229" t="s">
        <v>972</v>
      </c>
      <c r="B15229" t="s">
        <v>7</v>
      </c>
      <c r="C15229" s="1">
        <f>HYPERLINK("https://cao.dolgi.msk.ru/account/1011418415/", 1011418415)</f>
        <v>1011418415</v>
      </c>
      <c r="D15229">
        <v>-15157.07</v>
      </c>
    </row>
    <row r="15230" spans="1:4" hidden="1" x14ac:dyDescent="0.3">
      <c r="A15230" t="s">
        <v>972</v>
      </c>
      <c r="B15230" t="s">
        <v>8</v>
      </c>
      <c r="C15230" s="1">
        <f>HYPERLINK("https://cao.dolgi.msk.ru/account/1011418546/", 1011418546)</f>
        <v>1011418546</v>
      </c>
      <c r="D15230">
        <v>-9622.16</v>
      </c>
    </row>
    <row r="15231" spans="1:4" hidden="1" x14ac:dyDescent="0.3">
      <c r="A15231" t="s">
        <v>972</v>
      </c>
      <c r="B15231" t="s">
        <v>31</v>
      </c>
      <c r="C15231" s="1">
        <f>HYPERLINK("https://cao.dolgi.msk.ru/account/1011417818/", 1011417818)</f>
        <v>1011417818</v>
      </c>
      <c r="D15231">
        <v>-3568.04</v>
      </c>
    </row>
    <row r="15232" spans="1:4" hidden="1" x14ac:dyDescent="0.3">
      <c r="A15232" t="s">
        <v>972</v>
      </c>
      <c r="B15232" t="s">
        <v>31</v>
      </c>
      <c r="C15232" s="1">
        <f>HYPERLINK("https://cao.dolgi.msk.ru/account/1011417877/", 1011417877)</f>
        <v>1011417877</v>
      </c>
      <c r="D15232">
        <v>-2914.4</v>
      </c>
    </row>
    <row r="15233" spans="1:4" x14ac:dyDescent="0.3">
      <c r="A15233" t="s">
        <v>972</v>
      </c>
      <c r="B15233" t="s">
        <v>9</v>
      </c>
      <c r="C15233" s="1">
        <f>HYPERLINK("https://cao.dolgi.msk.ru/account/1011417914/", 1011417914)</f>
        <v>1011417914</v>
      </c>
      <c r="D15233">
        <v>86681.59</v>
      </c>
    </row>
    <row r="15234" spans="1:4" hidden="1" x14ac:dyDescent="0.3">
      <c r="A15234" t="s">
        <v>972</v>
      </c>
      <c r="B15234" t="s">
        <v>9</v>
      </c>
      <c r="C15234" s="1">
        <f>HYPERLINK("https://cao.dolgi.msk.ru/account/1011418378/", 1011418378)</f>
        <v>1011418378</v>
      </c>
      <c r="D15234">
        <v>-22379.29</v>
      </c>
    </row>
    <row r="15235" spans="1:4" hidden="1" x14ac:dyDescent="0.3">
      <c r="A15235" t="s">
        <v>972</v>
      </c>
      <c r="B15235" t="s">
        <v>9</v>
      </c>
      <c r="C15235" s="1">
        <f>HYPERLINK("https://cao.dolgi.msk.ru/account/1011418685/", 1011418685)</f>
        <v>1011418685</v>
      </c>
      <c r="D15235">
        <v>-85.3</v>
      </c>
    </row>
    <row r="15236" spans="1:4" x14ac:dyDescent="0.3">
      <c r="A15236" t="s">
        <v>972</v>
      </c>
      <c r="B15236" t="s">
        <v>10</v>
      </c>
      <c r="C15236" s="1">
        <f>HYPERLINK("https://cao.dolgi.msk.ru/account/1011418204/", 1011418204)</f>
        <v>1011418204</v>
      </c>
      <c r="D15236">
        <v>27426.18</v>
      </c>
    </row>
    <row r="15237" spans="1:4" x14ac:dyDescent="0.3">
      <c r="A15237" t="s">
        <v>972</v>
      </c>
      <c r="B15237" t="s">
        <v>11</v>
      </c>
      <c r="C15237" s="1">
        <f>HYPERLINK("https://cao.dolgi.msk.ru/account/1011417842/", 1011417842)</f>
        <v>1011417842</v>
      </c>
      <c r="D15237">
        <v>8031.45</v>
      </c>
    </row>
    <row r="15238" spans="1:4" x14ac:dyDescent="0.3">
      <c r="A15238" t="s">
        <v>972</v>
      </c>
      <c r="B15238" t="s">
        <v>11</v>
      </c>
      <c r="C15238" s="1">
        <f>HYPERLINK("https://cao.dolgi.msk.ru/account/1011418554/", 1011418554)</f>
        <v>1011418554</v>
      </c>
      <c r="D15238">
        <v>35498.959999999999</v>
      </c>
    </row>
    <row r="15239" spans="1:4" x14ac:dyDescent="0.3">
      <c r="A15239" t="s">
        <v>972</v>
      </c>
      <c r="B15239" t="s">
        <v>23</v>
      </c>
      <c r="C15239" s="1">
        <f>HYPERLINK("https://cao.dolgi.msk.ru/account/1011418693/", 1011418693)</f>
        <v>1011418693</v>
      </c>
      <c r="D15239">
        <v>8596.93</v>
      </c>
    </row>
    <row r="15240" spans="1:4" x14ac:dyDescent="0.3">
      <c r="A15240" t="s">
        <v>972</v>
      </c>
      <c r="B15240" t="s">
        <v>13</v>
      </c>
      <c r="C15240" s="1">
        <f>HYPERLINK("https://cao.dolgi.msk.ru/account/1011417906/", 1011417906)</f>
        <v>1011417906</v>
      </c>
      <c r="D15240">
        <v>3899.44</v>
      </c>
    </row>
    <row r="15241" spans="1:4" x14ac:dyDescent="0.3">
      <c r="A15241" t="s">
        <v>972</v>
      </c>
      <c r="B15241" t="s">
        <v>14</v>
      </c>
      <c r="C15241" s="1">
        <f>HYPERLINK("https://cao.dolgi.msk.ru/account/1011418212/", 1011418212)</f>
        <v>1011418212</v>
      </c>
      <c r="D15241">
        <v>6764.82</v>
      </c>
    </row>
    <row r="15242" spans="1:4" hidden="1" x14ac:dyDescent="0.3">
      <c r="A15242" t="s">
        <v>972</v>
      </c>
      <c r="B15242" t="s">
        <v>16</v>
      </c>
      <c r="C15242" s="1">
        <f>HYPERLINK("https://cao.dolgi.msk.ru/account/1011418239/", 1011418239)</f>
        <v>1011418239</v>
      </c>
      <c r="D15242">
        <v>0</v>
      </c>
    </row>
    <row r="15243" spans="1:4" hidden="1" x14ac:dyDescent="0.3">
      <c r="A15243" t="s">
        <v>972</v>
      </c>
      <c r="B15243" t="s">
        <v>17</v>
      </c>
      <c r="C15243" s="1">
        <f>HYPERLINK("https://cao.dolgi.msk.ru/account/1011418618/", 1011418618)</f>
        <v>1011418618</v>
      </c>
      <c r="D15243">
        <v>0</v>
      </c>
    </row>
    <row r="15244" spans="1:4" hidden="1" x14ac:dyDescent="0.3">
      <c r="A15244" t="s">
        <v>972</v>
      </c>
      <c r="B15244" t="s">
        <v>18</v>
      </c>
      <c r="C15244" s="1">
        <f>HYPERLINK("https://cao.dolgi.msk.ru/account/1011418319/", 1011418319)</f>
        <v>1011418319</v>
      </c>
      <c r="D15244">
        <v>-4252.29</v>
      </c>
    </row>
    <row r="15245" spans="1:4" hidden="1" x14ac:dyDescent="0.3">
      <c r="A15245" t="s">
        <v>972</v>
      </c>
      <c r="B15245" t="s">
        <v>19</v>
      </c>
      <c r="C15245" s="1">
        <f>HYPERLINK("https://cao.dolgi.msk.ru/account/1011418271/", 1011418271)</f>
        <v>1011418271</v>
      </c>
      <c r="D15245">
        <v>-302.14</v>
      </c>
    </row>
    <row r="15246" spans="1:4" hidden="1" x14ac:dyDescent="0.3">
      <c r="A15246" t="s">
        <v>972</v>
      </c>
      <c r="B15246" t="s">
        <v>20</v>
      </c>
      <c r="C15246" s="1">
        <f>HYPERLINK("https://cao.dolgi.msk.ru/account/1011418036/", 1011418036)</f>
        <v>1011418036</v>
      </c>
      <c r="D15246">
        <v>-5897.46</v>
      </c>
    </row>
    <row r="15247" spans="1:4" hidden="1" x14ac:dyDescent="0.3">
      <c r="A15247" t="s">
        <v>972</v>
      </c>
      <c r="B15247" t="s">
        <v>21</v>
      </c>
      <c r="C15247" s="1">
        <f>HYPERLINK("https://cao.dolgi.msk.ru/account/1011418706/", 1011418706)</f>
        <v>1011418706</v>
      </c>
      <c r="D15247">
        <v>-2623.72</v>
      </c>
    </row>
    <row r="15248" spans="1:4" hidden="1" x14ac:dyDescent="0.3">
      <c r="A15248" t="s">
        <v>972</v>
      </c>
      <c r="B15248" t="s">
        <v>22</v>
      </c>
      <c r="C15248" s="1">
        <f>HYPERLINK("https://cao.dolgi.msk.ru/account/1011417949/", 1011417949)</f>
        <v>1011417949</v>
      </c>
      <c r="D15248">
        <v>-4201.34</v>
      </c>
    </row>
    <row r="15249" spans="1:4" hidden="1" x14ac:dyDescent="0.3">
      <c r="A15249" t="s">
        <v>972</v>
      </c>
      <c r="B15249" t="s">
        <v>24</v>
      </c>
      <c r="C15249" s="1">
        <f>HYPERLINK("https://cao.dolgi.msk.ru/account/1011418132/", 1011418132)</f>
        <v>1011418132</v>
      </c>
      <c r="D15249">
        <v>-3973.63</v>
      </c>
    </row>
    <row r="15250" spans="1:4" hidden="1" x14ac:dyDescent="0.3">
      <c r="A15250" t="s">
        <v>972</v>
      </c>
      <c r="B15250" t="s">
        <v>25</v>
      </c>
      <c r="C15250" s="1">
        <f>HYPERLINK("https://cao.dolgi.msk.ru/account/1011418116/", 1011418116)</f>
        <v>1011418116</v>
      </c>
      <c r="D15250">
        <v>0</v>
      </c>
    </row>
    <row r="15251" spans="1:4" hidden="1" x14ac:dyDescent="0.3">
      <c r="A15251" t="s">
        <v>972</v>
      </c>
      <c r="B15251" t="s">
        <v>26</v>
      </c>
      <c r="C15251" s="1">
        <f>HYPERLINK("https://cao.dolgi.msk.ru/account/1011417869/", 1011417869)</f>
        <v>1011417869</v>
      </c>
      <c r="D15251">
        <v>-209.95</v>
      </c>
    </row>
    <row r="15252" spans="1:4" hidden="1" x14ac:dyDescent="0.3">
      <c r="A15252" t="s">
        <v>972</v>
      </c>
      <c r="B15252" t="s">
        <v>27</v>
      </c>
      <c r="C15252" s="1">
        <f>HYPERLINK("https://cao.dolgi.msk.ru/account/1011418423/", 1011418423)</f>
        <v>1011418423</v>
      </c>
      <c r="D15252">
        <v>-1209.67</v>
      </c>
    </row>
    <row r="15253" spans="1:4" x14ac:dyDescent="0.3">
      <c r="A15253" t="s">
        <v>972</v>
      </c>
      <c r="B15253" t="s">
        <v>29</v>
      </c>
      <c r="C15253" s="1">
        <f>HYPERLINK("https://cao.dolgi.msk.ru/account/1011418634/", 1011418634)</f>
        <v>1011418634</v>
      </c>
      <c r="D15253">
        <v>8288.83</v>
      </c>
    </row>
    <row r="15254" spans="1:4" hidden="1" x14ac:dyDescent="0.3">
      <c r="A15254" t="s">
        <v>972</v>
      </c>
      <c r="B15254" t="s">
        <v>38</v>
      </c>
      <c r="C15254" s="1">
        <f>HYPERLINK("https://cao.dolgi.msk.ru/account/1011418001/", 1011418001)</f>
        <v>1011418001</v>
      </c>
      <c r="D15254">
        <v>-193.57</v>
      </c>
    </row>
    <row r="15255" spans="1:4" hidden="1" x14ac:dyDescent="0.3">
      <c r="A15255" t="s">
        <v>972</v>
      </c>
      <c r="B15255" t="s">
        <v>39</v>
      </c>
      <c r="C15255" s="1">
        <f>HYPERLINK("https://cao.dolgi.msk.ru/account/1011418167/", 1011418167)</f>
        <v>1011418167</v>
      </c>
      <c r="D15255">
        <v>-2424.89</v>
      </c>
    </row>
    <row r="15256" spans="1:4" hidden="1" x14ac:dyDescent="0.3">
      <c r="A15256" t="s">
        <v>972</v>
      </c>
      <c r="B15256" t="s">
        <v>40</v>
      </c>
      <c r="C15256" s="1">
        <f>HYPERLINK("https://cao.dolgi.msk.ru/account/1011418431/", 1011418431)</f>
        <v>1011418431</v>
      </c>
      <c r="D15256">
        <v>0</v>
      </c>
    </row>
    <row r="15257" spans="1:4" hidden="1" x14ac:dyDescent="0.3">
      <c r="A15257" t="s">
        <v>972</v>
      </c>
      <c r="B15257" t="s">
        <v>41</v>
      </c>
      <c r="C15257" s="1">
        <f>HYPERLINK("https://cao.dolgi.msk.ru/account/1011417789/", 1011417789)</f>
        <v>1011417789</v>
      </c>
      <c r="D15257">
        <v>0</v>
      </c>
    </row>
    <row r="15258" spans="1:4" hidden="1" x14ac:dyDescent="0.3">
      <c r="A15258" t="s">
        <v>972</v>
      </c>
      <c r="B15258" t="s">
        <v>51</v>
      </c>
      <c r="C15258" s="1">
        <f>HYPERLINK("https://cao.dolgi.msk.ru/account/1011418386/", 1011418386)</f>
        <v>1011418386</v>
      </c>
      <c r="D15258">
        <v>-10874.95</v>
      </c>
    </row>
    <row r="15259" spans="1:4" hidden="1" x14ac:dyDescent="0.3">
      <c r="A15259" t="s">
        <v>972</v>
      </c>
      <c r="B15259" t="s">
        <v>52</v>
      </c>
      <c r="C15259" s="1">
        <f>HYPERLINK("https://cao.dolgi.msk.ru/account/1011418159/", 1011418159)</f>
        <v>1011418159</v>
      </c>
      <c r="D15259">
        <v>-7896.37</v>
      </c>
    </row>
    <row r="15260" spans="1:4" hidden="1" x14ac:dyDescent="0.3">
      <c r="A15260" t="s">
        <v>972</v>
      </c>
      <c r="B15260" t="s">
        <v>52</v>
      </c>
      <c r="C15260" s="1">
        <f>HYPERLINK("https://cao.dolgi.msk.ru/account/1011418175/", 1011418175)</f>
        <v>1011418175</v>
      </c>
      <c r="D15260">
        <v>-2041.86</v>
      </c>
    </row>
    <row r="15261" spans="1:4" hidden="1" x14ac:dyDescent="0.3">
      <c r="A15261" t="s">
        <v>972</v>
      </c>
      <c r="B15261" t="s">
        <v>53</v>
      </c>
      <c r="C15261" s="1">
        <f>HYPERLINK("https://cao.dolgi.msk.ru/account/1011418087/", 1011418087)</f>
        <v>1011418087</v>
      </c>
      <c r="D15261">
        <v>0</v>
      </c>
    </row>
    <row r="15262" spans="1:4" hidden="1" x14ac:dyDescent="0.3">
      <c r="A15262" t="s">
        <v>972</v>
      </c>
      <c r="B15262" t="s">
        <v>53</v>
      </c>
      <c r="C15262" s="1">
        <f>HYPERLINK("https://cao.dolgi.msk.ru/account/1011418327/", 1011418327)</f>
        <v>1011418327</v>
      </c>
      <c r="D15262">
        <v>0</v>
      </c>
    </row>
    <row r="15263" spans="1:4" hidden="1" x14ac:dyDescent="0.3">
      <c r="A15263" t="s">
        <v>972</v>
      </c>
      <c r="B15263" t="s">
        <v>53</v>
      </c>
      <c r="C15263" s="1">
        <f>HYPERLINK("https://cao.dolgi.msk.ru/account/1011418765/", 1011418765)</f>
        <v>1011418765</v>
      </c>
      <c r="D15263">
        <v>0</v>
      </c>
    </row>
    <row r="15264" spans="1:4" hidden="1" x14ac:dyDescent="0.3">
      <c r="A15264" t="s">
        <v>972</v>
      </c>
      <c r="B15264" t="s">
        <v>54</v>
      </c>
      <c r="C15264" s="1">
        <f>HYPERLINK("https://cao.dolgi.msk.ru/account/1011417957/", 1011417957)</f>
        <v>1011417957</v>
      </c>
      <c r="D15264">
        <v>0</v>
      </c>
    </row>
    <row r="15265" spans="1:4" hidden="1" x14ac:dyDescent="0.3">
      <c r="A15265" t="s">
        <v>972</v>
      </c>
      <c r="B15265" t="s">
        <v>55</v>
      </c>
      <c r="C15265" s="1">
        <f>HYPERLINK("https://cao.dolgi.msk.ru/account/1011417826/", 1011417826)</f>
        <v>1011417826</v>
      </c>
      <c r="D15265">
        <v>-3982.48</v>
      </c>
    </row>
    <row r="15266" spans="1:4" hidden="1" x14ac:dyDescent="0.3">
      <c r="A15266" t="s">
        <v>972</v>
      </c>
      <c r="B15266" t="s">
        <v>55</v>
      </c>
      <c r="C15266" s="1">
        <f>HYPERLINK("https://cao.dolgi.msk.ru/account/1011417922/", 1011417922)</f>
        <v>1011417922</v>
      </c>
      <c r="D15266">
        <v>-283.44</v>
      </c>
    </row>
    <row r="15267" spans="1:4" x14ac:dyDescent="0.3">
      <c r="A15267" t="s">
        <v>972</v>
      </c>
      <c r="B15267" t="s">
        <v>55</v>
      </c>
      <c r="C15267" s="1">
        <f>HYPERLINK("https://cao.dolgi.msk.ru/account/1011418474/", 1011418474)</f>
        <v>1011418474</v>
      </c>
      <c r="D15267">
        <v>3602.45</v>
      </c>
    </row>
    <row r="15268" spans="1:4" hidden="1" x14ac:dyDescent="0.3">
      <c r="A15268" t="s">
        <v>972</v>
      </c>
      <c r="B15268" t="s">
        <v>55</v>
      </c>
      <c r="C15268" s="1">
        <f>HYPERLINK("https://cao.dolgi.msk.ru/account/1011418626/", 1011418626)</f>
        <v>1011418626</v>
      </c>
      <c r="D15268">
        <v>-283.44</v>
      </c>
    </row>
    <row r="15269" spans="1:4" hidden="1" x14ac:dyDescent="0.3">
      <c r="A15269" t="s">
        <v>972</v>
      </c>
      <c r="B15269" t="s">
        <v>55</v>
      </c>
      <c r="C15269" s="1">
        <f>HYPERLINK("https://cao.dolgi.msk.ru/account/1011418669/", 1011418669)</f>
        <v>1011418669</v>
      </c>
      <c r="D15269">
        <v>-2967.67</v>
      </c>
    </row>
    <row r="15270" spans="1:4" hidden="1" x14ac:dyDescent="0.3">
      <c r="A15270" t="s">
        <v>972</v>
      </c>
      <c r="B15270" t="s">
        <v>56</v>
      </c>
      <c r="C15270" s="1">
        <f>HYPERLINK("https://cao.dolgi.msk.ru/account/1011418458/", 1011418458)</f>
        <v>1011418458</v>
      </c>
      <c r="D15270">
        <v>-20.38</v>
      </c>
    </row>
    <row r="15271" spans="1:4" x14ac:dyDescent="0.3">
      <c r="A15271" t="s">
        <v>972</v>
      </c>
      <c r="B15271" t="s">
        <v>87</v>
      </c>
      <c r="C15271" s="1">
        <f>HYPERLINK("https://cao.dolgi.msk.ru/account/1011418677/", 1011418677)</f>
        <v>1011418677</v>
      </c>
      <c r="D15271">
        <v>3854.95</v>
      </c>
    </row>
    <row r="15272" spans="1:4" hidden="1" x14ac:dyDescent="0.3">
      <c r="A15272" t="s">
        <v>972</v>
      </c>
      <c r="B15272" t="s">
        <v>88</v>
      </c>
      <c r="C15272" s="1">
        <f>HYPERLINK("https://cao.dolgi.msk.ru/account/1011418052/", 1011418052)</f>
        <v>1011418052</v>
      </c>
      <c r="D15272">
        <v>0</v>
      </c>
    </row>
    <row r="15273" spans="1:4" hidden="1" x14ac:dyDescent="0.3">
      <c r="A15273" t="s">
        <v>972</v>
      </c>
      <c r="B15273" t="s">
        <v>88</v>
      </c>
      <c r="C15273" s="1">
        <f>HYPERLINK("https://cao.dolgi.msk.ru/account/1011418722/", 1011418722)</f>
        <v>1011418722</v>
      </c>
      <c r="D15273">
        <v>-5210.58</v>
      </c>
    </row>
    <row r="15274" spans="1:4" hidden="1" x14ac:dyDescent="0.3">
      <c r="A15274" t="s">
        <v>972</v>
      </c>
      <c r="B15274" t="s">
        <v>89</v>
      </c>
      <c r="C15274" s="1">
        <f>HYPERLINK("https://cao.dolgi.msk.ru/account/1011418538/", 1011418538)</f>
        <v>1011418538</v>
      </c>
      <c r="D15274">
        <v>-285.39999999999998</v>
      </c>
    </row>
    <row r="15275" spans="1:4" hidden="1" x14ac:dyDescent="0.3">
      <c r="A15275" t="s">
        <v>972</v>
      </c>
      <c r="B15275" t="s">
        <v>90</v>
      </c>
      <c r="C15275" s="1">
        <f>HYPERLINK("https://cao.dolgi.msk.ru/account/1011418597/", 1011418597)</f>
        <v>1011418597</v>
      </c>
      <c r="D15275">
        <v>0</v>
      </c>
    </row>
    <row r="15276" spans="1:4" hidden="1" x14ac:dyDescent="0.3">
      <c r="A15276" t="s">
        <v>972</v>
      </c>
      <c r="B15276" t="s">
        <v>96</v>
      </c>
      <c r="C15276" s="1">
        <f>HYPERLINK("https://cao.dolgi.msk.ru/account/1011418343/", 1011418343)</f>
        <v>1011418343</v>
      </c>
      <c r="D15276">
        <v>-109.08</v>
      </c>
    </row>
    <row r="15277" spans="1:4" x14ac:dyDescent="0.3">
      <c r="A15277" t="s">
        <v>972</v>
      </c>
      <c r="B15277" t="s">
        <v>97</v>
      </c>
      <c r="C15277" s="1">
        <f>HYPERLINK("https://cao.dolgi.msk.ru/account/1011417762/", 1011417762)</f>
        <v>1011417762</v>
      </c>
      <c r="D15277">
        <v>41622.879999999997</v>
      </c>
    </row>
    <row r="15278" spans="1:4" x14ac:dyDescent="0.3">
      <c r="A15278" t="s">
        <v>972</v>
      </c>
      <c r="B15278" t="s">
        <v>97</v>
      </c>
      <c r="C15278" s="1">
        <f>HYPERLINK("https://cao.dolgi.msk.ru/account/1011418044/", 1011418044)</f>
        <v>1011418044</v>
      </c>
      <c r="D15278">
        <v>25593.34</v>
      </c>
    </row>
    <row r="15279" spans="1:4" hidden="1" x14ac:dyDescent="0.3">
      <c r="A15279" t="s">
        <v>972</v>
      </c>
      <c r="B15279" t="s">
        <v>98</v>
      </c>
      <c r="C15279" s="1">
        <f>HYPERLINK("https://cao.dolgi.msk.ru/account/1011417885/", 1011417885)</f>
        <v>1011417885</v>
      </c>
      <c r="D15279">
        <v>0</v>
      </c>
    </row>
    <row r="15280" spans="1:4" hidden="1" x14ac:dyDescent="0.3">
      <c r="A15280" t="s">
        <v>972</v>
      </c>
      <c r="B15280" t="s">
        <v>98</v>
      </c>
      <c r="C15280" s="1">
        <f>HYPERLINK("https://cao.dolgi.msk.ru/account/1011418095/", 1011418095)</f>
        <v>1011418095</v>
      </c>
      <c r="D15280">
        <v>0</v>
      </c>
    </row>
    <row r="15281" spans="1:4" hidden="1" x14ac:dyDescent="0.3">
      <c r="A15281" t="s">
        <v>972</v>
      </c>
      <c r="B15281" t="s">
        <v>58</v>
      </c>
      <c r="C15281" s="1">
        <f>HYPERLINK("https://cao.dolgi.msk.ru/account/1011418749/", 1011418749)</f>
        <v>1011418749</v>
      </c>
      <c r="D15281">
        <v>0</v>
      </c>
    </row>
    <row r="15282" spans="1:4" hidden="1" x14ac:dyDescent="0.3">
      <c r="A15282" t="s">
        <v>972</v>
      </c>
      <c r="B15282" t="s">
        <v>58</v>
      </c>
      <c r="C15282" s="1">
        <f>HYPERLINK("https://cao.dolgi.msk.ru/account/1011506239/", 1011506239)</f>
        <v>1011506239</v>
      </c>
      <c r="D15282">
        <v>-3184.77</v>
      </c>
    </row>
    <row r="15283" spans="1:4" hidden="1" x14ac:dyDescent="0.3">
      <c r="A15283" t="s">
        <v>972</v>
      </c>
      <c r="B15283" t="s">
        <v>59</v>
      </c>
      <c r="C15283" s="1">
        <f>HYPERLINK("https://cao.dolgi.msk.ru/account/1011417965/", 1011417965)</f>
        <v>1011417965</v>
      </c>
      <c r="D15283">
        <v>0</v>
      </c>
    </row>
    <row r="15284" spans="1:4" x14ac:dyDescent="0.3">
      <c r="A15284" t="s">
        <v>972</v>
      </c>
      <c r="B15284" t="s">
        <v>59</v>
      </c>
      <c r="C15284" s="1">
        <f>HYPERLINK("https://cao.dolgi.msk.ru/account/1011418351/", 1011418351)</f>
        <v>1011418351</v>
      </c>
      <c r="D15284">
        <v>6364.31</v>
      </c>
    </row>
    <row r="15285" spans="1:4" x14ac:dyDescent="0.3">
      <c r="A15285" t="s">
        <v>972</v>
      </c>
      <c r="B15285" t="s">
        <v>59</v>
      </c>
      <c r="C15285" s="1">
        <f>HYPERLINK("https://cao.dolgi.msk.ru/account/1011418482/", 1011418482)</f>
        <v>1011418482</v>
      </c>
      <c r="D15285">
        <v>80620.320000000007</v>
      </c>
    </row>
    <row r="15286" spans="1:4" x14ac:dyDescent="0.3">
      <c r="A15286" t="s">
        <v>972</v>
      </c>
      <c r="B15286" t="s">
        <v>60</v>
      </c>
      <c r="C15286" s="1">
        <f>HYPERLINK("https://cao.dolgi.msk.ru/account/1011418263/", 1011418263)</f>
        <v>1011418263</v>
      </c>
      <c r="D15286">
        <v>43754.82</v>
      </c>
    </row>
    <row r="15287" spans="1:4" x14ac:dyDescent="0.3">
      <c r="A15287" t="s">
        <v>972</v>
      </c>
      <c r="B15287" t="s">
        <v>60</v>
      </c>
      <c r="C15287" s="1">
        <f>HYPERLINK("https://cao.dolgi.msk.ru/account/1011418466/", 1011418466)</f>
        <v>1011418466</v>
      </c>
      <c r="D15287">
        <v>146004.18</v>
      </c>
    </row>
    <row r="15288" spans="1:4" x14ac:dyDescent="0.3">
      <c r="A15288" t="s">
        <v>972</v>
      </c>
      <c r="B15288" t="s">
        <v>60</v>
      </c>
      <c r="C15288" s="1">
        <f>HYPERLINK("https://cao.dolgi.msk.ru/account/1011418562/", 1011418562)</f>
        <v>1011418562</v>
      </c>
      <c r="D15288">
        <v>127964.76</v>
      </c>
    </row>
    <row r="15289" spans="1:4" x14ac:dyDescent="0.3">
      <c r="A15289" t="s">
        <v>972</v>
      </c>
      <c r="B15289" t="s">
        <v>61</v>
      </c>
      <c r="C15289" s="1">
        <f>HYPERLINK("https://cao.dolgi.msk.ru/account/1011418757/", 1011418757)</f>
        <v>1011418757</v>
      </c>
      <c r="D15289">
        <v>57473.7</v>
      </c>
    </row>
    <row r="15290" spans="1:4" hidden="1" x14ac:dyDescent="0.3">
      <c r="A15290" t="s">
        <v>972</v>
      </c>
      <c r="B15290" t="s">
        <v>62</v>
      </c>
      <c r="C15290" s="1">
        <f>HYPERLINK("https://cao.dolgi.msk.ru/account/1011417973/", 1011417973)</f>
        <v>1011417973</v>
      </c>
      <c r="D15290">
        <v>0</v>
      </c>
    </row>
    <row r="15291" spans="1:4" hidden="1" x14ac:dyDescent="0.3">
      <c r="A15291" t="s">
        <v>972</v>
      </c>
      <c r="B15291" t="s">
        <v>62</v>
      </c>
      <c r="C15291" s="1">
        <f>HYPERLINK("https://cao.dolgi.msk.ru/account/1011418642/", 1011418642)</f>
        <v>1011418642</v>
      </c>
      <c r="D15291">
        <v>-539.78</v>
      </c>
    </row>
    <row r="15292" spans="1:4" hidden="1" x14ac:dyDescent="0.3">
      <c r="A15292" t="s">
        <v>972</v>
      </c>
      <c r="B15292" t="s">
        <v>63</v>
      </c>
      <c r="C15292" s="1">
        <f>HYPERLINK("https://cao.dolgi.msk.ru/account/1011418247/", 1011418247)</f>
        <v>1011418247</v>
      </c>
      <c r="D15292">
        <v>0</v>
      </c>
    </row>
    <row r="15293" spans="1:4" hidden="1" x14ac:dyDescent="0.3">
      <c r="A15293" t="s">
        <v>972</v>
      </c>
      <c r="B15293" t="s">
        <v>64</v>
      </c>
      <c r="C15293" s="1">
        <f>HYPERLINK("https://cao.dolgi.msk.ru/account/1011418394/", 1011418394)</f>
        <v>1011418394</v>
      </c>
      <c r="D15293">
        <v>-8411.4599999999991</v>
      </c>
    </row>
    <row r="15294" spans="1:4" x14ac:dyDescent="0.3">
      <c r="A15294" t="s">
        <v>972</v>
      </c>
      <c r="B15294" t="s">
        <v>65</v>
      </c>
      <c r="C15294" s="1">
        <f>HYPERLINK("https://cao.dolgi.msk.ru/account/1011417893/", 1011417893)</f>
        <v>1011417893</v>
      </c>
      <c r="D15294">
        <v>123415.5</v>
      </c>
    </row>
    <row r="15295" spans="1:4" hidden="1" x14ac:dyDescent="0.3">
      <c r="A15295" t="s">
        <v>972</v>
      </c>
      <c r="B15295" t="s">
        <v>65</v>
      </c>
      <c r="C15295" s="1">
        <f>HYPERLINK("https://cao.dolgi.msk.ru/account/1011526897/", 1011526897)</f>
        <v>1011526897</v>
      </c>
      <c r="D15295">
        <v>0</v>
      </c>
    </row>
    <row r="15296" spans="1:4" x14ac:dyDescent="0.3">
      <c r="A15296" t="s">
        <v>972</v>
      </c>
      <c r="B15296" t="s">
        <v>65</v>
      </c>
      <c r="C15296" s="1">
        <f>HYPERLINK("https://cao.dolgi.msk.ru/account/1011527064/", 1011527064)</f>
        <v>1011527064</v>
      </c>
      <c r="D15296">
        <v>47774.77</v>
      </c>
    </row>
    <row r="15297" spans="1:4" x14ac:dyDescent="0.3">
      <c r="A15297" t="s">
        <v>972</v>
      </c>
      <c r="B15297" t="s">
        <v>66</v>
      </c>
      <c r="C15297" s="1">
        <f>HYPERLINK("https://cao.dolgi.msk.ru/account/1011418335/", 1011418335)</f>
        <v>1011418335</v>
      </c>
      <c r="D15297">
        <v>86670.69</v>
      </c>
    </row>
    <row r="15298" spans="1:4" x14ac:dyDescent="0.3">
      <c r="A15298" t="s">
        <v>972</v>
      </c>
      <c r="B15298" t="s">
        <v>66</v>
      </c>
      <c r="C15298" s="1">
        <f>HYPERLINK("https://cao.dolgi.msk.ru/account/1011418714/", 1011418714)</f>
        <v>1011418714</v>
      </c>
      <c r="D15298">
        <v>15015.71</v>
      </c>
    </row>
    <row r="15299" spans="1:4" hidden="1" x14ac:dyDescent="0.3">
      <c r="A15299" t="s">
        <v>972</v>
      </c>
      <c r="B15299" t="s">
        <v>67</v>
      </c>
      <c r="C15299" s="1">
        <f>HYPERLINK("https://cao.dolgi.msk.ru/account/1011418124/", 1011418124)</f>
        <v>1011418124</v>
      </c>
      <c r="D15299">
        <v>0</v>
      </c>
    </row>
    <row r="15300" spans="1:4" hidden="1" x14ac:dyDescent="0.3">
      <c r="A15300" t="s">
        <v>972</v>
      </c>
      <c r="B15300" t="s">
        <v>67</v>
      </c>
      <c r="C15300" s="1">
        <f>HYPERLINK("https://cao.dolgi.msk.ru/account/1011418255/", 1011418255)</f>
        <v>1011418255</v>
      </c>
      <c r="D15300">
        <v>-12544.02</v>
      </c>
    </row>
    <row r="15301" spans="1:4" hidden="1" x14ac:dyDescent="0.3">
      <c r="A15301" t="s">
        <v>972</v>
      </c>
      <c r="B15301" t="s">
        <v>68</v>
      </c>
      <c r="C15301" s="1">
        <f>HYPERLINK("https://cao.dolgi.msk.ru/account/1011418108/", 1011418108)</f>
        <v>1011418108</v>
      </c>
      <c r="D15301">
        <v>0</v>
      </c>
    </row>
    <row r="15302" spans="1:4" hidden="1" x14ac:dyDescent="0.3">
      <c r="A15302" t="s">
        <v>972</v>
      </c>
      <c r="B15302" t="s">
        <v>69</v>
      </c>
      <c r="C15302" s="1">
        <f>HYPERLINK("https://cao.dolgi.msk.ru/account/1011418183/", 1011418183)</f>
        <v>1011418183</v>
      </c>
      <c r="D15302">
        <v>-5262.1</v>
      </c>
    </row>
    <row r="15303" spans="1:4" x14ac:dyDescent="0.3">
      <c r="A15303" t="s">
        <v>973</v>
      </c>
      <c r="B15303" t="s">
        <v>6</v>
      </c>
      <c r="C15303" s="1">
        <f>HYPERLINK("https://cao.dolgi.msk.ru/account/1011507549/", 1011507549)</f>
        <v>1011507549</v>
      </c>
      <c r="D15303">
        <v>8012.39</v>
      </c>
    </row>
    <row r="15304" spans="1:4" hidden="1" x14ac:dyDescent="0.3">
      <c r="A15304" t="s">
        <v>973</v>
      </c>
      <c r="B15304" t="s">
        <v>28</v>
      </c>
      <c r="C15304" s="1">
        <f>HYPERLINK("https://cao.dolgi.msk.ru/account/1011419805/", 1011419805)</f>
        <v>1011419805</v>
      </c>
      <c r="D15304">
        <v>0</v>
      </c>
    </row>
    <row r="15305" spans="1:4" hidden="1" x14ac:dyDescent="0.3">
      <c r="A15305" t="s">
        <v>973</v>
      </c>
      <c r="B15305" t="s">
        <v>35</v>
      </c>
      <c r="C15305" s="1">
        <f>HYPERLINK("https://cao.dolgi.msk.ru/account/1011420216/", 1011420216)</f>
        <v>1011420216</v>
      </c>
      <c r="D15305">
        <v>0</v>
      </c>
    </row>
    <row r="15306" spans="1:4" hidden="1" x14ac:dyDescent="0.3">
      <c r="A15306" t="s">
        <v>973</v>
      </c>
      <c r="B15306" t="s">
        <v>5</v>
      </c>
      <c r="C15306" s="1">
        <f>HYPERLINK("https://cao.dolgi.msk.ru/account/1011419848/", 1011419848)</f>
        <v>1011419848</v>
      </c>
      <c r="D15306">
        <v>0</v>
      </c>
    </row>
    <row r="15307" spans="1:4" hidden="1" x14ac:dyDescent="0.3">
      <c r="A15307" t="s">
        <v>973</v>
      </c>
      <c r="B15307" t="s">
        <v>7</v>
      </c>
      <c r="C15307" s="1">
        <f>HYPERLINK("https://cao.dolgi.msk.ru/account/1011420478/", 1011420478)</f>
        <v>1011420478</v>
      </c>
      <c r="D15307">
        <v>0</v>
      </c>
    </row>
    <row r="15308" spans="1:4" hidden="1" x14ac:dyDescent="0.3">
      <c r="A15308" t="s">
        <v>973</v>
      </c>
      <c r="B15308" t="s">
        <v>8</v>
      </c>
      <c r="C15308" s="1">
        <f>HYPERLINK("https://cao.dolgi.msk.ru/account/1011420144/", 1011420144)</f>
        <v>1011420144</v>
      </c>
      <c r="D15308">
        <v>-476.94</v>
      </c>
    </row>
    <row r="15309" spans="1:4" hidden="1" x14ac:dyDescent="0.3">
      <c r="A15309" t="s">
        <v>973</v>
      </c>
      <c r="B15309" t="s">
        <v>31</v>
      </c>
      <c r="C15309" s="1">
        <f>HYPERLINK("https://cao.dolgi.msk.ru/account/1011419469/", 1011419469)</f>
        <v>1011419469</v>
      </c>
      <c r="D15309">
        <v>0</v>
      </c>
    </row>
    <row r="15310" spans="1:4" hidden="1" x14ac:dyDescent="0.3">
      <c r="A15310" t="s">
        <v>973</v>
      </c>
      <c r="B15310" t="s">
        <v>9</v>
      </c>
      <c r="C15310" s="1">
        <f>HYPERLINK("https://cao.dolgi.msk.ru/account/1011418917/", 1011418917)</f>
        <v>1011418917</v>
      </c>
      <c r="D15310">
        <v>-2547.84</v>
      </c>
    </row>
    <row r="15311" spans="1:4" hidden="1" x14ac:dyDescent="0.3">
      <c r="A15311" t="s">
        <v>973</v>
      </c>
      <c r="B15311" t="s">
        <v>9</v>
      </c>
      <c r="C15311" s="1">
        <f>HYPERLINK("https://cao.dolgi.msk.ru/account/1011418925/", 1011418925)</f>
        <v>1011418925</v>
      </c>
      <c r="D15311">
        <v>-3755.64</v>
      </c>
    </row>
    <row r="15312" spans="1:4" hidden="1" x14ac:dyDescent="0.3">
      <c r="A15312" t="s">
        <v>973</v>
      </c>
      <c r="B15312" t="s">
        <v>9</v>
      </c>
      <c r="C15312" s="1">
        <f>HYPERLINK("https://cao.dolgi.msk.ru/account/1011419661/", 1011419661)</f>
        <v>1011419661</v>
      </c>
      <c r="D15312">
        <v>-4011.17</v>
      </c>
    </row>
    <row r="15313" spans="1:4" hidden="1" x14ac:dyDescent="0.3">
      <c r="A15313" t="s">
        <v>973</v>
      </c>
      <c r="B15313" t="s">
        <v>10</v>
      </c>
      <c r="C15313" s="1">
        <f>HYPERLINK("https://cao.dolgi.msk.ru/account/1011420566/", 1011420566)</f>
        <v>1011420566</v>
      </c>
      <c r="D15313">
        <v>-1797.55</v>
      </c>
    </row>
    <row r="15314" spans="1:4" hidden="1" x14ac:dyDescent="0.3">
      <c r="A15314" t="s">
        <v>973</v>
      </c>
      <c r="B15314" t="s">
        <v>10</v>
      </c>
      <c r="C15314" s="1">
        <f>HYPERLINK("https://cao.dolgi.msk.ru/account/1011420574/", 1011420574)</f>
        <v>1011420574</v>
      </c>
      <c r="D15314">
        <v>-302.52</v>
      </c>
    </row>
    <row r="15315" spans="1:4" hidden="1" x14ac:dyDescent="0.3">
      <c r="A15315" t="s">
        <v>973</v>
      </c>
      <c r="B15315" t="s">
        <v>11</v>
      </c>
      <c r="C15315" s="1">
        <f>HYPERLINK("https://cao.dolgi.msk.ru/account/1011419856/", 1011419856)</f>
        <v>1011419856</v>
      </c>
      <c r="D15315">
        <v>-5583.65</v>
      </c>
    </row>
    <row r="15316" spans="1:4" hidden="1" x14ac:dyDescent="0.3">
      <c r="A15316" t="s">
        <v>973</v>
      </c>
      <c r="B15316" t="s">
        <v>11</v>
      </c>
      <c r="C15316" s="1">
        <f>HYPERLINK("https://cao.dolgi.msk.ru/account/1011419944/", 1011419944)</f>
        <v>1011419944</v>
      </c>
      <c r="D15316">
        <v>-40.020000000000003</v>
      </c>
    </row>
    <row r="15317" spans="1:4" hidden="1" x14ac:dyDescent="0.3">
      <c r="A15317" t="s">
        <v>973</v>
      </c>
      <c r="B15317" t="s">
        <v>11</v>
      </c>
      <c r="C15317" s="1">
        <f>HYPERLINK("https://cao.dolgi.msk.ru/account/1011420005/", 1011420005)</f>
        <v>1011420005</v>
      </c>
      <c r="D15317">
        <v>-80.03</v>
      </c>
    </row>
    <row r="15318" spans="1:4" hidden="1" x14ac:dyDescent="0.3">
      <c r="A15318" t="s">
        <v>973</v>
      </c>
      <c r="B15318" t="s">
        <v>12</v>
      </c>
      <c r="C15318" s="1">
        <f>HYPERLINK("https://cao.dolgi.msk.ru/account/1011419485/", 1011419485)</f>
        <v>1011419485</v>
      </c>
      <c r="D15318">
        <v>0</v>
      </c>
    </row>
    <row r="15319" spans="1:4" hidden="1" x14ac:dyDescent="0.3">
      <c r="A15319" t="s">
        <v>973</v>
      </c>
      <c r="B15319" t="s">
        <v>12</v>
      </c>
      <c r="C15319" s="1">
        <f>HYPERLINK("https://cao.dolgi.msk.ru/account/1011516373/", 1011516373)</f>
        <v>1011516373</v>
      </c>
      <c r="D15319">
        <v>0</v>
      </c>
    </row>
    <row r="15320" spans="1:4" hidden="1" x14ac:dyDescent="0.3">
      <c r="A15320" t="s">
        <v>973</v>
      </c>
      <c r="B15320" t="s">
        <v>23</v>
      </c>
      <c r="C15320" s="1">
        <f>HYPERLINK("https://cao.dolgi.msk.ru/account/1011418968/", 1011418968)</f>
        <v>1011418968</v>
      </c>
      <c r="D15320">
        <v>-2893.52</v>
      </c>
    </row>
    <row r="15321" spans="1:4" hidden="1" x14ac:dyDescent="0.3">
      <c r="A15321" t="s">
        <v>973</v>
      </c>
      <c r="B15321" t="s">
        <v>23</v>
      </c>
      <c r="C15321" s="1">
        <f>HYPERLINK("https://cao.dolgi.msk.ru/account/1011419055/", 1011419055)</f>
        <v>1011419055</v>
      </c>
      <c r="D15321">
        <v>0</v>
      </c>
    </row>
    <row r="15322" spans="1:4" hidden="1" x14ac:dyDescent="0.3">
      <c r="A15322" t="s">
        <v>973</v>
      </c>
      <c r="B15322" t="s">
        <v>23</v>
      </c>
      <c r="C15322" s="1">
        <f>HYPERLINK("https://cao.dolgi.msk.ru/account/1011419215/", 1011419215)</f>
        <v>1011419215</v>
      </c>
      <c r="D15322">
        <v>-1771.69</v>
      </c>
    </row>
    <row r="15323" spans="1:4" hidden="1" x14ac:dyDescent="0.3">
      <c r="A15323" t="s">
        <v>973</v>
      </c>
      <c r="B15323" t="s">
        <v>13</v>
      </c>
      <c r="C15323" s="1">
        <f>HYPERLINK("https://cao.dolgi.msk.ru/account/1011419274/", 1011419274)</f>
        <v>1011419274</v>
      </c>
      <c r="D15323">
        <v>-212.33</v>
      </c>
    </row>
    <row r="15324" spans="1:4" hidden="1" x14ac:dyDescent="0.3">
      <c r="A15324" t="s">
        <v>973</v>
      </c>
      <c r="B15324" t="s">
        <v>14</v>
      </c>
      <c r="C15324" s="1">
        <f>HYPERLINK("https://cao.dolgi.msk.ru/account/1011418837/", 1011418837)</f>
        <v>1011418837</v>
      </c>
      <c r="D15324">
        <v>-224.99</v>
      </c>
    </row>
    <row r="15325" spans="1:4" hidden="1" x14ac:dyDescent="0.3">
      <c r="A15325" t="s">
        <v>973</v>
      </c>
      <c r="B15325" t="s">
        <v>14</v>
      </c>
      <c r="C15325" s="1">
        <f>HYPERLINK("https://cao.dolgi.msk.ru/account/1011420208/", 1011420208)</f>
        <v>1011420208</v>
      </c>
      <c r="D15325">
        <v>-198.65</v>
      </c>
    </row>
    <row r="15326" spans="1:4" hidden="1" x14ac:dyDescent="0.3">
      <c r="A15326" t="s">
        <v>973</v>
      </c>
      <c r="B15326" t="s">
        <v>16</v>
      </c>
      <c r="C15326" s="1">
        <f>HYPERLINK("https://cao.dolgi.msk.ru/account/1011418773/", 1011418773)</f>
        <v>1011418773</v>
      </c>
      <c r="D15326">
        <v>-4.25</v>
      </c>
    </row>
    <row r="15327" spans="1:4" hidden="1" x14ac:dyDescent="0.3">
      <c r="A15327" t="s">
        <v>973</v>
      </c>
      <c r="B15327" t="s">
        <v>16</v>
      </c>
      <c r="C15327" s="1">
        <f>HYPERLINK("https://cao.dolgi.msk.ru/account/1011419901/", 1011419901)</f>
        <v>1011419901</v>
      </c>
      <c r="D15327">
        <v>-1926.42</v>
      </c>
    </row>
    <row r="15328" spans="1:4" hidden="1" x14ac:dyDescent="0.3">
      <c r="A15328" t="s">
        <v>973</v>
      </c>
      <c r="B15328" t="s">
        <v>16</v>
      </c>
      <c r="C15328" s="1">
        <f>HYPERLINK("https://cao.dolgi.msk.ru/account/1011420494/", 1011420494)</f>
        <v>1011420494</v>
      </c>
      <c r="D15328">
        <v>0</v>
      </c>
    </row>
    <row r="15329" spans="1:4" hidden="1" x14ac:dyDescent="0.3">
      <c r="A15329" t="s">
        <v>973</v>
      </c>
      <c r="B15329" t="s">
        <v>17</v>
      </c>
      <c r="C15329" s="1">
        <f>HYPERLINK("https://cao.dolgi.msk.ru/account/1011419063/", 1011419063)</f>
        <v>1011419063</v>
      </c>
      <c r="D15329">
        <v>0</v>
      </c>
    </row>
    <row r="15330" spans="1:4" hidden="1" x14ac:dyDescent="0.3">
      <c r="A15330" t="s">
        <v>973</v>
      </c>
      <c r="B15330" t="s">
        <v>18</v>
      </c>
      <c r="C15330" s="1">
        <f>HYPERLINK("https://cao.dolgi.msk.ru/account/1011420582/", 1011420582)</f>
        <v>1011420582</v>
      </c>
      <c r="D15330">
        <v>-11489.93</v>
      </c>
    </row>
    <row r="15331" spans="1:4" hidden="1" x14ac:dyDescent="0.3">
      <c r="A15331" t="s">
        <v>973</v>
      </c>
      <c r="B15331" t="s">
        <v>19</v>
      </c>
      <c r="C15331" s="1">
        <f>HYPERLINK("https://cao.dolgi.msk.ru/account/1011419565/", 1011419565)</f>
        <v>1011419565</v>
      </c>
      <c r="D15331">
        <v>-9000.49</v>
      </c>
    </row>
    <row r="15332" spans="1:4" hidden="1" x14ac:dyDescent="0.3">
      <c r="A15332" t="s">
        <v>973</v>
      </c>
      <c r="B15332" t="s">
        <v>20</v>
      </c>
      <c r="C15332" s="1">
        <f>HYPERLINK("https://cao.dolgi.msk.ru/account/1011420128/", 1011420128)</f>
        <v>1011420128</v>
      </c>
      <c r="D15332">
        <v>0</v>
      </c>
    </row>
    <row r="15333" spans="1:4" hidden="1" x14ac:dyDescent="0.3">
      <c r="A15333" t="s">
        <v>973</v>
      </c>
      <c r="B15333" t="s">
        <v>20</v>
      </c>
      <c r="C15333" s="1">
        <f>HYPERLINK("https://cao.dolgi.msk.ru/account/1011526838/", 1011526838)</f>
        <v>1011526838</v>
      </c>
      <c r="D15333">
        <v>-3955.57</v>
      </c>
    </row>
    <row r="15334" spans="1:4" hidden="1" x14ac:dyDescent="0.3">
      <c r="A15334" t="s">
        <v>973</v>
      </c>
      <c r="B15334" t="s">
        <v>20</v>
      </c>
      <c r="C15334" s="1">
        <f>HYPERLINK("https://cao.dolgi.msk.ru/account/1011527072/", 1011527072)</f>
        <v>1011527072</v>
      </c>
      <c r="D15334">
        <v>-2756.39</v>
      </c>
    </row>
    <row r="15335" spans="1:4" hidden="1" x14ac:dyDescent="0.3">
      <c r="A15335" t="s">
        <v>973</v>
      </c>
      <c r="B15335" t="s">
        <v>20</v>
      </c>
      <c r="C15335" s="1">
        <f>HYPERLINK("https://cao.dolgi.msk.ru/account/1011527259/", 1011527259)</f>
        <v>1011527259</v>
      </c>
      <c r="D15335">
        <v>-2241.4899999999998</v>
      </c>
    </row>
    <row r="15336" spans="1:4" hidden="1" x14ac:dyDescent="0.3">
      <c r="A15336" t="s">
        <v>973</v>
      </c>
      <c r="B15336" t="s">
        <v>21</v>
      </c>
      <c r="C15336" s="1">
        <f>HYPERLINK("https://cao.dolgi.msk.ru/account/1011507004/", 1011507004)</f>
        <v>1011507004</v>
      </c>
      <c r="D15336">
        <v>0</v>
      </c>
    </row>
    <row r="15337" spans="1:4" hidden="1" x14ac:dyDescent="0.3">
      <c r="A15337" t="s">
        <v>973</v>
      </c>
      <c r="B15337" t="s">
        <v>22</v>
      </c>
      <c r="C15337" s="1">
        <f>HYPERLINK("https://cao.dolgi.msk.ru/account/1011419012/", 1011419012)</f>
        <v>1011419012</v>
      </c>
      <c r="D15337">
        <v>0</v>
      </c>
    </row>
    <row r="15338" spans="1:4" hidden="1" x14ac:dyDescent="0.3">
      <c r="A15338" t="s">
        <v>973</v>
      </c>
      <c r="B15338" t="s">
        <v>22</v>
      </c>
      <c r="C15338" s="1">
        <f>HYPERLINK("https://cao.dolgi.msk.ru/account/1011420099/", 1011420099)</f>
        <v>1011420099</v>
      </c>
      <c r="D15338">
        <v>-3175.79</v>
      </c>
    </row>
    <row r="15339" spans="1:4" hidden="1" x14ac:dyDescent="0.3">
      <c r="A15339" t="s">
        <v>973</v>
      </c>
      <c r="B15339" t="s">
        <v>24</v>
      </c>
      <c r="C15339" s="1">
        <f>HYPERLINK("https://cao.dolgi.msk.ru/account/1011419514/", 1011419514)</f>
        <v>1011419514</v>
      </c>
      <c r="D15339">
        <v>0</v>
      </c>
    </row>
    <row r="15340" spans="1:4" hidden="1" x14ac:dyDescent="0.3">
      <c r="A15340" t="s">
        <v>973</v>
      </c>
      <c r="B15340" t="s">
        <v>24</v>
      </c>
      <c r="C15340" s="1">
        <f>HYPERLINK("https://cao.dolgi.msk.ru/account/1011419952/", 1011419952)</f>
        <v>1011419952</v>
      </c>
      <c r="D15340">
        <v>0</v>
      </c>
    </row>
    <row r="15341" spans="1:4" hidden="1" x14ac:dyDescent="0.3">
      <c r="A15341" t="s">
        <v>973</v>
      </c>
      <c r="B15341" t="s">
        <v>24</v>
      </c>
      <c r="C15341" s="1">
        <f>HYPERLINK("https://cao.dolgi.msk.ru/account/1011420283/", 1011420283)</f>
        <v>1011420283</v>
      </c>
      <c r="D15341">
        <v>0</v>
      </c>
    </row>
    <row r="15342" spans="1:4" x14ac:dyDescent="0.3">
      <c r="A15342" t="s">
        <v>973</v>
      </c>
      <c r="B15342" t="s">
        <v>25</v>
      </c>
      <c r="C15342" s="1">
        <f>HYPERLINK("https://cao.dolgi.msk.ru/account/1011419311/", 1011419311)</f>
        <v>1011419311</v>
      </c>
      <c r="D15342">
        <v>1451.18</v>
      </c>
    </row>
    <row r="15343" spans="1:4" hidden="1" x14ac:dyDescent="0.3">
      <c r="A15343" t="s">
        <v>973</v>
      </c>
      <c r="B15343" t="s">
        <v>25</v>
      </c>
      <c r="C15343" s="1">
        <f>HYPERLINK("https://cao.dolgi.msk.ru/account/1011419653/", 1011419653)</f>
        <v>1011419653</v>
      </c>
      <c r="D15343">
        <v>-2263.79</v>
      </c>
    </row>
    <row r="15344" spans="1:4" hidden="1" x14ac:dyDescent="0.3">
      <c r="A15344" t="s">
        <v>973</v>
      </c>
      <c r="B15344" t="s">
        <v>25</v>
      </c>
      <c r="C15344" s="1">
        <f>HYPERLINK("https://cao.dolgi.msk.ru/account/1011420291/", 1011420291)</f>
        <v>1011420291</v>
      </c>
      <c r="D15344">
        <v>0</v>
      </c>
    </row>
    <row r="15345" spans="1:4" hidden="1" x14ac:dyDescent="0.3">
      <c r="A15345" t="s">
        <v>973</v>
      </c>
      <c r="B15345" t="s">
        <v>25</v>
      </c>
      <c r="C15345" s="1">
        <f>HYPERLINK("https://cao.dolgi.msk.ru/account/1011420339/", 1011420339)</f>
        <v>1011420339</v>
      </c>
      <c r="D15345">
        <v>0</v>
      </c>
    </row>
    <row r="15346" spans="1:4" hidden="1" x14ac:dyDescent="0.3">
      <c r="A15346" t="s">
        <v>973</v>
      </c>
      <c r="B15346" t="s">
        <v>26</v>
      </c>
      <c r="C15346" s="1">
        <f>HYPERLINK("https://cao.dolgi.msk.ru/account/1011419813/", 1011419813)</f>
        <v>1011419813</v>
      </c>
      <c r="D15346">
        <v>-9106.57</v>
      </c>
    </row>
    <row r="15347" spans="1:4" hidden="1" x14ac:dyDescent="0.3">
      <c r="A15347" t="s">
        <v>973</v>
      </c>
      <c r="B15347" t="s">
        <v>27</v>
      </c>
      <c r="C15347" s="1">
        <f>HYPERLINK("https://cao.dolgi.msk.ru/account/1011418976/", 1011418976)</f>
        <v>1011418976</v>
      </c>
      <c r="D15347">
        <v>-8846.74</v>
      </c>
    </row>
    <row r="15348" spans="1:4" hidden="1" x14ac:dyDescent="0.3">
      <c r="A15348" t="s">
        <v>973</v>
      </c>
      <c r="B15348" t="s">
        <v>29</v>
      </c>
      <c r="C15348" s="1">
        <f>HYPERLINK("https://cao.dolgi.msk.ru/account/1011418802/", 1011418802)</f>
        <v>1011418802</v>
      </c>
      <c r="D15348">
        <v>0</v>
      </c>
    </row>
    <row r="15349" spans="1:4" hidden="1" x14ac:dyDescent="0.3">
      <c r="A15349" t="s">
        <v>973</v>
      </c>
      <c r="B15349" t="s">
        <v>38</v>
      </c>
      <c r="C15349" s="1">
        <f>HYPERLINK("https://cao.dolgi.msk.ru/account/1011419717/", 1011419717)</f>
        <v>1011419717</v>
      </c>
      <c r="D15349">
        <v>-89.05</v>
      </c>
    </row>
    <row r="15350" spans="1:4" hidden="1" x14ac:dyDescent="0.3">
      <c r="A15350" t="s">
        <v>973</v>
      </c>
      <c r="B15350" t="s">
        <v>38</v>
      </c>
      <c r="C15350" s="1">
        <f>HYPERLINK("https://cao.dolgi.msk.ru/account/1011420304/", 1011420304)</f>
        <v>1011420304</v>
      </c>
      <c r="D15350">
        <v>0</v>
      </c>
    </row>
    <row r="15351" spans="1:4" hidden="1" x14ac:dyDescent="0.3">
      <c r="A15351" t="s">
        <v>973</v>
      </c>
      <c r="B15351" t="s">
        <v>38</v>
      </c>
      <c r="C15351" s="1">
        <f>HYPERLINK("https://cao.dolgi.msk.ru/account/1011538927/", 1011538927)</f>
        <v>1011538927</v>
      </c>
      <c r="D15351">
        <v>0</v>
      </c>
    </row>
    <row r="15352" spans="1:4" hidden="1" x14ac:dyDescent="0.3">
      <c r="A15352" t="s">
        <v>973</v>
      </c>
      <c r="B15352" t="s">
        <v>39</v>
      </c>
      <c r="C15352" s="1">
        <f>HYPERLINK("https://cao.dolgi.msk.ru/account/1011419733/", 1011419733)</f>
        <v>1011419733</v>
      </c>
      <c r="D15352">
        <v>-259.13</v>
      </c>
    </row>
    <row r="15353" spans="1:4" hidden="1" x14ac:dyDescent="0.3">
      <c r="A15353" t="s">
        <v>973</v>
      </c>
      <c r="B15353" t="s">
        <v>39</v>
      </c>
      <c r="C15353" s="1">
        <f>HYPERLINK("https://cao.dolgi.msk.ru/account/1011420056/", 1011420056)</f>
        <v>1011420056</v>
      </c>
      <c r="D15353">
        <v>0</v>
      </c>
    </row>
    <row r="15354" spans="1:4" x14ac:dyDescent="0.3">
      <c r="A15354" t="s">
        <v>973</v>
      </c>
      <c r="B15354" t="s">
        <v>39</v>
      </c>
      <c r="C15354" s="1">
        <f>HYPERLINK("https://cao.dolgi.msk.ru/account/1011420507/", 1011420507)</f>
        <v>1011420507</v>
      </c>
      <c r="D15354">
        <v>11268.2</v>
      </c>
    </row>
    <row r="15355" spans="1:4" hidden="1" x14ac:dyDescent="0.3">
      <c r="A15355" t="s">
        <v>973</v>
      </c>
      <c r="B15355" t="s">
        <v>40</v>
      </c>
      <c r="C15355" s="1">
        <f>HYPERLINK("https://cao.dolgi.msk.ru/account/1011418888/", 1011418888)</f>
        <v>1011418888</v>
      </c>
      <c r="D15355">
        <v>-3426.59</v>
      </c>
    </row>
    <row r="15356" spans="1:4" hidden="1" x14ac:dyDescent="0.3">
      <c r="A15356" t="s">
        <v>973</v>
      </c>
      <c r="B15356" t="s">
        <v>40</v>
      </c>
      <c r="C15356" s="1">
        <f>HYPERLINK("https://cao.dolgi.msk.ru/account/1011418941/", 1011418941)</f>
        <v>1011418941</v>
      </c>
      <c r="D15356">
        <v>-119.24</v>
      </c>
    </row>
    <row r="15357" spans="1:4" hidden="1" x14ac:dyDescent="0.3">
      <c r="A15357" t="s">
        <v>973</v>
      </c>
      <c r="B15357" t="s">
        <v>40</v>
      </c>
      <c r="C15357" s="1">
        <f>HYPERLINK("https://cao.dolgi.msk.ru/account/1011419282/", 1011419282)</f>
        <v>1011419282</v>
      </c>
      <c r="D15357">
        <v>-71.430000000000007</v>
      </c>
    </row>
    <row r="15358" spans="1:4" hidden="1" x14ac:dyDescent="0.3">
      <c r="A15358" t="s">
        <v>973</v>
      </c>
      <c r="B15358" t="s">
        <v>40</v>
      </c>
      <c r="C15358" s="1">
        <f>HYPERLINK("https://cao.dolgi.msk.ru/account/1011419522/", 1011419522)</f>
        <v>1011419522</v>
      </c>
      <c r="D15358">
        <v>-15.45</v>
      </c>
    </row>
    <row r="15359" spans="1:4" x14ac:dyDescent="0.3">
      <c r="A15359" t="s">
        <v>973</v>
      </c>
      <c r="B15359" t="s">
        <v>41</v>
      </c>
      <c r="C15359" s="1">
        <f>HYPERLINK("https://cao.dolgi.msk.ru/account/1011419389/", 1011419389)</f>
        <v>1011419389</v>
      </c>
      <c r="D15359">
        <v>32932.400000000001</v>
      </c>
    </row>
    <row r="15360" spans="1:4" x14ac:dyDescent="0.3">
      <c r="A15360" t="s">
        <v>973</v>
      </c>
      <c r="B15360" t="s">
        <v>41</v>
      </c>
      <c r="C15360" s="1">
        <f>HYPERLINK("https://cao.dolgi.msk.ru/account/1011419995/", 1011419995)</f>
        <v>1011419995</v>
      </c>
      <c r="D15360">
        <v>53730.94</v>
      </c>
    </row>
    <row r="15361" spans="1:4" x14ac:dyDescent="0.3">
      <c r="A15361" t="s">
        <v>973</v>
      </c>
      <c r="B15361" t="s">
        <v>41</v>
      </c>
      <c r="C15361" s="1">
        <f>HYPERLINK("https://cao.dolgi.msk.ru/account/1011420486/", 1011420486)</f>
        <v>1011420486</v>
      </c>
      <c r="D15361">
        <v>203.64</v>
      </c>
    </row>
    <row r="15362" spans="1:4" hidden="1" x14ac:dyDescent="0.3">
      <c r="A15362" t="s">
        <v>973</v>
      </c>
      <c r="B15362" t="s">
        <v>41</v>
      </c>
      <c r="C15362" s="1">
        <f>HYPERLINK("https://cao.dolgi.msk.ru/account/1011420611/", 1011420611)</f>
        <v>1011420611</v>
      </c>
      <c r="D15362">
        <v>0</v>
      </c>
    </row>
    <row r="15363" spans="1:4" x14ac:dyDescent="0.3">
      <c r="A15363" t="s">
        <v>973</v>
      </c>
      <c r="B15363" t="s">
        <v>51</v>
      </c>
      <c r="C15363" s="1">
        <f>HYPERLINK("https://cao.dolgi.msk.ru/account/1011420515/", 1011420515)</f>
        <v>1011420515</v>
      </c>
      <c r="D15363">
        <v>63352.59</v>
      </c>
    </row>
    <row r="15364" spans="1:4" hidden="1" x14ac:dyDescent="0.3">
      <c r="A15364" t="s">
        <v>973</v>
      </c>
      <c r="B15364" t="s">
        <v>52</v>
      </c>
      <c r="C15364" s="1">
        <f>HYPERLINK("https://cao.dolgi.msk.ru/account/1011420531/", 1011420531)</f>
        <v>1011420531</v>
      </c>
      <c r="D15364">
        <v>-138.96</v>
      </c>
    </row>
    <row r="15365" spans="1:4" hidden="1" x14ac:dyDescent="0.3">
      <c r="A15365" t="s">
        <v>973</v>
      </c>
      <c r="B15365" t="s">
        <v>53</v>
      </c>
      <c r="C15365" s="1">
        <f>HYPERLINK("https://cao.dolgi.msk.ru/account/1011419979/", 1011419979)</f>
        <v>1011419979</v>
      </c>
      <c r="D15365">
        <v>0</v>
      </c>
    </row>
    <row r="15366" spans="1:4" x14ac:dyDescent="0.3">
      <c r="A15366" t="s">
        <v>973</v>
      </c>
      <c r="B15366" t="s">
        <v>54</v>
      </c>
      <c r="C15366" s="1">
        <f>HYPERLINK("https://cao.dolgi.msk.ru/account/1011420419/", 1011420419)</f>
        <v>1011420419</v>
      </c>
      <c r="D15366">
        <v>12960.15</v>
      </c>
    </row>
    <row r="15367" spans="1:4" x14ac:dyDescent="0.3">
      <c r="A15367" t="s">
        <v>973</v>
      </c>
      <c r="B15367" t="s">
        <v>55</v>
      </c>
      <c r="C15367" s="1">
        <f>HYPERLINK("https://cao.dolgi.msk.ru/account/1011419741/", 1011419741)</f>
        <v>1011419741</v>
      </c>
      <c r="D15367">
        <v>10309.74</v>
      </c>
    </row>
    <row r="15368" spans="1:4" hidden="1" x14ac:dyDescent="0.3">
      <c r="A15368" t="s">
        <v>973</v>
      </c>
      <c r="B15368" t="s">
        <v>56</v>
      </c>
      <c r="C15368" s="1">
        <f>HYPERLINK("https://cao.dolgi.msk.ru/account/1011419872/", 1011419872)</f>
        <v>1011419872</v>
      </c>
      <c r="D15368">
        <v>0</v>
      </c>
    </row>
    <row r="15369" spans="1:4" x14ac:dyDescent="0.3">
      <c r="A15369" t="s">
        <v>973</v>
      </c>
      <c r="B15369" t="s">
        <v>87</v>
      </c>
      <c r="C15369" s="1">
        <f>HYPERLINK("https://cao.dolgi.msk.ru/account/1011419637/", 1011419637)</f>
        <v>1011419637</v>
      </c>
      <c r="D15369">
        <v>4510.8</v>
      </c>
    </row>
    <row r="15370" spans="1:4" hidden="1" x14ac:dyDescent="0.3">
      <c r="A15370" t="s">
        <v>973</v>
      </c>
      <c r="B15370" t="s">
        <v>87</v>
      </c>
      <c r="C15370" s="1">
        <f>HYPERLINK("https://cao.dolgi.msk.ru/account/1011419936/", 1011419936)</f>
        <v>1011419936</v>
      </c>
      <c r="D15370">
        <v>-4094.27</v>
      </c>
    </row>
    <row r="15371" spans="1:4" hidden="1" x14ac:dyDescent="0.3">
      <c r="A15371" t="s">
        <v>973</v>
      </c>
      <c r="B15371" t="s">
        <v>88</v>
      </c>
      <c r="C15371" s="1">
        <f>HYPERLINK("https://cao.dolgi.msk.ru/account/1011419346/", 1011419346)</f>
        <v>1011419346</v>
      </c>
      <c r="D15371">
        <v>-424.13</v>
      </c>
    </row>
    <row r="15372" spans="1:4" hidden="1" x14ac:dyDescent="0.3">
      <c r="A15372" t="s">
        <v>973</v>
      </c>
      <c r="B15372" t="s">
        <v>89</v>
      </c>
      <c r="C15372" s="1">
        <f>HYPERLINK("https://cao.dolgi.msk.ru/account/1011419573/", 1011419573)</f>
        <v>1011419573</v>
      </c>
      <c r="D15372">
        <v>-3197.76</v>
      </c>
    </row>
    <row r="15373" spans="1:4" hidden="1" x14ac:dyDescent="0.3">
      <c r="A15373" t="s">
        <v>973</v>
      </c>
      <c r="B15373" t="s">
        <v>89</v>
      </c>
      <c r="C15373" s="1">
        <f>HYPERLINK("https://cao.dolgi.msk.ru/account/1011419987/", 1011419987)</f>
        <v>1011419987</v>
      </c>
      <c r="D15373">
        <v>-259.8</v>
      </c>
    </row>
    <row r="15374" spans="1:4" hidden="1" x14ac:dyDescent="0.3">
      <c r="A15374" t="s">
        <v>973</v>
      </c>
      <c r="B15374" t="s">
        <v>90</v>
      </c>
      <c r="C15374" s="1">
        <f>HYPERLINK("https://cao.dolgi.msk.ru/account/1011418845/", 1011418845)</f>
        <v>1011418845</v>
      </c>
      <c r="D15374">
        <v>0</v>
      </c>
    </row>
    <row r="15375" spans="1:4" hidden="1" x14ac:dyDescent="0.3">
      <c r="A15375" t="s">
        <v>973</v>
      </c>
      <c r="B15375" t="s">
        <v>90</v>
      </c>
      <c r="C15375" s="1">
        <f>HYPERLINK("https://cao.dolgi.msk.ru/account/1011419071/", 1011419071)</f>
        <v>1011419071</v>
      </c>
      <c r="D15375">
        <v>0</v>
      </c>
    </row>
    <row r="15376" spans="1:4" hidden="1" x14ac:dyDescent="0.3">
      <c r="A15376" t="s">
        <v>973</v>
      </c>
      <c r="B15376" t="s">
        <v>90</v>
      </c>
      <c r="C15376" s="1">
        <f>HYPERLINK("https://cao.dolgi.msk.ru/account/1011419135/", 1011419135)</f>
        <v>1011419135</v>
      </c>
      <c r="D15376">
        <v>-149.31</v>
      </c>
    </row>
    <row r="15377" spans="1:4" hidden="1" x14ac:dyDescent="0.3">
      <c r="A15377" t="s">
        <v>973</v>
      </c>
      <c r="B15377" t="s">
        <v>90</v>
      </c>
      <c r="C15377" s="1">
        <f>HYPERLINK("https://cao.dolgi.msk.ru/account/1011419899/", 1011419899)</f>
        <v>1011419899</v>
      </c>
      <c r="D15377">
        <v>-116.6</v>
      </c>
    </row>
    <row r="15378" spans="1:4" hidden="1" x14ac:dyDescent="0.3">
      <c r="A15378" t="s">
        <v>973</v>
      </c>
      <c r="B15378" t="s">
        <v>96</v>
      </c>
      <c r="C15378" s="1">
        <f>HYPERLINK("https://cao.dolgi.msk.ru/account/1011420224/", 1011420224)</f>
        <v>1011420224</v>
      </c>
      <c r="D15378">
        <v>-185.73</v>
      </c>
    </row>
    <row r="15379" spans="1:4" hidden="1" x14ac:dyDescent="0.3">
      <c r="A15379" t="s">
        <v>973</v>
      </c>
      <c r="B15379" t="s">
        <v>97</v>
      </c>
      <c r="C15379" s="1">
        <f>HYPERLINK("https://cao.dolgi.msk.ru/account/1011419397/", 1011419397)</f>
        <v>1011419397</v>
      </c>
      <c r="D15379">
        <v>0</v>
      </c>
    </row>
    <row r="15380" spans="1:4" hidden="1" x14ac:dyDescent="0.3">
      <c r="A15380" t="s">
        <v>973</v>
      </c>
      <c r="B15380" t="s">
        <v>98</v>
      </c>
      <c r="C15380" s="1">
        <f>HYPERLINK("https://cao.dolgi.msk.ru/account/1011419338/", 1011419338)</f>
        <v>1011419338</v>
      </c>
      <c r="D15380">
        <v>0</v>
      </c>
    </row>
    <row r="15381" spans="1:4" hidden="1" x14ac:dyDescent="0.3">
      <c r="A15381" t="s">
        <v>973</v>
      </c>
      <c r="B15381" t="s">
        <v>58</v>
      </c>
      <c r="C15381" s="1">
        <f>HYPERLINK("https://cao.dolgi.msk.ru/account/1011419151/", 1011419151)</f>
        <v>1011419151</v>
      </c>
      <c r="D15381">
        <v>0</v>
      </c>
    </row>
    <row r="15382" spans="1:4" hidden="1" x14ac:dyDescent="0.3">
      <c r="A15382" t="s">
        <v>973</v>
      </c>
      <c r="B15382" t="s">
        <v>58</v>
      </c>
      <c r="C15382" s="1">
        <f>HYPERLINK("https://cao.dolgi.msk.ru/account/1011419477/", 1011419477)</f>
        <v>1011419477</v>
      </c>
      <c r="D15382">
        <v>0</v>
      </c>
    </row>
    <row r="15383" spans="1:4" x14ac:dyDescent="0.3">
      <c r="A15383" t="s">
        <v>973</v>
      </c>
      <c r="B15383" t="s">
        <v>59</v>
      </c>
      <c r="C15383" s="1">
        <f>HYPERLINK("https://cao.dolgi.msk.ru/account/1011418829/", 1011418829)</f>
        <v>1011418829</v>
      </c>
      <c r="D15383">
        <v>190220.27</v>
      </c>
    </row>
    <row r="15384" spans="1:4" hidden="1" x14ac:dyDescent="0.3">
      <c r="A15384" t="s">
        <v>973</v>
      </c>
      <c r="B15384" t="s">
        <v>59</v>
      </c>
      <c r="C15384" s="1">
        <f>HYPERLINK("https://cao.dolgi.msk.ru/account/1011419098/", 1011419098)</f>
        <v>1011419098</v>
      </c>
      <c r="D15384">
        <v>-432.69</v>
      </c>
    </row>
    <row r="15385" spans="1:4" hidden="1" x14ac:dyDescent="0.3">
      <c r="A15385" t="s">
        <v>973</v>
      </c>
      <c r="B15385" t="s">
        <v>59</v>
      </c>
      <c r="C15385" s="1">
        <f>HYPERLINK("https://cao.dolgi.msk.ru/account/1011420523/", 1011420523)</f>
        <v>1011420523</v>
      </c>
      <c r="D15385">
        <v>-458.95</v>
      </c>
    </row>
    <row r="15386" spans="1:4" hidden="1" x14ac:dyDescent="0.3">
      <c r="A15386" t="s">
        <v>973</v>
      </c>
      <c r="B15386" t="s">
        <v>59</v>
      </c>
      <c r="C15386" s="1">
        <f>HYPERLINK("https://cao.dolgi.msk.ru/account/1011504583/", 1011504583)</f>
        <v>1011504583</v>
      </c>
      <c r="D15386">
        <v>-3073.08</v>
      </c>
    </row>
    <row r="15387" spans="1:4" hidden="1" x14ac:dyDescent="0.3">
      <c r="A15387" t="s">
        <v>973</v>
      </c>
      <c r="B15387" t="s">
        <v>60</v>
      </c>
      <c r="C15387" s="1">
        <f>HYPERLINK("https://cao.dolgi.msk.ru/account/1011418984/", 1011418984)</f>
        <v>1011418984</v>
      </c>
      <c r="D15387">
        <v>0</v>
      </c>
    </row>
    <row r="15388" spans="1:4" hidden="1" x14ac:dyDescent="0.3">
      <c r="A15388" t="s">
        <v>973</v>
      </c>
      <c r="B15388" t="s">
        <v>60</v>
      </c>
      <c r="C15388" s="1">
        <f>HYPERLINK("https://cao.dolgi.msk.ru/account/1011419178/", 1011419178)</f>
        <v>1011419178</v>
      </c>
      <c r="D15388">
        <v>-7487.24</v>
      </c>
    </row>
    <row r="15389" spans="1:4" hidden="1" x14ac:dyDescent="0.3">
      <c r="A15389" t="s">
        <v>973</v>
      </c>
      <c r="B15389" t="s">
        <v>60</v>
      </c>
      <c r="C15389" s="1">
        <f>HYPERLINK("https://cao.dolgi.msk.ru/account/1011420558/", 1011420558)</f>
        <v>1011420558</v>
      </c>
      <c r="D15389">
        <v>-11289.41</v>
      </c>
    </row>
    <row r="15390" spans="1:4" hidden="1" x14ac:dyDescent="0.3">
      <c r="A15390" t="s">
        <v>973</v>
      </c>
      <c r="B15390" t="s">
        <v>61</v>
      </c>
      <c r="C15390" s="1">
        <f>HYPERLINK("https://cao.dolgi.msk.ru/account/1011418896/", 1011418896)</f>
        <v>1011418896</v>
      </c>
      <c r="D15390">
        <v>-511.74</v>
      </c>
    </row>
    <row r="15391" spans="1:4" hidden="1" x14ac:dyDescent="0.3">
      <c r="A15391" t="s">
        <v>973</v>
      </c>
      <c r="B15391" t="s">
        <v>61</v>
      </c>
      <c r="C15391" s="1">
        <f>HYPERLINK("https://cao.dolgi.msk.ru/account/1011419223/", 1011419223)</f>
        <v>1011419223</v>
      </c>
      <c r="D15391">
        <v>-14036.85</v>
      </c>
    </row>
    <row r="15392" spans="1:4" hidden="1" x14ac:dyDescent="0.3">
      <c r="A15392" t="s">
        <v>973</v>
      </c>
      <c r="B15392" t="s">
        <v>61</v>
      </c>
      <c r="C15392" s="1">
        <f>HYPERLINK("https://cao.dolgi.msk.ru/account/1011419362/", 1011419362)</f>
        <v>1011419362</v>
      </c>
      <c r="D15392">
        <v>-4483.79</v>
      </c>
    </row>
    <row r="15393" spans="1:4" hidden="1" x14ac:dyDescent="0.3">
      <c r="A15393" t="s">
        <v>973</v>
      </c>
      <c r="B15393" t="s">
        <v>61</v>
      </c>
      <c r="C15393" s="1">
        <f>HYPERLINK("https://cao.dolgi.msk.ru/account/1011419768/", 1011419768)</f>
        <v>1011419768</v>
      </c>
      <c r="D15393">
        <v>-2635.07</v>
      </c>
    </row>
    <row r="15394" spans="1:4" hidden="1" x14ac:dyDescent="0.3">
      <c r="A15394" t="s">
        <v>973</v>
      </c>
      <c r="B15394" t="s">
        <v>62</v>
      </c>
      <c r="C15394" s="1">
        <f>HYPERLINK("https://cao.dolgi.msk.ru/account/1011418933/", 1011418933)</f>
        <v>1011418933</v>
      </c>
      <c r="D15394">
        <v>0</v>
      </c>
    </row>
    <row r="15395" spans="1:4" hidden="1" x14ac:dyDescent="0.3">
      <c r="A15395" t="s">
        <v>973</v>
      </c>
      <c r="B15395" t="s">
        <v>63</v>
      </c>
      <c r="C15395" s="1">
        <f>HYPERLINK("https://cao.dolgi.msk.ru/account/1011420232/", 1011420232)</f>
        <v>1011420232</v>
      </c>
      <c r="D15395">
        <v>0</v>
      </c>
    </row>
    <row r="15396" spans="1:4" hidden="1" x14ac:dyDescent="0.3">
      <c r="A15396" t="s">
        <v>973</v>
      </c>
      <c r="B15396" t="s">
        <v>64</v>
      </c>
      <c r="C15396" s="1">
        <f>HYPERLINK("https://cao.dolgi.msk.ru/account/1011420259/", 1011420259)</f>
        <v>1011420259</v>
      </c>
      <c r="D15396">
        <v>-9486.69</v>
      </c>
    </row>
    <row r="15397" spans="1:4" hidden="1" x14ac:dyDescent="0.3">
      <c r="A15397" t="s">
        <v>973</v>
      </c>
      <c r="B15397" t="s">
        <v>65</v>
      </c>
      <c r="C15397" s="1">
        <f>HYPERLINK("https://cao.dolgi.msk.ru/account/1011419231/", 1011419231)</f>
        <v>1011419231</v>
      </c>
      <c r="D15397">
        <v>0</v>
      </c>
    </row>
    <row r="15398" spans="1:4" hidden="1" x14ac:dyDescent="0.3">
      <c r="A15398" t="s">
        <v>973</v>
      </c>
      <c r="B15398" t="s">
        <v>66</v>
      </c>
      <c r="C15398" s="1">
        <f>HYPERLINK("https://cao.dolgi.msk.ru/account/1011420013/", 1011420013)</f>
        <v>1011420013</v>
      </c>
      <c r="D15398">
        <v>-8058.99</v>
      </c>
    </row>
    <row r="15399" spans="1:4" hidden="1" x14ac:dyDescent="0.3">
      <c r="A15399" t="s">
        <v>973</v>
      </c>
      <c r="B15399" t="s">
        <v>67</v>
      </c>
      <c r="C15399" s="1">
        <f>HYPERLINK("https://cao.dolgi.msk.ru/account/1011419418/", 1011419418)</f>
        <v>1011419418</v>
      </c>
      <c r="D15399">
        <v>-591.15</v>
      </c>
    </row>
    <row r="15400" spans="1:4" hidden="1" x14ac:dyDescent="0.3">
      <c r="A15400" t="s">
        <v>973</v>
      </c>
      <c r="B15400" t="s">
        <v>67</v>
      </c>
      <c r="C15400" s="1">
        <f>HYPERLINK("https://cao.dolgi.msk.ru/account/1011420136/", 1011420136)</f>
        <v>1011420136</v>
      </c>
      <c r="D15400">
        <v>-8100</v>
      </c>
    </row>
    <row r="15401" spans="1:4" hidden="1" x14ac:dyDescent="0.3">
      <c r="A15401" t="s">
        <v>973</v>
      </c>
      <c r="B15401" t="s">
        <v>68</v>
      </c>
      <c r="C15401" s="1">
        <f>HYPERLINK("https://cao.dolgi.msk.ru/account/1011418992/", 1011418992)</f>
        <v>1011418992</v>
      </c>
      <c r="D15401">
        <v>0</v>
      </c>
    </row>
    <row r="15402" spans="1:4" hidden="1" x14ac:dyDescent="0.3">
      <c r="A15402" t="s">
        <v>973</v>
      </c>
      <c r="B15402" t="s">
        <v>69</v>
      </c>
      <c r="C15402" s="1">
        <f>HYPERLINK("https://cao.dolgi.msk.ru/account/1011418781/", 1011418781)</f>
        <v>1011418781</v>
      </c>
      <c r="D15402">
        <v>0</v>
      </c>
    </row>
    <row r="15403" spans="1:4" hidden="1" x14ac:dyDescent="0.3">
      <c r="A15403" t="s">
        <v>973</v>
      </c>
      <c r="B15403" t="s">
        <v>69</v>
      </c>
      <c r="C15403" s="1">
        <f>HYPERLINK("https://cao.dolgi.msk.ru/account/1011420371/", 1011420371)</f>
        <v>1011420371</v>
      </c>
      <c r="D15403">
        <v>0</v>
      </c>
    </row>
    <row r="15404" spans="1:4" hidden="1" x14ac:dyDescent="0.3">
      <c r="A15404" t="s">
        <v>973</v>
      </c>
      <c r="B15404" t="s">
        <v>70</v>
      </c>
      <c r="C15404" s="1">
        <f>HYPERLINK("https://cao.dolgi.msk.ru/account/1011419207/", 1011419207)</f>
        <v>1011419207</v>
      </c>
      <c r="D15404">
        <v>-563.76</v>
      </c>
    </row>
    <row r="15405" spans="1:4" hidden="1" x14ac:dyDescent="0.3">
      <c r="A15405" t="s">
        <v>973</v>
      </c>
      <c r="B15405" t="s">
        <v>70</v>
      </c>
      <c r="C15405" s="1">
        <f>HYPERLINK("https://cao.dolgi.msk.ru/account/1011420179/", 1011420179)</f>
        <v>1011420179</v>
      </c>
      <c r="D15405">
        <v>-5708.65</v>
      </c>
    </row>
    <row r="15406" spans="1:4" x14ac:dyDescent="0.3">
      <c r="A15406" t="s">
        <v>973</v>
      </c>
      <c r="B15406" t="s">
        <v>259</v>
      </c>
      <c r="C15406" s="1">
        <f>HYPERLINK("https://cao.dolgi.msk.ru/account/1011420355/", 1011420355)</f>
        <v>1011420355</v>
      </c>
      <c r="D15406">
        <v>6475.14</v>
      </c>
    </row>
    <row r="15407" spans="1:4" hidden="1" x14ac:dyDescent="0.3">
      <c r="A15407" t="s">
        <v>973</v>
      </c>
      <c r="B15407" t="s">
        <v>259</v>
      </c>
      <c r="C15407" s="1">
        <f>HYPERLINK("https://cao.dolgi.msk.ru/account/1011420435/", 1011420435)</f>
        <v>1011420435</v>
      </c>
      <c r="D15407">
        <v>-1408.96</v>
      </c>
    </row>
    <row r="15408" spans="1:4" hidden="1" x14ac:dyDescent="0.3">
      <c r="A15408" t="s">
        <v>973</v>
      </c>
      <c r="B15408" t="s">
        <v>100</v>
      </c>
      <c r="C15408" s="1">
        <f>HYPERLINK("https://cao.dolgi.msk.ru/account/1011419792/", 1011419792)</f>
        <v>1011419792</v>
      </c>
      <c r="D15408">
        <v>-14892.51</v>
      </c>
    </row>
    <row r="15409" spans="1:4" hidden="1" x14ac:dyDescent="0.3">
      <c r="A15409" t="s">
        <v>973</v>
      </c>
      <c r="B15409" t="s">
        <v>72</v>
      </c>
      <c r="C15409" s="1">
        <f>HYPERLINK("https://cao.dolgi.msk.ru/account/1011420064/", 1011420064)</f>
        <v>1011420064</v>
      </c>
      <c r="D15409">
        <v>0</v>
      </c>
    </row>
    <row r="15410" spans="1:4" hidden="1" x14ac:dyDescent="0.3">
      <c r="A15410" t="s">
        <v>973</v>
      </c>
      <c r="B15410" t="s">
        <v>72</v>
      </c>
      <c r="C15410" s="1">
        <f>HYPERLINK("https://cao.dolgi.msk.ru/account/1011420398/", 1011420398)</f>
        <v>1011420398</v>
      </c>
      <c r="D15410">
        <v>0</v>
      </c>
    </row>
    <row r="15411" spans="1:4" hidden="1" x14ac:dyDescent="0.3">
      <c r="A15411" t="s">
        <v>973</v>
      </c>
      <c r="B15411" t="s">
        <v>72</v>
      </c>
      <c r="C15411" s="1">
        <f>HYPERLINK("https://cao.dolgi.msk.ru/account/1011420443/", 1011420443)</f>
        <v>1011420443</v>
      </c>
      <c r="D15411">
        <v>0</v>
      </c>
    </row>
    <row r="15412" spans="1:4" hidden="1" x14ac:dyDescent="0.3">
      <c r="A15412" t="s">
        <v>973</v>
      </c>
      <c r="B15412" t="s">
        <v>73</v>
      </c>
      <c r="C15412" s="1">
        <f>HYPERLINK("https://cao.dolgi.msk.ru/account/1011419549/", 1011419549)</f>
        <v>1011419549</v>
      </c>
      <c r="D15412">
        <v>-6193.86</v>
      </c>
    </row>
    <row r="15413" spans="1:4" hidden="1" x14ac:dyDescent="0.3">
      <c r="A15413" t="s">
        <v>973</v>
      </c>
      <c r="B15413" t="s">
        <v>73</v>
      </c>
      <c r="C15413" s="1">
        <f>HYPERLINK("https://cao.dolgi.msk.ru/account/1011419821/", 1011419821)</f>
        <v>1011419821</v>
      </c>
      <c r="D15413">
        <v>-27982.97</v>
      </c>
    </row>
    <row r="15414" spans="1:4" hidden="1" x14ac:dyDescent="0.3">
      <c r="A15414" t="s">
        <v>973</v>
      </c>
      <c r="B15414" t="s">
        <v>73</v>
      </c>
      <c r="C15414" s="1">
        <f>HYPERLINK("https://cao.dolgi.msk.ru/account/1011420312/", 1011420312)</f>
        <v>1011420312</v>
      </c>
      <c r="D15414">
        <v>-12475.03</v>
      </c>
    </row>
    <row r="15415" spans="1:4" hidden="1" x14ac:dyDescent="0.3">
      <c r="A15415" t="s">
        <v>973</v>
      </c>
      <c r="B15415" t="s">
        <v>74</v>
      </c>
      <c r="C15415" s="1">
        <f>HYPERLINK("https://cao.dolgi.msk.ru/account/1011419004/", 1011419004)</f>
        <v>1011419004</v>
      </c>
      <c r="D15415">
        <v>-46.96</v>
      </c>
    </row>
    <row r="15416" spans="1:4" hidden="1" x14ac:dyDescent="0.3">
      <c r="A15416" t="s">
        <v>973</v>
      </c>
      <c r="B15416" t="s">
        <v>74</v>
      </c>
      <c r="C15416" s="1">
        <f>HYPERLINK("https://cao.dolgi.msk.ru/account/1011419258/", 1011419258)</f>
        <v>1011419258</v>
      </c>
      <c r="D15416">
        <v>-877.23</v>
      </c>
    </row>
    <row r="15417" spans="1:4" hidden="1" x14ac:dyDescent="0.3">
      <c r="A15417" t="s">
        <v>973</v>
      </c>
      <c r="B15417" t="s">
        <v>74</v>
      </c>
      <c r="C15417" s="1">
        <f>HYPERLINK("https://cao.dolgi.msk.ru/account/1011419266/", 1011419266)</f>
        <v>1011419266</v>
      </c>
      <c r="D15417">
        <v>0</v>
      </c>
    </row>
    <row r="15418" spans="1:4" x14ac:dyDescent="0.3">
      <c r="A15418" t="s">
        <v>973</v>
      </c>
      <c r="B15418" t="s">
        <v>74</v>
      </c>
      <c r="C15418" s="1">
        <f>HYPERLINK("https://cao.dolgi.msk.ru/account/1011419354/", 1011419354)</f>
        <v>1011419354</v>
      </c>
      <c r="D15418">
        <v>10519.15</v>
      </c>
    </row>
    <row r="15419" spans="1:4" hidden="1" x14ac:dyDescent="0.3">
      <c r="A15419" t="s">
        <v>973</v>
      </c>
      <c r="B15419" t="s">
        <v>76</v>
      </c>
      <c r="C15419" s="1">
        <f>HYPERLINK("https://cao.dolgi.msk.ru/account/1011419426/", 1011419426)</f>
        <v>1011419426</v>
      </c>
      <c r="D15419">
        <v>-29356.73</v>
      </c>
    </row>
    <row r="15420" spans="1:4" hidden="1" x14ac:dyDescent="0.3">
      <c r="A15420" t="s">
        <v>973</v>
      </c>
      <c r="B15420" t="s">
        <v>77</v>
      </c>
      <c r="C15420" s="1">
        <f>HYPERLINK("https://cao.dolgi.msk.ru/account/1011419039/", 1011419039)</f>
        <v>1011419039</v>
      </c>
      <c r="D15420">
        <v>-94.15</v>
      </c>
    </row>
    <row r="15421" spans="1:4" hidden="1" x14ac:dyDescent="0.3">
      <c r="A15421" t="s">
        <v>973</v>
      </c>
      <c r="B15421" t="s">
        <v>77</v>
      </c>
      <c r="C15421" s="1">
        <f>HYPERLINK("https://cao.dolgi.msk.ru/account/1011419645/", 1011419645)</f>
        <v>1011419645</v>
      </c>
      <c r="D15421">
        <v>0</v>
      </c>
    </row>
    <row r="15422" spans="1:4" hidden="1" x14ac:dyDescent="0.3">
      <c r="A15422" t="s">
        <v>973</v>
      </c>
      <c r="B15422" t="s">
        <v>77</v>
      </c>
      <c r="C15422" s="1">
        <f>HYPERLINK("https://cao.dolgi.msk.ru/account/1011420427/", 1011420427)</f>
        <v>1011420427</v>
      </c>
      <c r="D15422">
        <v>-7722.57</v>
      </c>
    </row>
    <row r="15423" spans="1:4" hidden="1" x14ac:dyDescent="0.3">
      <c r="A15423" t="s">
        <v>973</v>
      </c>
      <c r="B15423" t="s">
        <v>78</v>
      </c>
      <c r="C15423" s="1">
        <f>HYPERLINK("https://cao.dolgi.msk.ru/account/1011419688/", 1011419688)</f>
        <v>1011419688</v>
      </c>
      <c r="D15423">
        <v>-703.63</v>
      </c>
    </row>
    <row r="15424" spans="1:4" hidden="1" x14ac:dyDescent="0.3">
      <c r="A15424" t="s">
        <v>973</v>
      </c>
      <c r="B15424" t="s">
        <v>78</v>
      </c>
      <c r="C15424" s="1">
        <f>HYPERLINK("https://cao.dolgi.msk.ru/account/1011419725/", 1011419725)</f>
        <v>1011419725</v>
      </c>
      <c r="D15424">
        <v>-882.31</v>
      </c>
    </row>
    <row r="15425" spans="1:4" hidden="1" x14ac:dyDescent="0.3">
      <c r="A15425" t="s">
        <v>973</v>
      </c>
      <c r="B15425" t="s">
        <v>78</v>
      </c>
      <c r="C15425" s="1">
        <f>HYPERLINK("https://cao.dolgi.msk.ru/account/1011419784/", 1011419784)</f>
        <v>1011419784</v>
      </c>
      <c r="D15425">
        <v>-121.29</v>
      </c>
    </row>
    <row r="15426" spans="1:4" hidden="1" x14ac:dyDescent="0.3">
      <c r="A15426" t="s">
        <v>973</v>
      </c>
      <c r="B15426" t="s">
        <v>78</v>
      </c>
      <c r="C15426" s="1">
        <f>HYPERLINK("https://cao.dolgi.msk.ru/account/1011420101/", 1011420101)</f>
        <v>1011420101</v>
      </c>
      <c r="D15426">
        <v>-395.7</v>
      </c>
    </row>
    <row r="15427" spans="1:4" x14ac:dyDescent="0.3">
      <c r="A15427" t="s">
        <v>973</v>
      </c>
      <c r="B15427" t="s">
        <v>79</v>
      </c>
      <c r="C15427" s="1">
        <f>HYPERLINK("https://cao.dolgi.msk.ru/account/1011419696/", 1011419696)</f>
        <v>1011419696</v>
      </c>
      <c r="D15427">
        <v>13462.48</v>
      </c>
    </row>
    <row r="15428" spans="1:4" x14ac:dyDescent="0.3">
      <c r="A15428" t="s">
        <v>973</v>
      </c>
      <c r="B15428" t="s">
        <v>79</v>
      </c>
      <c r="C15428" s="1">
        <f>HYPERLINK("https://cao.dolgi.msk.ru/account/1011420363/", 1011420363)</f>
        <v>1011420363</v>
      </c>
      <c r="D15428">
        <v>3665.97</v>
      </c>
    </row>
    <row r="15429" spans="1:4" x14ac:dyDescent="0.3">
      <c r="A15429" t="s">
        <v>973</v>
      </c>
      <c r="B15429" t="s">
        <v>79</v>
      </c>
      <c r="C15429" s="1">
        <f>HYPERLINK("https://cao.dolgi.msk.ru/account/1011420451/", 1011420451)</f>
        <v>1011420451</v>
      </c>
      <c r="D15429">
        <v>20684.32</v>
      </c>
    </row>
    <row r="15430" spans="1:4" hidden="1" x14ac:dyDescent="0.3">
      <c r="A15430" t="s">
        <v>973</v>
      </c>
      <c r="B15430" t="s">
        <v>80</v>
      </c>
      <c r="C15430" s="1">
        <f>HYPERLINK("https://cao.dolgi.msk.ru/account/1011419928/", 1011419928)</f>
        <v>1011419928</v>
      </c>
      <c r="D15430">
        <v>-5500.21</v>
      </c>
    </row>
    <row r="15431" spans="1:4" hidden="1" x14ac:dyDescent="0.3">
      <c r="A15431" t="s">
        <v>973</v>
      </c>
      <c r="B15431" t="s">
        <v>81</v>
      </c>
      <c r="C15431" s="1">
        <f>HYPERLINK("https://cao.dolgi.msk.ru/account/1011419303/", 1011419303)</f>
        <v>1011419303</v>
      </c>
      <c r="D15431">
        <v>-290.70999999999998</v>
      </c>
    </row>
    <row r="15432" spans="1:4" hidden="1" x14ac:dyDescent="0.3">
      <c r="A15432" t="s">
        <v>973</v>
      </c>
      <c r="B15432" t="s">
        <v>81</v>
      </c>
      <c r="C15432" s="1">
        <f>HYPERLINK("https://cao.dolgi.msk.ru/account/1011420072/", 1011420072)</f>
        <v>1011420072</v>
      </c>
      <c r="D15432">
        <v>-186.3</v>
      </c>
    </row>
    <row r="15433" spans="1:4" hidden="1" x14ac:dyDescent="0.3">
      <c r="A15433" t="s">
        <v>973</v>
      </c>
      <c r="B15433" t="s">
        <v>101</v>
      </c>
      <c r="C15433" s="1">
        <f>HYPERLINK("https://cao.dolgi.msk.ru/account/1011420267/", 1011420267)</f>
        <v>1011420267</v>
      </c>
      <c r="D15433">
        <v>-470.92</v>
      </c>
    </row>
    <row r="15434" spans="1:4" hidden="1" x14ac:dyDescent="0.3">
      <c r="A15434" t="s">
        <v>973</v>
      </c>
      <c r="B15434" t="s">
        <v>82</v>
      </c>
      <c r="C15434" s="1">
        <f>HYPERLINK("https://cao.dolgi.msk.ru/account/1011419581/", 1011419581)</f>
        <v>1011419581</v>
      </c>
      <c r="D15434">
        <v>0</v>
      </c>
    </row>
    <row r="15435" spans="1:4" hidden="1" x14ac:dyDescent="0.3">
      <c r="A15435" t="s">
        <v>973</v>
      </c>
      <c r="B15435" t="s">
        <v>83</v>
      </c>
      <c r="C15435" s="1">
        <f>HYPERLINK("https://cao.dolgi.msk.ru/account/1011419434/", 1011419434)</f>
        <v>1011419434</v>
      </c>
      <c r="D15435">
        <v>-961.1</v>
      </c>
    </row>
    <row r="15436" spans="1:4" hidden="1" x14ac:dyDescent="0.3">
      <c r="A15436" t="s">
        <v>973</v>
      </c>
      <c r="B15436" t="s">
        <v>84</v>
      </c>
      <c r="C15436" s="1">
        <f>HYPERLINK("https://cao.dolgi.msk.ru/account/1011419143/", 1011419143)</f>
        <v>1011419143</v>
      </c>
      <c r="D15436">
        <v>0</v>
      </c>
    </row>
    <row r="15437" spans="1:4" hidden="1" x14ac:dyDescent="0.3">
      <c r="A15437" t="s">
        <v>973</v>
      </c>
      <c r="B15437" t="s">
        <v>85</v>
      </c>
      <c r="C15437" s="1">
        <f>HYPERLINK("https://cao.dolgi.msk.ru/account/1011419506/", 1011419506)</f>
        <v>1011419506</v>
      </c>
      <c r="D15437">
        <v>-18299.09</v>
      </c>
    </row>
    <row r="15438" spans="1:4" hidden="1" x14ac:dyDescent="0.3">
      <c r="A15438" t="s">
        <v>973</v>
      </c>
      <c r="B15438" t="s">
        <v>85</v>
      </c>
      <c r="C15438" s="1">
        <f>HYPERLINK("https://cao.dolgi.msk.ru/account/1011419602/", 1011419602)</f>
        <v>1011419602</v>
      </c>
      <c r="D15438">
        <v>0</v>
      </c>
    </row>
    <row r="15439" spans="1:4" x14ac:dyDescent="0.3">
      <c r="A15439" t="s">
        <v>973</v>
      </c>
      <c r="B15439" t="s">
        <v>102</v>
      </c>
      <c r="C15439" s="1">
        <f>HYPERLINK("https://cao.dolgi.msk.ru/account/1011419776/", 1011419776)</f>
        <v>1011419776</v>
      </c>
      <c r="D15439">
        <v>1540.86</v>
      </c>
    </row>
    <row r="15440" spans="1:4" hidden="1" x14ac:dyDescent="0.3">
      <c r="A15440" t="s">
        <v>973</v>
      </c>
      <c r="B15440" t="s">
        <v>103</v>
      </c>
      <c r="C15440" s="1">
        <f>HYPERLINK("https://cao.dolgi.msk.ru/account/1011420187/", 1011420187)</f>
        <v>1011420187</v>
      </c>
      <c r="D15440">
        <v>-772.4</v>
      </c>
    </row>
    <row r="15441" spans="1:4" hidden="1" x14ac:dyDescent="0.3">
      <c r="A15441" t="s">
        <v>973</v>
      </c>
      <c r="B15441" t="s">
        <v>104</v>
      </c>
      <c r="C15441" s="1">
        <f>HYPERLINK("https://cao.dolgi.msk.ru/account/1011419127/", 1011419127)</f>
        <v>1011419127</v>
      </c>
      <c r="D15441">
        <v>-447.01</v>
      </c>
    </row>
    <row r="15442" spans="1:4" hidden="1" x14ac:dyDescent="0.3">
      <c r="A15442" t="s">
        <v>973</v>
      </c>
      <c r="B15442" t="s">
        <v>105</v>
      </c>
      <c r="C15442" s="1">
        <f>HYPERLINK("https://cao.dolgi.msk.ru/account/1011420048/", 1011420048)</f>
        <v>1011420048</v>
      </c>
      <c r="D15442">
        <v>0</v>
      </c>
    </row>
    <row r="15443" spans="1:4" hidden="1" x14ac:dyDescent="0.3">
      <c r="A15443" t="s">
        <v>973</v>
      </c>
      <c r="B15443" t="s">
        <v>105</v>
      </c>
      <c r="C15443" s="1">
        <f>HYPERLINK("https://cao.dolgi.msk.ru/account/1011420603/", 1011420603)</f>
        <v>1011420603</v>
      </c>
      <c r="D15443">
        <v>-8328.56</v>
      </c>
    </row>
    <row r="15444" spans="1:4" hidden="1" x14ac:dyDescent="0.3">
      <c r="A15444" t="s">
        <v>973</v>
      </c>
      <c r="B15444" t="s">
        <v>106</v>
      </c>
      <c r="C15444" s="1">
        <f>HYPERLINK("https://cao.dolgi.msk.ru/account/1011419557/", 1011419557)</f>
        <v>1011419557</v>
      </c>
      <c r="D15444">
        <v>0</v>
      </c>
    </row>
    <row r="15445" spans="1:4" hidden="1" x14ac:dyDescent="0.3">
      <c r="A15445" t="s">
        <v>973</v>
      </c>
      <c r="B15445" t="s">
        <v>107</v>
      </c>
      <c r="C15445" s="1">
        <f>HYPERLINK("https://cao.dolgi.msk.ru/account/1011418909/", 1011418909)</f>
        <v>1011418909</v>
      </c>
      <c r="D15445">
        <v>-443.96</v>
      </c>
    </row>
    <row r="15446" spans="1:4" x14ac:dyDescent="0.3">
      <c r="A15446" t="s">
        <v>973</v>
      </c>
      <c r="B15446" t="s">
        <v>108</v>
      </c>
      <c r="C15446" s="1">
        <f>HYPERLINK("https://cao.dolgi.msk.ru/account/1011419186/", 1011419186)</f>
        <v>1011419186</v>
      </c>
      <c r="D15446">
        <v>12318.21</v>
      </c>
    </row>
    <row r="15447" spans="1:4" x14ac:dyDescent="0.3">
      <c r="A15447" t="s">
        <v>973</v>
      </c>
      <c r="B15447" t="s">
        <v>109</v>
      </c>
      <c r="C15447" s="1">
        <f>HYPERLINK("https://cao.dolgi.msk.ru/account/1011420021/", 1011420021)</f>
        <v>1011420021</v>
      </c>
      <c r="D15447">
        <v>3121.28</v>
      </c>
    </row>
    <row r="15448" spans="1:4" x14ac:dyDescent="0.3">
      <c r="A15448" t="s">
        <v>973</v>
      </c>
      <c r="B15448" t="s">
        <v>110</v>
      </c>
      <c r="C15448" s="1">
        <f>HYPERLINK("https://cao.dolgi.msk.ru/account/1011420195/", 1011420195)</f>
        <v>1011420195</v>
      </c>
      <c r="D15448">
        <v>10884.11</v>
      </c>
    </row>
    <row r="15449" spans="1:4" hidden="1" x14ac:dyDescent="0.3">
      <c r="A15449" t="s">
        <v>973</v>
      </c>
      <c r="B15449" t="s">
        <v>111</v>
      </c>
      <c r="C15449" s="1">
        <f>HYPERLINK("https://cao.dolgi.msk.ru/account/1011419442/", 1011419442)</f>
        <v>1011419442</v>
      </c>
      <c r="D15449">
        <v>0</v>
      </c>
    </row>
    <row r="15450" spans="1:4" hidden="1" x14ac:dyDescent="0.3">
      <c r="A15450" t="s">
        <v>973</v>
      </c>
      <c r="B15450" t="s">
        <v>112</v>
      </c>
      <c r="C15450" s="1">
        <f>HYPERLINK("https://cao.dolgi.msk.ru/account/1011419119/", 1011419119)</f>
        <v>1011419119</v>
      </c>
      <c r="D15450">
        <v>0</v>
      </c>
    </row>
    <row r="15451" spans="1:4" hidden="1" x14ac:dyDescent="0.3">
      <c r="A15451" t="s">
        <v>973</v>
      </c>
      <c r="B15451" t="s">
        <v>113</v>
      </c>
      <c r="C15451" s="1">
        <f>HYPERLINK("https://cao.dolgi.msk.ru/account/1011418853/", 1011418853)</f>
        <v>1011418853</v>
      </c>
      <c r="D15451">
        <v>0</v>
      </c>
    </row>
    <row r="15452" spans="1:4" hidden="1" x14ac:dyDescent="0.3">
      <c r="A15452" t="s">
        <v>973</v>
      </c>
      <c r="B15452" t="s">
        <v>113</v>
      </c>
      <c r="C15452" s="1">
        <f>HYPERLINK("https://cao.dolgi.msk.ru/account/1011420275/", 1011420275)</f>
        <v>1011420275</v>
      </c>
      <c r="D15452">
        <v>-5414.53</v>
      </c>
    </row>
    <row r="15453" spans="1:4" hidden="1" x14ac:dyDescent="0.3">
      <c r="A15453" t="s">
        <v>974</v>
      </c>
      <c r="B15453" t="s">
        <v>6</v>
      </c>
      <c r="C15453" s="1">
        <f>HYPERLINK("https://cao.dolgi.msk.ru/account/1011367355/", 1011367355)</f>
        <v>1011367355</v>
      </c>
      <c r="D15453">
        <v>-281.36</v>
      </c>
    </row>
    <row r="15454" spans="1:4" hidden="1" x14ac:dyDescent="0.3">
      <c r="A15454" t="s">
        <v>974</v>
      </c>
      <c r="B15454" t="s">
        <v>28</v>
      </c>
      <c r="C15454" s="1">
        <f>HYPERLINK("https://cao.dolgi.msk.ru/account/1011367099/", 1011367099)</f>
        <v>1011367099</v>
      </c>
      <c r="D15454">
        <v>-315.14</v>
      </c>
    </row>
    <row r="15455" spans="1:4" hidden="1" x14ac:dyDescent="0.3">
      <c r="A15455" t="s">
        <v>974</v>
      </c>
      <c r="B15455" t="s">
        <v>35</v>
      </c>
      <c r="C15455" s="1">
        <f>HYPERLINK("https://cao.dolgi.msk.ru/account/1011366547/", 1011366547)</f>
        <v>1011366547</v>
      </c>
      <c r="D15455">
        <v>0</v>
      </c>
    </row>
    <row r="15456" spans="1:4" hidden="1" x14ac:dyDescent="0.3">
      <c r="A15456" t="s">
        <v>974</v>
      </c>
      <c r="B15456" t="s">
        <v>35</v>
      </c>
      <c r="C15456" s="1">
        <f>HYPERLINK("https://cao.dolgi.msk.ru/account/1011366985/", 1011366985)</f>
        <v>1011366985</v>
      </c>
      <c r="D15456">
        <v>0</v>
      </c>
    </row>
    <row r="15457" spans="1:4" hidden="1" x14ac:dyDescent="0.3">
      <c r="A15457" t="s">
        <v>974</v>
      </c>
      <c r="B15457" t="s">
        <v>35</v>
      </c>
      <c r="C15457" s="1">
        <f>HYPERLINK("https://cao.dolgi.msk.ru/account/1011367232/", 1011367232)</f>
        <v>1011367232</v>
      </c>
      <c r="D15457">
        <v>0</v>
      </c>
    </row>
    <row r="15458" spans="1:4" hidden="1" x14ac:dyDescent="0.3">
      <c r="A15458" t="s">
        <v>974</v>
      </c>
      <c r="B15458" t="s">
        <v>5</v>
      </c>
      <c r="C15458" s="1">
        <f>HYPERLINK("https://cao.dolgi.msk.ru/account/1011366571/", 1011366571)</f>
        <v>1011366571</v>
      </c>
      <c r="D15458">
        <v>0</v>
      </c>
    </row>
    <row r="15459" spans="1:4" x14ac:dyDescent="0.3">
      <c r="A15459" t="s">
        <v>974</v>
      </c>
      <c r="B15459" t="s">
        <v>5</v>
      </c>
      <c r="C15459" s="1">
        <f>HYPERLINK("https://cao.dolgi.msk.ru/account/1011366811/", 1011366811)</f>
        <v>1011366811</v>
      </c>
      <c r="D15459">
        <v>4109.25</v>
      </c>
    </row>
    <row r="15460" spans="1:4" hidden="1" x14ac:dyDescent="0.3">
      <c r="A15460" t="s">
        <v>974</v>
      </c>
      <c r="B15460" t="s">
        <v>5</v>
      </c>
      <c r="C15460" s="1">
        <f>HYPERLINK("https://cao.dolgi.msk.ru/account/1011366854/", 1011366854)</f>
        <v>1011366854</v>
      </c>
      <c r="D15460">
        <v>0</v>
      </c>
    </row>
    <row r="15461" spans="1:4" x14ac:dyDescent="0.3">
      <c r="A15461" t="s">
        <v>974</v>
      </c>
      <c r="B15461" t="s">
        <v>5</v>
      </c>
      <c r="C15461" s="1">
        <f>HYPERLINK("https://cao.dolgi.msk.ru/account/1011367064/", 1011367064)</f>
        <v>1011367064</v>
      </c>
      <c r="D15461">
        <v>15092.71</v>
      </c>
    </row>
    <row r="15462" spans="1:4" x14ac:dyDescent="0.3">
      <c r="A15462" t="s">
        <v>974</v>
      </c>
      <c r="B15462" t="s">
        <v>5</v>
      </c>
      <c r="C15462" s="1">
        <f>HYPERLINK("https://cao.dolgi.msk.ru/account/1011367208/", 1011367208)</f>
        <v>1011367208</v>
      </c>
      <c r="D15462">
        <v>3835.88</v>
      </c>
    </row>
    <row r="15463" spans="1:4" hidden="1" x14ac:dyDescent="0.3">
      <c r="A15463" t="s">
        <v>974</v>
      </c>
      <c r="B15463" t="s">
        <v>7</v>
      </c>
      <c r="C15463" s="1">
        <f>HYPERLINK("https://cao.dolgi.msk.ru/account/1011366707/", 1011366707)</f>
        <v>1011366707</v>
      </c>
      <c r="D15463">
        <v>-814.77</v>
      </c>
    </row>
    <row r="15464" spans="1:4" hidden="1" x14ac:dyDescent="0.3">
      <c r="A15464" t="s">
        <v>974</v>
      </c>
      <c r="B15464" t="s">
        <v>7</v>
      </c>
      <c r="C15464" s="1">
        <f>HYPERLINK("https://cao.dolgi.msk.ru/account/1011366838/", 1011366838)</f>
        <v>1011366838</v>
      </c>
      <c r="D15464">
        <v>0</v>
      </c>
    </row>
    <row r="15465" spans="1:4" hidden="1" x14ac:dyDescent="0.3">
      <c r="A15465" t="s">
        <v>974</v>
      </c>
      <c r="B15465" t="s">
        <v>7</v>
      </c>
      <c r="C15465" s="1">
        <f>HYPERLINK("https://cao.dolgi.msk.ru/account/1011366926/", 1011366926)</f>
        <v>1011366926</v>
      </c>
      <c r="D15465">
        <v>-4645.07</v>
      </c>
    </row>
    <row r="15466" spans="1:4" hidden="1" x14ac:dyDescent="0.3">
      <c r="A15466" t="s">
        <v>974</v>
      </c>
      <c r="B15466" t="s">
        <v>7</v>
      </c>
      <c r="C15466" s="1">
        <f>HYPERLINK("https://cao.dolgi.msk.ru/account/1011367005/", 1011367005)</f>
        <v>1011367005</v>
      </c>
      <c r="D15466">
        <v>-79.77</v>
      </c>
    </row>
    <row r="15467" spans="1:4" hidden="1" x14ac:dyDescent="0.3">
      <c r="A15467" t="s">
        <v>974</v>
      </c>
      <c r="B15467" t="s">
        <v>8</v>
      </c>
      <c r="C15467" s="1">
        <f>HYPERLINK("https://cao.dolgi.msk.ru/account/1011367259/", 1011367259)</f>
        <v>1011367259</v>
      </c>
      <c r="D15467">
        <v>-14085.8</v>
      </c>
    </row>
    <row r="15468" spans="1:4" hidden="1" x14ac:dyDescent="0.3">
      <c r="A15468" t="s">
        <v>974</v>
      </c>
      <c r="B15468" t="s">
        <v>31</v>
      </c>
      <c r="C15468" s="1">
        <f>HYPERLINK("https://cao.dolgi.msk.ru/account/1011367179/", 1011367179)</f>
        <v>1011367179</v>
      </c>
      <c r="D15468">
        <v>-96.79</v>
      </c>
    </row>
    <row r="15469" spans="1:4" hidden="1" x14ac:dyDescent="0.3">
      <c r="A15469" t="s">
        <v>974</v>
      </c>
      <c r="B15469" t="s">
        <v>31</v>
      </c>
      <c r="C15469" s="1">
        <f>HYPERLINK("https://cao.dolgi.msk.ru/account/1011367486/", 1011367486)</f>
        <v>1011367486</v>
      </c>
      <c r="D15469">
        <v>-9185.11</v>
      </c>
    </row>
    <row r="15470" spans="1:4" x14ac:dyDescent="0.3">
      <c r="A15470" t="s">
        <v>974</v>
      </c>
      <c r="B15470" t="s">
        <v>9</v>
      </c>
      <c r="C15470" s="1">
        <f>HYPERLINK("https://cao.dolgi.msk.ru/account/1011367128/", 1011367128)</f>
        <v>1011367128</v>
      </c>
      <c r="D15470">
        <v>14554.74</v>
      </c>
    </row>
    <row r="15471" spans="1:4" x14ac:dyDescent="0.3">
      <c r="A15471" t="s">
        <v>974</v>
      </c>
      <c r="B15471" t="s">
        <v>9</v>
      </c>
      <c r="C15471" s="1">
        <f>HYPERLINK("https://cao.dolgi.msk.ru/account/1011367283/", 1011367283)</f>
        <v>1011367283</v>
      </c>
      <c r="D15471">
        <v>515.52</v>
      </c>
    </row>
    <row r="15472" spans="1:4" x14ac:dyDescent="0.3">
      <c r="A15472" t="s">
        <v>974</v>
      </c>
      <c r="B15472" t="s">
        <v>9</v>
      </c>
      <c r="C15472" s="1">
        <f>HYPERLINK("https://cao.dolgi.msk.ru/account/1011367339/", 1011367339)</f>
        <v>1011367339</v>
      </c>
      <c r="D15472">
        <v>99381.119999999995</v>
      </c>
    </row>
    <row r="15473" spans="1:4" hidden="1" x14ac:dyDescent="0.3">
      <c r="A15473" t="s">
        <v>974</v>
      </c>
      <c r="B15473" t="s">
        <v>10</v>
      </c>
      <c r="C15473" s="1">
        <f>HYPERLINK("https://cao.dolgi.msk.ru/account/1011366512/", 1011366512)</f>
        <v>1011366512</v>
      </c>
      <c r="D15473">
        <v>-2984.95</v>
      </c>
    </row>
    <row r="15474" spans="1:4" hidden="1" x14ac:dyDescent="0.3">
      <c r="A15474" t="s">
        <v>974</v>
      </c>
      <c r="B15474" t="s">
        <v>10</v>
      </c>
      <c r="C15474" s="1">
        <f>HYPERLINK("https://cao.dolgi.msk.ru/account/1011366678/", 1011366678)</f>
        <v>1011366678</v>
      </c>
      <c r="D15474">
        <v>-160.38</v>
      </c>
    </row>
    <row r="15475" spans="1:4" hidden="1" x14ac:dyDescent="0.3">
      <c r="A15475" t="s">
        <v>974</v>
      </c>
      <c r="B15475" t="s">
        <v>10</v>
      </c>
      <c r="C15475" s="1">
        <f>HYPERLINK("https://cao.dolgi.msk.ru/account/1011367048/", 1011367048)</f>
        <v>1011367048</v>
      </c>
      <c r="D15475">
        <v>0</v>
      </c>
    </row>
    <row r="15476" spans="1:4" hidden="1" x14ac:dyDescent="0.3">
      <c r="A15476" t="s">
        <v>974</v>
      </c>
      <c r="B15476" t="s">
        <v>11</v>
      </c>
      <c r="C15476" s="1">
        <f>HYPERLINK("https://cao.dolgi.msk.ru/account/1011366504/", 1011366504)</f>
        <v>1011366504</v>
      </c>
      <c r="D15476">
        <v>-4103.92</v>
      </c>
    </row>
    <row r="15477" spans="1:4" x14ac:dyDescent="0.3">
      <c r="A15477" t="s">
        <v>974</v>
      </c>
      <c r="B15477" t="s">
        <v>11</v>
      </c>
      <c r="C15477" s="1">
        <f>HYPERLINK("https://cao.dolgi.msk.ru/account/1011366731/", 1011366731)</f>
        <v>1011366731</v>
      </c>
      <c r="D15477">
        <v>8939.84</v>
      </c>
    </row>
    <row r="15478" spans="1:4" x14ac:dyDescent="0.3">
      <c r="A15478" t="s">
        <v>974</v>
      </c>
      <c r="B15478" t="s">
        <v>11</v>
      </c>
      <c r="C15478" s="1">
        <f>HYPERLINK("https://cao.dolgi.msk.ru/account/1011366942/", 1011366942)</f>
        <v>1011366942</v>
      </c>
      <c r="D15478">
        <v>51814.67</v>
      </c>
    </row>
    <row r="15479" spans="1:4" x14ac:dyDescent="0.3">
      <c r="A15479" t="s">
        <v>974</v>
      </c>
      <c r="B15479" t="s">
        <v>11</v>
      </c>
      <c r="C15479" s="1">
        <f>HYPERLINK("https://cao.dolgi.msk.ru/account/1011367187/", 1011367187)</f>
        <v>1011367187</v>
      </c>
      <c r="D15479">
        <v>11755.34</v>
      </c>
    </row>
    <row r="15480" spans="1:4" x14ac:dyDescent="0.3">
      <c r="A15480" t="s">
        <v>974</v>
      </c>
      <c r="B15480" t="s">
        <v>12</v>
      </c>
      <c r="C15480" s="1">
        <f>HYPERLINK("https://cao.dolgi.msk.ru/account/1011366539/", 1011366539)</f>
        <v>1011366539</v>
      </c>
      <c r="D15480">
        <v>229002.06</v>
      </c>
    </row>
    <row r="15481" spans="1:4" hidden="1" x14ac:dyDescent="0.3">
      <c r="A15481" t="s">
        <v>974</v>
      </c>
      <c r="B15481" t="s">
        <v>12</v>
      </c>
      <c r="C15481" s="1">
        <f>HYPERLINK("https://cao.dolgi.msk.ru/account/1011367101/", 1011367101)</f>
        <v>1011367101</v>
      </c>
      <c r="D15481">
        <v>-2125.08</v>
      </c>
    </row>
    <row r="15482" spans="1:4" hidden="1" x14ac:dyDescent="0.3">
      <c r="A15482" t="s">
        <v>974</v>
      </c>
      <c r="B15482" t="s">
        <v>12</v>
      </c>
      <c r="C15482" s="1">
        <f>HYPERLINK("https://cao.dolgi.msk.ru/account/1011367136/", 1011367136)</f>
        <v>1011367136</v>
      </c>
      <c r="D15482">
        <v>-5055.92</v>
      </c>
    </row>
    <row r="15483" spans="1:4" hidden="1" x14ac:dyDescent="0.3">
      <c r="A15483" t="s">
        <v>974</v>
      </c>
      <c r="B15483" t="s">
        <v>23</v>
      </c>
      <c r="C15483" s="1">
        <f>HYPERLINK("https://cao.dolgi.msk.ru/account/1011367363/", 1011367363)</f>
        <v>1011367363</v>
      </c>
      <c r="D15483">
        <v>-834.33</v>
      </c>
    </row>
    <row r="15484" spans="1:4" hidden="1" x14ac:dyDescent="0.3">
      <c r="A15484" t="s">
        <v>974</v>
      </c>
      <c r="B15484" t="s">
        <v>23</v>
      </c>
      <c r="C15484" s="1">
        <f>HYPERLINK("https://cao.dolgi.msk.ru/account/1011367398/", 1011367398)</f>
        <v>1011367398</v>
      </c>
      <c r="D15484">
        <v>-1838.68</v>
      </c>
    </row>
    <row r="15485" spans="1:4" hidden="1" x14ac:dyDescent="0.3">
      <c r="A15485" t="s">
        <v>974</v>
      </c>
      <c r="B15485" t="s">
        <v>23</v>
      </c>
      <c r="C15485" s="1">
        <f>HYPERLINK("https://cao.dolgi.msk.ru/account/1011367427/", 1011367427)</f>
        <v>1011367427</v>
      </c>
      <c r="D15485">
        <v>-193.22</v>
      </c>
    </row>
    <row r="15486" spans="1:4" hidden="1" x14ac:dyDescent="0.3">
      <c r="A15486" t="s">
        <v>974</v>
      </c>
      <c r="B15486" t="s">
        <v>23</v>
      </c>
      <c r="C15486" s="1">
        <f>HYPERLINK("https://cao.dolgi.msk.ru/account/1011367478/", 1011367478)</f>
        <v>1011367478</v>
      </c>
      <c r="D15486">
        <v>-120.42</v>
      </c>
    </row>
    <row r="15487" spans="1:4" x14ac:dyDescent="0.3">
      <c r="A15487" t="s">
        <v>974</v>
      </c>
      <c r="B15487" t="s">
        <v>13</v>
      </c>
      <c r="C15487" s="1">
        <f>HYPERLINK("https://cao.dolgi.msk.ru/account/1011367224/", 1011367224)</f>
        <v>1011367224</v>
      </c>
      <c r="D15487">
        <v>5737.68</v>
      </c>
    </row>
    <row r="15488" spans="1:4" hidden="1" x14ac:dyDescent="0.3">
      <c r="A15488" t="s">
        <v>974</v>
      </c>
      <c r="B15488" t="s">
        <v>14</v>
      </c>
      <c r="C15488" s="1">
        <f>HYPERLINK("https://cao.dolgi.msk.ru/account/1011366715/", 1011366715)</f>
        <v>1011366715</v>
      </c>
      <c r="D15488">
        <v>-643.94000000000005</v>
      </c>
    </row>
    <row r="15489" spans="1:4" hidden="1" x14ac:dyDescent="0.3">
      <c r="A15489" t="s">
        <v>974</v>
      </c>
      <c r="B15489" t="s">
        <v>16</v>
      </c>
      <c r="C15489" s="1">
        <f>HYPERLINK("https://cao.dolgi.msk.ru/account/1011366643/", 1011366643)</f>
        <v>1011366643</v>
      </c>
      <c r="D15489">
        <v>0</v>
      </c>
    </row>
    <row r="15490" spans="1:4" hidden="1" x14ac:dyDescent="0.3">
      <c r="A15490" t="s">
        <v>974</v>
      </c>
      <c r="B15490" t="s">
        <v>16</v>
      </c>
      <c r="C15490" s="1">
        <f>HYPERLINK("https://cao.dolgi.msk.ru/account/1011367144/", 1011367144)</f>
        <v>1011367144</v>
      </c>
      <c r="D15490">
        <v>-65.28</v>
      </c>
    </row>
    <row r="15491" spans="1:4" hidden="1" x14ac:dyDescent="0.3">
      <c r="A15491" t="s">
        <v>974</v>
      </c>
      <c r="B15491" t="s">
        <v>16</v>
      </c>
      <c r="C15491" s="1">
        <f>HYPERLINK("https://cao.dolgi.msk.ru/account/1011367216/", 1011367216)</f>
        <v>1011367216</v>
      </c>
      <c r="D15491">
        <v>0</v>
      </c>
    </row>
    <row r="15492" spans="1:4" hidden="1" x14ac:dyDescent="0.3">
      <c r="A15492" t="s">
        <v>974</v>
      </c>
      <c r="B15492" t="s">
        <v>16</v>
      </c>
      <c r="C15492" s="1">
        <f>HYPERLINK("https://cao.dolgi.msk.ru/account/1011367291/", 1011367291)</f>
        <v>1011367291</v>
      </c>
      <c r="D15492">
        <v>-7794.03</v>
      </c>
    </row>
    <row r="15493" spans="1:4" hidden="1" x14ac:dyDescent="0.3">
      <c r="A15493" t="s">
        <v>974</v>
      </c>
      <c r="B15493" t="s">
        <v>17</v>
      </c>
      <c r="C15493" s="1">
        <f>HYPERLINK("https://cao.dolgi.msk.ru/account/1011366651/", 1011366651)</f>
        <v>1011366651</v>
      </c>
      <c r="D15493">
        <v>0</v>
      </c>
    </row>
    <row r="15494" spans="1:4" hidden="1" x14ac:dyDescent="0.3">
      <c r="A15494" t="s">
        <v>974</v>
      </c>
      <c r="B15494" t="s">
        <v>17</v>
      </c>
      <c r="C15494" s="1">
        <f>HYPERLINK("https://cao.dolgi.msk.ru/account/1011366969/", 1011366969)</f>
        <v>1011366969</v>
      </c>
      <c r="D15494">
        <v>-165.73</v>
      </c>
    </row>
    <row r="15495" spans="1:4" hidden="1" x14ac:dyDescent="0.3">
      <c r="A15495" t="s">
        <v>974</v>
      </c>
      <c r="B15495" t="s">
        <v>17</v>
      </c>
      <c r="C15495" s="1">
        <f>HYPERLINK("https://cao.dolgi.msk.ru/account/1011513981/", 1011513981)</f>
        <v>1011513981</v>
      </c>
      <c r="D15495">
        <v>0</v>
      </c>
    </row>
    <row r="15496" spans="1:4" x14ac:dyDescent="0.3">
      <c r="A15496" t="s">
        <v>974</v>
      </c>
      <c r="B15496" t="s">
        <v>18</v>
      </c>
      <c r="C15496" s="1">
        <f>HYPERLINK("https://cao.dolgi.msk.ru/account/1011366619/", 1011366619)</f>
        <v>1011366619</v>
      </c>
      <c r="D15496">
        <v>49820.34</v>
      </c>
    </row>
    <row r="15497" spans="1:4" x14ac:dyDescent="0.3">
      <c r="A15497" t="s">
        <v>974</v>
      </c>
      <c r="B15497" t="s">
        <v>18</v>
      </c>
      <c r="C15497" s="1">
        <f>HYPERLINK("https://cao.dolgi.msk.ru/account/1011366758/", 1011366758)</f>
        <v>1011366758</v>
      </c>
      <c r="D15497">
        <v>2649.6</v>
      </c>
    </row>
    <row r="15498" spans="1:4" hidden="1" x14ac:dyDescent="0.3">
      <c r="A15498" t="s">
        <v>974</v>
      </c>
      <c r="B15498" t="s">
        <v>18</v>
      </c>
      <c r="C15498" s="1">
        <f>HYPERLINK("https://cao.dolgi.msk.ru/account/1011366766/", 1011366766)</f>
        <v>1011366766</v>
      </c>
      <c r="D15498">
        <v>-3132.74</v>
      </c>
    </row>
    <row r="15499" spans="1:4" x14ac:dyDescent="0.3">
      <c r="A15499" t="s">
        <v>974</v>
      </c>
      <c r="B15499" t="s">
        <v>18</v>
      </c>
      <c r="C15499" s="1">
        <f>HYPERLINK("https://cao.dolgi.msk.ru/account/1011495859/", 1011495859)</f>
        <v>1011495859</v>
      </c>
      <c r="D15499">
        <v>1160.5</v>
      </c>
    </row>
    <row r="15500" spans="1:4" x14ac:dyDescent="0.3">
      <c r="A15500" t="s">
        <v>974</v>
      </c>
      <c r="B15500" t="s">
        <v>19</v>
      </c>
      <c r="C15500" s="1">
        <f>HYPERLINK("https://cao.dolgi.msk.ru/account/1011366627/", 1011366627)</f>
        <v>1011366627</v>
      </c>
      <c r="D15500">
        <v>3023.9</v>
      </c>
    </row>
    <row r="15501" spans="1:4" hidden="1" x14ac:dyDescent="0.3">
      <c r="A15501" t="s">
        <v>974</v>
      </c>
      <c r="B15501" t="s">
        <v>19</v>
      </c>
      <c r="C15501" s="1">
        <f>HYPERLINK("https://cao.dolgi.msk.ru/account/1011366723/", 1011366723)</f>
        <v>1011366723</v>
      </c>
      <c r="D15501">
        <v>-3031.82</v>
      </c>
    </row>
    <row r="15502" spans="1:4" hidden="1" x14ac:dyDescent="0.3">
      <c r="A15502" t="s">
        <v>974</v>
      </c>
      <c r="B15502" t="s">
        <v>19</v>
      </c>
      <c r="C15502" s="1">
        <f>HYPERLINK("https://cao.dolgi.msk.ru/account/1011366846/", 1011366846)</f>
        <v>1011366846</v>
      </c>
      <c r="D15502">
        <v>-4934.47</v>
      </c>
    </row>
    <row r="15503" spans="1:4" hidden="1" x14ac:dyDescent="0.3">
      <c r="A15503" t="s">
        <v>974</v>
      </c>
      <c r="B15503" t="s">
        <v>20</v>
      </c>
      <c r="C15503" s="1">
        <f>HYPERLINK("https://cao.dolgi.msk.ru/account/1011366862/", 1011366862)</f>
        <v>1011366862</v>
      </c>
      <c r="D15503">
        <v>0</v>
      </c>
    </row>
    <row r="15504" spans="1:4" hidden="1" x14ac:dyDescent="0.3">
      <c r="A15504" t="s">
        <v>974</v>
      </c>
      <c r="B15504" t="s">
        <v>20</v>
      </c>
      <c r="C15504" s="1">
        <f>HYPERLINK("https://cao.dolgi.msk.ru/account/1011367371/", 1011367371)</f>
        <v>1011367371</v>
      </c>
      <c r="D15504">
        <v>0</v>
      </c>
    </row>
    <row r="15505" spans="1:4" hidden="1" x14ac:dyDescent="0.3">
      <c r="A15505" t="s">
        <v>974</v>
      </c>
      <c r="B15505" t="s">
        <v>20</v>
      </c>
      <c r="C15505" s="1">
        <f>HYPERLINK("https://cao.dolgi.msk.ru/account/1011515231/", 1011515231)</f>
        <v>1011515231</v>
      </c>
      <c r="D15505">
        <v>0</v>
      </c>
    </row>
    <row r="15506" spans="1:4" hidden="1" x14ac:dyDescent="0.3">
      <c r="A15506" t="s">
        <v>974</v>
      </c>
      <c r="B15506" t="s">
        <v>20</v>
      </c>
      <c r="C15506" s="1">
        <f>HYPERLINK("https://cao.dolgi.msk.ru/account/1011515258/", 1011515258)</f>
        <v>1011515258</v>
      </c>
      <c r="D15506">
        <v>0</v>
      </c>
    </row>
    <row r="15507" spans="1:4" hidden="1" x14ac:dyDescent="0.3">
      <c r="A15507" t="s">
        <v>974</v>
      </c>
      <c r="B15507" t="s">
        <v>21</v>
      </c>
      <c r="C15507" s="1">
        <f>HYPERLINK("https://cao.dolgi.msk.ru/account/1011366598/", 1011366598)</f>
        <v>1011366598</v>
      </c>
      <c r="D15507">
        <v>-5277.6</v>
      </c>
    </row>
    <row r="15508" spans="1:4" hidden="1" x14ac:dyDescent="0.3">
      <c r="A15508" t="s">
        <v>974</v>
      </c>
      <c r="B15508" t="s">
        <v>21</v>
      </c>
      <c r="C15508" s="1">
        <f>HYPERLINK("https://cao.dolgi.msk.ru/account/1011366774/", 1011366774)</f>
        <v>1011366774</v>
      </c>
      <c r="D15508">
        <v>-123.52</v>
      </c>
    </row>
    <row r="15509" spans="1:4" x14ac:dyDescent="0.3">
      <c r="A15509" t="s">
        <v>974</v>
      </c>
      <c r="B15509" t="s">
        <v>21</v>
      </c>
      <c r="C15509" s="1">
        <f>HYPERLINK("https://cao.dolgi.msk.ru/account/1011366889/", 1011366889)</f>
        <v>1011366889</v>
      </c>
      <c r="D15509">
        <v>65536.95</v>
      </c>
    </row>
    <row r="15510" spans="1:4" x14ac:dyDescent="0.3">
      <c r="A15510" t="s">
        <v>974</v>
      </c>
      <c r="B15510" t="s">
        <v>22</v>
      </c>
      <c r="C15510" s="1">
        <f>HYPERLINK("https://cao.dolgi.msk.ru/account/1011366803/", 1011366803)</f>
        <v>1011366803</v>
      </c>
      <c r="D15510">
        <v>15919.19</v>
      </c>
    </row>
    <row r="15511" spans="1:4" hidden="1" x14ac:dyDescent="0.3">
      <c r="A15511" t="s">
        <v>974</v>
      </c>
      <c r="B15511" t="s">
        <v>22</v>
      </c>
      <c r="C15511" s="1">
        <f>HYPERLINK("https://cao.dolgi.msk.ru/account/1011367013/", 1011367013)</f>
        <v>1011367013</v>
      </c>
      <c r="D15511">
        <v>-236.82</v>
      </c>
    </row>
    <row r="15512" spans="1:4" x14ac:dyDescent="0.3">
      <c r="A15512" t="s">
        <v>974</v>
      </c>
      <c r="B15512" t="s">
        <v>22</v>
      </c>
      <c r="C15512" s="1">
        <f>HYPERLINK("https://cao.dolgi.msk.ru/account/1011367267/", 1011367267)</f>
        <v>1011367267</v>
      </c>
      <c r="D15512">
        <v>16723.580000000002</v>
      </c>
    </row>
    <row r="15513" spans="1:4" hidden="1" x14ac:dyDescent="0.3">
      <c r="A15513" t="s">
        <v>974</v>
      </c>
      <c r="B15513" t="s">
        <v>25</v>
      </c>
      <c r="C15513" s="1">
        <f>HYPERLINK("https://cao.dolgi.msk.ru/account/1011366993/", 1011366993)</f>
        <v>1011366993</v>
      </c>
      <c r="D15513">
        <v>-3435.78</v>
      </c>
    </row>
    <row r="15514" spans="1:4" hidden="1" x14ac:dyDescent="0.3">
      <c r="A15514" t="s">
        <v>974</v>
      </c>
      <c r="B15514" t="s">
        <v>25</v>
      </c>
      <c r="C15514" s="1">
        <f>HYPERLINK("https://cao.dolgi.msk.ru/account/1011367347/", 1011367347)</f>
        <v>1011367347</v>
      </c>
      <c r="D15514">
        <v>0</v>
      </c>
    </row>
    <row r="15515" spans="1:4" x14ac:dyDescent="0.3">
      <c r="A15515" t="s">
        <v>974</v>
      </c>
      <c r="B15515" t="s">
        <v>25</v>
      </c>
      <c r="C15515" s="1">
        <f>HYPERLINK("https://cao.dolgi.msk.ru/account/1011367419/", 1011367419)</f>
        <v>1011367419</v>
      </c>
      <c r="D15515">
        <v>56839.19</v>
      </c>
    </row>
    <row r="15516" spans="1:4" hidden="1" x14ac:dyDescent="0.3">
      <c r="A15516" t="s">
        <v>974</v>
      </c>
      <c r="B15516" t="s">
        <v>25</v>
      </c>
      <c r="C15516" s="1">
        <f>HYPERLINK("https://cao.dolgi.msk.ru/account/1011367435/", 1011367435)</f>
        <v>1011367435</v>
      </c>
      <c r="D15516">
        <v>-1808.1</v>
      </c>
    </row>
    <row r="15517" spans="1:4" hidden="1" x14ac:dyDescent="0.3">
      <c r="A15517" t="s">
        <v>974</v>
      </c>
      <c r="B15517" t="s">
        <v>26</v>
      </c>
      <c r="C15517" s="1">
        <f>HYPERLINK("https://cao.dolgi.msk.ru/account/1011366782/", 1011366782)</f>
        <v>1011366782</v>
      </c>
      <c r="D15517">
        <v>-18747.240000000002</v>
      </c>
    </row>
    <row r="15518" spans="1:4" hidden="1" x14ac:dyDescent="0.3">
      <c r="A15518" t="s">
        <v>974</v>
      </c>
      <c r="B15518" t="s">
        <v>27</v>
      </c>
      <c r="C15518" s="1">
        <f>HYPERLINK("https://cao.dolgi.msk.ru/account/1011367312/", 1011367312)</f>
        <v>1011367312</v>
      </c>
      <c r="D15518">
        <v>-4784.1499999999996</v>
      </c>
    </row>
    <row r="15519" spans="1:4" hidden="1" x14ac:dyDescent="0.3">
      <c r="A15519" t="s">
        <v>974</v>
      </c>
      <c r="B15519" t="s">
        <v>27</v>
      </c>
      <c r="C15519" s="1">
        <f>HYPERLINK("https://cao.dolgi.msk.ru/account/1011367451/", 1011367451)</f>
        <v>1011367451</v>
      </c>
      <c r="D15519">
        <v>0</v>
      </c>
    </row>
    <row r="15520" spans="1:4" hidden="1" x14ac:dyDescent="0.3">
      <c r="A15520" t="s">
        <v>974</v>
      </c>
      <c r="B15520" t="s">
        <v>27</v>
      </c>
      <c r="C15520" s="1">
        <f>HYPERLINK("https://cao.dolgi.msk.ru/account/1011504997/", 1011504997)</f>
        <v>1011504997</v>
      </c>
      <c r="D15520">
        <v>-6144.65</v>
      </c>
    </row>
    <row r="15521" spans="1:4" hidden="1" x14ac:dyDescent="0.3">
      <c r="A15521" t="s">
        <v>974</v>
      </c>
      <c r="B15521" t="s">
        <v>29</v>
      </c>
      <c r="C15521" s="1">
        <f>HYPERLINK("https://cao.dolgi.msk.ru/account/1011366563/", 1011366563)</f>
        <v>1011366563</v>
      </c>
      <c r="D15521">
        <v>0</v>
      </c>
    </row>
    <row r="15522" spans="1:4" x14ac:dyDescent="0.3">
      <c r="A15522" t="s">
        <v>974</v>
      </c>
      <c r="B15522" t="s">
        <v>29</v>
      </c>
      <c r="C15522" s="1">
        <f>HYPERLINK("https://cao.dolgi.msk.ru/account/1011366694/", 1011366694)</f>
        <v>1011366694</v>
      </c>
      <c r="D15522">
        <v>1868.47</v>
      </c>
    </row>
    <row r="15523" spans="1:4" hidden="1" x14ac:dyDescent="0.3">
      <c r="A15523" t="s">
        <v>974</v>
      </c>
      <c r="B15523" t="s">
        <v>29</v>
      </c>
      <c r="C15523" s="1">
        <f>HYPERLINK("https://cao.dolgi.msk.ru/account/1011367056/", 1011367056)</f>
        <v>1011367056</v>
      </c>
      <c r="D15523">
        <v>0</v>
      </c>
    </row>
    <row r="15524" spans="1:4" hidden="1" x14ac:dyDescent="0.3">
      <c r="A15524" t="s">
        <v>974</v>
      </c>
      <c r="B15524" t="s">
        <v>29</v>
      </c>
      <c r="C15524" s="1">
        <f>HYPERLINK("https://cao.dolgi.msk.ru/account/1011367275/", 1011367275)</f>
        <v>1011367275</v>
      </c>
      <c r="D15524">
        <v>0</v>
      </c>
    </row>
    <row r="15525" spans="1:4" hidden="1" x14ac:dyDescent="0.3">
      <c r="A15525" t="s">
        <v>974</v>
      </c>
      <c r="B15525" t="s">
        <v>38</v>
      </c>
      <c r="C15525" s="1">
        <f>HYPERLINK("https://cao.dolgi.msk.ru/account/1011366934/", 1011366934)</f>
        <v>1011366934</v>
      </c>
      <c r="D15525">
        <v>-261.62</v>
      </c>
    </row>
    <row r="15526" spans="1:4" hidden="1" x14ac:dyDescent="0.3">
      <c r="A15526" t="s">
        <v>974</v>
      </c>
      <c r="B15526" t="s">
        <v>38</v>
      </c>
      <c r="C15526" s="1">
        <f>HYPERLINK("https://cao.dolgi.msk.ru/account/1011367195/", 1011367195)</f>
        <v>1011367195</v>
      </c>
      <c r="D15526">
        <v>-525.41</v>
      </c>
    </row>
    <row r="15527" spans="1:4" hidden="1" x14ac:dyDescent="0.3">
      <c r="A15527" t="s">
        <v>974</v>
      </c>
      <c r="B15527" t="s">
        <v>38</v>
      </c>
      <c r="C15527" s="1">
        <f>HYPERLINK("https://cao.dolgi.msk.ru/account/1011367443/", 1011367443)</f>
        <v>1011367443</v>
      </c>
      <c r="D15527">
        <v>0</v>
      </c>
    </row>
    <row r="15528" spans="1:4" hidden="1" x14ac:dyDescent="0.3">
      <c r="A15528" t="s">
        <v>974</v>
      </c>
      <c r="B15528" t="s">
        <v>39</v>
      </c>
      <c r="C15528" s="1">
        <f>HYPERLINK("https://cao.dolgi.msk.ru/account/1011366555/", 1011366555)</f>
        <v>1011366555</v>
      </c>
      <c r="D15528">
        <v>0</v>
      </c>
    </row>
    <row r="15529" spans="1:4" hidden="1" x14ac:dyDescent="0.3">
      <c r="A15529" t="s">
        <v>974</v>
      </c>
      <c r="B15529" t="s">
        <v>39</v>
      </c>
      <c r="C15529" s="1">
        <f>HYPERLINK("https://cao.dolgi.msk.ru/account/1011366977/", 1011366977)</f>
        <v>1011366977</v>
      </c>
      <c r="D15529">
        <v>0</v>
      </c>
    </row>
    <row r="15530" spans="1:4" x14ac:dyDescent="0.3">
      <c r="A15530" t="s">
        <v>974</v>
      </c>
      <c r="B15530" t="s">
        <v>39</v>
      </c>
      <c r="C15530" s="1">
        <f>HYPERLINK("https://cao.dolgi.msk.ru/account/1011367021/", 1011367021)</f>
        <v>1011367021</v>
      </c>
      <c r="D15530">
        <v>74839.39</v>
      </c>
    </row>
    <row r="15531" spans="1:4" hidden="1" x14ac:dyDescent="0.3">
      <c r="A15531" t="s">
        <v>974</v>
      </c>
      <c r="B15531" t="s">
        <v>39</v>
      </c>
      <c r="C15531" s="1">
        <f>HYPERLINK("https://cao.dolgi.msk.ru/account/1011367304/", 1011367304)</f>
        <v>1011367304</v>
      </c>
      <c r="D15531">
        <v>-1282.04</v>
      </c>
    </row>
    <row r="15532" spans="1:4" x14ac:dyDescent="0.3">
      <c r="A15532" t="s">
        <v>974</v>
      </c>
      <c r="B15532" t="s">
        <v>40</v>
      </c>
      <c r="C15532" s="1">
        <f>HYPERLINK("https://cao.dolgi.msk.ru/account/1011366686/", 1011366686)</f>
        <v>1011366686</v>
      </c>
      <c r="D15532">
        <v>383076.26</v>
      </c>
    </row>
    <row r="15533" spans="1:4" hidden="1" x14ac:dyDescent="0.3">
      <c r="A15533" t="s">
        <v>974</v>
      </c>
      <c r="B15533" t="s">
        <v>41</v>
      </c>
      <c r="C15533" s="1">
        <f>HYPERLINK("https://cao.dolgi.msk.ru/account/1011366635/", 1011366635)</f>
        <v>1011366635</v>
      </c>
      <c r="D15533">
        <v>0</v>
      </c>
    </row>
    <row r="15534" spans="1:4" hidden="1" x14ac:dyDescent="0.3">
      <c r="A15534" t="s">
        <v>974</v>
      </c>
      <c r="B15534" t="s">
        <v>41</v>
      </c>
      <c r="C15534" s="1">
        <f>HYPERLINK("https://cao.dolgi.msk.ru/account/1011366897/", 1011366897)</f>
        <v>1011366897</v>
      </c>
      <c r="D15534">
        <v>0</v>
      </c>
    </row>
    <row r="15535" spans="1:4" x14ac:dyDescent="0.3">
      <c r="A15535" t="s">
        <v>974</v>
      </c>
      <c r="B15535" t="s">
        <v>41</v>
      </c>
      <c r="C15535" s="1">
        <f>HYPERLINK("https://cao.dolgi.msk.ru/account/1011367152/", 1011367152)</f>
        <v>1011367152</v>
      </c>
      <c r="D15535">
        <v>2625.94</v>
      </c>
    </row>
    <row r="15536" spans="1:4" x14ac:dyDescent="0.3">
      <c r="A15536" t="s">
        <v>975</v>
      </c>
      <c r="B15536" t="s">
        <v>55</v>
      </c>
      <c r="C15536" s="1">
        <f>HYPERLINK("https://cao.dolgi.msk.ru/account/1011343361/", 1011343361)</f>
        <v>1011343361</v>
      </c>
      <c r="D15536">
        <v>22243.65</v>
      </c>
    </row>
    <row r="15537" spans="1:4" hidden="1" x14ac:dyDescent="0.3">
      <c r="A15537" t="s">
        <v>975</v>
      </c>
      <c r="B15537" t="s">
        <v>56</v>
      </c>
      <c r="C15537" s="1">
        <f>HYPERLINK("https://cao.dolgi.msk.ru/account/1011343388/", 1011343388)</f>
        <v>1011343388</v>
      </c>
      <c r="D15537">
        <v>0</v>
      </c>
    </row>
    <row r="15538" spans="1:4" hidden="1" x14ac:dyDescent="0.3">
      <c r="A15538" t="s">
        <v>975</v>
      </c>
      <c r="B15538" t="s">
        <v>87</v>
      </c>
      <c r="C15538" s="1">
        <f>HYPERLINK("https://cao.dolgi.msk.ru/account/1011343222/", 1011343222)</f>
        <v>1011343222</v>
      </c>
      <c r="D15538">
        <v>-1561.18</v>
      </c>
    </row>
    <row r="15539" spans="1:4" hidden="1" x14ac:dyDescent="0.3">
      <c r="A15539" t="s">
        <v>975</v>
      </c>
      <c r="B15539" t="s">
        <v>88</v>
      </c>
      <c r="C15539" s="1">
        <f>HYPERLINK("https://cao.dolgi.msk.ru/account/1011343468/", 1011343468)</f>
        <v>1011343468</v>
      </c>
      <c r="D15539">
        <v>-11617.89</v>
      </c>
    </row>
    <row r="15540" spans="1:4" hidden="1" x14ac:dyDescent="0.3">
      <c r="A15540" t="s">
        <v>975</v>
      </c>
      <c r="B15540" t="s">
        <v>89</v>
      </c>
      <c r="C15540" s="1">
        <f>HYPERLINK("https://cao.dolgi.msk.ru/account/1011343484/", 1011343484)</f>
        <v>1011343484</v>
      </c>
      <c r="D15540">
        <v>-9662.56</v>
      </c>
    </row>
    <row r="15541" spans="1:4" hidden="1" x14ac:dyDescent="0.3">
      <c r="A15541" t="s">
        <v>975</v>
      </c>
      <c r="B15541" t="s">
        <v>90</v>
      </c>
      <c r="C15541" s="1">
        <f>HYPERLINK("https://cao.dolgi.msk.ru/account/1011343396/", 1011343396)</f>
        <v>1011343396</v>
      </c>
      <c r="D15541">
        <v>-7167.74</v>
      </c>
    </row>
    <row r="15542" spans="1:4" x14ac:dyDescent="0.3">
      <c r="A15542" t="s">
        <v>975</v>
      </c>
      <c r="B15542" t="s">
        <v>96</v>
      </c>
      <c r="C15542" s="1">
        <f>HYPERLINK("https://cao.dolgi.msk.ru/account/1011343476/", 1011343476)</f>
        <v>1011343476</v>
      </c>
      <c r="D15542">
        <v>437549.68</v>
      </c>
    </row>
    <row r="15543" spans="1:4" hidden="1" x14ac:dyDescent="0.3">
      <c r="A15543" t="s">
        <v>975</v>
      </c>
      <c r="B15543" t="s">
        <v>97</v>
      </c>
      <c r="C15543" s="1">
        <f>HYPERLINK("https://cao.dolgi.msk.ru/account/1011343206/", 1011343206)</f>
        <v>1011343206</v>
      </c>
      <c r="D15543">
        <v>-8.11</v>
      </c>
    </row>
    <row r="15544" spans="1:4" hidden="1" x14ac:dyDescent="0.3">
      <c r="A15544" t="s">
        <v>975</v>
      </c>
      <c r="B15544" t="s">
        <v>98</v>
      </c>
      <c r="C15544" s="1">
        <f>HYPERLINK("https://cao.dolgi.msk.ru/account/1011343337/", 1011343337)</f>
        <v>1011343337</v>
      </c>
      <c r="D15544">
        <v>0</v>
      </c>
    </row>
    <row r="15545" spans="1:4" hidden="1" x14ac:dyDescent="0.3">
      <c r="A15545" t="s">
        <v>975</v>
      </c>
      <c r="B15545" t="s">
        <v>58</v>
      </c>
      <c r="C15545" s="1">
        <f>HYPERLINK("https://cao.dolgi.msk.ru/account/1011343329/", 1011343329)</f>
        <v>1011343329</v>
      </c>
      <c r="D15545">
        <v>0</v>
      </c>
    </row>
    <row r="15546" spans="1:4" hidden="1" x14ac:dyDescent="0.3">
      <c r="A15546" t="s">
        <v>975</v>
      </c>
      <c r="B15546" t="s">
        <v>59</v>
      </c>
      <c r="C15546" s="1">
        <f>HYPERLINK("https://cao.dolgi.msk.ru/account/1011343273/", 1011343273)</f>
        <v>1011343273</v>
      </c>
      <c r="D15546">
        <v>0</v>
      </c>
    </row>
    <row r="15547" spans="1:4" hidden="1" x14ac:dyDescent="0.3">
      <c r="A15547" t="s">
        <v>975</v>
      </c>
      <c r="B15547" t="s">
        <v>60</v>
      </c>
      <c r="C15547" s="1">
        <f>HYPERLINK("https://cao.dolgi.msk.ru/account/1011343345/", 1011343345)</f>
        <v>1011343345</v>
      </c>
      <c r="D15547">
        <v>0</v>
      </c>
    </row>
    <row r="15548" spans="1:4" x14ac:dyDescent="0.3">
      <c r="A15548" t="s">
        <v>975</v>
      </c>
      <c r="B15548" t="s">
        <v>61</v>
      </c>
      <c r="C15548" s="1">
        <f>HYPERLINK("https://cao.dolgi.msk.ru/account/1011534408/", 1011534408)</f>
        <v>1011534408</v>
      </c>
      <c r="D15548">
        <v>10034.450000000001</v>
      </c>
    </row>
    <row r="15549" spans="1:4" hidden="1" x14ac:dyDescent="0.3">
      <c r="A15549" t="s">
        <v>975</v>
      </c>
      <c r="B15549" t="s">
        <v>62</v>
      </c>
      <c r="C15549" s="1">
        <f>HYPERLINK("https://cao.dolgi.msk.ru/account/1011343185/", 1011343185)</f>
        <v>1011343185</v>
      </c>
      <c r="D15549">
        <v>-4867.7700000000004</v>
      </c>
    </row>
    <row r="15550" spans="1:4" hidden="1" x14ac:dyDescent="0.3">
      <c r="A15550" t="s">
        <v>975</v>
      </c>
      <c r="B15550" t="s">
        <v>63</v>
      </c>
      <c r="C15550" s="1">
        <f>HYPERLINK("https://cao.dolgi.msk.ru/account/1011343302/", 1011343302)</f>
        <v>1011343302</v>
      </c>
      <c r="D15550">
        <v>-15108.47</v>
      </c>
    </row>
    <row r="15551" spans="1:4" hidden="1" x14ac:dyDescent="0.3">
      <c r="A15551" t="s">
        <v>975</v>
      </c>
      <c r="B15551" t="s">
        <v>64</v>
      </c>
      <c r="C15551" s="1">
        <f>HYPERLINK("https://cao.dolgi.msk.ru/account/1011343409/", 1011343409)</f>
        <v>1011343409</v>
      </c>
      <c r="D15551">
        <v>0</v>
      </c>
    </row>
    <row r="15552" spans="1:4" hidden="1" x14ac:dyDescent="0.3">
      <c r="A15552" t="s">
        <v>975</v>
      </c>
      <c r="B15552" t="s">
        <v>69</v>
      </c>
      <c r="C15552" s="1">
        <f>HYPERLINK("https://cao.dolgi.msk.ru/account/1011343417/", 1011343417)</f>
        <v>1011343417</v>
      </c>
      <c r="D15552">
        <v>0</v>
      </c>
    </row>
    <row r="15553" spans="1:4" x14ac:dyDescent="0.3">
      <c r="A15553" t="s">
        <v>975</v>
      </c>
      <c r="B15553" t="s">
        <v>70</v>
      </c>
      <c r="C15553" s="1">
        <f>HYPERLINK("https://cao.dolgi.msk.ru/account/1011343265/", 1011343265)</f>
        <v>1011343265</v>
      </c>
      <c r="D15553">
        <v>42514.5</v>
      </c>
    </row>
    <row r="15554" spans="1:4" hidden="1" x14ac:dyDescent="0.3">
      <c r="A15554" t="s">
        <v>975</v>
      </c>
      <c r="B15554" t="s">
        <v>259</v>
      </c>
      <c r="C15554" s="1">
        <f>HYPERLINK("https://cao.dolgi.msk.ru/account/1011343193/", 1011343193)</f>
        <v>1011343193</v>
      </c>
      <c r="D15554">
        <v>-0.22</v>
      </c>
    </row>
    <row r="15555" spans="1:4" hidden="1" x14ac:dyDescent="0.3">
      <c r="A15555" t="s">
        <v>975</v>
      </c>
      <c r="B15555" t="s">
        <v>100</v>
      </c>
      <c r="C15555" s="1">
        <f>HYPERLINK("https://cao.dolgi.msk.ru/account/1011343257/", 1011343257)</f>
        <v>1011343257</v>
      </c>
      <c r="D15555">
        <v>0</v>
      </c>
    </row>
    <row r="15556" spans="1:4" hidden="1" x14ac:dyDescent="0.3">
      <c r="A15556" t="s">
        <v>975</v>
      </c>
      <c r="B15556" t="s">
        <v>72</v>
      </c>
      <c r="C15556" s="1">
        <f>HYPERLINK("https://cao.dolgi.msk.ru/account/1011343425/", 1011343425)</f>
        <v>1011343425</v>
      </c>
      <c r="D15556">
        <v>0</v>
      </c>
    </row>
    <row r="15557" spans="1:4" hidden="1" x14ac:dyDescent="0.3">
      <c r="A15557" t="s">
        <v>975</v>
      </c>
      <c r="B15557" t="s">
        <v>73</v>
      </c>
      <c r="C15557" s="1">
        <f>HYPERLINK("https://cao.dolgi.msk.ru/account/1011343214/", 1011343214)</f>
        <v>1011343214</v>
      </c>
      <c r="D15557">
        <v>-5302.89</v>
      </c>
    </row>
    <row r="15558" spans="1:4" hidden="1" x14ac:dyDescent="0.3">
      <c r="A15558" t="s">
        <v>975</v>
      </c>
      <c r="B15558" t="s">
        <v>74</v>
      </c>
      <c r="C15558" s="1">
        <f>HYPERLINK("https://cao.dolgi.msk.ru/account/1011343433/", 1011343433)</f>
        <v>1011343433</v>
      </c>
      <c r="D15558">
        <v>-46511.48</v>
      </c>
    </row>
    <row r="15559" spans="1:4" x14ac:dyDescent="0.3">
      <c r="A15559" t="s">
        <v>975</v>
      </c>
      <c r="B15559" t="s">
        <v>75</v>
      </c>
      <c r="C15559" s="1">
        <f>HYPERLINK("https://cao.dolgi.msk.ru/account/1011343353/", 1011343353)</f>
        <v>1011343353</v>
      </c>
      <c r="D15559">
        <v>31940.86</v>
      </c>
    </row>
    <row r="15560" spans="1:4" hidden="1" x14ac:dyDescent="0.3">
      <c r="A15560" t="s">
        <v>976</v>
      </c>
      <c r="B15560" t="s">
        <v>51</v>
      </c>
      <c r="C15560" s="1">
        <f>HYPERLINK("https://cao.dolgi.msk.ru/account/1011440815/", 1011440815)</f>
        <v>1011440815</v>
      </c>
      <c r="D15560">
        <v>0</v>
      </c>
    </row>
    <row r="15561" spans="1:4" hidden="1" x14ac:dyDescent="0.3">
      <c r="A15561" t="s">
        <v>976</v>
      </c>
      <c r="B15561" t="s">
        <v>52</v>
      </c>
      <c r="C15561" s="1">
        <f>HYPERLINK("https://cao.dolgi.msk.ru/account/1011440858/", 1011440858)</f>
        <v>1011440858</v>
      </c>
      <c r="D15561">
        <v>-7652.42</v>
      </c>
    </row>
    <row r="15562" spans="1:4" hidden="1" x14ac:dyDescent="0.3">
      <c r="A15562" t="s">
        <v>976</v>
      </c>
      <c r="B15562" t="s">
        <v>53</v>
      </c>
      <c r="C15562" s="1">
        <f>HYPERLINK("https://cao.dolgi.msk.ru/account/1011441033/", 1011441033)</f>
        <v>1011441033</v>
      </c>
      <c r="D15562">
        <v>-32.01</v>
      </c>
    </row>
    <row r="15563" spans="1:4" hidden="1" x14ac:dyDescent="0.3">
      <c r="A15563" t="s">
        <v>976</v>
      </c>
      <c r="B15563" t="s">
        <v>54</v>
      </c>
      <c r="C15563" s="1">
        <f>HYPERLINK("https://cao.dolgi.msk.ru/account/1011440823/", 1011440823)</f>
        <v>1011440823</v>
      </c>
      <c r="D15563">
        <v>-3543.6</v>
      </c>
    </row>
    <row r="15564" spans="1:4" hidden="1" x14ac:dyDescent="0.3">
      <c r="A15564" t="s">
        <v>976</v>
      </c>
      <c r="B15564" t="s">
        <v>55</v>
      </c>
      <c r="C15564" s="1">
        <f>HYPERLINK("https://cao.dolgi.msk.ru/account/1011440831/", 1011440831)</f>
        <v>1011440831</v>
      </c>
      <c r="D15564">
        <v>-7195.55</v>
      </c>
    </row>
    <row r="15565" spans="1:4" hidden="1" x14ac:dyDescent="0.3">
      <c r="A15565" t="s">
        <v>976</v>
      </c>
      <c r="B15565" t="s">
        <v>56</v>
      </c>
      <c r="C15565" s="1">
        <f>HYPERLINK("https://cao.dolgi.msk.ru/account/1011440962/", 1011440962)</f>
        <v>1011440962</v>
      </c>
      <c r="D15565">
        <v>-5782.53</v>
      </c>
    </row>
    <row r="15566" spans="1:4" x14ac:dyDescent="0.3">
      <c r="A15566" t="s">
        <v>976</v>
      </c>
      <c r="B15566" t="s">
        <v>87</v>
      </c>
      <c r="C15566" s="1">
        <f>HYPERLINK("https://cao.dolgi.msk.ru/account/1011441068/", 1011441068)</f>
        <v>1011441068</v>
      </c>
      <c r="D15566">
        <v>1495.17</v>
      </c>
    </row>
    <row r="15567" spans="1:4" x14ac:dyDescent="0.3">
      <c r="A15567" t="s">
        <v>976</v>
      </c>
      <c r="B15567" t="s">
        <v>88</v>
      </c>
      <c r="C15567" s="1">
        <f>HYPERLINK("https://cao.dolgi.msk.ru/account/1011440946/", 1011440946)</f>
        <v>1011440946</v>
      </c>
      <c r="D15567">
        <v>6362.17</v>
      </c>
    </row>
    <row r="15568" spans="1:4" hidden="1" x14ac:dyDescent="0.3">
      <c r="A15568" t="s">
        <v>976</v>
      </c>
      <c r="B15568" t="s">
        <v>89</v>
      </c>
      <c r="C15568" s="1">
        <f>HYPERLINK("https://cao.dolgi.msk.ru/account/1011440911/", 1011440911)</f>
        <v>1011440911</v>
      </c>
      <c r="D15568">
        <v>-130.80000000000001</v>
      </c>
    </row>
    <row r="15569" spans="1:4" hidden="1" x14ac:dyDescent="0.3">
      <c r="A15569" t="s">
        <v>976</v>
      </c>
      <c r="B15569" t="s">
        <v>90</v>
      </c>
      <c r="C15569" s="1">
        <f>HYPERLINK("https://cao.dolgi.msk.ru/account/1011441009/", 1011441009)</f>
        <v>1011441009</v>
      </c>
      <c r="D15569">
        <v>-6481.99</v>
      </c>
    </row>
    <row r="15570" spans="1:4" hidden="1" x14ac:dyDescent="0.3">
      <c r="A15570" t="s">
        <v>976</v>
      </c>
      <c r="B15570" t="s">
        <v>96</v>
      </c>
      <c r="C15570" s="1">
        <f>HYPERLINK("https://cao.dolgi.msk.ru/account/1011440989/", 1011440989)</f>
        <v>1011440989</v>
      </c>
      <c r="D15570">
        <v>-47.05</v>
      </c>
    </row>
    <row r="15571" spans="1:4" hidden="1" x14ac:dyDescent="0.3">
      <c r="A15571" t="s">
        <v>976</v>
      </c>
      <c r="B15571" t="s">
        <v>97</v>
      </c>
      <c r="C15571" s="1">
        <f>HYPERLINK("https://cao.dolgi.msk.ru/account/1011440794/", 1011440794)</f>
        <v>1011440794</v>
      </c>
      <c r="D15571">
        <v>0</v>
      </c>
    </row>
    <row r="15572" spans="1:4" hidden="1" x14ac:dyDescent="0.3">
      <c r="A15572" t="s">
        <v>976</v>
      </c>
      <c r="B15572" t="s">
        <v>97</v>
      </c>
      <c r="C15572" s="1">
        <f>HYPERLINK("https://cao.dolgi.msk.ru/account/1011441017/", 1011441017)</f>
        <v>1011441017</v>
      </c>
      <c r="D15572">
        <v>0</v>
      </c>
    </row>
    <row r="15573" spans="1:4" hidden="1" x14ac:dyDescent="0.3">
      <c r="A15573" t="s">
        <v>976</v>
      </c>
      <c r="B15573" t="s">
        <v>98</v>
      </c>
      <c r="C15573" s="1">
        <f>HYPERLINK("https://cao.dolgi.msk.ru/account/1011440954/", 1011440954)</f>
        <v>1011440954</v>
      </c>
      <c r="D15573">
        <v>0</v>
      </c>
    </row>
    <row r="15574" spans="1:4" hidden="1" x14ac:dyDescent="0.3">
      <c r="A15574" t="s">
        <v>976</v>
      </c>
      <c r="B15574" t="s">
        <v>58</v>
      </c>
      <c r="C15574" s="1">
        <f>HYPERLINK("https://cao.dolgi.msk.ru/account/1011440874/", 1011440874)</f>
        <v>1011440874</v>
      </c>
      <c r="D15574">
        <v>-7219.4</v>
      </c>
    </row>
    <row r="15575" spans="1:4" x14ac:dyDescent="0.3">
      <c r="A15575" t="s">
        <v>976</v>
      </c>
      <c r="B15575" t="s">
        <v>59</v>
      </c>
      <c r="C15575" s="1">
        <f>HYPERLINK("https://cao.dolgi.msk.ru/account/1011440866/", 1011440866)</f>
        <v>1011440866</v>
      </c>
      <c r="D15575">
        <v>17656.16</v>
      </c>
    </row>
    <row r="15576" spans="1:4" hidden="1" x14ac:dyDescent="0.3">
      <c r="A15576" t="s">
        <v>976</v>
      </c>
      <c r="B15576" t="s">
        <v>60</v>
      </c>
      <c r="C15576" s="1">
        <f>HYPERLINK("https://cao.dolgi.msk.ru/account/1011440997/", 1011440997)</f>
        <v>1011440997</v>
      </c>
      <c r="D15576">
        <v>0</v>
      </c>
    </row>
    <row r="15577" spans="1:4" hidden="1" x14ac:dyDescent="0.3">
      <c r="A15577" t="s">
        <v>976</v>
      </c>
      <c r="B15577" t="s">
        <v>61</v>
      </c>
      <c r="C15577" s="1">
        <f>HYPERLINK("https://cao.dolgi.msk.ru/account/1011440807/", 1011440807)</f>
        <v>1011440807</v>
      </c>
      <c r="D15577">
        <v>0</v>
      </c>
    </row>
    <row r="15578" spans="1:4" hidden="1" x14ac:dyDescent="0.3">
      <c r="A15578" t="s">
        <v>976</v>
      </c>
      <c r="B15578" t="s">
        <v>62</v>
      </c>
      <c r="C15578" s="1">
        <f>HYPERLINK("https://cao.dolgi.msk.ru/account/1011440903/", 1011440903)</f>
        <v>1011440903</v>
      </c>
      <c r="D15578">
        <v>-2990.65</v>
      </c>
    </row>
    <row r="15579" spans="1:4" hidden="1" x14ac:dyDescent="0.3">
      <c r="A15579" t="s">
        <v>976</v>
      </c>
      <c r="B15579" t="s">
        <v>62</v>
      </c>
      <c r="C15579" s="1">
        <f>HYPERLINK("https://cao.dolgi.msk.ru/account/1011441041/", 1011441041)</f>
        <v>1011441041</v>
      </c>
      <c r="D15579">
        <v>0</v>
      </c>
    </row>
    <row r="15580" spans="1:4" hidden="1" x14ac:dyDescent="0.3">
      <c r="A15580" t="s">
        <v>976</v>
      </c>
      <c r="B15580" t="s">
        <v>63</v>
      </c>
      <c r="C15580" s="1">
        <f>HYPERLINK("https://cao.dolgi.msk.ru/account/1011440882/", 1011440882)</f>
        <v>1011440882</v>
      </c>
      <c r="D15580">
        <v>0</v>
      </c>
    </row>
    <row r="15581" spans="1:4" hidden="1" x14ac:dyDescent="0.3">
      <c r="A15581" t="s">
        <v>976</v>
      </c>
      <c r="B15581" t="s">
        <v>64</v>
      </c>
      <c r="C15581" s="1">
        <f>HYPERLINK("https://cao.dolgi.msk.ru/account/1011440938/", 1011440938)</f>
        <v>1011440938</v>
      </c>
      <c r="D15581">
        <v>0</v>
      </c>
    </row>
    <row r="15582" spans="1:4" hidden="1" x14ac:dyDescent="0.3">
      <c r="A15582" t="s">
        <v>977</v>
      </c>
      <c r="B15582" t="s">
        <v>28</v>
      </c>
      <c r="C15582" s="1">
        <f>HYPERLINK("https://cao.dolgi.msk.ru/account/1011063626/", 1011063626)</f>
        <v>1011063626</v>
      </c>
      <c r="D15582">
        <v>-751.01</v>
      </c>
    </row>
    <row r="15583" spans="1:4" hidden="1" x14ac:dyDescent="0.3">
      <c r="A15583" t="s">
        <v>977</v>
      </c>
      <c r="B15583" t="s">
        <v>28</v>
      </c>
      <c r="C15583" s="1">
        <f>HYPERLINK("https://cao.dolgi.msk.ru/account/1011063677/", 1011063677)</f>
        <v>1011063677</v>
      </c>
      <c r="D15583">
        <v>0</v>
      </c>
    </row>
    <row r="15584" spans="1:4" hidden="1" x14ac:dyDescent="0.3">
      <c r="A15584" t="s">
        <v>977</v>
      </c>
      <c r="B15584" t="s">
        <v>28</v>
      </c>
      <c r="C15584" s="1">
        <f>HYPERLINK("https://cao.dolgi.msk.ru/account/1011063685/", 1011063685)</f>
        <v>1011063685</v>
      </c>
      <c r="D15584">
        <v>-383.66</v>
      </c>
    </row>
    <row r="15585" spans="1:4" x14ac:dyDescent="0.3">
      <c r="A15585" t="s">
        <v>977</v>
      </c>
      <c r="B15585" t="s">
        <v>28</v>
      </c>
      <c r="C15585" s="1">
        <f>HYPERLINK("https://cao.dolgi.msk.ru/account/1011063693/", 1011063693)</f>
        <v>1011063693</v>
      </c>
      <c r="D15585">
        <v>13212.76</v>
      </c>
    </row>
    <row r="15586" spans="1:4" hidden="1" x14ac:dyDescent="0.3">
      <c r="A15586" t="s">
        <v>977</v>
      </c>
      <c r="B15586" t="s">
        <v>28</v>
      </c>
      <c r="C15586" s="1">
        <f>HYPERLINK("https://cao.dolgi.msk.ru/account/1011063706/", 1011063706)</f>
        <v>1011063706</v>
      </c>
      <c r="D15586">
        <v>-10268.5</v>
      </c>
    </row>
    <row r="15587" spans="1:4" hidden="1" x14ac:dyDescent="0.3">
      <c r="A15587" t="s">
        <v>977</v>
      </c>
      <c r="B15587" t="s">
        <v>28</v>
      </c>
      <c r="C15587" s="1">
        <f>HYPERLINK("https://cao.dolgi.msk.ru/account/1011063714/", 1011063714)</f>
        <v>1011063714</v>
      </c>
      <c r="D15587">
        <v>0</v>
      </c>
    </row>
    <row r="15588" spans="1:4" x14ac:dyDescent="0.3">
      <c r="A15588" t="s">
        <v>977</v>
      </c>
      <c r="B15588" t="s">
        <v>28</v>
      </c>
      <c r="C15588" s="1">
        <f>HYPERLINK("https://cao.dolgi.msk.ru/account/1011063722/", 1011063722)</f>
        <v>1011063722</v>
      </c>
      <c r="D15588">
        <v>77286.039999999994</v>
      </c>
    </row>
    <row r="15589" spans="1:4" x14ac:dyDescent="0.3">
      <c r="A15589" t="s">
        <v>977</v>
      </c>
      <c r="B15589" t="s">
        <v>28</v>
      </c>
      <c r="C15589" s="1">
        <f>HYPERLINK("https://cao.dolgi.msk.ru/account/1011063749/", 1011063749)</f>
        <v>1011063749</v>
      </c>
      <c r="D15589">
        <v>38209.800000000003</v>
      </c>
    </row>
    <row r="15590" spans="1:4" hidden="1" x14ac:dyDescent="0.3">
      <c r="A15590" t="s">
        <v>977</v>
      </c>
      <c r="B15590" t="s">
        <v>28</v>
      </c>
      <c r="C15590" s="1">
        <f>HYPERLINK("https://cao.dolgi.msk.ru/account/1011063757/", 1011063757)</f>
        <v>1011063757</v>
      </c>
      <c r="D15590">
        <v>0</v>
      </c>
    </row>
    <row r="15591" spans="1:4" x14ac:dyDescent="0.3">
      <c r="A15591" t="s">
        <v>977</v>
      </c>
      <c r="B15591" t="s">
        <v>28</v>
      </c>
      <c r="C15591" s="1">
        <f>HYPERLINK("https://cao.dolgi.msk.ru/account/1011063765/", 1011063765)</f>
        <v>1011063765</v>
      </c>
      <c r="D15591">
        <v>135</v>
      </c>
    </row>
    <row r="15592" spans="1:4" x14ac:dyDescent="0.3">
      <c r="A15592" t="s">
        <v>977</v>
      </c>
      <c r="B15592" t="s">
        <v>28</v>
      </c>
      <c r="C15592" s="1">
        <f>HYPERLINK("https://cao.dolgi.msk.ru/account/1011063773/", 1011063773)</f>
        <v>1011063773</v>
      </c>
      <c r="D15592">
        <v>17452.91</v>
      </c>
    </row>
    <row r="15593" spans="1:4" hidden="1" x14ac:dyDescent="0.3">
      <c r="A15593" t="s">
        <v>977</v>
      </c>
      <c r="B15593" t="s">
        <v>28</v>
      </c>
      <c r="C15593" s="1">
        <f>HYPERLINK("https://cao.dolgi.msk.ru/account/1011063781/", 1011063781)</f>
        <v>1011063781</v>
      </c>
      <c r="D15593">
        <v>-6570.63</v>
      </c>
    </row>
    <row r="15594" spans="1:4" hidden="1" x14ac:dyDescent="0.3">
      <c r="A15594" t="s">
        <v>977</v>
      </c>
      <c r="B15594" t="s">
        <v>28</v>
      </c>
      <c r="C15594" s="1">
        <f>HYPERLINK("https://cao.dolgi.msk.ru/account/1011063802/", 1011063802)</f>
        <v>1011063802</v>
      </c>
      <c r="D15594">
        <v>0</v>
      </c>
    </row>
    <row r="15595" spans="1:4" hidden="1" x14ac:dyDescent="0.3">
      <c r="A15595" t="s">
        <v>977</v>
      </c>
      <c r="B15595" t="s">
        <v>28</v>
      </c>
      <c r="C15595" s="1">
        <f>HYPERLINK("https://cao.dolgi.msk.ru/account/1011063829/", 1011063829)</f>
        <v>1011063829</v>
      </c>
      <c r="D15595">
        <v>-35577.01</v>
      </c>
    </row>
    <row r="15596" spans="1:4" hidden="1" x14ac:dyDescent="0.3">
      <c r="A15596" t="s">
        <v>977</v>
      </c>
      <c r="B15596" t="s">
        <v>28</v>
      </c>
      <c r="C15596" s="1">
        <f>HYPERLINK("https://cao.dolgi.msk.ru/account/1011063837/", 1011063837)</f>
        <v>1011063837</v>
      </c>
      <c r="D15596">
        <v>0</v>
      </c>
    </row>
    <row r="15597" spans="1:4" hidden="1" x14ac:dyDescent="0.3">
      <c r="A15597" t="s">
        <v>977</v>
      </c>
      <c r="B15597" t="s">
        <v>28</v>
      </c>
      <c r="C15597" s="1">
        <f>HYPERLINK("https://cao.dolgi.msk.ru/account/1011063845/", 1011063845)</f>
        <v>1011063845</v>
      </c>
      <c r="D15597">
        <v>0</v>
      </c>
    </row>
    <row r="15598" spans="1:4" hidden="1" x14ac:dyDescent="0.3">
      <c r="A15598" t="s">
        <v>977</v>
      </c>
      <c r="B15598" t="s">
        <v>28</v>
      </c>
      <c r="C15598" s="1">
        <f>HYPERLINK("https://cao.dolgi.msk.ru/account/1011063853/", 1011063853)</f>
        <v>1011063853</v>
      </c>
      <c r="D15598">
        <v>-2386.5</v>
      </c>
    </row>
    <row r="15599" spans="1:4" hidden="1" x14ac:dyDescent="0.3">
      <c r="A15599" t="s">
        <v>977</v>
      </c>
      <c r="B15599" t="s">
        <v>28</v>
      </c>
      <c r="C15599" s="1">
        <f>HYPERLINK("https://cao.dolgi.msk.ru/account/1011063861/", 1011063861)</f>
        <v>1011063861</v>
      </c>
      <c r="D15599">
        <v>0</v>
      </c>
    </row>
    <row r="15600" spans="1:4" hidden="1" x14ac:dyDescent="0.3">
      <c r="A15600" t="s">
        <v>977</v>
      </c>
      <c r="B15600" t="s">
        <v>28</v>
      </c>
      <c r="C15600" s="1">
        <f>HYPERLINK("https://cao.dolgi.msk.ru/account/1011063888/", 1011063888)</f>
        <v>1011063888</v>
      </c>
      <c r="D15600">
        <v>0</v>
      </c>
    </row>
    <row r="15601" spans="1:4" x14ac:dyDescent="0.3">
      <c r="A15601" t="s">
        <v>977</v>
      </c>
      <c r="B15601" t="s">
        <v>28</v>
      </c>
      <c r="C15601" s="1">
        <f>HYPERLINK("https://cao.dolgi.msk.ru/account/1011063896/", 1011063896)</f>
        <v>1011063896</v>
      </c>
      <c r="D15601">
        <v>44043.49</v>
      </c>
    </row>
    <row r="15602" spans="1:4" hidden="1" x14ac:dyDescent="0.3">
      <c r="A15602" t="s">
        <v>977</v>
      </c>
      <c r="B15602" t="s">
        <v>28</v>
      </c>
      <c r="C15602" s="1">
        <f>HYPERLINK("https://cao.dolgi.msk.ru/account/1011063917/", 1011063917)</f>
        <v>1011063917</v>
      </c>
      <c r="D15602">
        <v>-11314.05</v>
      </c>
    </row>
    <row r="15603" spans="1:4" x14ac:dyDescent="0.3">
      <c r="A15603" t="s">
        <v>977</v>
      </c>
      <c r="B15603" t="s">
        <v>28</v>
      </c>
      <c r="C15603" s="1">
        <f>HYPERLINK("https://cao.dolgi.msk.ru/account/1011063925/", 1011063925)</f>
        <v>1011063925</v>
      </c>
      <c r="D15603">
        <v>7537.74</v>
      </c>
    </row>
    <row r="15604" spans="1:4" hidden="1" x14ac:dyDescent="0.3">
      <c r="A15604" t="s">
        <v>977</v>
      </c>
      <c r="B15604" t="s">
        <v>28</v>
      </c>
      <c r="C15604" s="1">
        <f>HYPERLINK("https://cao.dolgi.msk.ru/account/1011063933/", 1011063933)</f>
        <v>1011063933</v>
      </c>
      <c r="D15604">
        <v>0</v>
      </c>
    </row>
    <row r="15605" spans="1:4" hidden="1" x14ac:dyDescent="0.3">
      <c r="A15605" t="s">
        <v>977</v>
      </c>
      <c r="B15605" t="s">
        <v>28</v>
      </c>
      <c r="C15605" s="1">
        <f>HYPERLINK("https://cao.dolgi.msk.ru/account/1011063941/", 1011063941)</f>
        <v>1011063941</v>
      </c>
      <c r="D15605">
        <v>0</v>
      </c>
    </row>
    <row r="15606" spans="1:4" hidden="1" x14ac:dyDescent="0.3">
      <c r="A15606" t="s">
        <v>977</v>
      </c>
      <c r="B15606" t="s">
        <v>28</v>
      </c>
      <c r="C15606" s="1">
        <f>HYPERLINK("https://cao.dolgi.msk.ru/account/1011063968/", 1011063968)</f>
        <v>1011063968</v>
      </c>
      <c r="D15606">
        <v>0</v>
      </c>
    </row>
    <row r="15607" spans="1:4" hidden="1" x14ac:dyDescent="0.3">
      <c r="A15607" t="s">
        <v>977</v>
      </c>
      <c r="B15607" t="s">
        <v>28</v>
      </c>
      <c r="C15607" s="1">
        <f>HYPERLINK("https://cao.dolgi.msk.ru/account/1011063976/", 1011063976)</f>
        <v>1011063976</v>
      </c>
      <c r="D15607">
        <v>-1400.81</v>
      </c>
    </row>
    <row r="15608" spans="1:4" x14ac:dyDescent="0.3">
      <c r="A15608" t="s">
        <v>977</v>
      </c>
      <c r="B15608" t="s">
        <v>28</v>
      </c>
      <c r="C15608" s="1">
        <f>HYPERLINK("https://cao.dolgi.msk.ru/account/1011532322/", 1011532322)</f>
        <v>1011532322</v>
      </c>
      <c r="D15608">
        <v>5148.01</v>
      </c>
    </row>
    <row r="15609" spans="1:4" x14ac:dyDescent="0.3">
      <c r="A15609" t="s">
        <v>977</v>
      </c>
      <c r="B15609" t="s">
        <v>28</v>
      </c>
      <c r="C15609" s="1">
        <f>HYPERLINK("https://cao.dolgi.msk.ru/account/1011532349/", 1011532349)</f>
        <v>1011532349</v>
      </c>
      <c r="D15609">
        <v>5253.1</v>
      </c>
    </row>
    <row r="15610" spans="1:4" x14ac:dyDescent="0.3">
      <c r="A15610" t="s">
        <v>977</v>
      </c>
      <c r="B15610" t="s">
        <v>35</v>
      </c>
      <c r="C15610" s="1">
        <f>HYPERLINK("https://cao.dolgi.msk.ru/account/1011063984/", 1011063984)</f>
        <v>1011063984</v>
      </c>
      <c r="D15610">
        <v>14197.14</v>
      </c>
    </row>
    <row r="15611" spans="1:4" x14ac:dyDescent="0.3">
      <c r="A15611" t="s">
        <v>977</v>
      </c>
      <c r="B15611" t="s">
        <v>35</v>
      </c>
      <c r="C15611" s="1">
        <f>HYPERLINK("https://cao.dolgi.msk.ru/account/1011064004/", 1011064004)</f>
        <v>1011064004</v>
      </c>
      <c r="D15611">
        <v>6720.61</v>
      </c>
    </row>
    <row r="15612" spans="1:4" hidden="1" x14ac:dyDescent="0.3">
      <c r="A15612" t="s">
        <v>977</v>
      </c>
      <c r="B15612" t="s">
        <v>35</v>
      </c>
      <c r="C15612" s="1">
        <f>HYPERLINK("https://cao.dolgi.msk.ru/account/1011064012/", 1011064012)</f>
        <v>1011064012</v>
      </c>
      <c r="D15612">
        <v>0</v>
      </c>
    </row>
    <row r="15613" spans="1:4" x14ac:dyDescent="0.3">
      <c r="A15613" t="s">
        <v>977</v>
      </c>
      <c r="B15613" t="s">
        <v>35</v>
      </c>
      <c r="C15613" s="1">
        <f>HYPERLINK("https://cao.dolgi.msk.ru/account/1011064039/", 1011064039)</f>
        <v>1011064039</v>
      </c>
      <c r="D15613">
        <v>128144.75</v>
      </c>
    </row>
    <row r="15614" spans="1:4" x14ac:dyDescent="0.3">
      <c r="A15614" t="s">
        <v>977</v>
      </c>
      <c r="B15614" t="s">
        <v>35</v>
      </c>
      <c r="C15614" s="1">
        <f>HYPERLINK("https://cao.dolgi.msk.ru/account/1011064047/", 1011064047)</f>
        <v>1011064047</v>
      </c>
      <c r="D15614">
        <v>68081.09</v>
      </c>
    </row>
    <row r="15615" spans="1:4" x14ac:dyDescent="0.3">
      <c r="A15615" t="s">
        <v>977</v>
      </c>
      <c r="B15615" t="s">
        <v>35</v>
      </c>
      <c r="C15615" s="1">
        <f>HYPERLINK("https://cao.dolgi.msk.ru/account/1011064055/", 1011064055)</f>
        <v>1011064055</v>
      </c>
      <c r="D15615">
        <v>355.16</v>
      </c>
    </row>
    <row r="15616" spans="1:4" hidden="1" x14ac:dyDescent="0.3">
      <c r="A15616" t="s">
        <v>977</v>
      </c>
      <c r="B15616" t="s">
        <v>35</v>
      </c>
      <c r="C15616" s="1">
        <f>HYPERLINK("https://cao.dolgi.msk.ru/account/1011064063/", 1011064063)</f>
        <v>1011064063</v>
      </c>
      <c r="D15616">
        <v>0</v>
      </c>
    </row>
    <row r="15617" spans="1:4" hidden="1" x14ac:dyDescent="0.3">
      <c r="A15617" t="s">
        <v>977</v>
      </c>
      <c r="B15617" t="s">
        <v>35</v>
      </c>
      <c r="C15617" s="1">
        <f>HYPERLINK("https://cao.dolgi.msk.ru/account/1011064071/", 1011064071)</f>
        <v>1011064071</v>
      </c>
      <c r="D15617">
        <v>-1129.57</v>
      </c>
    </row>
    <row r="15618" spans="1:4" hidden="1" x14ac:dyDescent="0.3">
      <c r="A15618" t="s">
        <v>977</v>
      </c>
      <c r="B15618" t="s">
        <v>35</v>
      </c>
      <c r="C15618" s="1">
        <f>HYPERLINK("https://cao.dolgi.msk.ru/account/1011064098/", 1011064098)</f>
        <v>1011064098</v>
      </c>
      <c r="D15618">
        <v>0</v>
      </c>
    </row>
    <row r="15619" spans="1:4" hidden="1" x14ac:dyDescent="0.3">
      <c r="A15619" t="s">
        <v>977</v>
      </c>
      <c r="B15619" t="s">
        <v>35</v>
      </c>
      <c r="C15619" s="1">
        <f>HYPERLINK("https://cao.dolgi.msk.ru/account/1011064119/", 1011064119)</f>
        <v>1011064119</v>
      </c>
      <c r="D15619">
        <v>0</v>
      </c>
    </row>
    <row r="15620" spans="1:4" hidden="1" x14ac:dyDescent="0.3">
      <c r="A15620" t="s">
        <v>977</v>
      </c>
      <c r="B15620" t="s">
        <v>35</v>
      </c>
      <c r="C15620" s="1">
        <f>HYPERLINK("https://cao.dolgi.msk.ru/account/1011064127/", 1011064127)</f>
        <v>1011064127</v>
      </c>
      <c r="D15620">
        <v>0</v>
      </c>
    </row>
    <row r="15621" spans="1:4" hidden="1" x14ac:dyDescent="0.3">
      <c r="A15621" t="s">
        <v>977</v>
      </c>
      <c r="B15621" t="s">
        <v>35</v>
      </c>
      <c r="C15621" s="1">
        <f>HYPERLINK("https://cao.dolgi.msk.ru/account/1011064143/", 1011064143)</f>
        <v>1011064143</v>
      </c>
      <c r="D15621">
        <v>0</v>
      </c>
    </row>
    <row r="15622" spans="1:4" x14ac:dyDescent="0.3">
      <c r="A15622" t="s">
        <v>977</v>
      </c>
      <c r="B15622" t="s">
        <v>35</v>
      </c>
      <c r="C15622" s="1">
        <f>HYPERLINK("https://cao.dolgi.msk.ru/account/1011064178/", 1011064178)</f>
        <v>1011064178</v>
      </c>
      <c r="D15622">
        <v>6530.96</v>
      </c>
    </row>
    <row r="15623" spans="1:4" x14ac:dyDescent="0.3">
      <c r="A15623" t="s">
        <v>977</v>
      </c>
      <c r="B15623" t="s">
        <v>35</v>
      </c>
      <c r="C15623" s="1">
        <f>HYPERLINK("https://cao.dolgi.msk.ru/account/1011064186/", 1011064186)</f>
        <v>1011064186</v>
      </c>
      <c r="D15623">
        <v>11295.7</v>
      </c>
    </row>
    <row r="15624" spans="1:4" hidden="1" x14ac:dyDescent="0.3">
      <c r="A15624" t="s">
        <v>977</v>
      </c>
      <c r="B15624" t="s">
        <v>35</v>
      </c>
      <c r="C15624" s="1">
        <f>HYPERLINK("https://cao.dolgi.msk.ru/account/1011064194/", 1011064194)</f>
        <v>1011064194</v>
      </c>
      <c r="D15624">
        <v>0</v>
      </c>
    </row>
    <row r="15625" spans="1:4" x14ac:dyDescent="0.3">
      <c r="A15625" t="s">
        <v>977</v>
      </c>
      <c r="B15625" t="s">
        <v>35</v>
      </c>
      <c r="C15625" s="1">
        <f>HYPERLINK("https://cao.dolgi.msk.ru/account/1011064207/", 1011064207)</f>
        <v>1011064207</v>
      </c>
      <c r="D15625">
        <v>8624.83</v>
      </c>
    </row>
    <row r="15626" spans="1:4" x14ac:dyDescent="0.3">
      <c r="A15626" t="s">
        <v>977</v>
      </c>
      <c r="B15626" t="s">
        <v>35</v>
      </c>
      <c r="C15626" s="1">
        <f>HYPERLINK("https://cao.dolgi.msk.ru/account/1011064215/", 1011064215)</f>
        <v>1011064215</v>
      </c>
      <c r="D15626">
        <v>133187.63</v>
      </c>
    </row>
    <row r="15627" spans="1:4" x14ac:dyDescent="0.3">
      <c r="A15627" t="s">
        <v>977</v>
      </c>
      <c r="B15627" t="s">
        <v>35</v>
      </c>
      <c r="C15627" s="1">
        <f>HYPERLINK("https://cao.dolgi.msk.ru/account/1011064223/", 1011064223)</f>
        <v>1011064223</v>
      </c>
      <c r="D15627">
        <v>13828.72</v>
      </c>
    </row>
    <row r="15628" spans="1:4" x14ac:dyDescent="0.3">
      <c r="A15628" t="s">
        <v>977</v>
      </c>
      <c r="B15628" t="s">
        <v>35</v>
      </c>
      <c r="C15628" s="1">
        <f>HYPERLINK("https://cao.dolgi.msk.ru/account/1011064231/", 1011064231)</f>
        <v>1011064231</v>
      </c>
      <c r="D15628">
        <v>24618.54</v>
      </c>
    </row>
    <row r="15629" spans="1:4" hidden="1" x14ac:dyDescent="0.3">
      <c r="A15629" t="s">
        <v>977</v>
      </c>
      <c r="B15629" t="s">
        <v>35</v>
      </c>
      <c r="C15629" s="1">
        <f>HYPERLINK("https://cao.dolgi.msk.ru/account/1011064266/", 1011064266)</f>
        <v>1011064266</v>
      </c>
      <c r="D15629">
        <v>0</v>
      </c>
    </row>
    <row r="15630" spans="1:4" x14ac:dyDescent="0.3">
      <c r="A15630" t="s">
        <v>977</v>
      </c>
      <c r="B15630" t="s">
        <v>35</v>
      </c>
      <c r="C15630" s="1">
        <f>HYPERLINK("https://cao.dolgi.msk.ru/account/1011064274/", 1011064274)</f>
        <v>1011064274</v>
      </c>
      <c r="D15630">
        <v>216852.81</v>
      </c>
    </row>
    <row r="15631" spans="1:4" hidden="1" x14ac:dyDescent="0.3">
      <c r="A15631" t="s">
        <v>977</v>
      </c>
      <c r="B15631" t="s">
        <v>35</v>
      </c>
      <c r="C15631" s="1">
        <f>HYPERLINK("https://cao.dolgi.msk.ru/account/1011064282/", 1011064282)</f>
        <v>1011064282</v>
      </c>
      <c r="D15631">
        <v>0</v>
      </c>
    </row>
    <row r="15632" spans="1:4" hidden="1" x14ac:dyDescent="0.3">
      <c r="A15632" t="s">
        <v>977</v>
      </c>
      <c r="B15632" t="s">
        <v>35</v>
      </c>
      <c r="C15632" s="1">
        <f>HYPERLINK("https://cao.dolgi.msk.ru/account/1011064303/", 1011064303)</f>
        <v>1011064303</v>
      </c>
      <c r="D15632">
        <v>-7058.17</v>
      </c>
    </row>
    <row r="15633" spans="1:4" hidden="1" x14ac:dyDescent="0.3">
      <c r="A15633" t="s">
        <v>977</v>
      </c>
      <c r="B15633" t="s">
        <v>35</v>
      </c>
      <c r="C15633" s="1">
        <f>HYPERLINK("https://cao.dolgi.msk.ru/account/1011064311/", 1011064311)</f>
        <v>1011064311</v>
      </c>
      <c r="D15633">
        <v>-1314.9</v>
      </c>
    </row>
    <row r="15634" spans="1:4" hidden="1" x14ac:dyDescent="0.3">
      <c r="A15634" t="s">
        <v>977</v>
      </c>
      <c r="B15634" t="s">
        <v>5</v>
      </c>
      <c r="C15634" s="1">
        <f>HYPERLINK("https://cao.dolgi.msk.ru/account/1011064338/", 1011064338)</f>
        <v>1011064338</v>
      </c>
      <c r="D15634">
        <v>-7936.6</v>
      </c>
    </row>
    <row r="15635" spans="1:4" hidden="1" x14ac:dyDescent="0.3">
      <c r="A15635" t="s">
        <v>977</v>
      </c>
      <c r="B15635" t="s">
        <v>5</v>
      </c>
      <c r="C15635" s="1">
        <f>HYPERLINK("https://cao.dolgi.msk.ru/account/1011064389/", 1011064389)</f>
        <v>1011064389</v>
      </c>
      <c r="D15635">
        <v>0</v>
      </c>
    </row>
    <row r="15636" spans="1:4" hidden="1" x14ac:dyDescent="0.3">
      <c r="A15636" t="s">
        <v>977</v>
      </c>
      <c r="B15636" t="s">
        <v>5</v>
      </c>
      <c r="C15636" s="1">
        <f>HYPERLINK("https://cao.dolgi.msk.ru/account/1011064397/", 1011064397)</f>
        <v>1011064397</v>
      </c>
      <c r="D15636">
        <v>0</v>
      </c>
    </row>
    <row r="15637" spans="1:4" hidden="1" x14ac:dyDescent="0.3">
      <c r="A15637" t="s">
        <v>977</v>
      </c>
      <c r="B15637" t="s">
        <v>5</v>
      </c>
      <c r="C15637" s="1">
        <f>HYPERLINK("https://cao.dolgi.msk.ru/account/1011064418/", 1011064418)</f>
        <v>1011064418</v>
      </c>
      <c r="D15637">
        <v>-7098.18</v>
      </c>
    </row>
    <row r="15638" spans="1:4" hidden="1" x14ac:dyDescent="0.3">
      <c r="A15638" t="s">
        <v>977</v>
      </c>
      <c r="B15638" t="s">
        <v>5</v>
      </c>
      <c r="C15638" s="1">
        <f>HYPERLINK("https://cao.dolgi.msk.ru/account/1011064426/", 1011064426)</f>
        <v>1011064426</v>
      </c>
      <c r="D15638">
        <v>-11146.02</v>
      </c>
    </row>
    <row r="15639" spans="1:4" hidden="1" x14ac:dyDescent="0.3">
      <c r="A15639" t="s">
        <v>977</v>
      </c>
      <c r="B15639" t="s">
        <v>5</v>
      </c>
      <c r="C15639" s="1">
        <f>HYPERLINK("https://cao.dolgi.msk.ru/account/1011064434/", 1011064434)</f>
        <v>1011064434</v>
      </c>
      <c r="D15639">
        <v>-6665.2</v>
      </c>
    </row>
    <row r="15640" spans="1:4" x14ac:dyDescent="0.3">
      <c r="A15640" t="s">
        <v>977</v>
      </c>
      <c r="B15640" t="s">
        <v>5</v>
      </c>
      <c r="C15640" s="1">
        <f>HYPERLINK("https://cao.dolgi.msk.ru/account/1011064442/", 1011064442)</f>
        <v>1011064442</v>
      </c>
      <c r="D15640">
        <v>128808.89</v>
      </c>
    </row>
    <row r="15641" spans="1:4" hidden="1" x14ac:dyDescent="0.3">
      <c r="A15641" t="s">
        <v>977</v>
      </c>
      <c r="B15641" t="s">
        <v>5</v>
      </c>
      <c r="C15641" s="1">
        <f>HYPERLINK("https://cao.dolgi.msk.ru/account/1011064469/", 1011064469)</f>
        <v>1011064469</v>
      </c>
      <c r="D15641">
        <v>0</v>
      </c>
    </row>
    <row r="15642" spans="1:4" hidden="1" x14ac:dyDescent="0.3">
      <c r="A15642" t="s">
        <v>977</v>
      </c>
      <c r="B15642" t="s">
        <v>5</v>
      </c>
      <c r="C15642" s="1">
        <f>HYPERLINK("https://cao.dolgi.msk.ru/account/1011064477/", 1011064477)</f>
        <v>1011064477</v>
      </c>
      <c r="D15642">
        <v>-12564.04</v>
      </c>
    </row>
    <row r="15643" spans="1:4" x14ac:dyDescent="0.3">
      <c r="A15643" t="s">
        <v>977</v>
      </c>
      <c r="B15643" t="s">
        <v>5</v>
      </c>
      <c r="C15643" s="1">
        <f>HYPERLINK("https://cao.dolgi.msk.ru/account/1011064514/", 1011064514)</f>
        <v>1011064514</v>
      </c>
      <c r="D15643">
        <v>2136.1</v>
      </c>
    </row>
    <row r="15644" spans="1:4" x14ac:dyDescent="0.3">
      <c r="A15644" t="s">
        <v>977</v>
      </c>
      <c r="B15644" t="s">
        <v>5</v>
      </c>
      <c r="C15644" s="1">
        <f>HYPERLINK("https://cao.dolgi.msk.ru/account/1011064522/", 1011064522)</f>
        <v>1011064522</v>
      </c>
      <c r="D15644">
        <v>27</v>
      </c>
    </row>
    <row r="15645" spans="1:4" hidden="1" x14ac:dyDescent="0.3">
      <c r="A15645" t="s">
        <v>977</v>
      </c>
      <c r="B15645" t="s">
        <v>5</v>
      </c>
      <c r="C15645" s="1">
        <f>HYPERLINK("https://cao.dolgi.msk.ru/account/1011064549/", 1011064549)</f>
        <v>1011064549</v>
      </c>
      <c r="D15645">
        <v>-10382.709999999999</v>
      </c>
    </row>
    <row r="15646" spans="1:4" hidden="1" x14ac:dyDescent="0.3">
      <c r="A15646" t="s">
        <v>977</v>
      </c>
      <c r="B15646" t="s">
        <v>5</v>
      </c>
      <c r="C15646" s="1">
        <f>HYPERLINK("https://cao.dolgi.msk.ru/account/1011064557/", 1011064557)</f>
        <v>1011064557</v>
      </c>
      <c r="D15646">
        <v>0</v>
      </c>
    </row>
    <row r="15647" spans="1:4" hidden="1" x14ac:dyDescent="0.3">
      <c r="A15647" t="s">
        <v>977</v>
      </c>
      <c r="B15647" t="s">
        <v>5</v>
      </c>
      <c r="C15647" s="1">
        <f>HYPERLINK("https://cao.dolgi.msk.ru/account/1011064565/", 1011064565)</f>
        <v>1011064565</v>
      </c>
      <c r="D15647">
        <v>-13775.67</v>
      </c>
    </row>
    <row r="15648" spans="1:4" hidden="1" x14ac:dyDescent="0.3">
      <c r="A15648" t="s">
        <v>977</v>
      </c>
      <c r="B15648" t="s">
        <v>5</v>
      </c>
      <c r="C15648" s="1">
        <f>HYPERLINK("https://cao.dolgi.msk.ru/account/1011064581/", 1011064581)</f>
        <v>1011064581</v>
      </c>
      <c r="D15648">
        <v>0</v>
      </c>
    </row>
    <row r="15649" spans="1:4" hidden="1" x14ac:dyDescent="0.3">
      <c r="A15649" t="s">
        <v>977</v>
      </c>
      <c r="B15649" t="s">
        <v>5</v>
      </c>
      <c r="C15649" s="1">
        <f>HYPERLINK("https://cao.dolgi.msk.ru/account/1011064602/", 1011064602)</f>
        <v>1011064602</v>
      </c>
      <c r="D15649">
        <v>-11333.48</v>
      </c>
    </row>
    <row r="15650" spans="1:4" hidden="1" x14ac:dyDescent="0.3">
      <c r="A15650" t="s">
        <v>977</v>
      </c>
      <c r="B15650" t="s">
        <v>5</v>
      </c>
      <c r="C15650" s="1">
        <f>HYPERLINK("https://cao.dolgi.msk.ru/account/1011064629/", 1011064629)</f>
        <v>1011064629</v>
      </c>
      <c r="D15650">
        <v>-501.09</v>
      </c>
    </row>
    <row r="15651" spans="1:4" hidden="1" x14ac:dyDescent="0.3">
      <c r="A15651" t="s">
        <v>977</v>
      </c>
      <c r="B15651" t="s">
        <v>5</v>
      </c>
      <c r="C15651" s="1">
        <f>HYPERLINK("https://cao.dolgi.msk.ru/account/1011064637/", 1011064637)</f>
        <v>1011064637</v>
      </c>
      <c r="D15651">
        <v>-8804.18</v>
      </c>
    </row>
    <row r="15652" spans="1:4" x14ac:dyDescent="0.3">
      <c r="A15652" t="s">
        <v>977</v>
      </c>
      <c r="B15652" t="s">
        <v>5</v>
      </c>
      <c r="C15652" s="1">
        <f>HYPERLINK("https://cao.dolgi.msk.ru/account/1011064645/", 1011064645)</f>
        <v>1011064645</v>
      </c>
      <c r="D15652">
        <v>9264.8799999999992</v>
      </c>
    </row>
    <row r="15653" spans="1:4" hidden="1" x14ac:dyDescent="0.3">
      <c r="A15653" t="s">
        <v>977</v>
      </c>
      <c r="B15653" t="s">
        <v>5</v>
      </c>
      <c r="C15653" s="1">
        <f>HYPERLINK("https://cao.dolgi.msk.ru/account/1011064653/", 1011064653)</f>
        <v>1011064653</v>
      </c>
      <c r="D15653">
        <v>0</v>
      </c>
    </row>
    <row r="15654" spans="1:4" hidden="1" x14ac:dyDescent="0.3">
      <c r="A15654" t="s">
        <v>977</v>
      </c>
      <c r="B15654" t="s">
        <v>7</v>
      </c>
      <c r="C15654" s="1">
        <f>HYPERLINK("https://cao.dolgi.msk.ru/account/1011064661/", 1011064661)</f>
        <v>1011064661</v>
      </c>
      <c r="D15654">
        <v>-19452.419999999998</v>
      </c>
    </row>
    <row r="15655" spans="1:4" x14ac:dyDescent="0.3">
      <c r="A15655" t="s">
        <v>977</v>
      </c>
      <c r="B15655" t="s">
        <v>7</v>
      </c>
      <c r="C15655" s="1">
        <f>HYPERLINK("https://cao.dolgi.msk.ru/account/1011064688/", 1011064688)</f>
        <v>1011064688</v>
      </c>
      <c r="D15655">
        <v>24681.97</v>
      </c>
    </row>
    <row r="15656" spans="1:4" hidden="1" x14ac:dyDescent="0.3">
      <c r="A15656" t="s">
        <v>977</v>
      </c>
      <c r="B15656" t="s">
        <v>7</v>
      </c>
      <c r="C15656" s="1">
        <f>HYPERLINK("https://cao.dolgi.msk.ru/account/1011064696/", 1011064696)</f>
        <v>1011064696</v>
      </c>
      <c r="D15656">
        <v>-18029.73</v>
      </c>
    </row>
    <row r="15657" spans="1:4" hidden="1" x14ac:dyDescent="0.3">
      <c r="A15657" t="s">
        <v>977</v>
      </c>
      <c r="B15657" t="s">
        <v>7</v>
      </c>
      <c r="C15657" s="1">
        <f>HYPERLINK("https://cao.dolgi.msk.ru/account/1011064717/", 1011064717)</f>
        <v>1011064717</v>
      </c>
      <c r="D15657">
        <v>0</v>
      </c>
    </row>
    <row r="15658" spans="1:4" x14ac:dyDescent="0.3">
      <c r="A15658" t="s">
        <v>977</v>
      </c>
      <c r="B15658" t="s">
        <v>7</v>
      </c>
      <c r="C15658" s="1">
        <f>HYPERLINK("https://cao.dolgi.msk.ru/account/1011064733/", 1011064733)</f>
        <v>1011064733</v>
      </c>
      <c r="D15658">
        <v>136472.25</v>
      </c>
    </row>
    <row r="15659" spans="1:4" x14ac:dyDescent="0.3">
      <c r="A15659" t="s">
        <v>977</v>
      </c>
      <c r="B15659" t="s">
        <v>7</v>
      </c>
      <c r="C15659" s="1">
        <f>HYPERLINK("https://cao.dolgi.msk.ru/account/1011064741/", 1011064741)</f>
        <v>1011064741</v>
      </c>
      <c r="D15659">
        <v>419102.47</v>
      </c>
    </row>
    <row r="15660" spans="1:4" hidden="1" x14ac:dyDescent="0.3">
      <c r="A15660" t="s">
        <v>977</v>
      </c>
      <c r="B15660" t="s">
        <v>7</v>
      </c>
      <c r="C15660" s="1">
        <f>HYPERLINK("https://cao.dolgi.msk.ru/account/1011064768/", 1011064768)</f>
        <v>1011064768</v>
      </c>
      <c r="D15660">
        <v>-8361.4500000000007</v>
      </c>
    </row>
    <row r="15661" spans="1:4" hidden="1" x14ac:dyDescent="0.3">
      <c r="A15661" t="s">
        <v>977</v>
      </c>
      <c r="B15661" t="s">
        <v>7</v>
      </c>
      <c r="C15661" s="1">
        <f>HYPERLINK("https://cao.dolgi.msk.ru/account/1011064776/", 1011064776)</f>
        <v>1011064776</v>
      </c>
      <c r="D15661">
        <v>0</v>
      </c>
    </row>
    <row r="15662" spans="1:4" hidden="1" x14ac:dyDescent="0.3">
      <c r="A15662" t="s">
        <v>977</v>
      </c>
      <c r="B15662" t="s">
        <v>7</v>
      </c>
      <c r="C15662" s="1">
        <f>HYPERLINK("https://cao.dolgi.msk.ru/account/1011064784/", 1011064784)</f>
        <v>1011064784</v>
      </c>
      <c r="D15662">
        <v>-9944.5499999999993</v>
      </c>
    </row>
    <row r="15663" spans="1:4" hidden="1" x14ac:dyDescent="0.3">
      <c r="A15663" t="s">
        <v>977</v>
      </c>
      <c r="B15663" t="s">
        <v>7</v>
      </c>
      <c r="C15663" s="1">
        <f>HYPERLINK("https://cao.dolgi.msk.ru/account/1011064792/", 1011064792)</f>
        <v>1011064792</v>
      </c>
      <c r="D15663">
        <v>-4721.28</v>
      </c>
    </row>
    <row r="15664" spans="1:4" hidden="1" x14ac:dyDescent="0.3">
      <c r="A15664" t="s">
        <v>977</v>
      </c>
      <c r="B15664" t="s">
        <v>7</v>
      </c>
      <c r="C15664" s="1">
        <f>HYPERLINK("https://cao.dolgi.msk.ru/account/1011064805/", 1011064805)</f>
        <v>1011064805</v>
      </c>
      <c r="D15664">
        <v>-6917.74</v>
      </c>
    </row>
    <row r="15665" spans="1:4" x14ac:dyDescent="0.3">
      <c r="A15665" t="s">
        <v>977</v>
      </c>
      <c r="B15665" t="s">
        <v>7</v>
      </c>
      <c r="C15665" s="1">
        <f>HYPERLINK("https://cao.dolgi.msk.ru/account/1011064813/", 1011064813)</f>
        <v>1011064813</v>
      </c>
      <c r="D15665">
        <v>13966.8</v>
      </c>
    </row>
    <row r="15666" spans="1:4" hidden="1" x14ac:dyDescent="0.3">
      <c r="A15666" t="s">
        <v>977</v>
      </c>
      <c r="B15666" t="s">
        <v>7</v>
      </c>
      <c r="C15666" s="1">
        <f>HYPERLINK("https://cao.dolgi.msk.ru/account/1011064821/", 1011064821)</f>
        <v>1011064821</v>
      </c>
      <c r="D15666">
        <v>-7322.39</v>
      </c>
    </row>
    <row r="15667" spans="1:4" hidden="1" x14ac:dyDescent="0.3">
      <c r="A15667" t="s">
        <v>977</v>
      </c>
      <c r="B15667" t="s">
        <v>7</v>
      </c>
      <c r="C15667" s="1">
        <f>HYPERLINK("https://cao.dolgi.msk.ru/account/1011064848/", 1011064848)</f>
        <v>1011064848</v>
      </c>
      <c r="D15667">
        <v>0</v>
      </c>
    </row>
    <row r="15668" spans="1:4" x14ac:dyDescent="0.3">
      <c r="A15668" t="s">
        <v>977</v>
      </c>
      <c r="B15668" t="s">
        <v>7</v>
      </c>
      <c r="C15668" s="1">
        <f>HYPERLINK("https://cao.dolgi.msk.ru/account/1011064856/", 1011064856)</f>
        <v>1011064856</v>
      </c>
      <c r="D15668">
        <v>241621.26</v>
      </c>
    </row>
    <row r="15669" spans="1:4" hidden="1" x14ac:dyDescent="0.3">
      <c r="A15669" t="s">
        <v>977</v>
      </c>
      <c r="B15669" t="s">
        <v>7</v>
      </c>
      <c r="C15669" s="1">
        <f>HYPERLINK("https://cao.dolgi.msk.ru/account/1011064864/", 1011064864)</f>
        <v>1011064864</v>
      </c>
      <c r="D15669">
        <v>-6917.74</v>
      </c>
    </row>
    <row r="15670" spans="1:4" hidden="1" x14ac:dyDescent="0.3">
      <c r="A15670" t="s">
        <v>977</v>
      </c>
      <c r="B15670" t="s">
        <v>7</v>
      </c>
      <c r="C15670" s="1">
        <f>HYPERLINK("https://cao.dolgi.msk.ru/account/1011064899/", 1011064899)</f>
        <v>1011064899</v>
      </c>
      <c r="D15670">
        <v>0</v>
      </c>
    </row>
    <row r="15671" spans="1:4" hidden="1" x14ac:dyDescent="0.3">
      <c r="A15671" t="s">
        <v>977</v>
      </c>
      <c r="B15671" t="s">
        <v>7</v>
      </c>
      <c r="C15671" s="1">
        <f>HYPERLINK("https://cao.dolgi.msk.ru/account/1011064901/", 1011064901)</f>
        <v>1011064901</v>
      </c>
      <c r="D15671">
        <v>0</v>
      </c>
    </row>
    <row r="15672" spans="1:4" hidden="1" x14ac:dyDescent="0.3">
      <c r="A15672" t="s">
        <v>977</v>
      </c>
      <c r="B15672" t="s">
        <v>7</v>
      </c>
      <c r="C15672" s="1">
        <f>HYPERLINK("https://cao.dolgi.msk.ru/account/1011064928/", 1011064928)</f>
        <v>1011064928</v>
      </c>
      <c r="D15672">
        <v>-10054.6</v>
      </c>
    </row>
    <row r="15673" spans="1:4" x14ac:dyDescent="0.3">
      <c r="A15673" t="s">
        <v>977</v>
      </c>
      <c r="B15673" t="s">
        <v>7</v>
      </c>
      <c r="C15673" s="1">
        <f>HYPERLINK("https://cao.dolgi.msk.ru/account/1011064936/", 1011064936)</f>
        <v>1011064936</v>
      </c>
      <c r="D15673">
        <v>46418.63</v>
      </c>
    </row>
    <row r="15674" spans="1:4" hidden="1" x14ac:dyDescent="0.3">
      <c r="A15674" t="s">
        <v>977</v>
      </c>
      <c r="B15674" t="s">
        <v>7</v>
      </c>
      <c r="C15674" s="1">
        <f>HYPERLINK("https://cao.dolgi.msk.ru/account/1011064944/", 1011064944)</f>
        <v>1011064944</v>
      </c>
      <c r="D15674">
        <v>0</v>
      </c>
    </row>
    <row r="15675" spans="1:4" x14ac:dyDescent="0.3">
      <c r="A15675" t="s">
        <v>977</v>
      </c>
      <c r="B15675" t="s">
        <v>7</v>
      </c>
      <c r="C15675" s="1">
        <f>HYPERLINK("https://cao.dolgi.msk.ru/account/1011064952/", 1011064952)</f>
        <v>1011064952</v>
      </c>
      <c r="D15675">
        <v>21845.62</v>
      </c>
    </row>
    <row r="15676" spans="1:4" hidden="1" x14ac:dyDescent="0.3">
      <c r="A15676" t="s">
        <v>977</v>
      </c>
      <c r="B15676" t="s">
        <v>7</v>
      </c>
      <c r="C15676" s="1">
        <f>HYPERLINK("https://cao.dolgi.msk.ru/account/1011064979/", 1011064979)</f>
        <v>1011064979</v>
      </c>
      <c r="D15676">
        <v>0</v>
      </c>
    </row>
    <row r="15677" spans="1:4" hidden="1" x14ac:dyDescent="0.3">
      <c r="A15677" t="s">
        <v>977</v>
      </c>
      <c r="B15677" t="s">
        <v>7</v>
      </c>
      <c r="C15677" s="1">
        <f>HYPERLINK("https://cao.dolgi.msk.ru/account/1011064987/", 1011064987)</f>
        <v>1011064987</v>
      </c>
      <c r="D15677">
        <v>-4404.6000000000004</v>
      </c>
    </row>
    <row r="15678" spans="1:4" hidden="1" x14ac:dyDescent="0.3">
      <c r="A15678" t="s">
        <v>977</v>
      </c>
      <c r="B15678" t="s">
        <v>7</v>
      </c>
      <c r="C15678" s="1">
        <f>HYPERLINK("https://cao.dolgi.msk.ru/account/1011064995/", 1011064995)</f>
        <v>1011064995</v>
      </c>
      <c r="D15678">
        <v>0</v>
      </c>
    </row>
    <row r="15679" spans="1:4" x14ac:dyDescent="0.3">
      <c r="A15679" t="s">
        <v>978</v>
      </c>
      <c r="B15679" t="s">
        <v>31</v>
      </c>
      <c r="C15679" s="1">
        <f>HYPERLINK("https://cao.dolgi.msk.ru/account/1011209525/", 1011209525)</f>
        <v>1011209525</v>
      </c>
      <c r="D15679">
        <v>1133.9000000000001</v>
      </c>
    </row>
    <row r="15680" spans="1:4" hidden="1" x14ac:dyDescent="0.3">
      <c r="A15680" t="s">
        <v>978</v>
      </c>
      <c r="B15680" t="s">
        <v>19</v>
      </c>
      <c r="C15680" s="1">
        <f>HYPERLINK("https://cao.dolgi.msk.ru/account/1011209912/", 1011209912)</f>
        <v>1011209912</v>
      </c>
      <c r="D15680">
        <v>-1495.16</v>
      </c>
    </row>
    <row r="15681" spans="1:4" hidden="1" x14ac:dyDescent="0.3">
      <c r="A15681" t="s">
        <v>978</v>
      </c>
      <c r="B15681" t="s">
        <v>21</v>
      </c>
      <c r="C15681" s="1">
        <f>HYPERLINK("https://cao.dolgi.msk.ru/account/1011209381/", 1011209381)</f>
        <v>1011209381</v>
      </c>
      <c r="D15681">
        <v>-336.89</v>
      </c>
    </row>
    <row r="15682" spans="1:4" hidden="1" x14ac:dyDescent="0.3">
      <c r="A15682" t="s">
        <v>978</v>
      </c>
      <c r="B15682" t="s">
        <v>53</v>
      </c>
      <c r="C15682" s="1">
        <f>HYPERLINK("https://cao.dolgi.msk.ru/account/1011209808/", 1011209808)</f>
        <v>1011209808</v>
      </c>
      <c r="D15682">
        <v>-3381.01</v>
      </c>
    </row>
    <row r="15683" spans="1:4" x14ac:dyDescent="0.3">
      <c r="A15683" t="s">
        <v>978</v>
      </c>
      <c r="B15683" t="s">
        <v>97</v>
      </c>
      <c r="C15683" s="1">
        <f>HYPERLINK("https://cao.dolgi.msk.ru/account/1011210198/", 1011210198)</f>
        <v>1011210198</v>
      </c>
      <c r="D15683">
        <v>5145.4799999999996</v>
      </c>
    </row>
    <row r="15684" spans="1:4" x14ac:dyDescent="0.3">
      <c r="A15684" t="s">
        <v>978</v>
      </c>
      <c r="B15684" t="s">
        <v>65</v>
      </c>
      <c r="C15684" s="1">
        <f>HYPERLINK("https://cao.dolgi.msk.ru/account/1011209592/", 1011209592)</f>
        <v>1011209592</v>
      </c>
      <c r="D15684">
        <v>3109.85</v>
      </c>
    </row>
    <row r="15685" spans="1:4" hidden="1" x14ac:dyDescent="0.3">
      <c r="A15685" t="s">
        <v>978</v>
      </c>
      <c r="B15685" t="s">
        <v>79</v>
      </c>
      <c r="C15685" s="1">
        <f>HYPERLINK("https://cao.dolgi.msk.ru/account/1011210411/", 1011210411)</f>
        <v>1011210411</v>
      </c>
      <c r="D15685">
        <v>0</v>
      </c>
    </row>
    <row r="15686" spans="1:4" x14ac:dyDescent="0.3">
      <c r="A15686" t="s">
        <v>978</v>
      </c>
      <c r="B15686" t="s">
        <v>101</v>
      </c>
      <c r="C15686" s="1">
        <f>HYPERLINK("https://cao.dolgi.msk.ru/account/1011209613/", 1011209613)</f>
        <v>1011209613</v>
      </c>
      <c r="D15686">
        <v>1613.66</v>
      </c>
    </row>
    <row r="15687" spans="1:4" hidden="1" x14ac:dyDescent="0.3">
      <c r="A15687" t="s">
        <v>978</v>
      </c>
      <c r="B15687" t="s">
        <v>82</v>
      </c>
      <c r="C15687" s="1">
        <f>HYPERLINK("https://cao.dolgi.msk.ru/account/1011210294/", 1011210294)</f>
        <v>1011210294</v>
      </c>
      <c r="D15687">
        <v>-299.92</v>
      </c>
    </row>
    <row r="15688" spans="1:4" hidden="1" x14ac:dyDescent="0.3">
      <c r="A15688" t="s">
        <v>979</v>
      </c>
      <c r="B15688" t="s">
        <v>6</v>
      </c>
      <c r="C15688" s="1">
        <f>HYPERLINK("https://cao.dolgi.msk.ru/account/1011353391/", 1011353391)</f>
        <v>1011353391</v>
      </c>
      <c r="D15688">
        <v>0</v>
      </c>
    </row>
    <row r="15689" spans="1:4" hidden="1" x14ac:dyDescent="0.3">
      <c r="A15689" t="s">
        <v>979</v>
      </c>
      <c r="B15689" t="s">
        <v>28</v>
      </c>
      <c r="C15689" s="1">
        <f>HYPERLINK("https://cao.dolgi.msk.ru/account/1011352815/", 1011352815)</f>
        <v>1011352815</v>
      </c>
      <c r="D15689">
        <v>-10393.66</v>
      </c>
    </row>
    <row r="15690" spans="1:4" hidden="1" x14ac:dyDescent="0.3">
      <c r="A15690" t="s">
        <v>979</v>
      </c>
      <c r="B15690" t="s">
        <v>35</v>
      </c>
      <c r="C15690" s="1">
        <f>HYPERLINK("https://cao.dolgi.msk.ru/account/1011353332/", 1011353332)</f>
        <v>1011353332</v>
      </c>
      <c r="D15690">
        <v>-3641.34</v>
      </c>
    </row>
    <row r="15691" spans="1:4" hidden="1" x14ac:dyDescent="0.3">
      <c r="A15691" t="s">
        <v>979</v>
      </c>
      <c r="B15691" t="s">
        <v>5</v>
      </c>
      <c r="C15691" s="1">
        <f>HYPERLINK("https://cao.dolgi.msk.ru/account/1011353113/", 1011353113)</f>
        <v>1011353113</v>
      </c>
      <c r="D15691">
        <v>0</v>
      </c>
    </row>
    <row r="15692" spans="1:4" hidden="1" x14ac:dyDescent="0.3">
      <c r="A15692" t="s">
        <v>979</v>
      </c>
      <c r="B15692" t="s">
        <v>7</v>
      </c>
      <c r="C15692" s="1">
        <f>HYPERLINK("https://cao.dolgi.msk.ru/account/1011352962/", 1011352962)</f>
        <v>1011352962</v>
      </c>
      <c r="D15692">
        <v>0</v>
      </c>
    </row>
    <row r="15693" spans="1:4" hidden="1" x14ac:dyDescent="0.3">
      <c r="A15693" t="s">
        <v>979</v>
      </c>
      <c r="B15693" t="s">
        <v>8</v>
      </c>
      <c r="C15693" s="1">
        <f>HYPERLINK("https://cao.dolgi.msk.ru/account/1011352882/", 1011352882)</f>
        <v>1011352882</v>
      </c>
      <c r="D15693">
        <v>0</v>
      </c>
    </row>
    <row r="15694" spans="1:4" hidden="1" x14ac:dyDescent="0.3">
      <c r="A15694" t="s">
        <v>979</v>
      </c>
      <c r="B15694" t="s">
        <v>31</v>
      </c>
      <c r="C15694" s="1">
        <f>HYPERLINK("https://cao.dolgi.msk.ru/account/1011352858/", 1011352858)</f>
        <v>1011352858</v>
      </c>
      <c r="D15694">
        <v>-4763.0600000000004</v>
      </c>
    </row>
    <row r="15695" spans="1:4" x14ac:dyDescent="0.3">
      <c r="A15695" t="s">
        <v>979</v>
      </c>
      <c r="B15695" t="s">
        <v>9</v>
      </c>
      <c r="C15695" s="1">
        <f>HYPERLINK("https://cao.dolgi.msk.ru/account/1011353092/", 1011353092)</f>
        <v>1011353092</v>
      </c>
      <c r="D15695">
        <v>23371.74</v>
      </c>
    </row>
    <row r="15696" spans="1:4" hidden="1" x14ac:dyDescent="0.3">
      <c r="A15696" t="s">
        <v>979</v>
      </c>
      <c r="B15696" t="s">
        <v>10</v>
      </c>
      <c r="C15696" s="1">
        <f>HYPERLINK("https://cao.dolgi.msk.ru/account/1011353674/", 1011353674)</f>
        <v>1011353674</v>
      </c>
      <c r="D15696">
        <v>0</v>
      </c>
    </row>
    <row r="15697" spans="1:4" hidden="1" x14ac:dyDescent="0.3">
      <c r="A15697" t="s">
        <v>979</v>
      </c>
      <c r="B15697" t="s">
        <v>11</v>
      </c>
      <c r="C15697" s="1">
        <f>HYPERLINK("https://cao.dolgi.msk.ru/account/1011352997/", 1011352997)</f>
        <v>1011352997</v>
      </c>
      <c r="D15697">
        <v>-286.94</v>
      </c>
    </row>
    <row r="15698" spans="1:4" hidden="1" x14ac:dyDescent="0.3">
      <c r="A15698" t="s">
        <v>979</v>
      </c>
      <c r="B15698" t="s">
        <v>12</v>
      </c>
      <c r="C15698" s="1">
        <f>HYPERLINK("https://cao.dolgi.msk.ru/account/1011353068/", 1011353068)</f>
        <v>1011353068</v>
      </c>
      <c r="D15698">
        <v>-3150.37</v>
      </c>
    </row>
    <row r="15699" spans="1:4" hidden="1" x14ac:dyDescent="0.3">
      <c r="A15699" t="s">
        <v>979</v>
      </c>
      <c r="B15699" t="s">
        <v>23</v>
      </c>
      <c r="C15699" s="1">
        <f>HYPERLINK("https://cao.dolgi.msk.ru/account/1011353703/", 1011353703)</f>
        <v>1011353703</v>
      </c>
      <c r="D15699">
        <v>0</v>
      </c>
    </row>
    <row r="15700" spans="1:4" hidden="1" x14ac:dyDescent="0.3">
      <c r="A15700" t="s">
        <v>979</v>
      </c>
      <c r="B15700" t="s">
        <v>13</v>
      </c>
      <c r="C15700" s="1">
        <f>HYPERLINK("https://cao.dolgi.msk.ru/account/1011353762/", 1011353762)</f>
        <v>1011353762</v>
      </c>
      <c r="D15700">
        <v>0</v>
      </c>
    </row>
    <row r="15701" spans="1:4" x14ac:dyDescent="0.3">
      <c r="A15701" t="s">
        <v>979</v>
      </c>
      <c r="B15701" t="s">
        <v>14</v>
      </c>
      <c r="C15701" s="1">
        <f>HYPERLINK("https://cao.dolgi.msk.ru/account/1011352938/", 1011352938)</f>
        <v>1011352938</v>
      </c>
      <c r="D15701">
        <v>2604.8000000000002</v>
      </c>
    </row>
    <row r="15702" spans="1:4" hidden="1" x14ac:dyDescent="0.3">
      <c r="A15702" t="s">
        <v>979</v>
      </c>
      <c r="B15702" t="s">
        <v>16</v>
      </c>
      <c r="C15702" s="1">
        <f>HYPERLINK("https://cao.dolgi.msk.ru/account/1011353746/", 1011353746)</f>
        <v>1011353746</v>
      </c>
      <c r="D15702">
        <v>0</v>
      </c>
    </row>
    <row r="15703" spans="1:4" hidden="1" x14ac:dyDescent="0.3">
      <c r="A15703" t="s">
        <v>979</v>
      </c>
      <c r="B15703" t="s">
        <v>17</v>
      </c>
      <c r="C15703" s="1">
        <f>HYPERLINK("https://cao.dolgi.msk.ru/account/1011353658/", 1011353658)</f>
        <v>1011353658</v>
      </c>
      <c r="D15703">
        <v>0</v>
      </c>
    </row>
    <row r="15704" spans="1:4" hidden="1" x14ac:dyDescent="0.3">
      <c r="A15704" t="s">
        <v>979</v>
      </c>
      <c r="B15704" t="s">
        <v>18</v>
      </c>
      <c r="C15704" s="1">
        <f>HYPERLINK("https://cao.dolgi.msk.ru/account/1011353498/", 1011353498)</f>
        <v>1011353498</v>
      </c>
      <c r="D15704">
        <v>0</v>
      </c>
    </row>
    <row r="15705" spans="1:4" hidden="1" x14ac:dyDescent="0.3">
      <c r="A15705" t="s">
        <v>979</v>
      </c>
      <c r="B15705" t="s">
        <v>19</v>
      </c>
      <c r="C15705" s="1">
        <f>HYPERLINK("https://cao.dolgi.msk.ru/account/1011353594/", 1011353594)</f>
        <v>1011353594</v>
      </c>
      <c r="D15705">
        <v>-31695.48</v>
      </c>
    </row>
    <row r="15706" spans="1:4" x14ac:dyDescent="0.3">
      <c r="A15706" t="s">
        <v>979</v>
      </c>
      <c r="B15706" t="s">
        <v>20</v>
      </c>
      <c r="C15706" s="1">
        <f>HYPERLINK("https://cao.dolgi.msk.ru/account/1011353666/", 1011353666)</f>
        <v>1011353666</v>
      </c>
      <c r="D15706">
        <v>8775.5499999999993</v>
      </c>
    </row>
    <row r="15707" spans="1:4" x14ac:dyDescent="0.3">
      <c r="A15707" t="s">
        <v>979</v>
      </c>
      <c r="B15707" t="s">
        <v>21</v>
      </c>
      <c r="C15707" s="1">
        <f>HYPERLINK("https://cao.dolgi.msk.ru/account/1011353711/", 1011353711)</f>
        <v>1011353711</v>
      </c>
      <c r="D15707">
        <v>27388.73</v>
      </c>
    </row>
    <row r="15708" spans="1:4" x14ac:dyDescent="0.3">
      <c r="A15708" t="s">
        <v>979</v>
      </c>
      <c r="B15708" t="s">
        <v>22</v>
      </c>
      <c r="C15708" s="1">
        <f>HYPERLINK("https://cao.dolgi.msk.ru/account/1011353076/", 1011353076)</f>
        <v>1011353076</v>
      </c>
      <c r="D15708">
        <v>25164.44</v>
      </c>
    </row>
    <row r="15709" spans="1:4" hidden="1" x14ac:dyDescent="0.3">
      <c r="A15709" t="s">
        <v>979</v>
      </c>
      <c r="B15709" t="s">
        <v>24</v>
      </c>
      <c r="C15709" s="1">
        <f>HYPERLINK("https://cao.dolgi.msk.ru/account/1011353172/", 1011353172)</f>
        <v>1011353172</v>
      </c>
      <c r="D15709">
        <v>0</v>
      </c>
    </row>
    <row r="15710" spans="1:4" hidden="1" x14ac:dyDescent="0.3">
      <c r="A15710" t="s">
        <v>979</v>
      </c>
      <c r="B15710" t="s">
        <v>25</v>
      </c>
      <c r="C15710" s="1">
        <f>HYPERLINK("https://cao.dolgi.msk.ru/account/1011353519/", 1011353519)</f>
        <v>1011353519</v>
      </c>
      <c r="D15710">
        <v>0</v>
      </c>
    </row>
    <row r="15711" spans="1:4" hidden="1" x14ac:dyDescent="0.3">
      <c r="A15711" t="s">
        <v>979</v>
      </c>
      <c r="B15711" t="s">
        <v>26</v>
      </c>
      <c r="C15711" s="1">
        <f>HYPERLINK("https://cao.dolgi.msk.ru/account/1011353244/", 1011353244)</f>
        <v>1011353244</v>
      </c>
      <c r="D15711">
        <v>0</v>
      </c>
    </row>
    <row r="15712" spans="1:4" hidden="1" x14ac:dyDescent="0.3">
      <c r="A15712" t="s">
        <v>979</v>
      </c>
      <c r="B15712" t="s">
        <v>27</v>
      </c>
      <c r="C15712" s="1">
        <f>HYPERLINK("https://cao.dolgi.msk.ru/account/1011353551/", 1011353551)</f>
        <v>1011353551</v>
      </c>
      <c r="D15712">
        <v>0</v>
      </c>
    </row>
    <row r="15713" spans="1:4" x14ac:dyDescent="0.3">
      <c r="A15713" t="s">
        <v>979</v>
      </c>
      <c r="B15713" t="s">
        <v>29</v>
      </c>
      <c r="C15713" s="1">
        <f>HYPERLINK("https://cao.dolgi.msk.ru/account/1011352903/", 1011352903)</f>
        <v>1011352903</v>
      </c>
      <c r="D15713">
        <v>33107.379999999997</v>
      </c>
    </row>
    <row r="15714" spans="1:4" hidden="1" x14ac:dyDescent="0.3">
      <c r="A15714" t="s">
        <v>979</v>
      </c>
      <c r="B15714" t="s">
        <v>38</v>
      </c>
      <c r="C15714" s="1">
        <f>HYPERLINK("https://cao.dolgi.msk.ru/account/1011353789/", 1011353789)</f>
        <v>1011353789</v>
      </c>
      <c r="D15714">
        <v>-4921.6499999999996</v>
      </c>
    </row>
    <row r="15715" spans="1:4" hidden="1" x14ac:dyDescent="0.3">
      <c r="A15715" t="s">
        <v>979</v>
      </c>
      <c r="B15715" t="s">
        <v>39</v>
      </c>
      <c r="C15715" s="1">
        <f>HYPERLINK("https://cao.dolgi.msk.ru/account/1011353623/", 1011353623)</f>
        <v>1011353623</v>
      </c>
      <c r="D15715">
        <v>-3352.31</v>
      </c>
    </row>
    <row r="15716" spans="1:4" hidden="1" x14ac:dyDescent="0.3">
      <c r="A15716" t="s">
        <v>979</v>
      </c>
      <c r="B15716" t="s">
        <v>40</v>
      </c>
      <c r="C15716" s="1">
        <f>HYPERLINK("https://cao.dolgi.msk.ru/account/1011353199/", 1011353199)</f>
        <v>1011353199</v>
      </c>
      <c r="D15716">
        <v>0</v>
      </c>
    </row>
    <row r="15717" spans="1:4" hidden="1" x14ac:dyDescent="0.3">
      <c r="A15717" t="s">
        <v>979</v>
      </c>
      <c r="B15717" t="s">
        <v>41</v>
      </c>
      <c r="C15717" s="1">
        <f>HYPERLINK("https://cao.dolgi.msk.ru/account/1011353578/", 1011353578)</f>
        <v>1011353578</v>
      </c>
      <c r="D15717">
        <v>0</v>
      </c>
    </row>
    <row r="15718" spans="1:4" hidden="1" x14ac:dyDescent="0.3">
      <c r="A15718" t="s">
        <v>979</v>
      </c>
      <c r="B15718" t="s">
        <v>51</v>
      </c>
      <c r="C15718" s="1">
        <f>HYPERLINK("https://cao.dolgi.msk.ru/account/1011352735/", 1011352735)</f>
        <v>1011352735</v>
      </c>
      <c r="D15718">
        <v>0</v>
      </c>
    </row>
    <row r="15719" spans="1:4" hidden="1" x14ac:dyDescent="0.3">
      <c r="A15719" t="s">
        <v>979</v>
      </c>
      <c r="B15719" t="s">
        <v>52</v>
      </c>
      <c r="C15719" s="1">
        <f>HYPERLINK("https://cao.dolgi.msk.ru/account/1011353447/", 1011353447)</f>
        <v>1011353447</v>
      </c>
      <c r="D15719">
        <v>-4240.3100000000004</v>
      </c>
    </row>
    <row r="15720" spans="1:4" hidden="1" x14ac:dyDescent="0.3">
      <c r="A15720" t="s">
        <v>979</v>
      </c>
      <c r="B15720" t="s">
        <v>53</v>
      </c>
      <c r="C15720" s="1">
        <f>HYPERLINK("https://cao.dolgi.msk.ru/account/1011352823/", 1011352823)</f>
        <v>1011352823</v>
      </c>
      <c r="D15720">
        <v>0</v>
      </c>
    </row>
    <row r="15721" spans="1:4" x14ac:dyDescent="0.3">
      <c r="A15721" t="s">
        <v>979</v>
      </c>
      <c r="B15721" t="s">
        <v>54</v>
      </c>
      <c r="C15721" s="1">
        <f>HYPERLINK("https://cao.dolgi.msk.ru/account/1011353295/", 1011353295)</f>
        <v>1011353295</v>
      </c>
      <c r="D15721">
        <v>6144.03</v>
      </c>
    </row>
    <row r="15722" spans="1:4" x14ac:dyDescent="0.3">
      <c r="A15722" t="s">
        <v>979</v>
      </c>
      <c r="B15722" t="s">
        <v>55</v>
      </c>
      <c r="C15722" s="1">
        <f>HYPERLINK("https://cao.dolgi.msk.ru/account/1011352866/", 1011352866)</f>
        <v>1011352866</v>
      </c>
      <c r="D15722">
        <v>354.7</v>
      </c>
    </row>
    <row r="15723" spans="1:4" hidden="1" x14ac:dyDescent="0.3">
      <c r="A15723" t="s">
        <v>979</v>
      </c>
      <c r="B15723" t="s">
        <v>56</v>
      </c>
      <c r="C15723" s="1">
        <f>HYPERLINK("https://cao.dolgi.msk.ru/account/1011353455/", 1011353455)</f>
        <v>1011353455</v>
      </c>
      <c r="D15723">
        <v>-3894.97</v>
      </c>
    </row>
    <row r="15724" spans="1:4" x14ac:dyDescent="0.3">
      <c r="A15724" t="s">
        <v>979</v>
      </c>
      <c r="B15724" t="s">
        <v>87</v>
      </c>
      <c r="C15724" s="1">
        <f>HYPERLINK("https://cao.dolgi.msk.ru/account/1011353631/", 1011353631)</f>
        <v>1011353631</v>
      </c>
      <c r="D15724">
        <v>2852.2</v>
      </c>
    </row>
    <row r="15725" spans="1:4" hidden="1" x14ac:dyDescent="0.3">
      <c r="A15725" t="s">
        <v>979</v>
      </c>
      <c r="B15725" t="s">
        <v>88</v>
      </c>
      <c r="C15725" s="1">
        <f>HYPERLINK("https://cao.dolgi.msk.ru/account/1011353869/", 1011353869)</f>
        <v>1011353869</v>
      </c>
      <c r="D15725">
        <v>0</v>
      </c>
    </row>
    <row r="15726" spans="1:4" hidden="1" x14ac:dyDescent="0.3">
      <c r="A15726" t="s">
        <v>979</v>
      </c>
      <c r="B15726" t="s">
        <v>89</v>
      </c>
      <c r="C15726" s="1">
        <f>HYPERLINK("https://cao.dolgi.msk.ru/account/1011352743/", 1011352743)</f>
        <v>1011352743</v>
      </c>
      <c r="D15726">
        <v>0</v>
      </c>
    </row>
    <row r="15727" spans="1:4" hidden="1" x14ac:dyDescent="0.3">
      <c r="A15727" t="s">
        <v>979</v>
      </c>
      <c r="B15727" t="s">
        <v>90</v>
      </c>
      <c r="C15727" s="1">
        <f>HYPERLINK("https://cao.dolgi.msk.ru/account/1011353359/", 1011353359)</f>
        <v>1011353359</v>
      </c>
      <c r="D15727">
        <v>-2897.41</v>
      </c>
    </row>
    <row r="15728" spans="1:4" hidden="1" x14ac:dyDescent="0.3">
      <c r="A15728" t="s">
        <v>979</v>
      </c>
      <c r="B15728" t="s">
        <v>96</v>
      </c>
      <c r="C15728" s="1">
        <f>HYPERLINK("https://cao.dolgi.msk.ru/account/1011353316/", 1011353316)</f>
        <v>1011353316</v>
      </c>
      <c r="D15728">
        <v>0</v>
      </c>
    </row>
    <row r="15729" spans="1:4" hidden="1" x14ac:dyDescent="0.3">
      <c r="A15729" t="s">
        <v>979</v>
      </c>
      <c r="B15729" t="s">
        <v>97</v>
      </c>
      <c r="C15729" s="1">
        <f>HYPERLINK("https://cao.dolgi.msk.ru/account/1011353148/", 1011353148)</f>
        <v>1011353148</v>
      </c>
      <c r="D15729">
        <v>-3583.13</v>
      </c>
    </row>
    <row r="15730" spans="1:4" hidden="1" x14ac:dyDescent="0.3">
      <c r="A15730" t="s">
        <v>979</v>
      </c>
      <c r="B15730" t="s">
        <v>98</v>
      </c>
      <c r="C15730" s="1">
        <f>HYPERLINK("https://cao.dolgi.msk.ru/account/1011352946/", 1011352946)</f>
        <v>1011352946</v>
      </c>
      <c r="D15730">
        <v>0</v>
      </c>
    </row>
    <row r="15731" spans="1:4" hidden="1" x14ac:dyDescent="0.3">
      <c r="A15731" t="s">
        <v>979</v>
      </c>
      <c r="B15731" t="s">
        <v>58</v>
      </c>
      <c r="C15731" s="1">
        <f>HYPERLINK("https://cao.dolgi.msk.ru/account/1011353877/", 1011353877)</f>
        <v>1011353877</v>
      </c>
      <c r="D15731">
        <v>0</v>
      </c>
    </row>
    <row r="15732" spans="1:4" hidden="1" x14ac:dyDescent="0.3">
      <c r="A15732" t="s">
        <v>979</v>
      </c>
      <c r="B15732" t="s">
        <v>59</v>
      </c>
      <c r="C15732" s="1">
        <f>HYPERLINK("https://cao.dolgi.msk.ru/account/1011353367/", 1011353367)</f>
        <v>1011353367</v>
      </c>
      <c r="D15732">
        <v>0</v>
      </c>
    </row>
    <row r="15733" spans="1:4" hidden="1" x14ac:dyDescent="0.3">
      <c r="A15733" t="s">
        <v>979</v>
      </c>
      <c r="B15733" t="s">
        <v>60</v>
      </c>
      <c r="C15733" s="1">
        <f>HYPERLINK("https://cao.dolgi.msk.ru/account/1011353308/", 1011353308)</f>
        <v>1011353308</v>
      </c>
      <c r="D15733">
        <v>-1673.85</v>
      </c>
    </row>
    <row r="15734" spans="1:4" hidden="1" x14ac:dyDescent="0.3">
      <c r="A15734" t="s">
        <v>979</v>
      </c>
      <c r="B15734" t="s">
        <v>61</v>
      </c>
      <c r="C15734" s="1">
        <f>HYPERLINK("https://cao.dolgi.msk.ru/account/1011353826/", 1011353826)</f>
        <v>1011353826</v>
      </c>
      <c r="D15734">
        <v>-5108.04</v>
      </c>
    </row>
    <row r="15735" spans="1:4" hidden="1" x14ac:dyDescent="0.3">
      <c r="A15735" t="s">
        <v>979</v>
      </c>
      <c r="B15735" t="s">
        <v>62</v>
      </c>
      <c r="C15735" s="1">
        <f>HYPERLINK("https://cao.dolgi.msk.ru/account/1011352831/", 1011352831)</f>
        <v>1011352831</v>
      </c>
      <c r="D15735">
        <v>0</v>
      </c>
    </row>
    <row r="15736" spans="1:4" hidden="1" x14ac:dyDescent="0.3">
      <c r="A15736" t="s">
        <v>979</v>
      </c>
      <c r="B15736" t="s">
        <v>63</v>
      </c>
      <c r="C15736" s="1">
        <f>HYPERLINK("https://cao.dolgi.msk.ru/account/1011352911/", 1011352911)</f>
        <v>1011352911</v>
      </c>
      <c r="D15736">
        <v>0</v>
      </c>
    </row>
    <row r="15737" spans="1:4" hidden="1" x14ac:dyDescent="0.3">
      <c r="A15737" t="s">
        <v>979</v>
      </c>
      <c r="B15737" t="s">
        <v>64</v>
      </c>
      <c r="C15737" s="1">
        <f>HYPERLINK("https://cao.dolgi.msk.ru/account/1011353885/", 1011353885)</f>
        <v>1011353885</v>
      </c>
      <c r="D15737">
        <v>-15455.42</v>
      </c>
    </row>
    <row r="15738" spans="1:4" hidden="1" x14ac:dyDescent="0.3">
      <c r="A15738" t="s">
        <v>979</v>
      </c>
      <c r="B15738" t="s">
        <v>65</v>
      </c>
      <c r="C15738" s="1">
        <f>HYPERLINK("https://cao.dolgi.msk.ru/account/1011353375/", 1011353375)</f>
        <v>1011353375</v>
      </c>
      <c r="D15738">
        <v>0</v>
      </c>
    </row>
    <row r="15739" spans="1:4" hidden="1" x14ac:dyDescent="0.3">
      <c r="A15739" t="s">
        <v>979</v>
      </c>
      <c r="B15739" t="s">
        <v>66</v>
      </c>
      <c r="C15739" s="1">
        <f>HYPERLINK("https://cao.dolgi.msk.ru/account/1011352727/", 1011352727)</f>
        <v>1011352727</v>
      </c>
      <c r="D15739">
        <v>-5732.17</v>
      </c>
    </row>
    <row r="15740" spans="1:4" hidden="1" x14ac:dyDescent="0.3">
      <c r="A15740" t="s">
        <v>979</v>
      </c>
      <c r="B15740" t="s">
        <v>67</v>
      </c>
      <c r="C15740" s="1">
        <f>HYPERLINK("https://cao.dolgi.msk.ru/account/1011353412/", 1011353412)</f>
        <v>1011353412</v>
      </c>
      <c r="D15740">
        <v>-4504.7700000000004</v>
      </c>
    </row>
    <row r="15741" spans="1:4" x14ac:dyDescent="0.3">
      <c r="A15741" t="s">
        <v>979</v>
      </c>
      <c r="B15741" t="s">
        <v>68</v>
      </c>
      <c r="C15741" s="1">
        <f>HYPERLINK("https://cao.dolgi.msk.ru/account/1011353893/", 1011353893)</f>
        <v>1011353893</v>
      </c>
      <c r="D15741">
        <v>17878.82</v>
      </c>
    </row>
    <row r="15742" spans="1:4" hidden="1" x14ac:dyDescent="0.3">
      <c r="A15742" t="s">
        <v>979</v>
      </c>
      <c r="B15742" t="s">
        <v>69</v>
      </c>
      <c r="C15742" s="1">
        <f>HYPERLINK("https://cao.dolgi.msk.ru/account/1011353682/", 1011353682)</f>
        <v>1011353682</v>
      </c>
      <c r="D15742">
        <v>0</v>
      </c>
    </row>
    <row r="15743" spans="1:4" hidden="1" x14ac:dyDescent="0.3">
      <c r="A15743" t="s">
        <v>979</v>
      </c>
      <c r="B15743" t="s">
        <v>70</v>
      </c>
      <c r="C15743" s="1">
        <f>HYPERLINK("https://cao.dolgi.msk.ru/account/1011353439/", 1011353439)</f>
        <v>1011353439</v>
      </c>
      <c r="D15743">
        <v>-3947.68</v>
      </c>
    </row>
    <row r="15744" spans="1:4" hidden="1" x14ac:dyDescent="0.3">
      <c r="A15744" t="s">
        <v>979</v>
      </c>
      <c r="B15744" t="s">
        <v>259</v>
      </c>
      <c r="C15744" s="1">
        <f>HYPERLINK("https://cao.dolgi.msk.ru/account/1011353009/", 1011353009)</f>
        <v>1011353009</v>
      </c>
      <c r="D15744">
        <v>-6232.38</v>
      </c>
    </row>
    <row r="15745" spans="1:4" x14ac:dyDescent="0.3">
      <c r="A15745" t="s">
        <v>979</v>
      </c>
      <c r="B15745" t="s">
        <v>100</v>
      </c>
      <c r="C15745" s="1">
        <f>HYPERLINK("https://cao.dolgi.msk.ru/account/1011353404/", 1011353404)</f>
        <v>1011353404</v>
      </c>
      <c r="D15745">
        <v>17966.79</v>
      </c>
    </row>
    <row r="15746" spans="1:4" hidden="1" x14ac:dyDescent="0.3">
      <c r="A15746" t="s">
        <v>979</v>
      </c>
      <c r="B15746" t="s">
        <v>72</v>
      </c>
      <c r="C15746" s="1">
        <f>HYPERLINK("https://cao.dolgi.msk.ru/account/1011353228/", 1011353228)</f>
        <v>1011353228</v>
      </c>
      <c r="D15746">
        <v>0</v>
      </c>
    </row>
    <row r="15747" spans="1:4" hidden="1" x14ac:dyDescent="0.3">
      <c r="A15747" t="s">
        <v>979</v>
      </c>
      <c r="B15747" t="s">
        <v>73</v>
      </c>
      <c r="C15747" s="1">
        <f>HYPERLINK("https://cao.dolgi.msk.ru/account/1011352989/", 1011352989)</f>
        <v>1011352989</v>
      </c>
      <c r="D15747">
        <v>0</v>
      </c>
    </row>
    <row r="15748" spans="1:4" hidden="1" x14ac:dyDescent="0.3">
      <c r="A15748" t="s">
        <v>979</v>
      </c>
      <c r="B15748" t="s">
        <v>74</v>
      </c>
      <c r="C15748" s="1">
        <f>HYPERLINK("https://cao.dolgi.msk.ru/account/1011353834/", 1011353834)</f>
        <v>1011353834</v>
      </c>
      <c r="D15748">
        <v>0</v>
      </c>
    </row>
    <row r="15749" spans="1:4" hidden="1" x14ac:dyDescent="0.3">
      <c r="A15749" t="s">
        <v>979</v>
      </c>
      <c r="B15749" t="s">
        <v>75</v>
      </c>
      <c r="C15749" s="1">
        <f>HYPERLINK("https://cao.dolgi.msk.ru/account/1011353279/", 1011353279)</f>
        <v>1011353279</v>
      </c>
      <c r="D15749">
        <v>0</v>
      </c>
    </row>
    <row r="15750" spans="1:4" hidden="1" x14ac:dyDescent="0.3">
      <c r="A15750" t="s">
        <v>979</v>
      </c>
      <c r="B15750" t="s">
        <v>76</v>
      </c>
      <c r="C15750" s="1">
        <f>HYPERLINK("https://cao.dolgi.msk.ru/account/1011353156/", 1011353156)</f>
        <v>1011353156</v>
      </c>
      <c r="D15750">
        <v>0</v>
      </c>
    </row>
    <row r="15751" spans="1:4" hidden="1" x14ac:dyDescent="0.3">
      <c r="A15751" t="s">
        <v>979</v>
      </c>
      <c r="B15751" t="s">
        <v>77</v>
      </c>
      <c r="C15751" s="1">
        <f>HYPERLINK("https://cao.dolgi.msk.ru/account/1011352807/", 1011352807)</f>
        <v>1011352807</v>
      </c>
      <c r="D15751">
        <v>0</v>
      </c>
    </row>
    <row r="15752" spans="1:4" hidden="1" x14ac:dyDescent="0.3">
      <c r="A15752" t="s">
        <v>979</v>
      </c>
      <c r="B15752" t="s">
        <v>78</v>
      </c>
      <c r="C15752" s="1">
        <f>HYPERLINK("https://cao.dolgi.msk.ru/account/1011353252/", 1011353252)</f>
        <v>1011353252</v>
      </c>
      <c r="D15752">
        <v>0</v>
      </c>
    </row>
    <row r="15753" spans="1:4" hidden="1" x14ac:dyDescent="0.3">
      <c r="A15753" t="s">
        <v>979</v>
      </c>
      <c r="B15753" t="s">
        <v>79</v>
      </c>
      <c r="C15753" s="1">
        <f>HYPERLINK("https://cao.dolgi.msk.ru/account/1011353017/", 1011353017)</f>
        <v>1011353017</v>
      </c>
      <c r="D15753">
        <v>-4082.74</v>
      </c>
    </row>
    <row r="15754" spans="1:4" hidden="1" x14ac:dyDescent="0.3">
      <c r="A15754" t="s">
        <v>979</v>
      </c>
      <c r="B15754" t="s">
        <v>80</v>
      </c>
      <c r="C15754" s="1">
        <f>HYPERLINK("https://cao.dolgi.msk.ru/account/1011353324/", 1011353324)</f>
        <v>1011353324</v>
      </c>
      <c r="D15754">
        <v>0</v>
      </c>
    </row>
    <row r="15755" spans="1:4" hidden="1" x14ac:dyDescent="0.3">
      <c r="A15755" t="s">
        <v>979</v>
      </c>
      <c r="B15755" t="s">
        <v>81</v>
      </c>
      <c r="C15755" s="1">
        <f>HYPERLINK("https://cao.dolgi.msk.ru/account/1011352954/", 1011352954)</f>
        <v>1011352954</v>
      </c>
      <c r="D15755">
        <v>0</v>
      </c>
    </row>
    <row r="15756" spans="1:4" x14ac:dyDescent="0.3">
      <c r="A15756" t="s">
        <v>979</v>
      </c>
      <c r="B15756" t="s">
        <v>101</v>
      </c>
      <c r="C15756" s="1">
        <f>HYPERLINK("https://cao.dolgi.msk.ru/account/1011353607/", 1011353607)</f>
        <v>1011353607</v>
      </c>
      <c r="D15756">
        <v>62.1</v>
      </c>
    </row>
    <row r="15757" spans="1:4" hidden="1" x14ac:dyDescent="0.3">
      <c r="A15757" t="s">
        <v>979</v>
      </c>
      <c r="B15757" t="s">
        <v>82</v>
      </c>
      <c r="C15757" s="1">
        <f>HYPERLINK("https://cao.dolgi.msk.ru/account/1011353287/", 1011353287)</f>
        <v>1011353287</v>
      </c>
      <c r="D15757">
        <v>0</v>
      </c>
    </row>
    <row r="15758" spans="1:4" hidden="1" x14ac:dyDescent="0.3">
      <c r="A15758" t="s">
        <v>979</v>
      </c>
      <c r="B15758" t="s">
        <v>83</v>
      </c>
      <c r="C15758" s="1">
        <f>HYPERLINK("https://cao.dolgi.msk.ru/account/1011353025/", 1011353025)</f>
        <v>1011353025</v>
      </c>
      <c r="D15758">
        <v>-3808.2</v>
      </c>
    </row>
    <row r="15759" spans="1:4" hidden="1" x14ac:dyDescent="0.3">
      <c r="A15759" t="s">
        <v>979</v>
      </c>
      <c r="B15759" t="s">
        <v>84</v>
      </c>
      <c r="C15759" s="1">
        <f>HYPERLINK("https://cao.dolgi.msk.ru/account/1011352778/", 1011352778)</f>
        <v>1011352778</v>
      </c>
      <c r="D15759">
        <v>0</v>
      </c>
    </row>
    <row r="15760" spans="1:4" hidden="1" x14ac:dyDescent="0.3">
      <c r="A15760" t="s">
        <v>979</v>
      </c>
      <c r="B15760" t="s">
        <v>85</v>
      </c>
      <c r="C15760" s="1">
        <f>HYPERLINK("https://cao.dolgi.msk.ru/account/1011353033/", 1011353033)</f>
        <v>1011353033</v>
      </c>
      <c r="D15760">
        <v>0</v>
      </c>
    </row>
    <row r="15761" spans="1:4" hidden="1" x14ac:dyDescent="0.3">
      <c r="A15761" t="s">
        <v>979</v>
      </c>
      <c r="B15761" t="s">
        <v>102</v>
      </c>
      <c r="C15761" s="1">
        <f>HYPERLINK("https://cao.dolgi.msk.ru/account/1011353463/", 1011353463)</f>
        <v>1011353463</v>
      </c>
      <c r="D15761">
        <v>-667.08</v>
      </c>
    </row>
    <row r="15762" spans="1:4" hidden="1" x14ac:dyDescent="0.3">
      <c r="A15762" t="s">
        <v>979</v>
      </c>
      <c r="B15762" t="s">
        <v>103</v>
      </c>
      <c r="C15762" s="1">
        <f>HYPERLINK("https://cao.dolgi.msk.ru/account/1011353164/", 1011353164)</f>
        <v>1011353164</v>
      </c>
      <c r="D15762">
        <v>0</v>
      </c>
    </row>
    <row r="15763" spans="1:4" hidden="1" x14ac:dyDescent="0.3">
      <c r="A15763" t="s">
        <v>979</v>
      </c>
      <c r="B15763" t="s">
        <v>104</v>
      </c>
      <c r="C15763" s="1">
        <f>HYPERLINK("https://cao.dolgi.msk.ru/account/1011353527/", 1011353527)</f>
        <v>1011353527</v>
      </c>
      <c r="D15763">
        <v>0</v>
      </c>
    </row>
    <row r="15764" spans="1:4" hidden="1" x14ac:dyDescent="0.3">
      <c r="A15764" t="s">
        <v>979</v>
      </c>
      <c r="B15764" t="s">
        <v>105</v>
      </c>
      <c r="C15764" s="1">
        <f>HYPERLINK("https://cao.dolgi.msk.ru/account/1011353842/", 1011353842)</f>
        <v>1011353842</v>
      </c>
      <c r="D15764">
        <v>-2892.19</v>
      </c>
    </row>
    <row r="15765" spans="1:4" hidden="1" x14ac:dyDescent="0.3">
      <c r="A15765" t="s">
        <v>979</v>
      </c>
      <c r="B15765" t="s">
        <v>106</v>
      </c>
      <c r="C15765" s="1">
        <f>HYPERLINK("https://cao.dolgi.msk.ru/account/1011353084/", 1011353084)</f>
        <v>1011353084</v>
      </c>
      <c r="D15765">
        <v>0</v>
      </c>
    </row>
    <row r="15766" spans="1:4" hidden="1" x14ac:dyDescent="0.3">
      <c r="A15766" t="s">
        <v>979</v>
      </c>
      <c r="B15766" t="s">
        <v>107</v>
      </c>
      <c r="C15766" s="1">
        <f>HYPERLINK("https://cao.dolgi.msk.ru/account/1011353615/", 1011353615)</f>
        <v>1011353615</v>
      </c>
      <c r="D15766">
        <v>0</v>
      </c>
    </row>
    <row r="15767" spans="1:4" hidden="1" x14ac:dyDescent="0.3">
      <c r="A15767" t="s">
        <v>979</v>
      </c>
      <c r="B15767" t="s">
        <v>108</v>
      </c>
      <c r="C15767" s="1">
        <f>HYPERLINK("https://cao.dolgi.msk.ru/account/1011353797/", 1011353797)</f>
        <v>1011353797</v>
      </c>
      <c r="D15767">
        <v>0</v>
      </c>
    </row>
    <row r="15768" spans="1:4" hidden="1" x14ac:dyDescent="0.3">
      <c r="A15768" t="s">
        <v>979</v>
      </c>
      <c r="B15768" t="s">
        <v>109</v>
      </c>
      <c r="C15768" s="1">
        <f>HYPERLINK("https://cao.dolgi.msk.ru/account/1011353738/", 1011353738)</f>
        <v>1011353738</v>
      </c>
      <c r="D15768">
        <v>-15826.11</v>
      </c>
    </row>
    <row r="15769" spans="1:4" hidden="1" x14ac:dyDescent="0.3">
      <c r="A15769" t="s">
        <v>979</v>
      </c>
      <c r="B15769" t="s">
        <v>110</v>
      </c>
      <c r="C15769" s="1">
        <f>HYPERLINK("https://cao.dolgi.msk.ru/account/1011353121/", 1011353121)</f>
        <v>1011353121</v>
      </c>
      <c r="D15769">
        <v>-474.9</v>
      </c>
    </row>
    <row r="15770" spans="1:4" hidden="1" x14ac:dyDescent="0.3">
      <c r="A15770" t="s">
        <v>979</v>
      </c>
      <c r="B15770" t="s">
        <v>111</v>
      </c>
      <c r="C15770" s="1">
        <f>HYPERLINK("https://cao.dolgi.msk.ru/account/1011353535/", 1011353535)</f>
        <v>1011353535</v>
      </c>
      <c r="D15770">
        <v>0</v>
      </c>
    </row>
    <row r="15771" spans="1:4" hidden="1" x14ac:dyDescent="0.3">
      <c r="A15771" t="s">
        <v>979</v>
      </c>
      <c r="B15771" t="s">
        <v>112</v>
      </c>
      <c r="C15771" s="1">
        <f>HYPERLINK("https://cao.dolgi.msk.ru/account/1011353818/", 1011353818)</f>
        <v>1011353818</v>
      </c>
      <c r="D15771">
        <v>-12216.99</v>
      </c>
    </row>
    <row r="15772" spans="1:4" hidden="1" x14ac:dyDescent="0.3">
      <c r="A15772" t="s">
        <v>979</v>
      </c>
      <c r="B15772" t="s">
        <v>113</v>
      </c>
      <c r="C15772" s="1">
        <f>HYPERLINK("https://cao.dolgi.msk.ru/account/1011353201/", 1011353201)</f>
        <v>1011353201</v>
      </c>
      <c r="D15772">
        <v>0</v>
      </c>
    </row>
    <row r="15773" spans="1:4" x14ac:dyDescent="0.3">
      <c r="A15773" t="s">
        <v>979</v>
      </c>
      <c r="B15773" t="s">
        <v>114</v>
      </c>
      <c r="C15773" s="1">
        <f>HYPERLINK("https://cao.dolgi.msk.ru/account/1011352786/", 1011352786)</f>
        <v>1011352786</v>
      </c>
      <c r="D15773">
        <v>94588.54</v>
      </c>
    </row>
    <row r="15774" spans="1:4" hidden="1" x14ac:dyDescent="0.3">
      <c r="A15774" t="s">
        <v>979</v>
      </c>
      <c r="B15774" t="s">
        <v>115</v>
      </c>
      <c r="C15774" s="1">
        <f>HYPERLINK("https://cao.dolgi.msk.ru/account/1011352751/", 1011352751)</f>
        <v>1011352751</v>
      </c>
      <c r="D15774">
        <v>-221.16</v>
      </c>
    </row>
    <row r="15775" spans="1:4" hidden="1" x14ac:dyDescent="0.3">
      <c r="A15775" t="s">
        <v>979</v>
      </c>
      <c r="B15775" t="s">
        <v>116</v>
      </c>
      <c r="C15775" s="1">
        <f>HYPERLINK("https://cao.dolgi.msk.ru/account/1011353105/", 1011353105)</f>
        <v>1011353105</v>
      </c>
      <c r="D15775">
        <v>0</v>
      </c>
    </row>
    <row r="15776" spans="1:4" hidden="1" x14ac:dyDescent="0.3">
      <c r="A15776" t="s">
        <v>979</v>
      </c>
      <c r="B15776" t="s">
        <v>266</v>
      </c>
      <c r="C15776" s="1">
        <f>HYPERLINK("https://cao.dolgi.msk.ru/account/1011353543/", 1011353543)</f>
        <v>1011353543</v>
      </c>
      <c r="D15776">
        <v>-4872.7700000000004</v>
      </c>
    </row>
    <row r="15777" spans="1:4" hidden="1" x14ac:dyDescent="0.3">
      <c r="A15777" t="s">
        <v>979</v>
      </c>
      <c r="B15777" t="s">
        <v>117</v>
      </c>
      <c r="C15777" s="1">
        <f>HYPERLINK("https://cao.dolgi.msk.ru/account/1011353471/", 1011353471)</f>
        <v>1011353471</v>
      </c>
      <c r="D15777">
        <v>0</v>
      </c>
    </row>
    <row r="15778" spans="1:4" hidden="1" x14ac:dyDescent="0.3">
      <c r="A15778" t="s">
        <v>979</v>
      </c>
      <c r="B15778" t="s">
        <v>118</v>
      </c>
      <c r="C15778" s="1">
        <f>HYPERLINK("https://cao.dolgi.msk.ru/account/1011352794/", 1011352794)</f>
        <v>1011352794</v>
      </c>
      <c r="D15778">
        <v>-19530.509999999998</v>
      </c>
    </row>
    <row r="15779" spans="1:4" x14ac:dyDescent="0.3">
      <c r="A15779" t="s">
        <v>979</v>
      </c>
      <c r="B15779" t="s">
        <v>190</v>
      </c>
      <c r="C15779" s="1">
        <f>HYPERLINK("https://cao.dolgi.msk.ru/account/1011353754/", 1011353754)</f>
        <v>1011353754</v>
      </c>
      <c r="D15779">
        <v>8399.11</v>
      </c>
    </row>
    <row r="15780" spans="1:4" x14ac:dyDescent="0.3">
      <c r="A15780" t="s">
        <v>979</v>
      </c>
      <c r="B15780" t="s">
        <v>204</v>
      </c>
      <c r="C15780" s="1">
        <f>HYPERLINK("https://cao.dolgi.msk.ru/account/1011353041/", 1011353041)</f>
        <v>1011353041</v>
      </c>
      <c r="D15780">
        <v>3160.65</v>
      </c>
    </row>
    <row r="15781" spans="1:4" hidden="1" x14ac:dyDescent="0.3">
      <c r="A15781" t="s">
        <v>979</v>
      </c>
      <c r="B15781" t="s">
        <v>205</v>
      </c>
      <c r="C15781" s="1">
        <f>HYPERLINK("https://cao.dolgi.msk.ru/account/1011353236/", 1011353236)</f>
        <v>1011353236</v>
      </c>
      <c r="D15781">
        <v>0</v>
      </c>
    </row>
    <row r="15782" spans="1:4" hidden="1" x14ac:dyDescent="0.3">
      <c r="A15782" t="s">
        <v>979</v>
      </c>
      <c r="B15782" t="s">
        <v>206</v>
      </c>
      <c r="C15782" s="1">
        <f>HYPERLINK("https://cao.dolgi.msk.ru/account/1011353586/", 1011353586)</f>
        <v>1011353586</v>
      </c>
      <c r="D15782">
        <v>-323.41000000000003</v>
      </c>
    </row>
    <row r="15783" spans="1:4" hidden="1" x14ac:dyDescent="0.3">
      <c r="A15783" t="s">
        <v>979</v>
      </c>
      <c r="B15783" t="s">
        <v>207</v>
      </c>
      <c r="C15783" s="1">
        <f>HYPERLINK("https://cao.dolgi.msk.ru/account/1011353383/", 1011353383)</f>
        <v>1011353383</v>
      </c>
      <c r="D15783">
        <v>-11184.73</v>
      </c>
    </row>
    <row r="15784" spans="1:4" x14ac:dyDescent="0.3">
      <c r="A15784" t="s">
        <v>979</v>
      </c>
      <c r="B15784" t="s">
        <v>208</v>
      </c>
      <c r="C15784" s="1">
        <f>HYPERLINK("https://cao.dolgi.msk.ru/account/1011530175/", 1011530175)</f>
        <v>1011530175</v>
      </c>
      <c r="D15784">
        <v>2350.52</v>
      </c>
    </row>
    <row r="15785" spans="1:4" hidden="1" x14ac:dyDescent="0.3">
      <c r="A15785" t="s">
        <v>980</v>
      </c>
      <c r="B15785" t="s">
        <v>119</v>
      </c>
      <c r="C15785" s="1">
        <f>HYPERLINK("https://cao.dolgi.msk.ru/account/1011354503/", 1011354503)</f>
        <v>1011354503</v>
      </c>
      <c r="D15785">
        <v>-4497.46</v>
      </c>
    </row>
    <row r="15786" spans="1:4" hidden="1" x14ac:dyDescent="0.3">
      <c r="A15786" t="s">
        <v>980</v>
      </c>
      <c r="B15786" t="s">
        <v>120</v>
      </c>
      <c r="C15786" s="1">
        <f>HYPERLINK("https://cao.dolgi.msk.ru/account/1011354706/", 1011354706)</f>
        <v>1011354706</v>
      </c>
      <c r="D15786">
        <v>0</v>
      </c>
    </row>
    <row r="15787" spans="1:4" hidden="1" x14ac:dyDescent="0.3">
      <c r="A15787" t="s">
        <v>980</v>
      </c>
      <c r="B15787" t="s">
        <v>121</v>
      </c>
      <c r="C15787" s="1">
        <f>HYPERLINK("https://cao.dolgi.msk.ru/account/1011354837/", 1011354837)</f>
        <v>1011354837</v>
      </c>
      <c r="D15787">
        <v>0</v>
      </c>
    </row>
    <row r="15788" spans="1:4" hidden="1" x14ac:dyDescent="0.3">
      <c r="A15788" t="s">
        <v>980</v>
      </c>
      <c r="B15788" t="s">
        <v>122</v>
      </c>
      <c r="C15788" s="1">
        <f>HYPERLINK("https://cao.dolgi.msk.ru/account/1011354642/", 1011354642)</f>
        <v>1011354642</v>
      </c>
      <c r="D15788">
        <v>0</v>
      </c>
    </row>
    <row r="15789" spans="1:4" hidden="1" x14ac:dyDescent="0.3">
      <c r="A15789" t="s">
        <v>980</v>
      </c>
      <c r="B15789" t="s">
        <v>122</v>
      </c>
      <c r="C15789" s="1">
        <f>HYPERLINK("https://cao.dolgi.msk.ru/account/1011354722/", 1011354722)</f>
        <v>1011354722</v>
      </c>
      <c r="D15789">
        <v>0</v>
      </c>
    </row>
    <row r="15790" spans="1:4" hidden="1" x14ac:dyDescent="0.3">
      <c r="A15790" t="s">
        <v>980</v>
      </c>
      <c r="B15790" t="s">
        <v>123</v>
      </c>
      <c r="C15790" s="1">
        <f>HYPERLINK("https://cao.dolgi.msk.ru/account/1011354984/", 1011354984)</f>
        <v>1011354984</v>
      </c>
      <c r="D15790">
        <v>0</v>
      </c>
    </row>
    <row r="15791" spans="1:4" hidden="1" x14ac:dyDescent="0.3">
      <c r="A15791" t="s">
        <v>980</v>
      </c>
      <c r="B15791" t="s">
        <v>124</v>
      </c>
      <c r="C15791" s="1">
        <f>HYPERLINK("https://cao.dolgi.msk.ru/account/1011354394/", 1011354394)</f>
        <v>1011354394</v>
      </c>
      <c r="D15791">
        <v>0</v>
      </c>
    </row>
    <row r="15792" spans="1:4" hidden="1" x14ac:dyDescent="0.3">
      <c r="A15792" t="s">
        <v>980</v>
      </c>
      <c r="B15792" t="s">
        <v>125</v>
      </c>
      <c r="C15792" s="1">
        <f>HYPERLINK("https://cao.dolgi.msk.ru/account/1011354618/", 1011354618)</f>
        <v>1011354618</v>
      </c>
      <c r="D15792">
        <v>0</v>
      </c>
    </row>
    <row r="15793" spans="1:4" hidden="1" x14ac:dyDescent="0.3">
      <c r="A15793" t="s">
        <v>980</v>
      </c>
      <c r="B15793" t="s">
        <v>126</v>
      </c>
      <c r="C15793" s="1">
        <f>HYPERLINK("https://cao.dolgi.msk.ru/account/1011354132/", 1011354132)</f>
        <v>1011354132</v>
      </c>
      <c r="D15793">
        <v>0</v>
      </c>
    </row>
    <row r="15794" spans="1:4" hidden="1" x14ac:dyDescent="0.3">
      <c r="A15794" t="s">
        <v>980</v>
      </c>
      <c r="B15794" t="s">
        <v>127</v>
      </c>
      <c r="C15794" s="1">
        <f>HYPERLINK("https://cao.dolgi.msk.ru/account/1011354626/", 1011354626)</f>
        <v>1011354626</v>
      </c>
      <c r="D15794">
        <v>0</v>
      </c>
    </row>
    <row r="15795" spans="1:4" x14ac:dyDescent="0.3">
      <c r="A15795" t="s">
        <v>980</v>
      </c>
      <c r="B15795" t="s">
        <v>262</v>
      </c>
      <c r="C15795" s="1">
        <f>HYPERLINK("https://cao.dolgi.msk.ru/account/1011354415/", 1011354415)</f>
        <v>1011354415</v>
      </c>
      <c r="D15795">
        <v>4255.58</v>
      </c>
    </row>
    <row r="15796" spans="1:4" hidden="1" x14ac:dyDescent="0.3">
      <c r="A15796" t="s">
        <v>980</v>
      </c>
      <c r="B15796" t="s">
        <v>128</v>
      </c>
      <c r="C15796" s="1">
        <f>HYPERLINK("https://cao.dolgi.msk.ru/account/1011353965/", 1011353965)</f>
        <v>1011353965</v>
      </c>
      <c r="D15796">
        <v>0</v>
      </c>
    </row>
    <row r="15797" spans="1:4" hidden="1" x14ac:dyDescent="0.3">
      <c r="A15797" t="s">
        <v>980</v>
      </c>
      <c r="B15797" t="s">
        <v>129</v>
      </c>
      <c r="C15797" s="1">
        <f>HYPERLINK("https://cao.dolgi.msk.ru/account/1011354271/", 1011354271)</f>
        <v>1011354271</v>
      </c>
      <c r="D15797">
        <v>0</v>
      </c>
    </row>
    <row r="15798" spans="1:4" hidden="1" x14ac:dyDescent="0.3">
      <c r="A15798" t="s">
        <v>980</v>
      </c>
      <c r="B15798" t="s">
        <v>130</v>
      </c>
      <c r="C15798" s="1">
        <f>HYPERLINK("https://cao.dolgi.msk.ru/account/1011354327/", 1011354327)</f>
        <v>1011354327</v>
      </c>
      <c r="D15798">
        <v>0</v>
      </c>
    </row>
    <row r="15799" spans="1:4" hidden="1" x14ac:dyDescent="0.3">
      <c r="A15799" t="s">
        <v>980</v>
      </c>
      <c r="B15799" t="s">
        <v>131</v>
      </c>
      <c r="C15799" s="1">
        <f>HYPERLINK("https://cao.dolgi.msk.ru/account/1011354546/", 1011354546)</f>
        <v>1011354546</v>
      </c>
      <c r="D15799">
        <v>0</v>
      </c>
    </row>
    <row r="15800" spans="1:4" hidden="1" x14ac:dyDescent="0.3">
      <c r="A15800" t="s">
        <v>980</v>
      </c>
      <c r="B15800" t="s">
        <v>132</v>
      </c>
      <c r="C15800" s="1">
        <f>HYPERLINK("https://cao.dolgi.msk.ru/account/1011355004/", 1011355004)</f>
        <v>1011355004</v>
      </c>
      <c r="D15800">
        <v>-374.03</v>
      </c>
    </row>
    <row r="15801" spans="1:4" hidden="1" x14ac:dyDescent="0.3">
      <c r="A15801" t="s">
        <v>980</v>
      </c>
      <c r="B15801" t="s">
        <v>133</v>
      </c>
      <c r="C15801" s="1">
        <f>HYPERLINK("https://cao.dolgi.msk.ru/account/1011354634/", 1011354634)</f>
        <v>1011354634</v>
      </c>
      <c r="D15801">
        <v>0</v>
      </c>
    </row>
    <row r="15802" spans="1:4" hidden="1" x14ac:dyDescent="0.3">
      <c r="A15802" t="s">
        <v>980</v>
      </c>
      <c r="B15802" t="s">
        <v>134</v>
      </c>
      <c r="C15802" s="1">
        <f>HYPERLINK("https://cao.dolgi.msk.ru/account/1011354036/", 1011354036)</f>
        <v>1011354036</v>
      </c>
      <c r="D15802">
        <v>0</v>
      </c>
    </row>
    <row r="15803" spans="1:4" x14ac:dyDescent="0.3">
      <c r="A15803" t="s">
        <v>980</v>
      </c>
      <c r="B15803" t="s">
        <v>135</v>
      </c>
      <c r="C15803" s="1">
        <f>HYPERLINK("https://cao.dolgi.msk.ru/account/1011354298/", 1011354298)</f>
        <v>1011354298</v>
      </c>
      <c r="D15803">
        <v>179744.33</v>
      </c>
    </row>
    <row r="15804" spans="1:4" hidden="1" x14ac:dyDescent="0.3">
      <c r="A15804" t="s">
        <v>980</v>
      </c>
      <c r="B15804" t="s">
        <v>264</v>
      </c>
      <c r="C15804" s="1">
        <f>HYPERLINK("https://cao.dolgi.msk.ru/account/1011354888/", 1011354888)</f>
        <v>1011354888</v>
      </c>
      <c r="D15804">
        <v>-1608.96</v>
      </c>
    </row>
    <row r="15805" spans="1:4" hidden="1" x14ac:dyDescent="0.3">
      <c r="A15805" t="s">
        <v>980</v>
      </c>
      <c r="B15805" t="s">
        <v>136</v>
      </c>
      <c r="C15805" s="1">
        <f>HYPERLINK("https://cao.dolgi.msk.ru/account/1011354589/", 1011354589)</f>
        <v>1011354589</v>
      </c>
      <c r="D15805">
        <v>-4922.9799999999996</v>
      </c>
    </row>
    <row r="15806" spans="1:4" hidden="1" x14ac:dyDescent="0.3">
      <c r="A15806" t="s">
        <v>980</v>
      </c>
      <c r="B15806" t="s">
        <v>137</v>
      </c>
      <c r="C15806" s="1">
        <f>HYPERLINK("https://cao.dolgi.msk.ru/account/1011354159/", 1011354159)</f>
        <v>1011354159</v>
      </c>
      <c r="D15806">
        <v>0</v>
      </c>
    </row>
    <row r="15807" spans="1:4" x14ac:dyDescent="0.3">
      <c r="A15807" t="s">
        <v>980</v>
      </c>
      <c r="B15807" t="s">
        <v>138</v>
      </c>
      <c r="C15807" s="1">
        <f>HYPERLINK("https://cao.dolgi.msk.ru/account/1011354861/", 1011354861)</f>
        <v>1011354861</v>
      </c>
      <c r="D15807">
        <v>7912.22</v>
      </c>
    </row>
    <row r="15808" spans="1:4" hidden="1" x14ac:dyDescent="0.3">
      <c r="A15808" t="s">
        <v>980</v>
      </c>
      <c r="B15808" t="s">
        <v>139</v>
      </c>
      <c r="C15808" s="1">
        <f>HYPERLINK("https://cao.dolgi.msk.ru/account/1011354212/", 1011354212)</f>
        <v>1011354212</v>
      </c>
      <c r="D15808">
        <v>0</v>
      </c>
    </row>
    <row r="15809" spans="1:4" x14ac:dyDescent="0.3">
      <c r="A15809" t="s">
        <v>980</v>
      </c>
      <c r="B15809" t="s">
        <v>140</v>
      </c>
      <c r="C15809" s="1">
        <f>HYPERLINK("https://cao.dolgi.msk.ru/account/1011354108/", 1011354108)</f>
        <v>1011354108</v>
      </c>
      <c r="D15809">
        <v>25877.08</v>
      </c>
    </row>
    <row r="15810" spans="1:4" hidden="1" x14ac:dyDescent="0.3">
      <c r="A15810" t="s">
        <v>980</v>
      </c>
      <c r="B15810" t="s">
        <v>141</v>
      </c>
      <c r="C15810" s="1">
        <f>HYPERLINK("https://cao.dolgi.msk.ru/account/1011354095/", 1011354095)</f>
        <v>1011354095</v>
      </c>
      <c r="D15810">
        <v>0</v>
      </c>
    </row>
    <row r="15811" spans="1:4" hidden="1" x14ac:dyDescent="0.3">
      <c r="A15811" t="s">
        <v>980</v>
      </c>
      <c r="B15811" t="s">
        <v>142</v>
      </c>
      <c r="C15811" s="1">
        <f>HYPERLINK("https://cao.dolgi.msk.ru/account/1011354685/", 1011354685)</f>
        <v>1011354685</v>
      </c>
      <c r="D15811">
        <v>-4690.1899999999996</v>
      </c>
    </row>
    <row r="15812" spans="1:4" hidden="1" x14ac:dyDescent="0.3">
      <c r="A15812" t="s">
        <v>980</v>
      </c>
      <c r="B15812" t="s">
        <v>143</v>
      </c>
      <c r="C15812" s="1">
        <f>HYPERLINK("https://cao.dolgi.msk.ru/account/1011354319/", 1011354319)</f>
        <v>1011354319</v>
      </c>
      <c r="D15812">
        <v>0</v>
      </c>
    </row>
    <row r="15813" spans="1:4" hidden="1" x14ac:dyDescent="0.3">
      <c r="A15813" t="s">
        <v>980</v>
      </c>
      <c r="B15813" t="s">
        <v>144</v>
      </c>
      <c r="C15813" s="1">
        <f>HYPERLINK("https://cao.dolgi.msk.ru/account/1011353906/", 1011353906)</f>
        <v>1011353906</v>
      </c>
      <c r="D15813">
        <v>0</v>
      </c>
    </row>
    <row r="15814" spans="1:4" hidden="1" x14ac:dyDescent="0.3">
      <c r="A15814" t="s">
        <v>980</v>
      </c>
      <c r="B15814" t="s">
        <v>145</v>
      </c>
      <c r="C15814" s="1">
        <f>HYPERLINK("https://cao.dolgi.msk.ru/account/1011354845/", 1011354845)</f>
        <v>1011354845</v>
      </c>
      <c r="D15814">
        <v>0</v>
      </c>
    </row>
    <row r="15815" spans="1:4" hidden="1" x14ac:dyDescent="0.3">
      <c r="A15815" t="s">
        <v>980</v>
      </c>
      <c r="B15815" t="s">
        <v>146</v>
      </c>
      <c r="C15815" s="1">
        <f>HYPERLINK("https://cao.dolgi.msk.ru/account/1011354925/", 1011354925)</f>
        <v>1011354925</v>
      </c>
      <c r="D15815">
        <v>0</v>
      </c>
    </row>
    <row r="15816" spans="1:4" hidden="1" x14ac:dyDescent="0.3">
      <c r="A15816" t="s">
        <v>980</v>
      </c>
      <c r="B15816" t="s">
        <v>147</v>
      </c>
      <c r="C15816" s="1">
        <f>HYPERLINK("https://cao.dolgi.msk.ru/account/1011354335/", 1011354335)</f>
        <v>1011354335</v>
      </c>
      <c r="D15816">
        <v>0</v>
      </c>
    </row>
    <row r="15817" spans="1:4" hidden="1" x14ac:dyDescent="0.3">
      <c r="A15817" t="s">
        <v>980</v>
      </c>
      <c r="B15817" t="s">
        <v>148</v>
      </c>
      <c r="C15817" s="1">
        <f>HYPERLINK("https://cao.dolgi.msk.ru/account/1011354191/", 1011354191)</f>
        <v>1011354191</v>
      </c>
      <c r="D15817">
        <v>0</v>
      </c>
    </row>
    <row r="15818" spans="1:4" hidden="1" x14ac:dyDescent="0.3">
      <c r="A15818" t="s">
        <v>980</v>
      </c>
      <c r="B15818" t="s">
        <v>149</v>
      </c>
      <c r="C15818" s="1">
        <f>HYPERLINK("https://cao.dolgi.msk.ru/account/1011354968/", 1011354968)</f>
        <v>1011354968</v>
      </c>
      <c r="D15818">
        <v>-9927.36</v>
      </c>
    </row>
    <row r="15819" spans="1:4" hidden="1" x14ac:dyDescent="0.3">
      <c r="A15819" t="s">
        <v>980</v>
      </c>
      <c r="B15819" t="s">
        <v>150</v>
      </c>
      <c r="C15819" s="1">
        <f>HYPERLINK("https://cao.dolgi.msk.ru/account/1011354669/", 1011354669)</f>
        <v>1011354669</v>
      </c>
      <c r="D15819">
        <v>-2188.46</v>
      </c>
    </row>
    <row r="15820" spans="1:4" hidden="1" x14ac:dyDescent="0.3">
      <c r="A15820" t="s">
        <v>980</v>
      </c>
      <c r="B15820" t="s">
        <v>151</v>
      </c>
      <c r="C15820" s="1">
        <f>HYPERLINK("https://cao.dolgi.msk.ru/account/1011510406/", 1011510406)</f>
        <v>1011510406</v>
      </c>
      <c r="D15820">
        <v>-3939.11</v>
      </c>
    </row>
    <row r="15821" spans="1:4" hidden="1" x14ac:dyDescent="0.3">
      <c r="A15821" t="s">
        <v>980</v>
      </c>
      <c r="B15821" t="s">
        <v>152</v>
      </c>
      <c r="C15821" s="1">
        <f>HYPERLINK("https://cao.dolgi.msk.ru/account/1011354933/", 1011354933)</f>
        <v>1011354933</v>
      </c>
      <c r="D15821">
        <v>-37.81</v>
      </c>
    </row>
    <row r="15822" spans="1:4" hidden="1" x14ac:dyDescent="0.3">
      <c r="A15822" t="s">
        <v>980</v>
      </c>
      <c r="B15822" t="s">
        <v>153</v>
      </c>
      <c r="C15822" s="1">
        <f>HYPERLINK("https://cao.dolgi.msk.ru/account/1011354001/", 1011354001)</f>
        <v>1011354001</v>
      </c>
      <c r="D15822">
        <v>0</v>
      </c>
    </row>
    <row r="15823" spans="1:4" hidden="1" x14ac:dyDescent="0.3">
      <c r="A15823" t="s">
        <v>980</v>
      </c>
      <c r="B15823" t="s">
        <v>154</v>
      </c>
      <c r="C15823" s="1">
        <f>HYPERLINK("https://cao.dolgi.msk.ru/account/1011354853/", 1011354853)</f>
        <v>1011354853</v>
      </c>
      <c r="D15823">
        <v>-577.91</v>
      </c>
    </row>
    <row r="15824" spans="1:4" hidden="1" x14ac:dyDescent="0.3">
      <c r="A15824" t="s">
        <v>980</v>
      </c>
      <c r="B15824" t="s">
        <v>155</v>
      </c>
      <c r="C15824" s="1">
        <f>HYPERLINK("https://cao.dolgi.msk.ru/account/1011354239/", 1011354239)</f>
        <v>1011354239</v>
      </c>
      <c r="D15824">
        <v>0</v>
      </c>
    </row>
    <row r="15825" spans="1:4" hidden="1" x14ac:dyDescent="0.3">
      <c r="A15825" t="s">
        <v>980</v>
      </c>
      <c r="B15825" t="s">
        <v>156</v>
      </c>
      <c r="C15825" s="1">
        <f>HYPERLINK("https://cao.dolgi.msk.ru/account/1011354087/", 1011354087)</f>
        <v>1011354087</v>
      </c>
      <c r="D15825">
        <v>0</v>
      </c>
    </row>
    <row r="15826" spans="1:4" hidden="1" x14ac:dyDescent="0.3">
      <c r="A15826" t="s">
        <v>980</v>
      </c>
      <c r="B15826" t="s">
        <v>157</v>
      </c>
      <c r="C15826" s="1">
        <f>HYPERLINK("https://cao.dolgi.msk.ru/account/1011353914/", 1011353914)</f>
        <v>1011353914</v>
      </c>
      <c r="D15826">
        <v>0</v>
      </c>
    </row>
    <row r="15827" spans="1:4" hidden="1" x14ac:dyDescent="0.3">
      <c r="A15827" t="s">
        <v>980</v>
      </c>
      <c r="B15827" t="s">
        <v>158</v>
      </c>
      <c r="C15827" s="1">
        <f>HYPERLINK("https://cao.dolgi.msk.ru/account/1011354167/", 1011354167)</f>
        <v>1011354167</v>
      </c>
      <c r="D15827">
        <v>-8188.42</v>
      </c>
    </row>
    <row r="15828" spans="1:4" x14ac:dyDescent="0.3">
      <c r="A15828" t="s">
        <v>980</v>
      </c>
      <c r="B15828" t="s">
        <v>159</v>
      </c>
      <c r="C15828" s="1">
        <f>HYPERLINK("https://cao.dolgi.msk.ru/account/1011353957/", 1011353957)</f>
        <v>1011353957</v>
      </c>
      <c r="D15828">
        <v>43416.54</v>
      </c>
    </row>
    <row r="15829" spans="1:4" x14ac:dyDescent="0.3">
      <c r="A15829" t="s">
        <v>980</v>
      </c>
      <c r="B15829" t="s">
        <v>160</v>
      </c>
      <c r="C15829" s="1">
        <f>HYPERLINK("https://cao.dolgi.msk.ru/account/1011354116/", 1011354116)</f>
        <v>1011354116</v>
      </c>
      <c r="D15829">
        <v>7071.83</v>
      </c>
    </row>
    <row r="15830" spans="1:4" hidden="1" x14ac:dyDescent="0.3">
      <c r="A15830" t="s">
        <v>980</v>
      </c>
      <c r="B15830" t="s">
        <v>161</v>
      </c>
      <c r="C15830" s="1">
        <f>HYPERLINK("https://cao.dolgi.msk.ru/account/1011353922/", 1011353922)</f>
        <v>1011353922</v>
      </c>
      <c r="D15830">
        <v>0</v>
      </c>
    </row>
    <row r="15831" spans="1:4" hidden="1" x14ac:dyDescent="0.3">
      <c r="A15831" t="s">
        <v>980</v>
      </c>
      <c r="B15831" t="s">
        <v>162</v>
      </c>
      <c r="C15831" s="1">
        <f>HYPERLINK("https://cao.dolgi.msk.ru/account/1011354247/", 1011354247)</f>
        <v>1011354247</v>
      </c>
      <c r="D15831">
        <v>-6221.58</v>
      </c>
    </row>
    <row r="15832" spans="1:4" hidden="1" x14ac:dyDescent="0.3">
      <c r="A15832" t="s">
        <v>980</v>
      </c>
      <c r="B15832" t="s">
        <v>163</v>
      </c>
      <c r="C15832" s="1">
        <f>HYPERLINK("https://cao.dolgi.msk.ru/account/1011354423/", 1011354423)</f>
        <v>1011354423</v>
      </c>
      <c r="D15832">
        <v>0</v>
      </c>
    </row>
    <row r="15833" spans="1:4" hidden="1" x14ac:dyDescent="0.3">
      <c r="A15833" t="s">
        <v>980</v>
      </c>
      <c r="B15833" t="s">
        <v>164</v>
      </c>
      <c r="C15833" s="1">
        <f>HYPERLINK("https://cao.dolgi.msk.ru/account/1011354183/", 1011354183)</f>
        <v>1011354183</v>
      </c>
      <c r="D15833">
        <v>0</v>
      </c>
    </row>
    <row r="15834" spans="1:4" hidden="1" x14ac:dyDescent="0.3">
      <c r="A15834" t="s">
        <v>980</v>
      </c>
      <c r="B15834" t="s">
        <v>165</v>
      </c>
      <c r="C15834" s="1">
        <f>HYPERLINK("https://cao.dolgi.msk.ru/account/1011354896/", 1011354896)</f>
        <v>1011354896</v>
      </c>
      <c r="D15834">
        <v>0</v>
      </c>
    </row>
    <row r="15835" spans="1:4" hidden="1" x14ac:dyDescent="0.3">
      <c r="A15835" t="s">
        <v>980</v>
      </c>
      <c r="B15835" t="s">
        <v>166</v>
      </c>
      <c r="C15835" s="1">
        <f>HYPERLINK("https://cao.dolgi.msk.ru/account/1011354466/", 1011354466)</f>
        <v>1011354466</v>
      </c>
      <c r="D15835">
        <v>-2565.14</v>
      </c>
    </row>
    <row r="15836" spans="1:4" hidden="1" x14ac:dyDescent="0.3">
      <c r="A15836" t="s">
        <v>980</v>
      </c>
      <c r="B15836" t="s">
        <v>167</v>
      </c>
      <c r="C15836" s="1">
        <f>HYPERLINK("https://cao.dolgi.msk.ru/account/1011353973/", 1011353973)</f>
        <v>1011353973</v>
      </c>
      <c r="D15836">
        <v>0</v>
      </c>
    </row>
    <row r="15837" spans="1:4" hidden="1" x14ac:dyDescent="0.3">
      <c r="A15837" t="s">
        <v>980</v>
      </c>
      <c r="B15837" t="s">
        <v>168</v>
      </c>
      <c r="C15837" s="1">
        <f>HYPERLINK("https://cao.dolgi.msk.ru/account/1011354044/", 1011354044)</f>
        <v>1011354044</v>
      </c>
      <c r="D15837">
        <v>-4240.92</v>
      </c>
    </row>
    <row r="15838" spans="1:4" hidden="1" x14ac:dyDescent="0.3">
      <c r="A15838" t="s">
        <v>980</v>
      </c>
      <c r="B15838" t="s">
        <v>169</v>
      </c>
      <c r="C15838" s="1">
        <f>HYPERLINK("https://cao.dolgi.msk.ru/account/1011354511/", 1011354511)</f>
        <v>1011354511</v>
      </c>
      <c r="D15838">
        <v>-2205.7399999999998</v>
      </c>
    </row>
    <row r="15839" spans="1:4" hidden="1" x14ac:dyDescent="0.3">
      <c r="A15839" t="s">
        <v>980</v>
      </c>
      <c r="B15839" t="s">
        <v>170</v>
      </c>
      <c r="C15839" s="1">
        <f>HYPERLINK("https://cao.dolgi.msk.ru/account/1011354802/", 1011354802)</f>
        <v>1011354802</v>
      </c>
      <c r="D15839">
        <v>0</v>
      </c>
    </row>
    <row r="15840" spans="1:4" hidden="1" x14ac:dyDescent="0.3">
      <c r="A15840" t="s">
        <v>980</v>
      </c>
      <c r="B15840" t="s">
        <v>171</v>
      </c>
      <c r="C15840" s="1">
        <f>HYPERLINK("https://cao.dolgi.msk.ru/account/1011354677/", 1011354677)</f>
        <v>1011354677</v>
      </c>
      <c r="D15840">
        <v>0</v>
      </c>
    </row>
    <row r="15841" spans="1:4" hidden="1" x14ac:dyDescent="0.3">
      <c r="A15841" t="s">
        <v>980</v>
      </c>
      <c r="B15841" t="s">
        <v>172</v>
      </c>
      <c r="C15841" s="1">
        <f>HYPERLINK("https://cao.dolgi.msk.ru/account/1011354554/", 1011354554)</f>
        <v>1011354554</v>
      </c>
      <c r="D15841">
        <v>-2747.87</v>
      </c>
    </row>
    <row r="15842" spans="1:4" x14ac:dyDescent="0.3">
      <c r="A15842" t="s">
        <v>980</v>
      </c>
      <c r="B15842" t="s">
        <v>173</v>
      </c>
      <c r="C15842" s="1">
        <f>HYPERLINK("https://cao.dolgi.msk.ru/account/1011354028/", 1011354028)</f>
        <v>1011354028</v>
      </c>
      <c r="D15842">
        <v>6689.85</v>
      </c>
    </row>
    <row r="15843" spans="1:4" hidden="1" x14ac:dyDescent="0.3">
      <c r="A15843" t="s">
        <v>980</v>
      </c>
      <c r="B15843" t="s">
        <v>174</v>
      </c>
      <c r="C15843" s="1">
        <f>HYPERLINK("https://cao.dolgi.msk.ru/account/1011354052/", 1011354052)</f>
        <v>1011354052</v>
      </c>
      <c r="D15843">
        <v>-11202.91</v>
      </c>
    </row>
    <row r="15844" spans="1:4" hidden="1" x14ac:dyDescent="0.3">
      <c r="A15844" t="s">
        <v>980</v>
      </c>
      <c r="B15844" t="s">
        <v>175</v>
      </c>
      <c r="C15844" s="1">
        <f>HYPERLINK("https://cao.dolgi.msk.ru/account/1011354562/", 1011354562)</f>
        <v>1011354562</v>
      </c>
      <c r="D15844">
        <v>-4557.47</v>
      </c>
    </row>
    <row r="15845" spans="1:4" hidden="1" x14ac:dyDescent="0.3">
      <c r="A15845" t="s">
        <v>980</v>
      </c>
      <c r="B15845" t="s">
        <v>176</v>
      </c>
      <c r="C15845" s="1">
        <f>HYPERLINK("https://cao.dolgi.msk.ru/account/1011354909/", 1011354909)</f>
        <v>1011354909</v>
      </c>
      <c r="D15845">
        <v>0</v>
      </c>
    </row>
    <row r="15846" spans="1:4" x14ac:dyDescent="0.3">
      <c r="A15846" t="s">
        <v>980</v>
      </c>
      <c r="B15846" t="s">
        <v>177</v>
      </c>
      <c r="C15846" s="1">
        <f>HYPERLINK("https://cao.dolgi.msk.ru/account/1011354351/", 1011354351)</f>
        <v>1011354351</v>
      </c>
      <c r="D15846">
        <v>1971.32</v>
      </c>
    </row>
    <row r="15847" spans="1:4" x14ac:dyDescent="0.3">
      <c r="A15847" t="s">
        <v>980</v>
      </c>
      <c r="B15847" t="s">
        <v>178</v>
      </c>
      <c r="C15847" s="1">
        <f>HYPERLINK("https://cao.dolgi.msk.ru/account/1011354765/", 1011354765)</f>
        <v>1011354765</v>
      </c>
      <c r="D15847">
        <v>10835.33</v>
      </c>
    </row>
    <row r="15848" spans="1:4" hidden="1" x14ac:dyDescent="0.3">
      <c r="A15848" t="s">
        <v>980</v>
      </c>
      <c r="B15848" t="s">
        <v>179</v>
      </c>
      <c r="C15848" s="1">
        <f>HYPERLINK("https://cao.dolgi.msk.ru/account/1011354343/", 1011354343)</f>
        <v>1011354343</v>
      </c>
      <c r="D15848">
        <v>0</v>
      </c>
    </row>
    <row r="15849" spans="1:4" hidden="1" x14ac:dyDescent="0.3">
      <c r="A15849" t="s">
        <v>980</v>
      </c>
      <c r="B15849" t="s">
        <v>273</v>
      </c>
      <c r="C15849" s="1">
        <f>HYPERLINK("https://cao.dolgi.msk.ru/account/1011354407/", 1011354407)</f>
        <v>1011354407</v>
      </c>
      <c r="D15849">
        <v>-4766.9799999999996</v>
      </c>
    </row>
    <row r="15850" spans="1:4" hidden="1" x14ac:dyDescent="0.3">
      <c r="A15850" t="s">
        <v>980</v>
      </c>
      <c r="B15850" t="s">
        <v>180</v>
      </c>
      <c r="C15850" s="1">
        <f>HYPERLINK("https://cao.dolgi.msk.ru/account/1011354829/", 1011354829)</f>
        <v>1011354829</v>
      </c>
      <c r="D15850">
        <v>-5259.36</v>
      </c>
    </row>
    <row r="15851" spans="1:4" hidden="1" x14ac:dyDescent="0.3">
      <c r="A15851" t="s">
        <v>980</v>
      </c>
      <c r="B15851" t="s">
        <v>181</v>
      </c>
      <c r="C15851" s="1">
        <f>HYPERLINK("https://cao.dolgi.msk.ru/account/1011354693/", 1011354693)</f>
        <v>1011354693</v>
      </c>
      <c r="D15851">
        <v>-9672.44</v>
      </c>
    </row>
    <row r="15852" spans="1:4" hidden="1" x14ac:dyDescent="0.3">
      <c r="A15852" t="s">
        <v>980</v>
      </c>
      <c r="B15852" t="s">
        <v>182</v>
      </c>
      <c r="C15852" s="1">
        <f>HYPERLINK("https://cao.dolgi.msk.ru/account/1011354431/", 1011354431)</f>
        <v>1011354431</v>
      </c>
      <c r="D15852">
        <v>0</v>
      </c>
    </row>
    <row r="15853" spans="1:4" hidden="1" x14ac:dyDescent="0.3">
      <c r="A15853" t="s">
        <v>980</v>
      </c>
      <c r="B15853" t="s">
        <v>183</v>
      </c>
      <c r="C15853" s="1">
        <f>HYPERLINK("https://cao.dolgi.msk.ru/account/1011354124/", 1011354124)</f>
        <v>1011354124</v>
      </c>
      <c r="D15853">
        <v>-578.47</v>
      </c>
    </row>
    <row r="15854" spans="1:4" hidden="1" x14ac:dyDescent="0.3">
      <c r="A15854" t="s">
        <v>980</v>
      </c>
      <c r="B15854" t="s">
        <v>184</v>
      </c>
      <c r="C15854" s="1">
        <f>HYPERLINK("https://cao.dolgi.msk.ru/account/1011354204/", 1011354204)</f>
        <v>1011354204</v>
      </c>
      <c r="D15854">
        <v>0</v>
      </c>
    </row>
    <row r="15855" spans="1:4" hidden="1" x14ac:dyDescent="0.3">
      <c r="A15855" t="s">
        <v>980</v>
      </c>
      <c r="B15855" t="s">
        <v>185</v>
      </c>
      <c r="C15855" s="1">
        <f>HYPERLINK("https://cao.dolgi.msk.ru/account/1011354255/", 1011354255)</f>
        <v>1011354255</v>
      </c>
      <c r="D15855">
        <v>-6895.13</v>
      </c>
    </row>
    <row r="15856" spans="1:4" hidden="1" x14ac:dyDescent="0.3">
      <c r="A15856" t="s">
        <v>980</v>
      </c>
      <c r="B15856" t="s">
        <v>274</v>
      </c>
      <c r="C15856" s="1">
        <f>HYPERLINK("https://cao.dolgi.msk.ru/account/1011354474/", 1011354474)</f>
        <v>1011354474</v>
      </c>
      <c r="D15856">
        <v>0</v>
      </c>
    </row>
    <row r="15857" spans="1:4" x14ac:dyDescent="0.3">
      <c r="A15857" t="s">
        <v>980</v>
      </c>
      <c r="B15857" t="s">
        <v>186</v>
      </c>
      <c r="C15857" s="1">
        <f>HYPERLINK("https://cao.dolgi.msk.ru/account/1011354714/", 1011354714)</f>
        <v>1011354714</v>
      </c>
      <c r="D15857">
        <v>8046.88</v>
      </c>
    </row>
    <row r="15858" spans="1:4" hidden="1" x14ac:dyDescent="0.3">
      <c r="A15858" t="s">
        <v>980</v>
      </c>
      <c r="B15858" t="s">
        <v>187</v>
      </c>
      <c r="C15858" s="1">
        <f>HYPERLINK("https://cao.dolgi.msk.ru/account/1011354538/", 1011354538)</f>
        <v>1011354538</v>
      </c>
      <c r="D15858">
        <v>0</v>
      </c>
    </row>
    <row r="15859" spans="1:4" hidden="1" x14ac:dyDescent="0.3">
      <c r="A15859" t="s">
        <v>980</v>
      </c>
      <c r="B15859" t="s">
        <v>188</v>
      </c>
      <c r="C15859" s="1">
        <f>HYPERLINK("https://cao.dolgi.msk.ru/account/1011354482/", 1011354482)</f>
        <v>1011354482</v>
      </c>
      <c r="D15859">
        <v>0</v>
      </c>
    </row>
    <row r="15860" spans="1:4" hidden="1" x14ac:dyDescent="0.3">
      <c r="A15860" t="s">
        <v>980</v>
      </c>
      <c r="B15860" t="s">
        <v>189</v>
      </c>
      <c r="C15860" s="1">
        <f>HYPERLINK("https://cao.dolgi.msk.ru/account/1011354749/", 1011354749)</f>
        <v>1011354749</v>
      </c>
      <c r="D15860">
        <v>0</v>
      </c>
    </row>
    <row r="15861" spans="1:4" hidden="1" x14ac:dyDescent="0.3">
      <c r="A15861" t="s">
        <v>980</v>
      </c>
      <c r="B15861" t="s">
        <v>190</v>
      </c>
      <c r="C15861" s="1">
        <f>HYPERLINK("https://cao.dolgi.msk.ru/account/1011354917/", 1011354917)</f>
        <v>1011354917</v>
      </c>
      <c r="D15861">
        <v>0</v>
      </c>
    </row>
    <row r="15862" spans="1:4" hidden="1" x14ac:dyDescent="0.3">
      <c r="A15862" t="s">
        <v>980</v>
      </c>
      <c r="B15862" t="s">
        <v>191</v>
      </c>
      <c r="C15862" s="1">
        <f>HYPERLINK("https://cao.dolgi.msk.ru/account/1011353949/", 1011353949)</f>
        <v>1011353949</v>
      </c>
      <c r="D15862">
        <v>0</v>
      </c>
    </row>
    <row r="15863" spans="1:4" hidden="1" x14ac:dyDescent="0.3">
      <c r="A15863" t="s">
        <v>980</v>
      </c>
      <c r="B15863" t="s">
        <v>192</v>
      </c>
      <c r="C15863" s="1">
        <f>HYPERLINK("https://cao.dolgi.msk.ru/account/1011354941/", 1011354941)</f>
        <v>1011354941</v>
      </c>
      <c r="D15863">
        <v>0</v>
      </c>
    </row>
    <row r="15864" spans="1:4" hidden="1" x14ac:dyDescent="0.3">
      <c r="A15864" t="s">
        <v>980</v>
      </c>
      <c r="B15864" t="s">
        <v>325</v>
      </c>
      <c r="C15864" s="1">
        <f>HYPERLINK("https://cao.dolgi.msk.ru/account/1011353981/", 1011353981)</f>
        <v>1011353981</v>
      </c>
      <c r="D15864">
        <v>0</v>
      </c>
    </row>
    <row r="15865" spans="1:4" hidden="1" x14ac:dyDescent="0.3">
      <c r="A15865" t="s">
        <v>980</v>
      </c>
      <c r="B15865" t="s">
        <v>193</v>
      </c>
      <c r="C15865" s="1">
        <f>HYPERLINK("https://cao.dolgi.msk.ru/account/1011354773/", 1011354773)</f>
        <v>1011354773</v>
      </c>
      <c r="D15865">
        <v>0</v>
      </c>
    </row>
    <row r="15866" spans="1:4" hidden="1" x14ac:dyDescent="0.3">
      <c r="A15866" t="s">
        <v>980</v>
      </c>
      <c r="B15866" t="s">
        <v>194</v>
      </c>
      <c r="C15866" s="1">
        <f>HYPERLINK("https://cao.dolgi.msk.ru/account/1011354757/", 1011354757)</f>
        <v>1011354757</v>
      </c>
      <c r="D15866">
        <v>0</v>
      </c>
    </row>
    <row r="15867" spans="1:4" hidden="1" x14ac:dyDescent="0.3">
      <c r="A15867" t="s">
        <v>980</v>
      </c>
      <c r="B15867" t="s">
        <v>195</v>
      </c>
      <c r="C15867" s="1">
        <f>HYPERLINK("https://cao.dolgi.msk.ru/account/1011354386/", 1011354386)</f>
        <v>1011354386</v>
      </c>
      <c r="D15867">
        <v>0</v>
      </c>
    </row>
    <row r="15868" spans="1:4" hidden="1" x14ac:dyDescent="0.3">
      <c r="A15868" t="s">
        <v>980</v>
      </c>
      <c r="B15868" t="s">
        <v>196</v>
      </c>
      <c r="C15868" s="1">
        <f>HYPERLINK("https://cao.dolgi.msk.ru/account/1011354458/", 1011354458)</f>
        <v>1011354458</v>
      </c>
      <c r="D15868">
        <v>0</v>
      </c>
    </row>
    <row r="15869" spans="1:4" hidden="1" x14ac:dyDescent="0.3">
      <c r="A15869" t="s">
        <v>980</v>
      </c>
      <c r="B15869" t="s">
        <v>197</v>
      </c>
      <c r="C15869" s="1">
        <f>HYPERLINK("https://cao.dolgi.msk.ru/account/1011355012/", 1011355012)</f>
        <v>1011355012</v>
      </c>
      <c r="D15869">
        <v>0</v>
      </c>
    </row>
    <row r="15870" spans="1:4" hidden="1" x14ac:dyDescent="0.3">
      <c r="A15870" t="s">
        <v>980</v>
      </c>
      <c r="B15870" t="s">
        <v>198</v>
      </c>
      <c r="C15870" s="1">
        <f>HYPERLINK("https://cao.dolgi.msk.ru/account/1011354992/", 1011354992)</f>
        <v>1011354992</v>
      </c>
      <c r="D15870">
        <v>-4567.74</v>
      </c>
    </row>
    <row r="15871" spans="1:4" hidden="1" x14ac:dyDescent="0.3">
      <c r="A15871" t="s">
        <v>980</v>
      </c>
      <c r="B15871" t="s">
        <v>199</v>
      </c>
      <c r="C15871" s="1">
        <f>HYPERLINK("https://cao.dolgi.msk.ru/account/1011354175/", 1011354175)</f>
        <v>1011354175</v>
      </c>
      <c r="D15871">
        <v>-6994.03</v>
      </c>
    </row>
    <row r="15872" spans="1:4" hidden="1" x14ac:dyDescent="0.3">
      <c r="A15872" t="s">
        <v>980</v>
      </c>
      <c r="B15872" t="s">
        <v>200</v>
      </c>
      <c r="C15872" s="1">
        <f>HYPERLINK("https://cao.dolgi.msk.ru/account/1011354781/", 1011354781)</f>
        <v>1011354781</v>
      </c>
      <c r="D15872">
        <v>0</v>
      </c>
    </row>
    <row r="15873" spans="1:4" hidden="1" x14ac:dyDescent="0.3">
      <c r="A15873" t="s">
        <v>980</v>
      </c>
      <c r="B15873" t="s">
        <v>201</v>
      </c>
      <c r="C15873" s="1">
        <f>HYPERLINK("https://cao.dolgi.msk.ru/account/1011354597/", 1011354597)</f>
        <v>1011354597</v>
      </c>
      <c r="D15873">
        <v>0</v>
      </c>
    </row>
    <row r="15874" spans="1:4" hidden="1" x14ac:dyDescent="0.3">
      <c r="A15874" t="s">
        <v>980</v>
      </c>
      <c r="B15874" t="s">
        <v>202</v>
      </c>
      <c r="C15874" s="1">
        <f>HYPERLINK("https://cao.dolgi.msk.ru/account/1011354976/", 1011354976)</f>
        <v>1011354976</v>
      </c>
      <c r="D15874">
        <v>-5608.71</v>
      </c>
    </row>
    <row r="15875" spans="1:4" x14ac:dyDescent="0.3">
      <c r="A15875" t="s">
        <v>980</v>
      </c>
      <c r="B15875" t="s">
        <v>203</v>
      </c>
      <c r="C15875" s="1">
        <f>HYPERLINK("https://cao.dolgi.msk.ru/account/1011354263/", 1011354263)</f>
        <v>1011354263</v>
      </c>
      <c r="D15875">
        <v>4500.75</v>
      </c>
    </row>
    <row r="15876" spans="1:4" hidden="1" x14ac:dyDescent="0.3">
      <c r="A15876" t="s">
        <v>980</v>
      </c>
      <c r="B15876" t="s">
        <v>326</v>
      </c>
      <c r="C15876" s="1">
        <f>HYPERLINK("https://cao.dolgi.msk.ru/account/1011354079/", 1011354079)</f>
        <v>1011354079</v>
      </c>
      <c r="D15876">
        <v>0</v>
      </c>
    </row>
    <row r="15877" spans="1:4" hidden="1" x14ac:dyDescent="0.3">
      <c r="A15877" t="s">
        <v>981</v>
      </c>
      <c r="B15877" t="s">
        <v>6</v>
      </c>
      <c r="C15877" s="1">
        <f>HYPERLINK("https://cao.dolgi.msk.ru/account/1011442095/", 1011442095)</f>
        <v>1011442095</v>
      </c>
      <c r="D15877">
        <v>-15741.29</v>
      </c>
    </row>
    <row r="15878" spans="1:4" hidden="1" x14ac:dyDescent="0.3">
      <c r="A15878" t="s">
        <v>981</v>
      </c>
      <c r="B15878" t="s">
        <v>28</v>
      </c>
      <c r="C15878" s="1">
        <f>HYPERLINK("https://cao.dolgi.msk.ru/account/1011441367/", 1011441367)</f>
        <v>1011441367</v>
      </c>
      <c r="D15878">
        <v>0</v>
      </c>
    </row>
    <row r="15879" spans="1:4" hidden="1" x14ac:dyDescent="0.3">
      <c r="A15879" t="s">
        <v>981</v>
      </c>
      <c r="B15879" t="s">
        <v>35</v>
      </c>
      <c r="C15879" s="1">
        <f>HYPERLINK("https://cao.dolgi.msk.ru/account/1011441455/", 1011441455)</f>
        <v>1011441455</v>
      </c>
      <c r="D15879">
        <v>-1116</v>
      </c>
    </row>
    <row r="15880" spans="1:4" hidden="1" x14ac:dyDescent="0.3">
      <c r="A15880" t="s">
        <v>981</v>
      </c>
      <c r="B15880" t="s">
        <v>5</v>
      </c>
      <c r="C15880" s="1">
        <f>HYPERLINK("https://cao.dolgi.msk.ru/account/1011441543/", 1011441543)</f>
        <v>1011441543</v>
      </c>
      <c r="D15880">
        <v>0</v>
      </c>
    </row>
    <row r="15881" spans="1:4" hidden="1" x14ac:dyDescent="0.3">
      <c r="A15881" t="s">
        <v>981</v>
      </c>
      <c r="B15881" t="s">
        <v>7</v>
      </c>
      <c r="C15881" s="1">
        <f>HYPERLINK("https://cao.dolgi.msk.ru/account/1011442132/", 1011442132)</f>
        <v>1011442132</v>
      </c>
      <c r="D15881">
        <v>-786.01</v>
      </c>
    </row>
    <row r="15882" spans="1:4" hidden="1" x14ac:dyDescent="0.3">
      <c r="A15882" t="s">
        <v>981</v>
      </c>
      <c r="B15882" t="s">
        <v>8</v>
      </c>
      <c r="C15882" s="1">
        <f>HYPERLINK("https://cao.dolgi.msk.ru/account/1011441471/", 1011441471)</f>
        <v>1011441471</v>
      </c>
      <c r="D15882">
        <v>-6576.56</v>
      </c>
    </row>
    <row r="15883" spans="1:4" hidden="1" x14ac:dyDescent="0.3">
      <c r="A15883" t="s">
        <v>981</v>
      </c>
      <c r="B15883" t="s">
        <v>31</v>
      </c>
      <c r="C15883" s="1">
        <f>HYPERLINK("https://cao.dolgi.msk.ru/account/1011441324/", 1011441324)</f>
        <v>1011441324</v>
      </c>
      <c r="D15883">
        <v>-15720.7</v>
      </c>
    </row>
    <row r="15884" spans="1:4" hidden="1" x14ac:dyDescent="0.3">
      <c r="A15884" t="s">
        <v>981</v>
      </c>
      <c r="B15884" t="s">
        <v>9</v>
      </c>
      <c r="C15884" s="1">
        <f>HYPERLINK("https://cao.dolgi.msk.ru/account/1011441949/", 1011441949)</f>
        <v>1011441949</v>
      </c>
      <c r="D15884">
        <v>-690</v>
      </c>
    </row>
    <row r="15885" spans="1:4" hidden="1" x14ac:dyDescent="0.3">
      <c r="A15885" t="s">
        <v>981</v>
      </c>
      <c r="B15885" t="s">
        <v>10</v>
      </c>
      <c r="C15885" s="1">
        <f>HYPERLINK("https://cao.dolgi.msk.ru/account/1011441682/", 1011441682)</f>
        <v>1011441682</v>
      </c>
      <c r="D15885">
        <v>0</v>
      </c>
    </row>
    <row r="15886" spans="1:4" x14ac:dyDescent="0.3">
      <c r="A15886" t="s">
        <v>981</v>
      </c>
      <c r="B15886" t="s">
        <v>11</v>
      </c>
      <c r="C15886" s="1">
        <f>HYPERLINK("https://cao.dolgi.msk.ru/account/1011441332/", 1011441332)</f>
        <v>1011441332</v>
      </c>
      <c r="D15886">
        <v>18584.46</v>
      </c>
    </row>
    <row r="15887" spans="1:4" x14ac:dyDescent="0.3">
      <c r="A15887" t="s">
        <v>981</v>
      </c>
      <c r="B15887" t="s">
        <v>12</v>
      </c>
      <c r="C15887" s="1">
        <f>HYPERLINK("https://cao.dolgi.msk.ru/account/1011441973/", 1011441973)</f>
        <v>1011441973</v>
      </c>
      <c r="D15887">
        <v>3491.47</v>
      </c>
    </row>
    <row r="15888" spans="1:4" hidden="1" x14ac:dyDescent="0.3">
      <c r="A15888" t="s">
        <v>981</v>
      </c>
      <c r="B15888" t="s">
        <v>23</v>
      </c>
      <c r="C15888" s="1">
        <f>HYPERLINK("https://cao.dolgi.msk.ru/account/1011441551/", 1011441551)</f>
        <v>1011441551</v>
      </c>
      <c r="D15888">
        <v>0</v>
      </c>
    </row>
    <row r="15889" spans="1:4" hidden="1" x14ac:dyDescent="0.3">
      <c r="A15889" t="s">
        <v>981</v>
      </c>
      <c r="B15889" t="s">
        <v>13</v>
      </c>
      <c r="C15889" s="1">
        <f>HYPERLINK("https://cao.dolgi.msk.ru/account/1011441607/", 1011441607)</f>
        <v>1011441607</v>
      </c>
      <c r="D15889">
        <v>0</v>
      </c>
    </row>
    <row r="15890" spans="1:4" hidden="1" x14ac:dyDescent="0.3">
      <c r="A15890" t="s">
        <v>981</v>
      </c>
      <c r="B15890" t="s">
        <v>14</v>
      </c>
      <c r="C15890" s="1">
        <f>HYPERLINK("https://cao.dolgi.msk.ru/account/1011514968/", 1011514968)</f>
        <v>1011514968</v>
      </c>
      <c r="D15890">
        <v>0</v>
      </c>
    </row>
    <row r="15891" spans="1:4" hidden="1" x14ac:dyDescent="0.3">
      <c r="A15891" t="s">
        <v>981</v>
      </c>
      <c r="B15891" t="s">
        <v>16</v>
      </c>
      <c r="C15891" s="1">
        <f>HYPERLINK("https://cao.dolgi.msk.ru/account/1011441981/", 1011441981)</f>
        <v>1011441981</v>
      </c>
      <c r="D15891">
        <v>-7838.25</v>
      </c>
    </row>
    <row r="15892" spans="1:4" hidden="1" x14ac:dyDescent="0.3">
      <c r="A15892" t="s">
        <v>981</v>
      </c>
      <c r="B15892" t="s">
        <v>17</v>
      </c>
      <c r="C15892" s="1">
        <f>HYPERLINK("https://cao.dolgi.msk.ru/account/1011441762/", 1011441762)</f>
        <v>1011441762</v>
      </c>
      <c r="D15892">
        <v>-9133.4</v>
      </c>
    </row>
    <row r="15893" spans="1:4" hidden="1" x14ac:dyDescent="0.3">
      <c r="A15893" t="s">
        <v>981</v>
      </c>
      <c r="B15893" t="s">
        <v>18</v>
      </c>
      <c r="C15893" s="1">
        <f>HYPERLINK("https://cao.dolgi.msk.ru/account/1011441631/", 1011441631)</f>
        <v>1011441631</v>
      </c>
      <c r="D15893">
        <v>0</v>
      </c>
    </row>
    <row r="15894" spans="1:4" hidden="1" x14ac:dyDescent="0.3">
      <c r="A15894" t="s">
        <v>981</v>
      </c>
      <c r="B15894" t="s">
        <v>19</v>
      </c>
      <c r="C15894" s="1">
        <f>HYPERLINK("https://cao.dolgi.msk.ru/account/1011441965/", 1011441965)</f>
        <v>1011441965</v>
      </c>
      <c r="D15894">
        <v>0</v>
      </c>
    </row>
    <row r="15895" spans="1:4" hidden="1" x14ac:dyDescent="0.3">
      <c r="A15895" t="s">
        <v>981</v>
      </c>
      <c r="B15895" t="s">
        <v>20</v>
      </c>
      <c r="C15895" s="1">
        <f>HYPERLINK("https://cao.dolgi.msk.ru/account/1011442159/", 1011442159)</f>
        <v>1011442159</v>
      </c>
      <c r="D15895">
        <v>-695.52</v>
      </c>
    </row>
    <row r="15896" spans="1:4" hidden="1" x14ac:dyDescent="0.3">
      <c r="A15896" t="s">
        <v>981</v>
      </c>
      <c r="B15896" t="s">
        <v>21</v>
      </c>
      <c r="C15896" s="1">
        <f>HYPERLINK("https://cao.dolgi.msk.ru/account/1011441818/", 1011441818)</f>
        <v>1011441818</v>
      </c>
      <c r="D15896">
        <v>0</v>
      </c>
    </row>
    <row r="15897" spans="1:4" hidden="1" x14ac:dyDescent="0.3">
      <c r="A15897" t="s">
        <v>981</v>
      </c>
      <c r="B15897" t="s">
        <v>22</v>
      </c>
      <c r="C15897" s="1">
        <f>HYPERLINK("https://cao.dolgi.msk.ru/account/1011441412/", 1011441412)</f>
        <v>1011441412</v>
      </c>
      <c r="D15897">
        <v>-612.34</v>
      </c>
    </row>
    <row r="15898" spans="1:4" hidden="1" x14ac:dyDescent="0.3">
      <c r="A15898" t="s">
        <v>981</v>
      </c>
      <c r="B15898" t="s">
        <v>24</v>
      </c>
      <c r="C15898" s="1">
        <f>HYPERLINK("https://cao.dolgi.msk.ru/account/1011441877/", 1011441877)</f>
        <v>1011441877</v>
      </c>
      <c r="D15898">
        <v>-2127.5700000000002</v>
      </c>
    </row>
    <row r="15899" spans="1:4" hidden="1" x14ac:dyDescent="0.3">
      <c r="A15899" t="s">
        <v>981</v>
      </c>
      <c r="B15899" t="s">
        <v>25</v>
      </c>
      <c r="C15899" s="1">
        <f>HYPERLINK("https://cao.dolgi.msk.ru/account/1011441703/", 1011441703)</f>
        <v>1011441703</v>
      </c>
      <c r="D15899">
        <v>0</v>
      </c>
    </row>
    <row r="15900" spans="1:4" hidden="1" x14ac:dyDescent="0.3">
      <c r="A15900" t="s">
        <v>981</v>
      </c>
      <c r="B15900" t="s">
        <v>26</v>
      </c>
      <c r="C15900" s="1">
        <f>HYPERLINK("https://cao.dolgi.msk.ru/account/1011441666/", 1011441666)</f>
        <v>1011441666</v>
      </c>
      <c r="D15900">
        <v>0</v>
      </c>
    </row>
    <row r="15901" spans="1:4" hidden="1" x14ac:dyDescent="0.3">
      <c r="A15901" t="s">
        <v>981</v>
      </c>
      <c r="B15901" t="s">
        <v>27</v>
      </c>
      <c r="C15901" s="1">
        <f>HYPERLINK("https://cao.dolgi.msk.ru/account/1011441498/", 1011441498)</f>
        <v>1011441498</v>
      </c>
      <c r="D15901">
        <v>0</v>
      </c>
    </row>
    <row r="15902" spans="1:4" hidden="1" x14ac:dyDescent="0.3">
      <c r="A15902" t="s">
        <v>981</v>
      </c>
      <c r="B15902" t="s">
        <v>29</v>
      </c>
      <c r="C15902" s="1">
        <f>HYPERLINK("https://cao.dolgi.msk.ru/account/1011441711/", 1011441711)</f>
        <v>1011441711</v>
      </c>
      <c r="D15902">
        <v>-5711.45</v>
      </c>
    </row>
    <row r="15903" spans="1:4" hidden="1" x14ac:dyDescent="0.3">
      <c r="A15903" t="s">
        <v>981</v>
      </c>
      <c r="B15903" t="s">
        <v>38</v>
      </c>
      <c r="C15903" s="1">
        <f>HYPERLINK("https://cao.dolgi.msk.ru/account/1011441244/", 1011441244)</f>
        <v>1011441244</v>
      </c>
      <c r="D15903">
        <v>-408.96</v>
      </c>
    </row>
    <row r="15904" spans="1:4" hidden="1" x14ac:dyDescent="0.3">
      <c r="A15904" t="s">
        <v>981</v>
      </c>
      <c r="B15904" t="s">
        <v>39</v>
      </c>
      <c r="C15904" s="1">
        <f>HYPERLINK("https://cao.dolgi.msk.ru/account/1011441463/", 1011441463)</f>
        <v>1011441463</v>
      </c>
      <c r="D15904">
        <v>-5217.12</v>
      </c>
    </row>
    <row r="15905" spans="1:4" x14ac:dyDescent="0.3">
      <c r="A15905" t="s">
        <v>981</v>
      </c>
      <c r="B15905" t="s">
        <v>40</v>
      </c>
      <c r="C15905" s="1">
        <f>HYPERLINK("https://cao.dolgi.msk.ru/account/1011441439/", 1011441439)</f>
        <v>1011441439</v>
      </c>
      <c r="D15905">
        <v>49353.09</v>
      </c>
    </row>
    <row r="15906" spans="1:4" hidden="1" x14ac:dyDescent="0.3">
      <c r="A15906" t="s">
        <v>981</v>
      </c>
      <c r="B15906" t="s">
        <v>41</v>
      </c>
      <c r="C15906" s="1">
        <f>HYPERLINK("https://cao.dolgi.msk.ru/account/1011441391/", 1011441391)</f>
        <v>1011441391</v>
      </c>
      <c r="D15906">
        <v>0</v>
      </c>
    </row>
    <row r="15907" spans="1:4" hidden="1" x14ac:dyDescent="0.3">
      <c r="A15907" t="s">
        <v>981</v>
      </c>
      <c r="B15907" t="s">
        <v>51</v>
      </c>
      <c r="C15907" s="1">
        <f>HYPERLINK("https://cao.dolgi.msk.ru/account/1011441826/", 1011441826)</f>
        <v>1011441826</v>
      </c>
      <c r="D15907">
        <v>-467.28</v>
      </c>
    </row>
    <row r="15908" spans="1:4" hidden="1" x14ac:dyDescent="0.3">
      <c r="A15908" t="s">
        <v>981</v>
      </c>
      <c r="B15908" t="s">
        <v>52</v>
      </c>
      <c r="C15908" s="1">
        <f>HYPERLINK("https://cao.dolgi.msk.ru/account/1011441308/", 1011441308)</f>
        <v>1011441308</v>
      </c>
      <c r="D15908">
        <v>0</v>
      </c>
    </row>
    <row r="15909" spans="1:4" x14ac:dyDescent="0.3">
      <c r="A15909" t="s">
        <v>981</v>
      </c>
      <c r="B15909" t="s">
        <v>53</v>
      </c>
      <c r="C15909" s="1">
        <f>HYPERLINK("https://cao.dolgi.msk.ru/account/1011441834/", 1011441834)</f>
        <v>1011441834</v>
      </c>
      <c r="D15909">
        <v>6370.39</v>
      </c>
    </row>
    <row r="15910" spans="1:4" hidden="1" x14ac:dyDescent="0.3">
      <c r="A15910" t="s">
        <v>981</v>
      </c>
      <c r="B15910" t="s">
        <v>54</v>
      </c>
      <c r="C15910" s="1">
        <f>HYPERLINK("https://cao.dolgi.msk.ru/account/1011441789/", 1011441789)</f>
        <v>1011441789</v>
      </c>
      <c r="D15910">
        <v>-11489.53</v>
      </c>
    </row>
    <row r="15911" spans="1:4" hidden="1" x14ac:dyDescent="0.3">
      <c r="A15911" t="s">
        <v>981</v>
      </c>
      <c r="B15911" t="s">
        <v>55</v>
      </c>
      <c r="C15911" s="1">
        <f>HYPERLINK("https://cao.dolgi.msk.ru/account/1011441738/", 1011441738)</f>
        <v>1011441738</v>
      </c>
      <c r="D15911">
        <v>-10537.83</v>
      </c>
    </row>
    <row r="15912" spans="1:4" hidden="1" x14ac:dyDescent="0.3">
      <c r="A15912" t="s">
        <v>981</v>
      </c>
      <c r="B15912" t="s">
        <v>56</v>
      </c>
      <c r="C15912" s="1">
        <f>HYPERLINK("https://cao.dolgi.msk.ru/account/1011441447/", 1011441447)</f>
        <v>1011441447</v>
      </c>
      <c r="D15912">
        <v>0</v>
      </c>
    </row>
    <row r="15913" spans="1:4" hidden="1" x14ac:dyDescent="0.3">
      <c r="A15913" t="s">
        <v>981</v>
      </c>
      <c r="B15913" t="s">
        <v>87</v>
      </c>
      <c r="C15913" s="1">
        <f>HYPERLINK("https://cao.dolgi.msk.ru/account/1011441375/", 1011441375)</f>
        <v>1011441375</v>
      </c>
      <c r="D15913">
        <v>0</v>
      </c>
    </row>
    <row r="15914" spans="1:4" hidden="1" x14ac:dyDescent="0.3">
      <c r="A15914" t="s">
        <v>981</v>
      </c>
      <c r="B15914" t="s">
        <v>88</v>
      </c>
      <c r="C15914" s="1">
        <f>HYPERLINK("https://cao.dolgi.msk.ru/account/1011442044/", 1011442044)</f>
        <v>1011442044</v>
      </c>
      <c r="D15914">
        <v>-154.81</v>
      </c>
    </row>
    <row r="15915" spans="1:4" hidden="1" x14ac:dyDescent="0.3">
      <c r="A15915" t="s">
        <v>981</v>
      </c>
      <c r="B15915" t="s">
        <v>89</v>
      </c>
      <c r="C15915" s="1">
        <f>HYPERLINK("https://cao.dolgi.msk.ru/account/1011441252/", 1011441252)</f>
        <v>1011441252</v>
      </c>
      <c r="D15915">
        <v>0</v>
      </c>
    </row>
    <row r="15916" spans="1:4" hidden="1" x14ac:dyDescent="0.3">
      <c r="A15916" t="s">
        <v>981</v>
      </c>
      <c r="B15916" t="s">
        <v>90</v>
      </c>
      <c r="C15916" s="1">
        <f>HYPERLINK("https://cao.dolgi.msk.ru/account/1011441404/", 1011441404)</f>
        <v>1011441404</v>
      </c>
      <c r="D15916">
        <v>-5308.67</v>
      </c>
    </row>
    <row r="15917" spans="1:4" hidden="1" x14ac:dyDescent="0.3">
      <c r="A15917" t="s">
        <v>981</v>
      </c>
      <c r="B15917" t="s">
        <v>96</v>
      </c>
      <c r="C15917" s="1">
        <f>HYPERLINK("https://cao.dolgi.msk.ru/account/1011441236/", 1011441236)</f>
        <v>1011441236</v>
      </c>
      <c r="D15917">
        <v>0</v>
      </c>
    </row>
    <row r="15918" spans="1:4" hidden="1" x14ac:dyDescent="0.3">
      <c r="A15918" t="s">
        <v>981</v>
      </c>
      <c r="B15918" t="s">
        <v>97</v>
      </c>
      <c r="C15918" s="1">
        <f>HYPERLINK("https://cao.dolgi.msk.ru/account/1011442079/", 1011442079)</f>
        <v>1011442079</v>
      </c>
      <c r="D15918">
        <v>0</v>
      </c>
    </row>
    <row r="15919" spans="1:4" hidden="1" x14ac:dyDescent="0.3">
      <c r="A15919" t="s">
        <v>981</v>
      </c>
      <c r="B15919" t="s">
        <v>98</v>
      </c>
      <c r="C15919" s="1">
        <f>HYPERLINK("https://cao.dolgi.msk.ru/account/1011441906/", 1011441906)</f>
        <v>1011441906</v>
      </c>
      <c r="D15919">
        <v>0</v>
      </c>
    </row>
    <row r="15920" spans="1:4" hidden="1" x14ac:dyDescent="0.3">
      <c r="A15920" t="s">
        <v>981</v>
      </c>
      <c r="B15920" t="s">
        <v>58</v>
      </c>
      <c r="C15920" s="1">
        <f>HYPERLINK("https://cao.dolgi.msk.ru/account/1011442108/", 1011442108)</f>
        <v>1011442108</v>
      </c>
      <c r="D15920">
        <v>0</v>
      </c>
    </row>
    <row r="15921" spans="1:4" hidden="1" x14ac:dyDescent="0.3">
      <c r="A15921" t="s">
        <v>981</v>
      </c>
      <c r="B15921" t="s">
        <v>59</v>
      </c>
      <c r="C15921" s="1">
        <f>HYPERLINK("https://cao.dolgi.msk.ru/account/1011441797/", 1011441797)</f>
        <v>1011441797</v>
      </c>
      <c r="D15921">
        <v>0</v>
      </c>
    </row>
    <row r="15922" spans="1:4" x14ac:dyDescent="0.3">
      <c r="A15922" t="s">
        <v>981</v>
      </c>
      <c r="B15922" t="s">
        <v>60</v>
      </c>
      <c r="C15922" s="1">
        <f>HYPERLINK("https://cao.dolgi.msk.ru/account/1011441914/", 1011441914)</f>
        <v>1011441914</v>
      </c>
      <c r="D15922">
        <v>13536.56</v>
      </c>
    </row>
    <row r="15923" spans="1:4" hidden="1" x14ac:dyDescent="0.3">
      <c r="A15923" t="s">
        <v>981</v>
      </c>
      <c r="B15923" t="s">
        <v>61</v>
      </c>
      <c r="C15923" s="1">
        <f>HYPERLINK("https://cao.dolgi.msk.ru/account/1011441519/", 1011441519)</f>
        <v>1011441519</v>
      </c>
      <c r="D15923">
        <v>-308.87</v>
      </c>
    </row>
    <row r="15924" spans="1:4" hidden="1" x14ac:dyDescent="0.3">
      <c r="A15924" t="s">
        <v>981</v>
      </c>
      <c r="B15924" t="s">
        <v>62</v>
      </c>
      <c r="C15924" s="1">
        <f>HYPERLINK("https://cao.dolgi.msk.ru/account/1011442036/", 1011442036)</f>
        <v>1011442036</v>
      </c>
      <c r="D15924">
        <v>-133.34</v>
      </c>
    </row>
    <row r="15925" spans="1:4" x14ac:dyDescent="0.3">
      <c r="A15925" t="s">
        <v>981</v>
      </c>
      <c r="B15925" t="s">
        <v>63</v>
      </c>
      <c r="C15925" s="1">
        <f>HYPERLINK("https://cao.dolgi.msk.ru/account/1011441578/", 1011441578)</f>
        <v>1011441578</v>
      </c>
      <c r="D15925">
        <v>6607.84</v>
      </c>
    </row>
    <row r="15926" spans="1:4" hidden="1" x14ac:dyDescent="0.3">
      <c r="A15926" t="s">
        <v>981</v>
      </c>
      <c r="B15926" t="s">
        <v>64</v>
      </c>
      <c r="C15926" s="1">
        <f>HYPERLINK("https://cao.dolgi.msk.ru/account/1011441316/", 1011441316)</f>
        <v>1011441316</v>
      </c>
      <c r="D15926">
        <v>-620.64</v>
      </c>
    </row>
    <row r="15927" spans="1:4" x14ac:dyDescent="0.3">
      <c r="A15927" t="s">
        <v>981</v>
      </c>
      <c r="B15927" t="s">
        <v>65</v>
      </c>
      <c r="C15927" s="1">
        <f>HYPERLINK("https://cao.dolgi.msk.ru/account/1011441957/", 1011441957)</f>
        <v>1011441957</v>
      </c>
      <c r="D15927">
        <v>14958.51</v>
      </c>
    </row>
    <row r="15928" spans="1:4" hidden="1" x14ac:dyDescent="0.3">
      <c r="A15928" t="s">
        <v>981</v>
      </c>
      <c r="B15928" t="s">
        <v>66</v>
      </c>
      <c r="C15928" s="1">
        <f>HYPERLINK("https://cao.dolgi.msk.ru/account/1011441658/", 1011441658)</f>
        <v>1011441658</v>
      </c>
      <c r="D15928">
        <v>0</v>
      </c>
    </row>
    <row r="15929" spans="1:4" hidden="1" x14ac:dyDescent="0.3">
      <c r="A15929" t="s">
        <v>981</v>
      </c>
      <c r="B15929" t="s">
        <v>67</v>
      </c>
      <c r="C15929" s="1">
        <f>HYPERLINK("https://cao.dolgi.msk.ru/account/1011441869/", 1011441869)</f>
        <v>1011441869</v>
      </c>
      <c r="D15929">
        <v>-4734.7</v>
      </c>
    </row>
    <row r="15930" spans="1:4" x14ac:dyDescent="0.3">
      <c r="A15930" t="s">
        <v>981</v>
      </c>
      <c r="B15930" t="s">
        <v>68</v>
      </c>
      <c r="C15930" s="1">
        <f>HYPERLINK("https://cao.dolgi.msk.ru/account/1011442028/", 1011442028)</f>
        <v>1011442028</v>
      </c>
      <c r="D15930">
        <v>11409.45</v>
      </c>
    </row>
    <row r="15931" spans="1:4" hidden="1" x14ac:dyDescent="0.3">
      <c r="A15931" t="s">
        <v>981</v>
      </c>
      <c r="B15931" t="s">
        <v>69</v>
      </c>
      <c r="C15931" s="1">
        <f>HYPERLINK("https://cao.dolgi.msk.ru/account/1011441594/", 1011441594)</f>
        <v>1011441594</v>
      </c>
      <c r="D15931">
        <v>0</v>
      </c>
    </row>
    <row r="15932" spans="1:4" hidden="1" x14ac:dyDescent="0.3">
      <c r="A15932" t="s">
        <v>981</v>
      </c>
      <c r="B15932" t="s">
        <v>70</v>
      </c>
      <c r="C15932" s="1">
        <f>HYPERLINK("https://cao.dolgi.msk.ru/account/1011441746/", 1011441746)</f>
        <v>1011441746</v>
      </c>
      <c r="D15932">
        <v>-26289.79</v>
      </c>
    </row>
    <row r="15933" spans="1:4" hidden="1" x14ac:dyDescent="0.3">
      <c r="A15933" t="s">
        <v>981</v>
      </c>
      <c r="B15933" t="s">
        <v>259</v>
      </c>
      <c r="C15933" s="1">
        <f>HYPERLINK("https://cao.dolgi.msk.ru/account/1011442124/", 1011442124)</f>
        <v>1011442124</v>
      </c>
      <c r="D15933">
        <v>0</v>
      </c>
    </row>
    <row r="15934" spans="1:4" hidden="1" x14ac:dyDescent="0.3">
      <c r="A15934" t="s">
        <v>981</v>
      </c>
      <c r="B15934" t="s">
        <v>100</v>
      </c>
      <c r="C15934" s="1">
        <f>HYPERLINK("https://cao.dolgi.msk.ru/account/1011441615/", 1011441615)</f>
        <v>1011441615</v>
      </c>
      <c r="D15934">
        <v>0</v>
      </c>
    </row>
    <row r="15935" spans="1:4" x14ac:dyDescent="0.3">
      <c r="A15935" t="s">
        <v>981</v>
      </c>
      <c r="B15935" t="s">
        <v>72</v>
      </c>
      <c r="C15935" s="1">
        <f>HYPERLINK("https://cao.dolgi.msk.ru/account/1011441527/", 1011441527)</f>
        <v>1011441527</v>
      </c>
      <c r="D15935">
        <v>6865.49</v>
      </c>
    </row>
    <row r="15936" spans="1:4" hidden="1" x14ac:dyDescent="0.3">
      <c r="A15936" t="s">
        <v>981</v>
      </c>
      <c r="B15936" t="s">
        <v>73</v>
      </c>
      <c r="C15936" s="1">
        <f>HYPERLINK("https://cao.dolgi.msk.ru/account/1011441842/", 1011441842)</f>
        <v>1011441842</v>
      </c>
      <c r="D15936">
        <v>-3.33</v>
      </c>
    </row>
    <row r="15937" spans="1:4" hidden="1" x14ac:dyDescent="0.3">
      <c r="A15937" t="s">
        <v>981</v>
      </c>
      <c r="B15937" t="s">
        <v>74</v>
      </c>
      <c r="C15937" s="1">
        <f>HYPERLINK("https://cao.dolgi.msk.ru/account/1011441586/", 1011441586)</f>
        <v>1011441586</v>
      </c>
      <c r="D15937">
        <v>-10380.24</v>
      </c>
    </row>
    <row r="15938" spans="1:4" hidden="1" x14ac:dyDescent="0.3">
      <c r="A15938" t="s">
        <v>981</v>
      </c>
      <c r="B15938" t="s">
        <v>75</v>
      </c>
      <c r="C15938" s="1">
        <f>HYPERLINK("https://cao.dolgi.msk.ru/account/1011441359/", 1011441359)</f>
        <v>1011441359</v>
      </c>
      <c r="D15938">
        <v>-6592</v>
      </c>
    </row>
    <row r="15939" spans="1:4" hidden="1" x14ac:dyDescent="0.3">
      <c r="A15939" t="s">
        <v>981</v>
      </c>
      <c r="B15939" t="s">
        <v>76</v>
      </c>
      <c r="C15939" s="1">
        <f>HYPERLINK("https://cao.dolgi.msk.ru/account/1011442167/", 1011442167)</f>
        <v>1011442167</v>
      </c>
      <c r="D15939">
        <v>0</v>
      </c>
    </row>
    <row r="15940" spans="1:4" x14ac:dyDescent="0.3">
      <c r="A15940" t="s">
        <v>981</v>
      </c>
      <c r="B15940" t="s">
        <v>77</v>
      </c>
      <c r="C15940" s="1">
        <f>HYPERLINK("https://cao.dolgi.msk.ru/account/1011441885/", 1011441885)</f>
        <v>1011441885</v>
      </c>
      <c r="D15940">
        <v>7567.68</v>
      </c>
    </row>
    <row r="15941" spans="1:4" hidden="1" x14ac:dyDescent="0.3">
      <c r="A15941" t="s">
        <v>981</v>
      </c>
      <c r="B15941" t="s">
        <v>78</v>
      </c>
      <c r="C15941" s="1">
        <f>HYPERLINK("https://cao.dolgi.msk.ru/account/1011441922/", 1011441922)</f>
        <v>1011441922</v>
      </c>
      <c r="D15941">
        <v>-1836.75</v>
      </c>
    </row>
    <row r="15942" spans="1:4" x14ac:dyDescent="0.3">
      <c r="A15942" t="s">
        <v>981</v>
      </c>
      <c r="B15942" t="s">
        <v>79</v>
      </c>
      <c r="C15942" s="1">
        <f>HYPERLINK("https://cao.dolgi.msk.ru/account/1011442001/", 1011442001)</f>
        <v>1011442001</v>
      </c>
      <c r="D15942">
        <v>7063.78</v>
      </c>
    </row>
    <row r="15943" spans="1:4" hidden="1" x14ac:dyDescent="0.3">
      <c r="A15943" t="s">
        <v>981</v>
      </c>
      <c r="B15943" t="s">
        <v>80</v>
      </c>
      <c r="C15943" s="1">
        <f>HYPERLINK("https://cao.dolgi.msk.ru/account/1011442087/", 1011442087)</f>
        <v>1011442087</v>
      </c>
      <c r="D15943">
        <v>0</v>
      </c>
    </row>
    <row r="15944" spans="1:4" hidden="1" x14ac:dyDescent="0.3">
      <c r="A15944" t="s">
        <v>981</v>
      </c>
      <c r="B15944" t="s">
        <v>81</v>
      </c>
      <c r="C15944" s="1">
        <f>HYPERLINK("https://cao.dolgi.msk.ru/account/1011441674/", 1011441674)</f>
        <v>1011441674</v>
      </c>
      <c r="D15944">
        <v>0</v>
      </c>
    </row>
    <row r="15945" spans="1:4" hidden="1" x14ac:dyDescent="0.3">
      <c r="A15945" t="s">
        <v>981</v>
      </c>
      <c r="B15945" t="s">
        <v>101</v>
      </c>
      <c r="C15945" s="1">
        <f>HYPERLINK("https://cao.dolgi.msk.ru/account/1011442116/", 1011442116)</f>
        <v>1011442116</v>
      </c>
      <c r="D15945">
        <v>0</v>
      </c>
    </row>
    <row r="15946" spans="1:4" x14ac:dyDescent="0.3">
      <c r="A15946" t="s">
        <v>981</v>
      </c>
      <c r="B15946" t="s">
        <v>82</v>
      </c>
      <c r="C15946" s="1">
        <f>HYPERLINK("https://cao.dolgi.msk.ru/account/1011441383/", 1011441383)</f>
        <v>1011441383</v>
      </c>
      <c r="D15946">
        <v>15396.71</v>
      </c>
    </row>
    <row r="15947" spans="1:4" x14ac:dyDescent="0.3">
      <c r="A15947" t="s">
        <v>981</v>
      </c>
      <c r="B15947" t="s">
        <v>83</v>
      </c>
      <c r="C15947" s="1">
        <f>HYPERLINK("https://cao.dolgi.msk.ru/account/1011441279/", 1011441279)</f>
        <v>1011441279</v>
      </c>
      <c r="D15947">
        <v>2861.24</v>
      </c>
    </row>
    <row r="15948" spans="1:4" hidden="1" x14ac:dyDescent="0.3">
      <c r="A15948" t="s">
        <v>981</v>
      </c>
      <c r="B15948" t="s">
        <v>84</v>
      </c>
      <c r="C15948" s="1">
        <f>HYPERLINK("https://cao.dolgi.msk.ru/account/1011441535/", 1011441535)</f>
        <v>1011441535</v>
      </c>
      <c r="D15948">
        <v>0</v>
      </c>
    </row>
    <row r="15949" spans="1:4" x14ac:dyDescent="0.3">
      <c r="A15949" t="s">
        <v>981</v>
      </c>
      <c r="B15949" t="s">
        <v>85</v>
      </c>
      <c r="C15949" s="1">
        <f>HYPERLINK("https://cao.dolgi.msk.ru/account/1011442052/", 1011442052)</f>
        <v>1011442052</v>
      </c>
      <c r="D15949">
        <v>28273.02</v>
      </c>
    </row>
    <row r="15950" spans="1:4" hidden="1" x14ac:dyDescent="0.3">
      <c r="A15950" t="s">
        <v>981</v>
      </c>
      <c r="B15950" t="s">
        <v>102</v>
      </c>
      <c r="C15950" s="1">
        <f>HYPERLINK("https://cao.dolgi.msk.ru/account/1011441287/", 1011441287)</f>
        <v>1011441287</v>
      </c>
      <c r="D15950">
        <v>-8243.77</v>
      </c>
    </row>
    <row r="15951" spans="1:4" hidden="1" x14ac:dyDescent="0.3">
      <c r="A15951" t="s">
        <v>981</v>
      </c>
      <c r="B15951" t="s">
        <v>103</v>
      </c>
      <c r="C15951" s="1">
        <f>HYPERLINK("https://cao.dolgi.msk.ru/account/1011441754/", 1011441754)</f>
        <v>1011441754</v>
      </c>
      <c r="D15951">
        <v>-239.85</v>
      </c>
    </row>
    <row r="15952" spans="1:4" hidden="1" x14ac:dyDescent="0.3">
      <c r="A15952" t="s">
        <v>981</v>
      </c>
      <c r="B15952" t="s">
        <v>104</v>
      </c>
      <c r="C15952" s="1">
        <f>HYPERLINK("https://cao.dolgi.msk.ru/account/1011441295/", 1011441295)</f>
        <v>1011441295</v>
      </c>
      <c r="D15952">
        <v>0</v>
      </c>
    </row>
    <row r="15953" spans="1:4" hidden="1" x14ac:dyDescent="0.3">
      <c r="A15953" t="s">
        <v>981</v>
      </c>
      <c r="B15953" t="s">
        <v>105</v>
      </c>
      <c r="C15953" s="1">
        <f>HYPERLINK("https://cao.dolgi.msk.ru/account/1011441623/", 1011441623)</f>
        <v>1011441623</v>
      </c>
      <c r="D15953">
        <v>-1136.94</v>
      </c>
    </row>
    <row r="15954" spans="1:4" x14ac:dyDescent="0.3">
      <c r="A15954" t="s">
        <v>982</v>
      </c>
      <c r="B15954" t="s">
        <v>64</v>
      </c>
      <c r="C15954" s="1">
        <f>HYPERLINK("https://cao.dolgi.msk.ru/account/1011541624/", 1011541624)</f>
        <v>1011541624</v>
      </c>
      <c r="D15954">
        <v>48889.03</v>
      </c>
    </row>
    <row r="15955" spans="1:4" hidden="1" x14ac:dyDescent="0.3">
      <c r="A15955" t="s">
        <v>982</v>
      </c>
      <c r="B15955" t="s">
        <v>65</v>
      </c>
      <c r="C15955" s="1">
        <f>HYPERLINK("https://cao.dolgi.msk.ru/account/1011066528/", 1011066528)</f>
        <v>1011066528</v>
      </c>
      <c r="D15955">
        <v>0</v>
      </c>
    </row>
    <row r="15956" spans="1:4" hidden="1" x14ac:dyDescent="0.3">
      <c r="A15956" t="s">
        <v>982</v>
      </c>
      <c r="B15956" t="s">
        <v>66</v>
      </c>
      <c r="C15956" s="1">
        <f>HYPERLINK("https://cao.dolgi.msk.ru/account/1011066536/", 1011066536)</f>
        <v>1011066536</v>
      </c>
      <c r="D15956">
        <v>-7773.04</v>
      </c>
    </row>
    <row r="15957" spans="1:4" hidden="1" x14ac:dyDescent="0.3">
      <c r="A15957" t="s">
        <v>982</v>
      </c>
      <c r="B15957" t="s">
        <v>67</v>
      </c>
      <c r="C15957" s="1">
        <f>HYPERLINK("https://cao.dolgi.msk.ru/account/1011066544/", 1011066544)</f>
        <v>1011066544</v>
      </c>
      <c r="D15957">
        <v>-1819.46</v>
      </c>
    </row>
    <row r="15958" spans="1:4" hidden="1" x14ac:dyDescent="0.3">
      <c r="A15958" t="s">
        <v>982</v>
      </c>
      <c r="B15958" t="s">
        <v>68</v>
      </c>
      <c r="C15958" s="1">
        <f>HYPERLINK("https://cao.dolgi.msk.ru/account/1011066552/", 1011066552)</f>
        <v>1011066552</v>
      </c>
      <c r="D15958">
        <v>-5654.19</v>
      </c>
    </row>
    <row r="15959" spans="1:4" hidden="1" x14ac:dyDescent="0.3">
      <c r="A15959" t="s">
        <v>982</v>
      </c>
      <c r="B15959" t="s">
        <v>69</v>
      </c>
      <c r="C15959" s="1">
        <f>HYPERLINK("https://cao.dolgi.msk.ru/account/1011066587/", 1011066587)</f>
        <v>1011066587</v>
      </c>
      <c r="D15959">
        <v>0</v>
      </c>
    </row>
    <row r="15960" spans="1:4" hidden="1" x14ac:dyDescent="0.3">
      <c r="A15960" t="s">
        <v>982</v>
      </c>
      <c r="B15960" t="s">
        <v>70</v>
      </c>
      <c r="C15960" s="1">
        <f>HYPERLINK("https://cao.dolgi.msk.ru/account/1011066595/", 1011066595)</f>
        <v>1011066595</v>
      </c>
      <c r="D15960">
        <v>-800.5</v>
      </c>
    </row>
    <row r="15961" spans="1:4" hidden="1" x14ac:dyDescent="0.3">
      <c r="A15961" t="s">
        <v>982</v>
      </c>
      <c r="B15961" t="s">
        <v>259</v>
      </c>
      <c r="C15961" s="1">
        <f>HYPERLINK("https://cao.dolgi.msk.ru/account/1011066608/", 1011066608)</f>
        <v>1011066608</v>
      </c>
      <c r="D15961">
        <v>-13502.98</v>
      </c>
    </row>
    <row r="15962" spans="1:4" hidden="1" x14ac:dyDescent="0.3">
      <c r="A15962" t="s">
        <v>982</v>
      </c>
      <c r="B15962" t="s">
        <v>100</v>
      </c>
      <c r="C15962" s="1">
        <f>HYPERLINK("https://cao.dolgi.msk.ru/account/1011066616/", 1011066616)</f>
        <v>1011066616</v>
      </c>
      <c r="D15962">
        <v>-9188.0400000000009</v>
      </c>
    </row>
    <row r="15963" spans="1:4" x14ac:dyDescent="0.3">
      <c r="A15963" t="s">
        <v>982</v>
      </c>
      <c r="B15963" t="s">
        <v>100</v>
      </c>
      <c r="C15963" s="1">
        <f>HYPERLINK("https://cao.dolgi.msk.ru/account/1011066624/", 1011066624)</f>
        <v>1011066624</v>
      </c>
      <c r="D15963">
        <v>106240.73</v>
      </c>
    </row>
    <row r="15964" spans="1:4" hidden="1" x14ac:dyDescent="0.3">
      <c r="A15964" t="s">
        <v>982</v>
      </c>
      <c r="B15964" t="s">
        <v>100</v>
      </c>
      <c r="C15964" s="1">
        <f>HYPERLINK("https://cao.dolgi.msk.ru/account/1011066632/", 1011066632)</f>
        <v>1011066632</v>
      </c>
      <c r="D15964">
        <v>-4507.12</v>
      </c>
    </row>
    <row r="15965" spans="1:4" hidden="1" x14ac:dyDescent="0.3">
      <c r="A15965" t="s">
        <v>982</v>
      </c>
      <c r="B15965" t="s">
        <v>72</v>
      </c>
      <c r="C15965" s="1">
        <f>HYPERLINK("https://cao.dolgi.msk.ru/account/1011066659/", 1011066659)</f>
        <v>1011066659</v>
      </c>
      <c r="D15965">
        <v>-6340.25</v>
      </c>
    </row>
    <row r="15966" spans="1:4" hidden="1" x14ac:dyDescent="0.3">
      <c r="A15966" t="s">
        <v>982</v>
      </c>
      <c r="B15966" t="s">
        <v>73</v>
      </c>
      <c r="C15966" s="1">
        <f>HYPERLINK("https://cao.dolgi.msk.ru/account/1011066667/", 1011066667)</f>
        <v>1011066667</v>
      </c>
      <c r="D15966">
        <v>0</v>
      </c>
    </row>
    <row r="15967" spans="1:4" x14ac:dyDescent="0.3">
      <c r="A15967" t="s">
        <v>982</v>
      </c>
      <c r="B15967" t="s">
        <v>74</v>
      </c>
      <c r="C15967" s="1">
        <f>HYPERLINK("https://cao.dolgi.msk.ru/account/1011066675/", 1011066675)</f>
        <v>1011066675</v>
      </c>
      <c r="D15967">
        <v>6133.62</v>
      </c>
    </row>
    <row r="15968" spans="1:4" hidden="1" x14ac:dyDescent="0.3">
      <c r="A15968" t="s">
        <v>982</v>
      </c>
      <c r="B15968" t="s">
        <v>75</v>
      </c>
      <c r="C15968" s="1">
        <f>HYPERLINK("https://cao.dolgi.msk.ru/account/1011066683/", 1011066683)</f>
        <v>1011066683</v>
      </c>
      <c r="D15968">
        <v>0</v>
      </c>
    </row>
    <row r="15969" spans="1:4" hidden="1" x14ac:dyDescent="0.3">
      <c r="A15969" t="s">
        <v>982</v>
      </c>
      <c r="B15969" t="s">
        <v>76</v>
      </c>
      <c r="C15969" s="1">
        <f>HYPERLINK("https://cao.dolgi.msk.ru/account/1011066691/", 1011066691)</f>
        <v>1011066691</v>
      </c>
      <c r="D15969">
        <v>-7399.57</v>
      </c>
    </row>
    <row r="15970" spans="1:4" hidden="1" x14ac:dyDescent="0.3">
      <c r="A15970" t="s">
        <v>982</v>
      </c>
      <c r="B15970" t="s">
        <v>77</v>
      </c>
      <c r="C15970" s="1">
        <f>HYPERLINK("https://cao.dolgi.msk.ru/account/1011066704/", 1011066704)</f>
        <v>1011066704</v>
      </c>
      <c r="D15970">
        <v>0</v>
      </c>
    </row>
    <row r="15971" spans="1:4" x14ac:dyDescent="0.3">
      <c r="A15971" t="s">
        <v>982</v>
      </c>
      <c r="B15971" t="s">
        <v>78</v>
      </c>
      <c r="C15971" s="1">
        <f>HYPERLINK("https://cao.dolgi.msk.ru/account/1011066712/", 1011066712)</f>
        <v>1011066712</v>
      </c>
      <c r="D15971">
        <v>2218.41</v>
      </c>
    </row>
    <row r="15972" spans="1:4" hidden="1" x14ac:dyDescent="0.3">
      <c r="A15972" t="s">
        <v>982</v>
      </c>
      <c r="B15972" t="s">
        <v>80</v>
      </c>
      <c r="C15972" s="1">
        <f>HYPERLINK("https://cao.dolgi.msk.ru/account/1011067328/", 1011067328)</f>
        <v>1011067328</v>
      </c>
      <c r="D15972">
        <v>-8534.93</v>
      </c>
    </row>
    <row r="15973" spans="1:4" x14ac:dyDescent="0.3">
      <c r="A15973" t="s">
        <v>982</v>
      </c>
      <c r="B15973" t="s">
        <v>81</v>
      </c>
      <c r="C15973" s="1">
        <f>HYPERLINK("https://cao.dolgi.msk.ru/account/1011066747/", 1011066747)</f>
        <v>1011066747</v>
      </c>
      <c r="D15973">
        <v>5237.16</v>
      </c>
    </row>
    <row r="15974" spans="1:4" x14ac:dyDescent="0.3">
      <c r="A15974" t="s">
        <v>982</v>
      </c>
      <c r="B15974" t="s">
        <v>101</v>
      </c>
      <c r="C15974" s="1">
        <f>HYPERLINK("https://cao.dolgi.msk.ru/account/1011066755/", 1011066755)</f>
        <v>1011066755</v>
      </c>
      <c r="D15974">
        <v>260893.8</v>
      </c>
    </row>
    <row r="15975" spans="1:4" hidden="1" x14ac:dyDescent="0.3">
      <c r="A15975" t="s">
        <v>982</v>
      </c>
      <c r="B15975" t="s">
        <v>82</v>
      </c>
      <c r="C15975" s="1">
        <f>HYPERLINK("https://cao.dolgi.msk.ru/account/1011066763/", 1011066763)</f>
        <v>1011066763</v>
      </c>
      <c r="D15975">
        <v>-159.06</v>
      </c>
    </row>
    <row r="15976" spans="1:4" hidden="1" x14ac:dyDescent="0.3">
      <c r="A15976" t="s">
        <v>982</v>
      </c>
      <c r="B15976" t="s">
        <v>83</v>
      </c>
      <c r="C15976" s="1">
        <f>HYPERLINK("https://cao.dolgi.msk.ru/account/1011066771/", 1011066771)</f>
        <v>1011066771</v>
      </c>
      <c r="D15976">
        <v>0</v>
      </c>
    </row>
    <row r="15977" spans="1:4" x14ac:dyDescent="0.3">
      <c r="A15977" t="s">
        <v>982</v>
      </c>
      <c r="B15977" t="s">
        <v>84</v>
      </c>
      <c r="C15977" s="1">
        <f>HYPERLINK("https://cao.dolgi.msk.ru/account/1011066798/", 1011066798)</f>
        <v>1011066798</v>
      </c>
      <c r="D15977">
        <v>8293.98</v>
      </c>
    </row>
    <row r="15978" spans="1:4" x14ac:dyDescent="0.3">
      <c r="A15978" t="s">
        <v>982</v>
      </c>
      <c r="B15978" t="s">
        <v>85</v>
      </c>
      <c r="C15978" s="1">
        <f>HYPERLINK("https://cao.dolgi.msk.ru/account/1011066819/", 1011066819)</f>
        <v>1011066819</v>
      </c>
      <c r="D15978">
        <v>9247.2800000000007</v>
      </c>
    </row>
    <row r="15979" spans="1:4" hidden="1" x14ac:dyDescent="0.3">
      <c r="A15979" t="s">
        <v>982</v>
      </c>
      <c r="B15979" t="s">
        <v>102</v>
      </c>
      <c r="C15979" s="1">
        <f>HYPERLINK("https://cao.dolgi.msk.ru/account/1011067299/", 1011067299)</f>
        <v>1011067299</v>
      </c>
      <c r="D15979">
        <v>0</v>
      </c>
    </row>
    <row r="15980" spans="1:4" hidden="1" x14ac:dyDescent="0.3">
      <c r="A15980" t="s">
        <v>982</v>
      </c>
      <c r="B15980" t="s">
        <v>103</v>
      </c>
      <c r="C15980" s="1">
        <f>HYPERLINK("https://cao.dolgi.msk.ru/account/1011067301/", 1011067301)</f>
        <v>1011067301</v>
      </c>
      <c r="D15980">
        <v>-10990.64</v>
      </c>
    </row>
    <row r="15981" spans="1:4" hidden="1" x14ac:dyDescent="0.3">
      <c r="A15981" t="s">
        <v>982</v>
      </c>
      <c r="B15981" t="s">
        <v>104</v>
      </c>
      <c r="C15981" s="1">
        <f>HYPERLINK("https://cao.dolgi.msk.ru/account/1011510908/", 1011510908)</f>
        <v>1011510908</v>
      </c>
      <c r="D15981">
        <v>-11192.72</v>
      </c>
    </row>
    <row r="15982" spans="1:4" hidden="1" x14ac:dyDescent="0.3">
      <c r="A15982" t="s">
        <v>982</v>
      </c>
      <c r="B15982" t="s">
        <v>105</v>
      </c>
      <c r="C15982" s="1">
        <f>HYPERLINK("https://cao.dolgi.msk.ru/account/1011067387/", 1011067387)</f>
        <v>1011067387</v>
      </c>
      <c r="D15982">
        <v>-7184.23</v>
      </c>
    </row>
    <row r="15983" spans="1:4" hidden="1" x14ac:dyDescent="0.3">
      <c r="A15983" t="s">
        <v>982</v>
      </c>
      <c r="B15983" t="s">
        <v>106</v>
      </c>
      <c r="C15983" s="1">
        <f>HYPERLINK("https://cao.dolgi.msk.ru/account/1011067395/", 1011067395)</f>
        <v>1011067395</v>
      </c>
      <c r="D15983">
        <v>-321.42</v>
      </c>
    </row>
    <row r="15984" spans="1:4" hidden="1" x14ac:dyDescent="0.3">
      <c r="A15984" t="s">
        <v>982</v>
      </c>
      <c r="B15984" t="s">
        <v>106</v>
      </c>
      <c r="C15984" s="1">
        <f>HYPERLINK("https://cao.dolgi.msk.ru/account/1011067408/", 1011067408)</f>
        <v>1011067408</v>
      </c>
      <c r="D15984">
        <v>-187.42</v>
      </c>
    </row>
    <row r="15985" spans="1:4" hidden="1" x14ac:dyDescent="0.3">
      <c r="A15985" t="s">
        <v>982</v>
      </c>
      <c r="B15985" t="s">
        <v>106</v>
      </c>
      <c r="C15985" s="1">
        <f>HYPERLINK("https://cao.dolgi.msk.ru/account/1011067416/", 1011067416)</f>
        <v>1011067416</v>
      </c>
      <c r="D15985">
        <v>-134</v>
      </c>
    </row>
    <row r="15986" spans="1:4" hidden="1" x14ac:dyDescent="0.3">
      <c r="A15986" t="s">
        <v>982</v>
      </c>
      <c r="B15986" t="s">
        <v>107</v>
      </c>
      <c r="C15986" s="1">
        <f>HYPERLINK("https://cao.dolgi.msk.ru/account/1011066886/", 1011066886)</f>
        <v>1011066886</v>
      </c>
      <c r="D15986">
        <v>0</v>
      </c>
    </row>
    <row r="15987" spans="1:4" x14ac:dyDescent="0.3">
      <c r="A15987" t="s">
        <v>982</v>
      </c>
      <c r="B15987" t="s">
        <v>108</v>
      </c>
      <c r="C15987" s="1">
        <f>HYPERLINK("https://cao.dolgi.msk.ru/account/1011066894/", 1011066894)</f>
        <v>1011066894</v>
      </c>
      <c r="D15987">
        <v>19087.490000000002</v>
      </c>
    </row>
    <row r="15988" spans="1:4" hidden="1" x14ac:dyDescent="0.3">
      <c r="A15988" t="s">
        <v>982</v>
      </c>
      <c r="B15988" t="s">
        <v>109</v>
      </c>
      <c r="C15988" s="1">
        <f>HYPERLINK("https://cao.dolgi.msk.ru/account/1011067424/", 1011067424)</f>
        <v>1011067424</v>
      </c>
      <c r="D15988">
        <v>0</v>
      </c>
    </row>
    <row r="15989" spans="1:4" x14ac:dyDescent="0.3">
      <c r="A15989" t="s">
        <v>982</v>
      </c>
      <c r="B15989" t="s">
        <v>110</v>
      </c>
      <c r="C15989" s="1">
        <f>HYPERLINK("https://cao.dolgi.msk.ru/account/1011067432/", 1011067432)</f>
        <v>1011067432</v>
      </c>
      <c r="D15989">
        <v>7731.5</v>
      </c>
    </row>
    <row r="15990" spans="1:4" hidden="1" x14ac:dyDescent="0.3">
      <c r="A15990" t="s">
        <v>982</v>
      </c>
      <c r="B15990" t="s">
        <v>111</v>
      </c>
      <c r="C15990" s="1">
        <f>HYPERLINK("https://cao.dolgi.msk.ru/account/1011066907/", 1011066907)</f>
        <v>1011066907</v>
      </c>
      <c r="D15990">
        <v>0</v>
      </c>
    </row>
    <row r="15991" spans="1:4" hidden="1" x14ac:dyDescent="0.3">
      <c r="A15991" t="s">
        <v>982</v>
      </c>
      <c r="B15991" t="s">
        <v>112</v>
      </c>
      <c r="C15991" s="1">
        <f>HYPERLINK("https://cao.dolgi.msk.ru/account/1011066915/", 1011066915)</f>
        <v>1011066915</v>
      </c>
      <c r="D15991">
        <v>0</v>
      </c>
    </row>
    <row r="15992" spans="1:4" hidden="1" x14ac:dyDescent="0.3">
      <c r="A15992" t="s">
        <v>982</v>
      </c>
      <c r="B15992" t="s">
        <v>113</v>
      </c>
      <c r="C15992" s="1">
        <f>HYPERLINK("https://cao.dolgi.msk.ru/account/1011066923/", 1011066923)</f>
        <v>1011066923</v>
      </c>
      <c r="D15992">
        <v>0</v>
      </c>
    </row>
    <row r="15993" spans="1:4" hidden="1" x14ac:dyDescent="0.3">
      <c r="A15993" t="s">
        <v>982</v>
      </c>
      <c r="B15993" t="s">
        <v>114</v>
      </c>
      <c r="C15993" s="1">
        <f>HYPERLINK("https://cao.dolgi.msk.ru/account/1011066931/", 1011066931)</f>
        <v>1011066931</v>
      </c>
      <c r="D15993">
        <v>0</v>
      </c>
    </row>
    <row r="15994" spans="1:4" hidden="1" x14ac:dyDescent="0.3">
      <c r="A15994" t="s">
        <v>982</v>
      </c>
      <c r="B15994" t="s">
        <v>115</v>
      </c>
      <c r="C15994" s="1">
        <f>HYPERLINK("https://cao.dolgi.msk.ru/account/1011539831/", 1011539831)</f>
        <v>1011539831</v>
      </c>
      <c r="D15994">
        <v>0</v>
      </c>
    </row>
    <row r="15995" spans="1:4" hidden="1" x14ac:dyDescent="0.3">
      <c r="A15995" t="s">
        <v>982</v>
      </c>
      <c r="B15995" t="s">
        <v>116</v>
      </c>
      <c r="C15995" s="1">
        <f>HYPERLINK("https://cao.dolgi.msk.ru/account/1011066966/", 1011066966)</f>
        <v>1011066966</v>
      </c>
      <c r="D15995">
        <v>-3733.4</v>
      </c>
    </row>
    <row r="15996" spans="1:4" x14ac:dyDescent="0.3">
      <c r="A15996" t="s">
        <v>982</v>
      </c>
      <c r="B15996" t="s">
        <v>116</v>
      </c>
      <c r="C15996" s="1">
        <f>HYPERLINK("https://cao.dolgi.msk.ru/account/1011066974/", 1011066974)</f>
        <v>1011066974</v>
      </c>
      <c r="D15996">
        <v>3671.8</v>
      </c>
    </row>
    <row r="15997" spans="1:4" x14ac:dyDescent="0.3">
      <c r="A15997" t="s">
        <v>982</v>
      </c>
      <c r="B15997" t="s">
        <v>116</v>
      </c>
      <c r="C15997" s="1">
        <f>HYPERLINK("https://cao.dolgi.msk.ru/account/1011066982/", 1011066982)</f>
        <v>1011066982</v>
      </c>
      <c r="D15997">
        <v>4267.58</v>
      </c>
    </row>
    <row r="15998" spans="1:4" hidden="1" x14ac:dyDescent="0.3">
      <c r="A15998" t="s">
        <v>982</v>
      </c>
      <c r="B15998" t="s">
        <v>266</v>
      </c>
      <c r="C15998" s="1">
        <f>HYPERLINK("https://cao.dolgi.msk.ru/account/1011067002/", 1011067002)</f>
        <v>1011067002</v>
      </c>
      <c r="D15998">
        <v>0</v>
      </c>
    </row>
    <row r="15999" spans="1:4" hidden="1" x14ac:dyDescent="0.3">
      <c r="A15999" t="s">
        <v>982</v>
      </c>
      <c r="B15999" t="s">
        <v>117</v>
      </c>
      <c r="C15999" s="1">
        <f>HYPERLINK("https://cao.dolgi.msk.ru/account/1011067029/", 1011067029)</f>
        <v>1011067029</v>
      </c>
      <c r="D15999">
        <v>0</v>
      </c>
    </row>
    <row r="16000" spans="1:4" x14ac:dyDescent="0.3">
      <c r="A16000" t="s">
        <v>982</v>
      </c>
      <c r="B16000" t="s">
        <v>118</v>
      </c>
      <c r="C16000" s="1">
        <f>HYPERLINK("https://cao.dolgi.msk.ru/account/1011067037/", 1011067037)</f>
        <v>1011067037</v>
      </c>
      <c r="D16000">
        <v>57357.9</v>
      </c>
    </row>
    <row r="16001" spans="1:4" hidden="1" x14ac:dyDescent="0.3">
      <c r="A16001" t="s">
        <v>982</v>
      </c>
      <c r="B16001" t="s">
        <v>119</v>
      </c>
      <c r="C16001" s="1">
        <f>HYPERLINK("https://cao.dolgi.msk.ru/account/1011067045/", 1011067045)</f>
        <v>1011067045</v>
      </c>
      <c r="D16001">
        <v>0</v>
      </c>
    </row>
    <row r="16002" spans="1:4" x14ac:dyDescent="0.3">
      <c r="A16002" t="s">
        <v>982</v>
      </c>
      <c r="B16002" t="s">
        <v>120</v>
      </c>
      <c r="C16002" s="1">
        <f>HYPERLINK("https://cao.dolgi.msk.ru/account/1011067053/", 1011067053)</f>
        <v>1011067053</v>
      </c>
      <c r="D16002">
        <v>7635.72</v>
      </c>
    </row>
    <row r="16003" spans="1:4" hidden="1" x14ac:dyDescent="0.3">
      <c r="A16003" t="s">
        <v>982</v>
      </c>
      <c r="B16003" t="s">
        <v>121</v>
      </c>
      <c r="C16003" s="1">
        <f>HYPERLINK("https://cao.dolgi.msk.ru/account/1011067061/", 1011067061)</f>
        <v>1011067061</v>
      </c>
      <c r="D16003">
        <v>0</v>
      </c>
    </row>
    <row r="16004" spans="1:4" hidden="1" x14ac:dyDescent="0.3">
      <c r="A16004" t="s">
        <v>982</v>
      </c>
      <c r="B16004" t="s">
        <v>122</v>
      </c>
      <c r="C16004" s="1">
        <f>HYPERLINK("https://cao.dolgi.msk.ru/account/1011067088/", 1011067088)</f>
        <v>1011067088</v>
      </c>
      <c r="D16004">
        <v>0</v>
      </c>
    </row>
    <row r="16005" spans="1:4" hidden="1" x14ac:dyDescent="0.3">
      <c r="A16005" t="s">
        <v>982</v>
      </c>
      <c r="B16005" t="s">
        <v>123</v>
      </c>
      <c r="C16005" s="1">
        <f>HYPERLINK("https://cao.dolgi.msk.ru/account/1011067096/", 1011067096)</f>
        <v>1011067096</v>
      </c>
      <c r="D16005">
        <v>0</v>
      </c>
    </row>
    <row r="16006" spans="1:4" hidden="1" x14ac:dyDescent="0.3">
      <c r="A16006" t="s">
        <v>982</v>
      </c>
      <c r="B16006" t="s">
        <v>124</v>
      </c>
      <c r="C16006" s="1">
        <f>HYPERLINK("https://cao.dolgi.msk.ru/account/1011067109/", 1011067109)</f>
        <v>1011067109</v>
      </c>
      <c r="D16006">
        <v>0</v>
      </c>
    </row>
    <row r="16007" spans="1:4" hidden="1" x14ac:dyDescent="0.3">
      <c r="A16007" t="s">
        <v>982</v>
      </c>
      <c r="B16007" t="s">
        <v>125</v>
      </c>
      <c r="C16007" s="1">
        <f>HYPERLINK("https://cao.dolgi.msk.ru/account/1011067117/", 1011067117)</f>
        <v>1011067117</v>
      </c>
      <c r="D16007">
        <v>0</v>
      </c>
    </row>
    <row r="16008" spans="1:4" hidden="1" x14ac:dyDescent="0.3">
      <c r="A16008" t="s">
        <v>982</v>
      </c>
      <c r="B16008" t="s">
        <v>126</v>
      </c>
      <c r="C16008" s="1">
        <f>HYPERLINK("https://cao.dolgi.msk.ru/account/1011067459/", 1011067459)</f>
        <v>1011067459</v>
      </c>
      <c r="D16008">
        <v>-1643.84</v>
      </c>
    </row>
    <row r="16009" spans="1:4" hidden="1" x14ac:dyDescent="0.3">
      <c r="A16009" t="s">
        <v>982</v>
      </c>
      <c r="B16009" t="s">
        <v>127</v>
      </c>
      <c r="C16009" s="1">
        <f>HYPERLINK("https://cao.dolgi.msk.ru/account/1011067125/", 1011067125)</f>
        <v>1011067125</v>
      </c>
      <c r="D16009">
        <v>-558.45000000000005</v>
      </c>
    </row>
    <row r="16010" spans="1:4" hidden="1" x14ac:dyDescent="0.3">
      <c r="A16010" t="s">
        <v>982</v>
      </c>
      <c r="B16010" t="s">
        <v>262</v>
      </c>
      <c r="C16010" s="1">
        <f>HYPERLINK("https://cao.dolgi.msk.ru/account/1011067133/", 1011067133)</f>
        <v>1011067133</v>
      </c>
      <c r="D16010">
        <v>-7078.7</v>
      </c>
    </row>
    <row r="16011" spans="1:4" hidden="1" x14ac:dyDescent="0.3">
      <c r="A16011" t="s">
        <v>982</v>
      </c>
      <c r="B16011" t="s">
        <v>128</v>
      </c>
      <c r="C16011" s="1">
        <f>HYPERLINK("https://cao.dolgi.msk.ru/account/1011067141/", 1011067141)</f>
        <v>1011067141</v>
      </c>
      <c r="D16011">
        <v>0</v>
      </c>
    </row>
    <row r="16012" spans="1:4" hidden="1" x14ac:dyDescent="0.3">
      <c r="A16012" t="s">
        <v>982</v>
      </c>
      <c r="B16012" t="s">
        <v>129</v>
      </c>
      <c r="C16012" s="1">
        <f>HYPERLINK("https://cao.dolgi.msk.ru/account/1011067168/", 1011067168)</f>
        <v>1011067168</v>
      </c>
      <c r="D16012">
        <v>-11075.17</v>
      </c>
    </row>
    <row r="16013" spans="1:4" hidden="1" x14ac:dyDescent="0.3">
      <c r="A16013" t="s">
        <v>982</v>
      </c>
      <c r="B16013" t="s">
        <v>130</v>
      </c>
      <c r="C16013" s="1">
        <f>HYPERLINK("https://cao.dolgi.msk.ru/account/1011067176/", 1011067176)</f>
        <v>1011067176</v>
      </c>
      <c r="D16013">
        <v>-155.35</v>
      </c>
    </row>
    <row r="16014" spans="1:4" x14ac:dyDescent="0.3">
      <c r="A16014" t="s">
        <v>982</v>
      </c>
      <c r="B16014" t="s">
        <v>131</v>
      </c>
      <c r="C16014" s="1">
        <f>HYPERLINK("https://cao.dolgi.msk.ru/account/1011067184/", 1011067184)</f>
        <v>1011067184</v>
      </c>
      <c r="D16014">
        <v>55766.48</v>
      </c>
    </row>
    <row r="16015" spans="1:4" hidden="1" x14ac:dyDescent="0.3">
      <c r="A16015" t="s">
        <v>982</v>
      </c>
      <c r="B16015" t="s">
        <v>132</v>
      </c>
      <c r="C16015" s="1">
        <f>HYPERLINK("https://cao.dolgi.msk.ru/account/1011067192/", 1011067192)</f>
        <v>1011067192</v>
      </c>
      <c r="D16015">
        <v>0</v>
      </c>
    </row>
    <row r="16016" spans="1:4" x14ac:dyDescent="0.3">
      <c r="A16016" t="s">
        <v>982</v>
      </c>
      <c r="B16016" t="s">
        <v>133</v>
      </c>
      <c r="C16016" s="1">
        <f>HYPERLINK("https://cao.dolgi.msk.ru/account/1011067205/", 1011067205)</f>
        <v>1011067205</v>
      </c>
      <c r="D16016">
        <v>5552.77</v>
      </c>
    </row>
    <row r="16017" spans="1:4" x14ac:dyDescent="0.3">
      <c r="A16017" t="s">
        <v>982</v>
      </c>
      <c r="B16017" t="s">
        <v>134</v>
      </c>
      <c r="C16017" s="1">
        <f>HYPERLINK("https://cao.dolgi.msk.ru/account/1011067213/", 1011067213)</f>
        <v>1011067213</v>
      </c>
      <c r="D16017">
        <v>11079.82</v>
      </c>
    </row>
    <row r="16018" spans="1:4" hidden="1" x14ac:dyDescent="0.3">
      <c r="A16018" t="s">
        <v>982</v>
      </c>
      <c r="B16018" t="s">
        <v>135</v>
      </c>
      <c r="C16018" s="1">
        <f>HYPERLINK("https://cao.dolgi.msk.ru/account/1011067221/", 1011067221)</f>
        <v>1011067221</v>
      </c>
      <c r="D16018">
        <v>0</v>
      </c>
    </row>
    <row r="16019" spans="1:4" x14ac:dyDescent="0.3">
      <c r="A16019" t="s">
        <v>982</v>
      </c>
      <c r="B16019" t="s">
        <v>135</v>
      </c>
      <c r="C16019" s="1">
        <f>HYPERLINK("https://cao.dolgi.msk.ru/account/1011067248/", 1011067248)</f>
        <v>1011067248</v>
      </c>
      <c r="D16019">
        <v>149859.96</v>
      </c>
    </row>
    <row r="16020" spans="1:4" hidden="1" x14ac:dyDescent="0.3">
      <c r="A16020" t="s">
        <v>982</v>
      </c>
      <c r="B16020" t="s">
        <v>264</v>
      </c>
      <c r="C16020" s="1">
        <f>HYPERLINK("https://cao.dolgi.msk.ru/account/1011067256/", 1011067256)</f>
        <v>1011067256</v>
      </c>
      <c r="D16020">
        <v>0</v>
      </c>
    </row>
    <row r="16021" spans="1:4" hidden="1" x14ac:dyDescent="0.3">
      <c r="A16021" t="s">
        <v>982</v>
      </c>
      <c r="B16021" t="s">
        <v>136</v>
      </c>
      <c r="C16021" s="1">
        <f>HYPERLINK("https://cao.dolgi.msk.ru/account/1011067264/", 1011067264)</f>
        <v>1011067264</v>
      </c>
      <c r="D16021">
        <v>-11647.91</v>
      </c>
    </row>
    <row r="16022" spans="1:4" hidden="1" x14ac:dyDescent="0.3">
      <c r="A16022" t="s">
        <v>982</v>
      </c>
      <c r="B16022" t="s">
        <v>137</v>
      </c>
      <c r="C16022" s="1">
        <f>HYPERLINK("https://cao.dolgi.msk.ru/account/1011067467/", 1011067467)</f>
        <v>1011067467</v>
      </c>
      <c r="D16022">
        <v>0</v>
      </c>
    </row>
    <row r="16023" spans="1:4" hidden="1" x14ac:dyDescent="0.3">
      <c r="A16023" t="s">
        <v>983</v>
      </c>
      <c r="B16023" t="s">
        <v>6</v>
      </c>
      <c r="C16023" s="1">
        <f>HYPERLINK("https://cao.dolgi.msk.ru/account/1011134746/", 1011134746)</f>
        <v>1011134746</v>
      </c>
      <c r="D16023">
        <v>0</v>
      </c>
    </row>
    <row r="16024" spans="1:4" x14ac:dyDescent="0.3">
      <c r="A16024" t="s">
        <v>983</v>
      </c>
      <c r="B16024" t="s">
        <v>28</v>
      </c>
      <c r="C16024" s="1">
        <f>HYPERLINK("https://cao.dolgi.msk.ru/account/1011134551/", 1011134551)</f>
        <v>1011134551</v>
      </c>
      <c r="D16024">
        <v>133814.14000000001</v>
      </c>
    </row>
    <row r="16025" spans="1:4" hidden="1" x14ac:dyDescent="0.3">
      <c r="A16025" t="s">
        <v>983</v>
      </c>
      <c r="B16025" t="s">
        <v>28</v>
      </c>
      <c r="C16025" s="1">
        <f>HYPERLINK("https://cao.dolgi.msk.ru/account/1011134738/", 1011134738)</f>
        <v>1011134738</v>
      </c>
      <c r="D16025">
        <v>-240</v>
      </c>
    </row>
    <row r="16026" spans="1:4" x14ac:dyDescent="0.3">
      <c r="A16026" t="s">
        <v>983</v>
      </c>
      <c r="B16026" t="s">
        <v>28</v>
      </c>
      <c r="C16026" s="1">
        <f>HYPERLINK("https://cao.dolgi.msk.ru/account/1011134914/", 1011134914)</f>
        <v>1011134914</v>
      </c>
      <c r="D16026">
        <v>4177.8</v>
      </c>
    </row>
    <row r="16027" spans="1:4" hidden="1" x14ac:dyDescent="0.3">
      <c r="A16027" t="s">
        <v>983</v>
      </c>
      <c r="B16027" t="s">
        <v>28</v>
      </c>
      <c r="C16027" s="1">
        <f>HYPERLINK("https://cao.dolgi.msk.ru/account/1011135095/", 1011135095)</f>
        <v>1011135095</v>
      </c>
      <c r="D16027">
        <v>-3577.33</v>
      </c>
    </row>
    <row r="16028" spans="1:4" hidden="1" x14ac:dyDescent="0.3">
      <c r="A16028" t="s">
        <v>983</v>
      </c>
      <c r="B16028" t="s">
        <v>35</v>
      </c>
      <c r="C16028" s="1">
        <f>HYPERLINK("https://cao.dolgi.msk.ru/account/1011134973/", 1011134973)</f>
        <v>1011134973</v>
      </c>
      <c r="D16028">
        <v>0</v>
      </c>
    </row>
    <row r="16029" spans="1:4" hidden="1" x14ac:dyDescent="0.3">
      <c r="A16029" t="s">
        <v>983</v>
      </c>
      <c r="B16029" t="s">
        <v>5</v>
      </c>
      <c r="C16029" s="1">
        <f>HYPERLINK("https://cao.dolgi.msk.ru/account/1011134981/", 1011134981)</f>
        <v>1011134981</v>
      </c>
      <c r="D16029">
        <v>0</v>
      </c>
    </row>
    <row r="16030" spans="1:4" hidden="1" x14ac:dyDescent="0.3">
      <c r="A16030" t="s">
        <v>983</v>
      </c>
      <c r="B16030" t="s">
        <v>7</v>
      </c>
      <c r="C16030" s="1">
        <f>HYPERLINK("https://cao.dolgi.msk.ru/account/1011134877/", 1011134877)</f>
        <v>1011134877</v>
      </c>
      <c r="D16030">
        <v>-7361.94</v>
      </c>
    </row>
    <row r="16031" spans="1:4" hidden="1" x14ac:dyDescent="0.3">
      <c r="A16031" t="s">
        <v>983</v>
      </c>
      <c r="B16031" t="s">
        <v>8</v>
      </c>
      <c r="C16031" s="1">
        <f>HYPERLINK("https://cao.dolgi.msk.ru/account/1011134631/", 1011134631)</f>
        <v>1011134631</v>
      </c>
      <c r="D16031">
        <v>0</v>
      </c>
    </row>
    <row r="16032" spans="1:4" hidden="1" x14ac:dyDescent="0.3">
      <c r="A16032" t="s">
        <v>983</v>
      </c>
      <c r="B16032" t="s">
        <v>8</v>
      </c>
      <c r="C16032" s="1">
        <f>HYPERLINK("https://cao.dolgi.msk.ru/account/1011134826/", 1011134826)</f>
        <v>1011134826</v>
      </c>
      <c r="D16032">
        <v>0</v>
      </c>
    </row>
    <row r="16033" spans="1:4" hidden="1" x14ac:dyDescent="0.3">
      <c r="A16033" t="s">
        <v>983</v>
      </c>
      <c r="B16033" t="s">
        <v>8</v>
      </c>
      <c r="C16033" s="1">
        <f>HYPERLINK("https://cao.dolgi.msk.ru/account/1011134949/", 1011134949)</f>
        <v>1011134949</v>
      </c>
      <c r="D16033">
        <v>0</v>
      </c>
    </row>
    <row r="16034" spans="1:4" hidden="1" x14ac:dyDescent="0.3">
      <c r="A16034" t="s">
        <v>983</v>
      </c>
      <c r="B16034" t="s">
        <v>31</v>
      </c>
      <c r="C16034" s="1">
        <f>HYPERLINK("https://cao.dolgi.msk.ru/account/1011134754/", 1011134754)</f>
        <v>1011134754</v>
      </c>
      <c r="D16034">
        <v>-10282.24</v>
      </c>
    </row>
    <row r="16035" spans="1:4" hidden="1" x14ac:dyDescent="0.3">
      <c r="A16035" t="s">
        <v>983</v>
      </c>
      <c r="B16035" t="s">
        <v>9</v>
      </c>
      <c r="C16035" s="1">
        <f>HYPERLINK("https://cao.dolgi.msk.ru/account/1011134965/", 1011134965)</f>
        <v>1011134965</v>
      </c>
      <c r="D16035">
        <v>0</v>
      </c>
    </row>
    <row r="16036" spans="1:4" hidden="1" x14ac:dyDescent="0.3">
      <c r="A16036" t="s">
        <v>983</v>
      </c>
      <c r="B16036" t="s">
        <v>10</v>
      </c>
      <c r="C16036" s="1">
        <f>HYPERLINK("https://cao.dolgi.msk.ru/account/1011134447/", 1011134447)</f>
        <v>1011134447</v>
      </c>
      <c r="D16036">
        <v>0</v>
      </c>
    </row>
    <row r="16037" spans="1:4" hidden="1" x14ac:dyDescent="0.3">
      <c r="A16037" t="s">
        <v>983</v>
      </c>
      <c r="B16037" t="s">
        <v>11</v>
      </c>
      <c r="C16037" s="1">
        <f>HYPERLINK("https://cao.dolgi.msk.ru/account/1011134404/", 1011134404)</f>
        <v>1011134404</v>
      </c>
      <c r="D16037">
        <v>0</v>
      </c>
    </row>
    <row r="16038" spans="1:4" hidden="1" x14ac:dyDescent="0.3">
      <c r="A16038" t="s">
        <v>983</v>
      </c>
      <c r="B16038" t="s">
        <v>12</v>
      </c>
      <c r="C16038" s="1">
        <f>HYPERLINK("https://cao.dolgi.msk.ru/account/1011134893/", 1011134893)</f>
        <v>1011134893</v>
      </c>
      <c r="D16038">
        <v>-9664.3700000000008</v>
      </c>
    </row>
    <row r="16039" spans="1:4" hidden="1" x14ac:dyDescent="0.3">
      <c r="A16039" t="s">
        <v>983</v>
      </c>
      <c r="B16039" t="s">
        <v>23</v>
      </c>
      <c r="C16039" s="1">
        <f>HYPERLINK("https://cao.dolgi.msk.ru/account/1011134471/", 1011134471)</f>
        <v>1011134471</v>
      </c>
      <c r="D16039">
        <v>-6321.34</v>
      </c>
    </row>
    <row r="16040" spans="1:4" hidden="1" x14ac:dyDescent="0.3">
      <c r="A16040" t="s">
        <v>983</v>
      </c>
      <c r="B16040" t="s">
        <v>13</v>
      </c>
      <c r="C16040" s="1">
        <f>HYPERLINK("https://cao.dolgi.msk.ru/account/1011134367/", 1011134367)</f>
        <v>1011134367</v>
      </c>
      <c r="D16040">
        <v>0</v>
      </c>
    </row>
    <row r="16041" spans="1:4" hidden="1" x14ac:dyDescent="0.3">
      <c r="A16041" t="s">
        <v>983</v>
      </c>
      <c r="B16041" t="s">
        <v>13</v>
      </c>
      <c r="C16041" s="1">
        <f>HYPERLINK("https://cao.dolgi.msk.ru/account/1011134711/", 1011134711)</f>
        <v>1011134711</v>
      </c>
      <c r="D16041">
        <v>0</v>
      </c>
    </row>
    <row r="16042" spans="1:4" hidden="1" x14ac:dyDescent="0.3">
      <c r="A16042" t="s">
        <v>983</v>
      </c>
      <c r="B16042" t="s">
        <v>14</v>
      </c>
      <c r="C16042" s="1">
        <f>HYPERLINK("https://cao.dolgi.msk.ru/account/1011134818/", 1011134818)</f>
        <v>1011134818</v>
      </c>
      <c r="D16042">
        <v>0</v>
      </c>
    </row>
    <row r="16043" spans="1:4" hidden="1" x14ac:dyDescent="0.3">
      <c r="A16043" t="s">
        <v>983</v>
      </c>
      <c r="B16043" t="s">
        <v>16</v>
      </c>
      <c r="C16043" s="1">
        <f>HYPERLINK("https://cao.dolgi.msk.ru/account/1011134391/", 1011134391)</f>
        <v>1011134391</v>
      </c>
      <c r="D16043">
        <v>0</v>
      </c>
    </row>
    <row r="16044" spans="1:4" hidden="1" x14ac:dyDescent="0.3">
      <c r="A16044" t="s">
        <v>983</v>
      </c>
      <c r="B16044" t="s">
        <v>16</v>
      </c>
      <c r="C16044" s="1">
        <f>HYPERLINK("https://cao.dolgi.msk.ru/account/1011135108/", 1011135108)</f>
        <v>1011135108</v>
      </c>
      <c r="D16044">
        <v>0</v>
      </c>
    </row>
    <row r="16045" spans="1:4" x14ac:dyDescent="0.3">
      <c r="A16045" t="s">
        <v>983</v>
      </c>
      <c r="B16045" t="s">
        <v>17</v>
      </c>
      <c r="C16045" s="1">
        <f>HYPERLINK("https://cao.dolgi.msk.ru/account/1011134607/", 1011134607)</f>
        <v>1011134607</v>
      </c>
      <c r="D16045">
        <v>23822.87</v>
      </c>
    </row>
    <row r="16046" spans="1:4" hidden="1" x14ac:dyDescent="0.3">
      <c r="A16046" t="s">
        <v>983</v>
      </c>
      <c r="B16046" t="s">
        <v>17</v>
      </c>
      <c r="C16046" s="1">
        <f>HYPERLINK("https://cao.dolgi.msk.ru/account/1011134682/", 1011134682)</f>
        <v>1011134682</v>
      </c>
      <c r="D16046">
        <v>-1274.03</v>
      </c>
    </row>
    <row r="16047" spans="1:4" hidden="1" x14ac:dyDescent="0.3">
      <c r="A16047" t="s">
        <v>983</v>
      </c>
      <c r="B16047" t="s">
        <v>17</v>
      </c>
      <c r="C16047" s="1">
        <f>HYPERLINK("https://cao.dolgi.msk.ru/account/1011135001/", 1011135001)</f>
        <v>1011135001</v>
      </c>
      <c r="D16047">
        <v>-68.290000000000006</v>
      </c>
    </row>
    <row r="16048" spans="1:4" hidden="1" x14ac:dyDescent="0.3">
      <c r="A16048" t="s">
        <v>983</v>
      </c>
      <c r="B16048" t="s">
        <v>18</v>
      </c>
      <c r="C16048" s="1">
        <f>HYPERLINK("https://cao.dolgi.msk.ru/account/1011134543/", 1011134543)</f>
        <v>1011134543</v>
      </c>
      <c r="D16048">
        <v>0</v>
      </c>
    </row>
    <row r="16049" spans="1:4" x14ac:dyDescent="0.3">
      <c r="A16049" t="s">
        <v>983</v>
      </c>
      <c r="B16049" t="s">
        <v>19</v>
      </c>
      <c r="C16049" s="1">
        <f>HYPERLINK("https://cao.dolgi.msk.ru/account/1011134412/", 1011134412)</f>
        <v>1011134412</v>
      </c>
      <c r="D16049">
        <v>33115.9</v>
      </c>
    </row>
    <row r="16050" spans="1:4" x14ac:dyDescent="0.3">
      <c r="A16050" t="s">
        <v>983</v>
      </c>
      <c r="B16050" t="s">
        <v>19</v>
      </c>
      <c r="C16050" s="1">
        <f>HYPERLINK("https://cao.dolgi.msk.ru/account/1011134674/", 1011134674)</f>
        <v>1011134674</v>
      </c>
      <c r="D16050">
        <v>120356.74</v>
      </c>
    </row>
    <row r="16051" spans="1:4" hidden="1" x14ac:dyDescent="0.3">
      <c r="A16051" t="s">
        <v>983</v>
      </c>
      <c r="B16051" t="s">
        <v>20</v>
      </c>
      <c r="C16051" s="1">
        <f>HYPERLINK("https://cao.dolgi.msk.ru/account/1011134666/", 1011134666)</f>
        <v>1011134666</v>
      </c>
      <c r="D16051">
        <v>-12337.57</v>
      </c>
    </row>
    <row r="16052" spans="1:4" hidden="1" x14ac:dyDescent="0.3">
      <c r="A16052" t="s">
        <v>983</v>
      </c>
      <c r="B16052" t="s">
        <v>21</v>
      </c>
      <c r="C16052" s="1">
        <f>HYPERLINK("https://cao.dolgi.msk.ru/account/1011134869/", 1011134869)</f>
        <v>1011134869</v>
      </c>
      <c r="D16052">
        <v>0</v>
      </c>
    </row>
    <row r="16053" spans="1:4" hidden="1" x14ac:dyDescent="0.3">
      <c r="A16053" t="s">
        <v>983</v>
      </c>
      <c r="B16053" t="s">
        <v>22</v>
      </c>
      <c r="C16053" s="1">
        <f>HYPERLINK("https://cao.dolgi.msk.ru/account/1011134535/", 1011134535)</f>
        <v>1011134535</v>
      </c>
      <c r="D16053">
        <v>0</v>
      </c>
    </row>
    <row r="16054" spans="1:4" hidden="1" x14ac:dyDescent="0.3">
      <c r="A16054" t="s">
        <v>983</v>
      </c>
      <c r="B16054" t="s">
        <v>24</v>
      </c>
      <c r="C16054" s="1">
        <f>HYPERLINK("https://cao.dolgi.msk.ru/account/1011134375/", 1011134375)</f>
        <v>1011134375</v>
      </c>
      <c r="D16054">
        <v>-10466.15</v>
      </c>
    </row>
    <row r="16055" spans="1:4" hidden="1" x14ac:dyDescent="0.3">
      <c r="A16055" t="s">
        <v>983</v>
      </c>
      <c r="B16055" t="s">
        <v>25</v>
      </c>
      <c r="C16055" s="1">
        <f>HYPERLINK("https://cao.dolgi.msk.ru/account/1011135087/", 1011135087)</f>
        <v>1011135087</v>
      </c>
      <c r="D16055">
        <v>-11127.49</v>
      </c>
    </row>
    <row r="16056" spans="1:4" hidden="1" x14ac:dyDescent="0.3">
      <c r="A16056" t="s">
        <v>983</v>
      </c>
      <c r="B16056" t="s">
        <v>26</v>
      </c>
      <c r="C16056" s="1">
        <f>HYPERLINK("https://cao.dolgi.msk.ru/account/1011135044/", 1011135044)</f>
        <v>1011135044</v>
      </c>
      <c r="D16056">
        <v>0</v>
      </c>
    </row>
    <row r="16057" spans="1:4" hidden="1" x14ac:dyDescent="0.3">
      <c r="A16057" t="s">
        <v>983</v>
      </c>
      <c r="B16057" t="s">
        <v>27</v>
      </c>
      <c r="C16057" s="1">
        <f>HYPERLINK("https://cao.dolgi.msk.ru/account/1011510924/", 1011510924)</f>
        <v>1011510924</v>
      </c>
      <c r="D16057">
        <v>0</v>
      </c>
    </row>
    <row r="16058" spans="1:4" hidden="1" x14ac:dyDescent="0.3">
      <c r="A16058" t="s">
        <v>983</v>
      </c>
      <c r="B16058" t="s">
        <v>29</v>
      </c>
      <c r="C16058" s="1">
        <f>HYPERLINK("https://cao.dolgi.msk.ru/account/1011134762/", 1011134762)</f>
        <v>1011134762</v>
      </c>
      <c r="D16058">
        <v>0</v>
      </c>
    </row>
    <row r="16059" spans="1:4" hidden="1" x14ac:dyDescent="0.3">
      <c r="A16059" t="s">
        <v>983</v>
      </c>
      <c r="B16059" t="s">
        <v>38</v>
      </c>
      <c r="C16059" s="1">
        <f>HYPERLINK("https://cao.dolgi.msk.ru/account/1011134615/", 1011134615)</f>
        <v>1011134615</v>
      </c>
      <c r="D16059">
        <v>-4962.5600000000004</v>
      </c>
    </row>
    <row r="16060" spans="1:4" hidden="1" x14ac:dyDescent="0.3">
      <c r="A16060" t="s">
        <v>983</v>
      </c>
      <c r="B16060" t="s">
        <v>38</v>
      </c>
      <c r="C16060" s="1">
        <f>HYPERLINK("https://cao.dolgi.msk.ru/account/1011134885/", 1011134885)</f>
        <v>1011134885</v>
      </c>
      <c r="D16060">
        <v>-3038.47</v>
      </c>
    </row>
    <row r="16061" spans="1:4" hidden="1" x14ac:dyDescent="0.3">
      <c r="A16061" t="s">
        <v>983</v>
      </c>
      <c r="B16061" t="s">
        <v>39</v>
      </c>
      <c r="C16061" s="1">
        <f>HYPERLINK("https://cao.dolgi.msk.ru/account/1011134789/", 1011134789)</f>
        <v>1011134789</v>
      </c>
      <c r="D16061">
        <v>0</v>
      </c>
    </row>
    <row r="16062" spans="1:4" hidden="1" x14ac:dyDescent="0.3">
      <c r="A16062" t="s">
        <v>983</v>
      </c>
      <c r="B16062" t="s">
        <v>40</v>
      </c>
      <c r="C16062" s="1">
        <f>HYPERLINK("https://cao.dolgi.msk.ru/account/1011135052/", 1011135052)</f>
        <v>1011135052</v>
      </c>
      <c r="D16062">
        <v>-5934.71</v>
      </c>
    </row>
    <row r="16063" spans="1:4" x14ac:dyDescent="0.3">
      <c r="A16063" t="s">
        <v>983</v>
      </c>
      <c r="B16063" t="s">
        <v>41</v>
      </c>
      <c r="C16063" s="1">
        <f>HYPERLINK("https://cao.dolgi.msk.ru/account/1011135116/", 1011135116)</f>
        <v>1011135116</v>
      </c>
      <c r="D16063">
        <v>84.88</v>
      </c>
    </row>
    <row r="16064" spans="1:4" hidden="1" x14ac:dyDescent="0.3">
      <c r="A16064" t="s">
        <v>983</v>
      </c>
      <c r="B16064" t="s">
        <v>51</v>
      </c>
      <c r="C16064" s="1">
        <f>HYPERLINK("https://cao.dolgi.msk.ru/account/1011134797/", 1011134797)</f>
        <v>1011134797</v>
      </c>
      <c r="D16064">
        <v>-2025.25</v>
      </c>
    </row>
    <row r="16065" spans="1:4" hidden="1" x14ac:dyDescent="0.3">
      <c r="A16065" t="s">
        <v>983</v>
      </c>
      <c r="B16065" t="s">
        <v>52</v>
      </c>
      <c r="C16065" s="1">
        <f>HYPERLINK("https://cao.dolgi.msk.ru/account/1011134594/", 1011134594)</f>
        <v>1011134594</v>
      </c>
      <c r="D16065">
        <v>0</v>
      </c>
    </row>
    <row r="16066" spans="1:4" x14ac:dyDescent="0.3">
      <c r="A16066" t="s">
        <v>983</v>
      </c>
      <c r="B16066" t="s">
        <v>52</v>
      </c>
      <c r="C16066" s="1">
        <f>HYPERLINK("https://cao.dolgi.msk.ru/account/1011135079/", 1011135079)</f>
        <v>1011135079</v>
      </c>
      <c r="D16066">
        <v>67.45</v>
      </c>
    </row>
    <row r="16067" spans="1:4" x14ac:dyDescent="0.3">
      <c r="A16067" t="s">
        <v>983</v>
      </c>
      <c r="B16067" t="s">
        <v>53</v>
      </c>
      <c r="C16067" s="1">
        <f>HYPERLINK("https://cao.dolgi.msk.ru/account/1011134519/", 1011134519)</f>
        <v>1011134519</v>
      </c>
      <c r="D16067">
        <v>198336.71</v>
      </c>
    </row>
    <row r="16068" spans="1:4" x14ac:dyDescent="0.3">
      <c r="A16068" t="s">
        <v>983</v>
      </c>
      <c r="B16068" t="s">
        <v>53</v>
      </c>
      <c r="C16068" s="1">
        <f>HYPERLINK("https://cao.dolgi.msk.ru/account/1011134527/", 1011134527)</f>
        <v>1011134527</v>
      </c>
      <c r="D16068">
        <v>172809.59</v>
      </c>
    </row>
    <row r="16069" spans="1:4" x14ac:dyDescent="0.3">
      <c r="A16069" t="s">
        <v>983</v>
      </c>
      <c r="B16069" t="s">
        <v>54</v>
      </c>
      <c r="C16069" s="1">
        <f>HYPERLINK("https://cao.dolgi.msk.ru/account/1011134658/", 1011134658)</f>
        <v>1011134658</v>
      </c>
      <c r="D16069">
        <v>7820.75</v>
      </c>
    </row>
    <row r="16070" spans="1:4" hidden="1" x14ac:dyDescent="0.3">
      <c r="A16070" t="s">
        <v>983</v>
      </c>
      <c r="B16070" t="s">
        <v>55</v>
      </c>
      <c r="C16070" s="1">
        <f>HYPERLINK("https://cao.dolgi.msk.ru/account/1011134359/", 1011134359)</f>
        <v>1011134359</v>
      </c>
      <c r="D16070">
        <v>0</v>
      </c>
    </row>
    <row r="16071" spans="1:4" hidden="1" x14ac:dyDescent="0.3">
      <c r="A16071" t="s">
        <v>983</v>
      </c>
      <c r="B16071" t="s">
        <v>55</v>
      </c>
      <c r="C16071" s="1">
        <f>HYPERLINK("https://cao.dolgi.msk.ru/account/1011134842/", 1011134842)</f>
        <v>1011134842</v>
      </c>
      <c r="D16071">
        <v>0</v>
      </c>
    </row>
    <row r="16072" spans="1:4" hidden="1" x14ac:dyDescent="0.3">
      <c r="A16072" t="s">
        <v>983</v>
      </c>
      <c r="B16072" t="s">
        <v>55</v>
      </c>
      <c r="C16072" s="1">
        <f>HYPERLINK("https://cao.dolgi.msk.ru/account/1011134906/", 1011134906)</f>
        <v>1011134906</v>
      </c>
      <c r="D16072">
        <v>-2418.86</v>
      </c>
    </row>
    <row r="16073" spans="1:4" hidden="1" x14ac:dyDescent="0.3">
      <c r="A16073" t="s">
        <v>983</v>
      </c>
      <c r="B16073" t="s">
        <v>55</v>
      </c>
      <c r="C16073" s="1">
        <f>HYPERLINK("https://cao.dolgi.msk.ru/account/1011134922/", 1011134922)</f>
        <v>1011134922</v>
      </c>
      <c r="D16073">
        <v>-1892.93</v>
      </c>
    </row>
    <row r="16074" spans="1:4" x14ac:dyDescent="0.3">
      <c r="A16074" t="s">
        <v>983</v>
      </c>
      <c r="B16074" t="s">
        <v>56</v>
      </c>
      <c r="C16074" s="1">
        <f>HYPERLINK("https://cao.dolgi.msk.ru/account/1011134586/", 1011134586)</f>
        <v>1011134586</v>
      </c>
      <c r="D16074">
        <v>8841.8700000000008</v>
      </c>
    </row>
    <row r="16075" spans="1:4" hidden="1" x14ac:dyDescent="0.3">
      <c r="A16075" t="s">
        <v>983</v>
      </c>
      <c r="B16075" t="s">
        <v>87</v>
      </c>
      <c r="C16075" s="1">
        <f>HYPERLINK("https://cao.dolgi.msk.ru/account/1011135028/", 1011135028)</f>
        <v>1011135028</v>
      </c>
      <c r="D16075">
        <v>-1432.45</v>
      </c>
    </row>
    <row r="16076" spans="1:4" hidden="1" x14ac:dyDescent="0.3">
      <c r="A16076" t="s">
        <v>983</v>
      </c>
      <c r="B16076" t="s">
        <v>88</v>
      </c>
      <c r="C16076" s="1">
        <f>HYPERLINK("https://cao.dolgi.msk.ru/account/1011134383/", 1011134383)</f>
        <v>1011134383</v>
      </c>
      <c r="D16076">
        <v>0</v>
      </c>
    </row>
    <row r="16077" spans="1:4" x14ac:dyDescent="0.3">
      <c r="A16077" t="s">
        <v>983</v>
      </c>
      <c r="B16077" t="s">
        <v>89</v>
      </c>
      <c r="C16077" s="1">
        <f>HYPERLINK("https://cao.dolgi.msk.ru/account/1011134439/", 1011134439)</f>
        <v>1011134439</v>
      </c>
      <c r="D16077">
        <v>7135.2</v>
      </c>
    </row>
    <row r="16078" spans="1:4" x14ac:dyDescent="0.3">
      <c r="A16078" t="s">
        <v>983</v>
      </c>
      <c r="B16078" t="s">
        <v>89</v>
      </c>
      <c r="C16078" s="1">
        <f>HYPERLINK("https://cao.dolgi.msk.ru/account/1011134455/", 1011134455)</f>
        <v>1011134455</v>
      </c>
      <c r="D16078">
        <v>53178.28</v>
      </c>
    </row>
    <row r="16079" spans="1:4" hidden="1" x14ac:dyDescent="0.3">
      <c r="A16079" t="s">
        <v>983</v>
      </c>
      <c r="B16079" t="s">
        <v>89</v>
      </c>
      <c r="C16079" s="1">
        <f>HYPERLINK("https://cao.dolgi.msk.ru/account/1011134463/", 1011134463)</f>
        <v>1011134463</v>
      </c>
      <c r="D16079">
        <v>0</v>
      </c>
    </row>
    <row r="16080" spans="1:4" hidden="1" x14ac:dyDescent="0.3">
      <c r="A16080" t="s">
        <v>983</v>
      </c>
      <c r="B16080" t="s">
        <v>90</v>
      </c>
      <c r="C16080" s="1">
        <f>HYPERLINK("https://cao.dolgi.msk.ru/account/1011134578/", 1011134578)</f>
        <v>1011134578</v>
      </c>
      <c r="D16080">
        <v>0</v>
      </c>
    </row>
    <row r="16081" spans="1:4" hidden="1" x14ac:dyDescent="0.3">
      <c r="A16081" t="s">
        <v>984</v>
      </c>
      <c r="B16081" t="s">
        <v>6</v>
      </c>
      <c r="C16081" s="1">
        <f>HYPERLINK("https://cao.dolgi.msk.ru/account/1011442343/", 1011442343)</f>
        <v>1011442343</v>
      </c>
      <c r="D16081">
        <v>-97.72</v>
      </c>
    </row>
    <row r="16082" spans="1:4" hidden="1" x14ac:dyDescent="0.3">
      <c r="A16082" t="s">
        <v>984</v>
      </c>
      <c r="B16082" t="s">
        <v>28</v>
      </c>
      <c r="C16082" s="1">
        <f>HYPERLINK("https://cao.dolgi.msk.ru/account/1011442183/", 1011442183)</f>
        <v>1011442183</v>
      </c>
      <c r="D16082">
        <v>0</v>
      </c>
    </row>
    <row r="16083" spans="1:4" x14ac:dyDescent="0.3">
      <c r="A16083" t="s">
        <v>984</v>
      </c>
      <c r="B16083" t="s">
        <v>35</v>
      </c>
      <c r="C16083" s="1">
        <f>HYPERLINK("https://cao.dolgi.msk.ru/account/1011442351/", 1011442351)</f>
        <v>1011442351</v>
      </c>
      <c r="D16083">
        <v>4919.42</v>
      </c>
    </row>
    <row r="16084" spans="1:4" hidden="1" x14ac:dyDescent="0.3">
      <c r="A16084" t="s">
        <v>984</v>
      </c>
      <c r="B16084" t="s">
        <v>5</v>
      </c>
      <c r="C16084" s="1">
        <f>HYPERLINK("https://cao.dolgi.msk.ru/account/1011442554/", 1011442554)</f>
        <v>1011442554</v>
      </c>
      <c r="D16084">
        <v>-230</v>
      </c>
    </row>
    <row r="16085" spans="1:4" hidden="1" x14ac:dyDescent="0.3">
      <c r="A16085" t="s">
        <v>984</v>
      </c>
      <c r="B16085" t="s">
        <v>7</v>
      </c>
      <c r="C16085" s="1">
        <f>HYPERLINK("https://cao.dolgi.msk.ru/account/1011442511/", 1011442511)</f>
        <v>1011442511</v>
      </c>
      <c r="D16085">
        <v>-565.03</v>
      </c>
    </row>
    <row r="16086" spans="1:4" hidden="1" x14ac:dyDescent="0.3">
      <c r="A16086" t="s">
        <v>984</v>
      </c>
      <c r="B16086" t="s">
        <v>8</v>
      </c>
      <c r="C16086" s="1">
        <f>HYPERLINK("https://cao.dolgi.msk.ru/account/1011442247/", 1011442247)</f>
        <v>1011442247</v>
      </c>
      <c r="D16086">
        <v>-33.04</v>
      </c>
    </row>
    <row r="16087" spans="1:4" hidden="1" x14ac:dyDescent="0.3">
      <c r="A16087" t="s">
        <v>984</v>
      </c>
      <c r="B16087" t="s">
        <v>31</v>
      </c>
      <c r="C16087" s="1">
        <f>HYPERLINK("https://cao.dolgi.msk.ru/account/1011442327/", 1011442327)</f>
        <v>1011442327</v>
      </c>
      <c r="D16087">
        <v>0</v>
      </c>
    </row>
    <row r="16088" spans="1:4" hidden="1" x14ac:dyDescent="0.3">
      <c r="A16088" t="s">
        <v>984</v>
      </c>
      <c r="B16088" t="s">
        <v>9</v>
      </c>
      <c r="C16088" s="1">
        <f>HYPERLINK("https://cao.dolgi.msk.ru/account/1011442335/", 1011442335)</f>
        <v>1011442335</v>
      </c>
      <c r="D16088">
        <v>0</v>
      </c>
    </row>
    <row r="16089" spans="1:4" hidden="1" x14ac:dyDescent="0.3">
      <c r="A16089" t="s">
        <v>984</v>
      </c>
      <c r="B16089" t="s">
        <v>10</v>
      </c>
      <c r="C16089" s="1">
        <f>HYPERLINK("https://cao.dolgi.msk.ru/account/1011442298/", 1011442298)</f>
        <v>1011442298</v>
      </c>
      <c r="D16089">
        <v>0</v>
      </c>
    </row>
    <row r="16090" spans="1:4" x14ac:dyDescent="0.3">
      <c r="A16090" t="s">
        <v>984</v>
      </c>
      <c r="B16090" t="s">
        <v>11</v>
      </c>
      <c r="C16090" s="1">
        <f>HYPERLINK("https://cao.dolgi.msk.ru/account/1011442386/", 1011442386)</f>
        <v>1011442386</v>
      </c>
      <c r="D16090">
        <v>23138.09</v>
      </c>
    </row>
    <row r="16091" spans="1:4" hidden="1" x14ac:dyDescent="0.3">
      <c r="A16091" t="s">
        <v>984</v>
      </c>
      <c r="B16091" t="s">
        <v>12</v>
      </c>
      <c r="C16091" s="1">
        <f>HYPERLINK("https://cao.dolgi.msk.ru/account/1011507506/", 1011507506)</f>
        <v>1011507506</v>
      </c>
      <c r="D16091">
        <v>0</v>
      </c>
    </row>
    <row r="16092" spans="1:4" hidden="1" x14ac:dyDescent="0.3">
      <c r="A16092" t="s">
        <v>984</v>
      </c>
      <c r="B16092" t="s">
        <v>23</v>
      </c>
      <c r="C16092" s="1">
        <f>HYPERLINK("https://cao.dolgi.msk.ru/account/1011442263/", 1011442263)</f>
        <v>1011442263</v>
      </c>
      <c r="D16092">
        <v>-178.5</v>
      </c>
    </row>
    <row r="16093" spans="1:4" hidden="1" x14ac:dyDescent="0.3">
      <c r="A16093" t="s">
        <v>984</v>
      </c>
      <c r="B16093" t="s">
        <v>13</v>
      </c>
      <c r="C16093" s="1">
        <f>HYPERLINK("https://cao.dolgi.msk.ru/account/1011442271/", 1011442271)</f>
        <v>1011442271</v>
      </c>
      <c r="D16093">
        <v>0</v>
      </c>
    </row>
    <row r="16094" spans="1:4" hidden="1" x14ac:dyDescent="0.3">
      <c r="A16094" t="s">
        <v>984</v>
      </c>
      <c r="B16094" t="s">
        <v>14</v>
      </c>
      <c r="C16094" s="1">
        <f>HYPERLINK("https://cao.dolgi.msk.ru/account/1011442407/", 1011442407)</f>
        <v>1011442407</v>
      </c>
      <c r="D16094">
        <v>-735.9</v>
      </c>
    </row>
    <row r="16095" spans="1:4" hidden="1" x14ac:dyDescent="0.3">
      <c r="A16095" t="s">
        <v>984</v>
      </c>
      <c r="B16095" t="s">
        <v>16</v>
      </c>
      <c r="C16095" s="1">
        <f>HYPERLINK("https://cao.dolgi.msk.ru/account/1011442204/", 1011442204)</f>
        <v>1011442204</v>
      </c>
      <c r="D16095">
        <v>-3859.91</v>
      </c>
    </row>
    <row r="16096" spans="1:4" hidden="1" x14ac:dyDescent="0.3">
      <c r="A16096" t="s">
        <v>984</v>
      </c>
      <c r="B16096" t="s">
        <v>17</v>
      </c>
      <c r="C16096" s="1">
        <f>HYPERLINK("https://cao.dolgi.msk.ru/account/1011442431/", 1011442431)</f>
        <v>1011442431</v>
      </c>
      <c r="D16096">
        <v>0</v>
      </c>
    </row>
    <row r="16097" spans="1:4" hidden="1" x14ac:dyDescent="0.3">
      <c r="A16097" t="s">
        <v>984</v>
      </c>
      <c r="B16097" t="s">
        <v>18</v>
      </c>
      <c r="C16097" s="1">
        <f>HYPERLINK("https://cao.dolgi.msk.ru/account/1011442191/", 1011442191)</f>
        <v>1011442191</v>
      </c>
      <c r="D16097">
        <v>0</v>
      </c>
    </row>
    <row r="16098" spans="1:4" hidden="1" x14ac:dyDescent="0.3">
      <c r="A16098" t="s">
        <v>984</v>
      </c>
      <c r="B16098" t="s">
        <v>19</v>
      </c>
      <c r="C16098" s="1">
        <f>HYPERLINK("https://cao.dolgi.msk.ru/account/1011442319/", 1011442319)</f>
        <v>1011442319</v>
      </c>
      <c r="D16098">
        <v>0</v>
      </c>
    </row>
    <row r="16099" spans="1:4" hidden="1" x14ac:dyDescent="0.3">
      <c r="A16099" t="s">
        <v>984</v>
      </c>
      <c r="B16099" t="s">
        <v>20</v>
      </c>
      <c r="C16099" s="1">
        <f>HYPERLINK("https://cao.dolgi.msk.ru/account/1011442415/", 1011442415)</f>
        <v>1011442415</v>
      </c>
      <c r="D16099">
        <v>-969.44</v>
      </c>
    </row>
    <row r="16100" spans="1:4" hidden="1" x14ac:dyDescent="0.3">
      <c r="A16100" t="s">
        <v>984</v>
      </c>
      <c r="B16100" t="s">
        <v>21</v>
      </c>
      <c r="C16100" s="1">
        <f>HYPERLINK("https://cao.dolgi.msk.ru/account/1011442466/", 1011442466)</f>
        <v>1011442466</v>
      </c>
      <c r="D16100">
        <v>-287.12</v>
      </c>
    </row>
    <row r="16101" spans="1:4" hidden="1" x14ac:dyDescent="0.3">
      <c r="A16101" t="s">
        <v>984</v>
      </c>
      <c r="B16101" t="s">
        <v>22</v>
      </c>
      <c r="C16101" s="1">
        <f>HYPERLINK("https://cao.dolgi.msk.ru/account/1011442394/", 1011442394)</f>
        <v>1011442394</v>
      </c>
      <c r="D16101">
        <v>-5133.84</v>
      </c>
    </row>
    <row r="16102" spans="1:4" hidden="1" x14ac:dyDescent="0.3">
      <c r="A16102" t="s">
        <v>984</v>
      </c>
      <c r="B16102" t="s">
        <v>24</v>
      </c>
      <c r="C16102" s="1">
        <f>HYPERLINK("https://cao.dolgi.msk.ru/account/1011442482/", 1011442482)</f>
        <v>1011442482</v>
      </c>
      <c r="D16102">
        <v>-3395.06</v>
      </c>
    </row>
    <row r="16103" spans="1:4" hidden="1" x14ac:dyDescent="0.3">
      <c r="A16103" t="s">
        <v>984</v>
      </c>
      <c r="B16103" t="s">
        <v>25</v>
      </c>
      <c r="C16103" s="1">
        <f>HYPERLINK("https://cao.dolgi.msk.ru/account/1011442212/", 1011442212)</f>
        <v>1011442212</v>
      </c>
      <c r="D16103">
        <v>-675.97</v>
      </c>
    </row>
    <row r="16104" spans="1:4" x14ac:dyDescent="0.3">
      <c r="A16104" t="s">
        <v>984</v>
      </c>
      <c r="B16104" t="s">
        <v>26</v>
      </c>
      <c r="C16104" s="1">
        <f>HYPERLINK("https://cao.dolgi.msk.ru/account/1011442175/", 1011442175)</f>
        <v>1011442175</v>
      </c>
      <c r="D16104">
        <v>12643.66</v>
      </c>
    </row>
    <row r="16105" spans="1:4" hidden="1" x14ac:dyDescent="0.3">
      <c r="A16105" t="s">
        <v>984</v>
      </c>
      <c r="B16105" t="s">
        <v>27</v>
      </c>
      <c r="C16105" s="1">
        <f>HYPERLINK("https://cao.dolgi.msk.ru/account/1011442538/", 1011442538)</f>
        <v>1011442538</v>
      </c>
      <c r="D16105">
        <v>-5403.77</v>
      </c>
    </row>
    <row r="16106" spans="1:4" hidden="1" x14ac:dyDescent="0.3">
      <c r="A16106" t="s">
        <v>984</v>
      </c>
      <c r="B16106" t="s">
        <v>29</v>
      </c>
      <c r="C16106" s="1">
        <f>HYPERLINK("https://cao.dolgi.msk.ru/account/1011442474/", 1011442474)</f>
        <v>1011442474</v>
      </c>
      <c r="D16106">
        <v>-4468.33</v>
      </c>
    </row>
    <row r="16107" spans="1:4" hidden="1" x14ac:dyDescent="0.3">
      <c r="A16107" t="s">
        <v>984</v>
      </c>
      <c r="B16107" t="s">
        <v>38</v>
      </c>
      <c r="C16107" s="1">
        <f>HYPERLINK("https://cao.dolgi.msk.ru/account/1011442378/", 1011442378)</f>
        <v>1011442378</v>
      </c>
      <c r="D16107">
        <v>0</v>
      </c>
    </row>
    <row r="16108" spans="1:4" hidden="1" x14ac:dyDescent="0.3">
      <c r="A16108" t="s">
        <v>984</v>
      </c>
      <c r="B16108" t="s">
        <v>39</v>
      </c>
      <c r="C16108" s="1">
        <f>HYPERLINK("https://cao.dolgi.msk.ru/account/1011442546/", 1011442546)</f>
        <v>1011442546</v>
      </c>
      <c r="D16108">
        <v>-2194.4299999999998</v>
      </c>
    </row>
    <row r="16109" spans="1:4" hidden="1" x14ac:dyDescent="0.3">
      <c r="A16109" t="s">
        <v>984</v>
      </c>
      <c r="B16109" t="s">
        <v>40</v>
      </c>
      <c r="C16109" s="1">
        <f>HYPERLINK("https://cao.dolgi.msk.ru/account/1011442255/", 1011442255)</f>
        <v>1011442255</v>
      </c>
      <c r="D16109">
        <v>-8345.3799999999992</v>
      </c>
    </row>
    <row r="16110" spans="1:4" hidden="1" x14ac:dyDescent="0.3">
      <c r="A16110" t="s">
        <v>984</v>
      </c>
      <c r="B16110" t="s">
        <v>41</v>
      </c>
      <c r="C16110" s="1">
        <f>HYPERLINK("https://cao.dolgi.msk.ru/account/1011442239/", 1011442239)</f>
        <v>1011442239</v>
      </c>
      <c r="D16110">
        <v>0</v>
      </c>
    </row>
    <row r="16111" spans="1:4" hidden="1" x14ac:dyDescent="0.3">
      <c r="A16111" t="s">
        <v>984</v>
      </c>
      <c r="B16111" t="s">
        <v>51</v>
      </c>
      <c r="C16111" s="1">
        <f>HYPERLINK("https://cao.dolgi.msk.ru/account/1011442423/", 1011442423)</f>
        <v>1011442423</v>
      </c>
      <c r="D16111">
        <v>0</v>
      </c>
    </row>
    <row r="16112" spans="1:4" hidden="1" x14ac:dyDescent="0.3">
      <c r="A16112" t="s">
        <v>984</v>
      </c>
      <c r="B16112" t="s">
        <v>52</v>
      </c>
      <c r="C16112" s="1">
        <f>HYPERLINK("https://cao.dolgi.msk.ru/account/1011442458/", 1011442458)</f>
        <v>1011442458</v>
      </c>
      <c r="D16112">
        <v>-48.86</v>
      </c>
    </row>
    <row r="16113" spans="1:4" hidden="1" x14ac:dyDescent="0.3">
      <c r="A16113" t="s">
        <v>985</v>
      </c>
      <c r="B16113" t="s">
        <v>6</v>
      </c>
      <c r="C16113" s="1">
        <f>HYPERLINK("https://cao.dolgi.msk.ru/account/1011421243/", 1011421243)</f>
        <v>1011421243</v>
      </c>
      <c r="D16113">
        <v>0</v>
      </c>
    </row>
    <row r="16114" spans="1:4" hidden="1" x14ac:dyDescent="0.3">
      <c r="A16114" t="s">
        <v>985</v>
      </c>
      <c r="B16114" t="s">
        <v>28</v>
      </c>
      <c r="C16114" s="1">
        <f>HYPERLINK("https://cao.dolgi.msk.ru/account/1011421868/", 1011421868)</f>
        <v>1011421868</v>
      </c>
      <c r="D16114">
        <v>-5119.18</v>
      </c>
    </row>
    <row r="16115" spans="1:4" hidden="1" x14ac:dyDescent="0.3">
      <c r="A16115" t="s">
        <v>985</v>
      </c>
      <c r="B16115" t="s">
        <v>35</v>
      </c>
      <c r="C16115" s="1">
        <f>HYPERLINK("https://cao.dolgi.msk.ru/account/1011422035/", 1011422035)</f>
        <v>1011422035</v>
      </c>
      <c r="D16115">
        <v>-54806.31</v>
      </c>
    </row>
    <row r="16116" spans="1:4" hidden="1" x14ac:dyDescent="0.3">
      <c r="A16116" t="s">
        <v>985</v>
      </c>
      <c r="B16116" t="s">
        <v>5</v>
      </c>
      <c r="C16116" s="1">
        <f>HYPERLINK("https://cao.dolgi.msk.ru/account/1011421788/", 1011421788)</f>
        <v>1011421788</v>
      </c>
      <c r="D16116">
        <v>0</v>
      </c>
    </row>
    <row r="16117" spans="1:4" hidden="1" x14ac:dyDescent="0.3">
      <c r="A16117" t="s">
        <v>985</v>
      </c>
      <c r="B16117" t="s">
        <v>7</v>
      </c>
      <c r="C16117" s="1">
        <f>HYPERLINK("https://cao.dolgi.msk.ru/account/1011421809/", 1011421809)</f>
        <v>1011421809</v>
      </c>
      <c r="D16117">
        <v>0</v>
      </c>
    </row>
    <row r="16118" spans="1:4" hidden="1" x14ac:dyDescent="0.3">
      <c r="A16118" t="s">
        <v>985</v>
      </c>
      <c r="B16118" t="s">
        <v>8</v>
      </c>
      <c r="C16118" s="1">
        <f>HYPERLINK("https://cao.dolgi.msk.ru/account/1011421614/", 1011421614)</f>
        <v>1011421614</v>
      </c>
      <c r="D16118">
        <v>0</v>
      </c>
    </row>
    <row r="16119" spans="1:4" hidden="1" x14ac:dyDescent="0.3">
      <c r="A16119" t="s">
        <v>985</v>
      </c>
      <c r="B16119" t="s">
        <v>31</v>
      </c>
      <c r="C16119" s="1">
        <f>HYPERLINK("https://cao.dolgi.msk.ru/account/1011420953/", 1011420953)</f>
        <v>1011420953</v>
      </c>
      <c r="D16119">
        <v>-10597.63</v>
      </c>
    </row>
    <row r="16120" spans="1:4" hidden="1" x14ac:dyDescent="0.3">
      <c r="A16120" t="s">
        <v>985</v>
      </c>
      <c r="B16120" t="s">
        <v>9</v>
      </c>
      <c r="C16120" s="1">
        <f>HYPERLINK("https://cao.dolgi.msk.ru/account/1011422043/", 1011422043)</f>
        <v>1011422043</v>
      </c>
      <c r="D16120">
        <v>-92.99</v>
      </c>
    </row>
    <row r="16121" spans="1:4" hidden="1" x14ac:dyDescent="0.3">
      <c r="A16121" t="s">
        <v>985</v>
      </c>
      <c r="B16121" t="s">
        <v>612</v>
      </c>
      <c r="C16121" s="1">
        <f>HYPERLINK("https://cao.dolgi.msk.ru/account/1011421964/", 1011421964)</f>
        <v>1011421964</v>
      </c>
      <c r="D16121">
        <v>0</v>
      </c>
    </row>
    <row r="16122" spans="1:4" hidden="1" x14ac:dyDescent="0.3">
      <c r="A16122" t="s">
        <v>985</v>
      </c>
      <c r="B16122" t="s">
        <v>12</v>
      </c>
      <c r="C16122" s="1">
        <f>HYPERLINK("https://cao.dolgi.msk.ru/account/1011421518/", 1011421518)</f>
        <v>1011421518</v>
      </c>
      <c r="D16122">
        <v>-8304.81</v>
      </c>
    </row>
    <row r="16123" spans="1:4" hidden="1" x14ac:dyDescent="0.3">
      <c r="A16123" t="s">
        <v>985</v>
      </c>
      <c r="B16123" t="s">
        <v>23</v>
      </c>
      <c r="C16123" s="1">
        <f>HYPERLINK("https://cao.dolgi.msk.ru/account/1011422086/", 1011422086)</f>
        <v>1011422086</v>
      </c>
      <c r="D16123">
        <v>-7175.91</v>
      </c>
    </row>
    <row r="16124" spans="1:4" hidden="1" x14ac:dyDescent="0.3">
      <c r="A16124" t="s">
        <v>985</v>
      </c>
      <c r="B16124" t="s">
        <v>13</v>
      </c>
      <c r="C16124" s="1">
        <f>HYPERLINK("https://cao.dolgi.msk.ru/account/1011422158/", 1011422158)</f>
        <v>1011422158</v>
      </c>
      <c r="D16124">
        <v>0</v>
      </c>
    </row>
    <row r="16125" spans="1:4" x14ac:dyDescent="0.3">
      <c r="A16125" t="s">
        <v>985</v>
      </c>
      <c r="B16125" t="s">
        <v>14</v>
      </c>
      <c r="C16125" s="1">
        <f>HYPERLINK("https://cao.dolgi.msk.ru/account/1011422123/", 1011422123)</f>
        <v>1011422123</v>
      </c>
      <c r="D16125">
        <v>4372.96</v>
      </c>
    </row>
    <row r="16126" spans="1:4" hidden="1" x14ac:dyDescent="0.3">
      <c r="A16126" t="s">
        <v>985</v>
      </c>
      <c r="B16126" t="s">
        <v>16</v>
      </c>
      <c r="C16126" s="1">
        <f>HYPERLINK("https://cao.dolgi.msk.ru/account/1011422166/", 1011422166)</f>
        <v>1011422166</v>
      </c>
      <c r="D16126">
        <v>0</v>
      </c>
    </row>
    <row r="16127" spans="1:4" hidden="1" x14ac:dyDescent="0.3">
      <c r="A16127" t="s">
        <v>985</v>
      </c>
      <c r="B16127" t="s">
        <v>17</v>
      </c>
      <c r="C16127" s="1">
        <f>HYPERLINK("https://cao.dolgi.msk.ru/account/1011422019/", 1011422019)</f>
        <v>1011422019</v>
      </c>
      <c r="D16127">
        <v>0</v>
      </c>
    </row>
    <row r="16128" spans="1:4" hidden="1" x14ac:dyDescent="0.3">
      <c r="A16128" t="s">
        <v>985</v>
      </c>
      <c r="B16128" t="s">
        <v>18</v>
      </c>
      <c r="C16128" s="1">
        <f>HYPERLINK("https://cao.dolgi.msk.ru/account/1011421403/", 1011421403)</f>
        <v>1011421403</v>
      </c>
      <c r="D16128">
        <v>0</v>
      </c>
    </row>
    <row r="16129" spans="1:4" hidden="1" x14ac:dyDescent="0.3">
      <c r="A16129" t="s">
        <v>985</v>
      </c>
      <c r="B16129" t="s">
        <v>19</v>
      </c>
      <c r="C16129" s="1">
        <f>HYPERLINK("https://cao.dolgi.msk.ru/account/1011420902/", 1011420902)</f>
        <v>1011420902</v>
      </c>
      <c r="D16129">
        <v>-245</v>
      </c>
    </row>
    <row r="16130" spans="1:4" hidden="1" x14ac:dyDescent="0.3">
      <c r="A16130" t="s">
        <v>985</v>
      </c>
      <c r="B16130" t="s">
        <v>20</v>
      </c>
      <c r="C16130" s="1">
        <f>HYPERLINK("https://cao.dolgi.msk.ru/account/1011421905/", 1011421905)</f>
        <v>1011421905</v>
      </c>
      <c r="D16130">
        <v>-7188.52</v>
      </c>
    </row>
    <row r="16131" spans="1:4" hidden="1" x14ac:dyDescent="0.3">
      <c r="A16131" t="s">
        <v>985</v>
      </c>
      <c r="B16131" t="s">
        <v>21</v>
      </c>
      <c r="C16131" s="1">
        <f>HYPERLINK("https://cao.dolgi.msk.ru/account/1011421729/", 1011421729)</f>
        <v>1011421729</v>
      </c>
      <c r="D16131">
        <v>0</v>
      </c>
    </row>
    <row r="16132" spans="1:4" hidden="1" x14ac:dyDescent="0.3">
      <c r="A16132" t="s">
        <v>985</v>
      </c>
      <c r="B16132" t="s">
        <v>22</v>
      </c>
      <c r="C16132" s="1">
        <f>HYPERLINK("https://cao.dolgi.msk.ru/account/1011420718/", 1011420718)</f>
        <v>1011420718</v>
      </c>
      <c r="D16132">
        <v>0</v>
      </c>
    </row>
    <row r="16133" spans="1:4" x14ac:dyDescent="0.3">
      <c r="A16133" t="s">
        <v>985</v>
      </c>
      <c r="B16133" t="s">
        <v>24</v>
      </c>
      <c r="C16133" s="1">
        <f>HYPERLINK("https://cao.dolgi.msk.ru/account/1011421075/", 1011421075)</f>
        <v>1011421075</v>
      </c>
      <c r="D16133">
        <v>3147.43</v>
      </c>
    </row>
    <row r="16134" spans="1:4" x14ac:dyDescent="0.3">
      <c r="A16134" t="s">
        <v>985</v>
      </c>
      <c r="B16134" t="s">
        <v>24</v>
      </c>
      <c r="C16134" s="1">
        <f>HYPERLINK("https://cao.dolgi.msk.ru/account/1011421753/", 1011421753)</f>
        <v>1011421753</v>
      </c>
      <c r="D16134">
        <v>5227.96</v>
      </c>
    </row>
    <row r="16135" spans="1:4" hidden="1" x14ac:dyDescent="0.3">
      <c r="A16135" t="s">
        <v>985</v>
      </c>
      <c r="B16135" t="s">
        <v>25</v>
      </c>
      <c r="C16135" s="1">
        <f>HYPERLINK("https://cao.dolgi.msk.ru/account/1011421454/", 1011421454)</f>
        <v>1011421454</v>
      </c>
      <c r="D16135">
        <v>0</v>
      </c>
    </row>
    <row r="16136" spans="1:4" hidden="1" x14ac:dyDescent="0.3">
      <c r="A16136" t="s">
        <v>985</v>
      </c>
      <c r="B16136" t="s">
        <v>26</v>
      </c>
      <c r="C16136" s="1">
        <f>HYPERLINK("https://cao.dolgi.msk.ru/account/1011420742/", 1011420742)</f>
        <v>1011420742</v>
      </c>
      <c r="D16136">
        <v>-6511.75</v>
      </c>
    </row>
    <row r="16137" spans="1:4" hidden="1" x14ac:dyDescent="0.3">
      <c r="A16137" t="s">
        <v>985</v>
      </c>
      <c r="B16137" t="s">
        <v>27</v>
      </c>
      <c r="C16137" s="1">
        <f>HYPERLINK("https://cao.dolgi.msk.ru/account/1011420814/", 1011420814)</f>
        <v>1011420814</v>
      </c>
      <c r="D16137">
        <v>0</v>
      </c>
    </row>
    <row r="16138" spans="1:4" x14ac:dyDescent="0.3">
      <c r="A16138" t="s">
        <v>985</v>
      </c>
      <c r="B16138" t="s">
        <v>29</v>
      </c>
      <c r="C16138" s="1">
        <f>HYPERLINK("https://cao.dolgi.msk.ru/account/1011421972/", 1011421972)</f>
        <v>1011421972</v>
      </c>
      <c r="D16138">
        <v>7305.51</v>
      </c>
    </row>
    <row r="16139" spans="1:4" hidden="1" x14ac:dyDescent="0.3">
      <c r="A16139" t="s">
        <v>985</v>
      </c>
      <c r="B16139" t="s">
        <v>38</v>
      </c>
      <c r="C16139" s="1">
        <f>HYPERLINK("https://cao.dolgi.msk.ru/account/1011421577/", 1011421577)</f>
        <v>1011421577</v>
      </c>
      <c r="D16139">
        <v>0</v>
      </c>
    </row>
    <row r="16140" spans="1:4" hidden="1" x14ac:dyDescent="0.3">
      <c r="A16140" t="s">
        <v>985</v>
      </c>
      <c r="B16140" t="s">
        <v>39</v>
      </c>
      <c r="C16140" s="1">
        <f>HYPERLINK("https://cao.dolgi.msk.ru/account/1011421032/", 1011421032)</f>
        <v>1011421032</v>
      </c>
      <c r="D16140">
        <v>-2467.3000000000002</v>
      </c>
    </row>
    <row r="16141" spans="1:4" hidden="1" x14ac:dyDescent="0.3">
      <c r="A16141" t="s">
        <v>985</v>
      </c>
      <c r="B16141" t="s">
        <v>40</v>
      </c>
      <c r="C16141" s="1">
        <f>HYPERLINK("https://cao.dolgi.msk.ru/account/1011421649/", 1011421649)</f>
        <v>1011421649</v>
      </c>
      <c r="D16141">
        <v>0</v>
      </c>
    </row>
    <row r="16142" spans="1:4" hidden="1" x14ac:dyDescent="0.3">
      <c r="A16142" t="s">
        <v>985</v>
      </c>
      <c r="B16142" t="s">
        <v>41</v>
      </c>
      <c r="C16142" s="1">
        <f>HYPERLINK("https://cao.dolgi.msk.ru/account/1011421817/", 1011421817)</f>
        <v>1011421817</v>
      </c>
      <c r="D16142">
        <v>0</v>
      </c>
    </row>
    <row r="16143" spans="1:4" hidden="1" x14ac:dyDescent="0.3">
      <c r="A16143" t="s">
        <v>985</v>
      </c>
      <c r="B16143" t="s">
        <v>51</v>
      </c>
      <c r="C16143" s="1">
        <f>HYPERLINK("https://cao.dolgi.msk.ru/account/1011421657/", 1011421657)</f>
        <v>1011421657</v>
      </c>
      <c r="D16143">
        <v>0</v>
      </c>
    </row>
    <row r="16144" spans="1:4" hidden="1" x14ac:dyDescent="0.3">
      <c r="A16144" t="s">
        <v>985</v>
      </c>
      <c r="B16144" t="s">
        <v>52</v>
      </c>
      <c r="C16144" s="1">
        <f>HYPERLINK("https://cao.dolgi.msk.ru/account/1011421489/", 1011421489)</f>
        <v>1011421489</v>
      </c>
      <c r="D16144">
        <v>0</v>
      </c>
    </row>
    <row r="16145" spans="1:4" hidden="1" x14ac:dyDescent="0.3">
      <c r="A16145" t="s">
        <v>985</v>
      </c>
      <c r="B16145" t="s">
        <v>53</v>
      </c>
      <c r="C16145" s="1">
        <f>HYPERLINK("https://cao.dolgi.msk.ru/account/1011421315/", 1011421315)</f>
        <v>1011421315</v>
      </c>
      <c r="D16145">
        <v>0</v>
      </c>
    </row>
    <row r="16146" spans="1:4" x14ac:dyDescent="0.3">
      <c r="A16146" t="s">
        <v>985</v>
      </c>
      <c r="B16146" t="s">
        <v>54</v>
      </c>
      <c r="C16146" s="1">
        <f>HYPERLINK("https://cao.dolgi.msk.ru/account/1011420638/", 1011420638)</f>
        <v>1011420638</v>
      </c>
      <c r="D16146">
        <v>6530.48</v>
      </c>
    </row>
    <row r="16147" spans="1:4" x14ac:dyDescent="0.3">
      <c r="A16147" t="s">
        <v>985</v>
      </c>
      <c r="B16147" t="s">
        <v>55</v>
      </c>
      <c r="C16147" s="1">
        <f>HYPERLINK("https://cao.dolgi.msk.ru/account/1011420726/", 1011420726)</f>
        <v>1011420726</v>
      </c>
      <c r="D16147">
        <v>7279.93</v>
      </c>
    </row>
    <row r="16148" spans="1:4" hidden="1" x14ac:dyDescent="0.3">
      <c r="A16148" t="s">
        <v>985</v>
      </c>
      <c r="B16148" t="s">
        <v>56</v>
      </c>
      <c r="C16148" s="1">
        <f>HYPERLINK("https://cao.dolgi.msk.ru/account/1011421059/", 1011421059)</f>
        <v>1011421059</v>
      </c>
      <c r="D16148">
        <v>0</v>
      </c>
    </row>
    <row r="16149" spans="1:4" hidden="1" x14ac:dyDescent="0.3">
      <c r="A16149" t="s">
        <v>985</v>
      </c>
      <c r="B16149" t="s">
        <v>87</v>
      </c>
      <c r="C16149" s="1">
        <f>HYPERLINK("https://cao.dolgi.msk.ru/account/1011421884/", 1011421884)</f>
        <v>1011421884</v>
      </c>
      <c r="D16149">
        <v>0</v>
      </c>
    </row>
    <row r="16150" spans="1:4" hidden="1" x14ac:dyDescent="0.3">
      <c r="A16150" t="s">
        <v>985</v>
      </c>
      <c r="B16150" t="s">
        <v>88</v>
      </c>
      <c r="C16150" s="1">
        <f>HYPERLINK("https://cao.dolgi.msk.ru/account/1011420662/", 1011420662)</f>
        <v>1011420662</v>
      </c>
      <c r="D16150">
        <v>0</v>
      </c>
    </row>
    <row r="16151" spans="1:4" hidden="1" x14ac:dyDescent="0.3">
      <c r="A16151" t="s">
        <v>985</v>
      </c>
      <c r="B16151" t="s">
        <v>89</v>
      </c>
      <c r="C16151" s="1">
        <f>HYPERLINK("https://cao.dolgi.msk.ru/account/1011421323/", 1011421323)</f>
        <v>1011421323</v>
      </c>
      <c r="D16151">
        <v>0</v>
      </c>
    </row>
    <row r="16152" spans="1:4" hidden="1" x14ac:dyDescent="0.3">
      <c r="A16152" t="s">
        <v>985</v>
      </c>
      <c r="B16152" t="s">
        <v>90</v>
      </c>
      <c r="C16152" s="1">
        <f>HYPERLINK("https://cao.dolgi.msk.ru/account/1011421796/", 1011421796)</f>
        <v>1011421796</v>
      </c>
      <c r="D16152">
        <v>0</v>
      </c>
    </row>
    <row r="16153" spans="1:4" x14ac:dyDescent="0.3">
      <c r="A16153" t="s">
        <v>985</v>
      </c>
      <c r="B16153" t="s">
        <v>96</v>
      </c>
      <c r="C16153" s="1">
        <f>HYPERLINK("https://cao.dolgi.msk.ru/account/1011421104/", 1011421104)</f>
        <v>1011421104</v>
      </c>
      <c r="D16153">
        <v>8575.32</v>
      </c>
    </row>
    <row r="16154" spans="1:4" hidden="1" x14ac:dyDescent="0.3">
      <c r="A16154" t="s">
        <v>985</v>
      </c>
      <c r="B16154" t="s">
        <v>97</v>
      </c>
      <c r="C16154" s="1">
        <f>HYPERLINK("https://cao.dolgi.msk.ru/account/1011420646/", 1011420646)</f>
        <v>1011420646</v>
      </c>
      <c r="D16154">
        <v>0</v>
      </c>
    </row>
    <row r="16155" spans="1:4" hidden="1" x14ac:dyDescent="0.3">
      <c r="A16155" t="s">
        <v>985</v>
      </c>
      <c r="B16155" t="s">
        <v>98</v>
      </c>
      <c r="C16155" s="1">
        <f>HYPERLINK("https://cao.dolgi.msk.ru/account/1011420865/", 1011420865)</f>
        <v>1011420865</v>
      </c>
      <c r="D16155">
        <v>-21223.77</v>
      </c>
    </row>
    <row r="16156" spans="1:4" hidden="1" x14ac:dyDescent="0.3">
      <c r="A16156" t="s">
        <v>985</v>
      </c>
      <c r="B16156" t="s">
        <v>59</v>
      </c>
      <c r="C16156" s="1">
        <f>HYPERLINK("https://cao.dolgi.msk.ru/account/1011420734/", 1011420734)</f>
        <v>1011420734</v>
      </c>
      <c r="D16156">
        <v>-2482.13</v>
      </c>
    </row>
    <row r="16157" spans="1:4" hidden="1" x14ac:dyDescent="0.3">
      <c r="A16157" t="s">
        <v>985</v>
      </c>
      <c r="B16157" t="s">
        <v>60</v>
      </c>
      <c r="C16157" s="1">
        <f>HYPERLINK("https://cao.dolgi.msk.ru/account/1011421358/", 1011421358)</f>
        <v>1011421358</v>
      </c>
      <c r="D16157">
        <v>0</v>
      </c>
    </row>
    <row r="16158" spans="1:4" hidden="1" x14ac:dyDescent="0.3">
      <c r="A16158" t="s">
        <v>985</v>
      </c>
      <c r="B16158" t="s">
        <v>61</v>
      </c>
      <c r="C16158" s="1">
        <f>HYPERLINK("https://cao.dolgi.msk.ru/account/1011421155/", 1011421155)</f>
        <v>1011421155</v>
      </c>
      <c r="D16158">
        <v>0</v>
      </c>
    </row>
    <row r="16159" spans="1:4" hidden="1" x14ac:dyDescent="0.3">
      <c r="A16159" t="s">
        <v>985</v>
      </c>
      <c r="B16159" t="s">
        <v>62</v>
      </c>
      <c r="C16159" s="1">
        <f>HYPERLINK("https://cao.dolgi.msk.ru/account/1011421892/", 1011421892)</f>
        <v>1011421892</v>
      </c>
      <c r="D16159">
        <v>-121.59</v>
      </c>
    </row>
    <row r="16160" spans="1:4" hidden="1" x14ac:dyDescent="0.3">
      <c r="A16160" t="s">
        <v>985</v>
      </c>
      <c r="B16160" t="s">
        <v>63</v>
      </c>
      <c r="C16160" s="1">
        <f>HYPERLINK("https://cao.dolgi.msk.ru/account/1011421411/", 1011421411)</f>
        <v>1011421411</v>
      </c>
      <c r="D16160">
        <v>0</v>
      </c>
    </row>
    <row r="16161" spans="1:4" hidden="1" x14ac:dyDescent="0.3">
      <c r="A16161" t="s">
        <v>985</v>
      </c>
      <c r="B16161" t="s">
        <v>64</v>
      </c>
      <c r="C16161" s="1">
        <f>HYPERLINK("https://cao.dolgi.msk.ru/account/1011421112/", 1011421112)</f>
        <v>1011421112</v>
      </c>
      <c r="D16161">
        <v>-8571.58</v>
      </c>
    </row>
    <row r="16162" spans="1:4" x14ac:dyDescent="0.3">
      <c r="A16162" t="s">
        <v>985</v>
      </c>
      <c r="B16162" t="s">
        <v>65</v>
      </c>
      <c r="C16162" s="1">
        <f>HYPERLINK("https://cao.dolgi.msk.ru/account/1011421526/", 1011421526)</f>
        <v>1011421526</v>
      </c>
      <c r="D16162">
        <v>7838.72</v>
      </c>
    </row>
    <row r="16163" spans="1:4" x14ac:dyDescent="0.3">
      <c r="A16163" t="s">
        <v>985</v>
      </c>
      <c r="B16163" t="s">
        <v>66</v>
      </c>
      <c r="C16163" s="1">
        <f>HYPERLINK("https://cao.dolgi.msk.ru/account/1011422027/", 1011422027)</f>
        <v>1011422027</v>
      </c>
      <c r="D16163">
        <v>7967.29</v>
      </c>
    </row>
    <row r="16164" spans="1:4" hidden="1" x14ac:dyDescent="0.3">
      <c r="A16164" t="s">
        <v>985</v>
      </c>
      <c r="B16164" t="s">
        <v>67</v>
      </c>
      <c r="C16164" s="1">
        <f>HYPERLINK("https://cao.dolgi.msk.ru/account/1011420873/", 1011420873)</f>
        <v>1011420873</v>
      </c>
      <c r="D16164">
        <v>0</v>
      </c>
    </row>
    <row r="16165" spans="1:4" hidden="1" x14ac:dyDescent="0.3">
      <c r="A16165" t="s">
        <v>985</v>
      </c>
      <c r="B16165" t="s">
        <v>68</v>
      </c>
      <c r="C16165" s="1">
        <f>HYPERLINK("https://cao.dolgi.msk.ru/account/1011421761/", 1011421761)</f>
        <v>1011421761</v>
      </c>
      <c r="D16165">
        <v>-42882.41</v>
      </c>
    </row>
    <row r="16166" spans="1:4" x14ac:dyDescent="0.3">
      <c r="A16166" t="s">
        <v>985</v>
      </c>
      <c r="B16166" t="s">
        <v>69</v>
      </c>
      <c r="C16166" s="1">
        <f>HYPERLINK("https://cao.dolgi.msk.ru/account/1011421147/", 1011421147)</f>
        <v>1011421147</v>
      </c>
      <c r="D16166">
        <v>9213.7800000000007</v>
      </c>
    </row>
    <row r="16167" spans="1:4" hidden="1" x14ac:dyDescent="0.3">
      <c r="A16167" t="s">
        <v>985</v>
      </c>
      <c r="B16167" t="s">
        <v>70</v>
      </c>
      <c r="C16167" s="1">
        <f>HYPERLINK("https://cao.dolgi.msk.ru/account/1011421542/", 1011421542)</f>
        <v>1011421542</v>
      </c>
      <c r="D16167">
        <v>-7577.65</v>
      </c>
    </row>
    <row r="16168" spans="1:4" hidden="1" x14ac:dyDescent="0.3">
      <c r="A16168" t="s">
        <v>985</v>
      </c>
      <c r="B16168" t="s">
        <v>259</v>
      </c>
      <c r="C16168" s="1">
        <f>HYPERLINK("https://cao.dolgi.msk.ru/account/1011421067/", 1011421067)</f>
        <v>1011421067</v>
      </c>
      <c r="D16168">
        <v>0</v>
      </c>
    </row>
    <row r="16169" spans="1:4" hidden="1" x14ac:dyDescent="0.3">
      <c r="A16169" t="s">
        <v>985</v>
      </c>
      <c r="B16169" t="s">
        <v>100</v>
      </c>
      <c r="C16169" s="1">
        <f>HYPERLINK("https://cao.dolgi.msk.ru/account/1011422051/", 1011422051)</f>
        <v>1011422051</v>
      </c>
      <c r="D16169">
        <v>0</v>
      </c>
    </row>
    <row r="16170" spans="1:4" hidden="1" x14ac:dyDescent="0.3">
      <c r="A16170" t="s">
        <v>985</v>
      </c>
      <c r="B16170" t="s">
        <v>72</v>
      </c>
      <c r="C16170" s="1">
        <f>HYPERLINK("https://cao.dolgi.msk.ru/account/1011420849/", 1011420849)</f>
        <v>1011420849</v>
      </c>
      <c r="D16170">
        <v>0</v>
      </c>
    </row>
    <row r="16171" spans="1:4" hidden="1" x14ac:dyDescent="0.3">
      <c r="A16171" t="s">
        <v>985</v>
      </c>
      <c r="B16171" t="s">
        <v>73</v>
      </c>
      <c r="C16171" s="1">
        <f>HYPERLINK("https://cao.dolgi.msk.ru/account/1011420929/", 1011420929)</f>
        <v>1011420929</v>
      </c>
      <c r="D16171">
        <v>0</v>
      </c>
    </row>
    <row r="16172" spans="1:4" hidden="1" x14ac:dyDescent="0.3">
      <c r="A16172" t="s">
        <v>985</v>
      </c>
      <c r="B16172" t="s">
        <v>74</v>
      </c>
      <c r="C16172" s="1">
        <f>HYPERLINK("https://cao.dolgi.msk.ru/account/1011421825/", 1011421825)</f>
        <v>1011421825</v>
      </c>
      <c r="D16172">
        <v>0</v>
      </c>
    </row>
    <row r="16173" spans="1:4" hidden="1" x14ac:dyDescent="0.3">
      <c r="A16173" t="s">
        <v>985</v>
      </c>
      <c r="B16173" t="s">
        <v>75</v>
      </c>
      <c r="C16173" s="1">
        <f>HYPERLINK("https://cao.dolgi.msk.ru/account/1011421163/", 1011421163)</f>
        <v>1011421163</v>
      </c>
      <c r="D16173">
        <v>-8263.92</v>
      </c>
    </row>
    <row r="16174" spans="1:4" x14ac:dyDescent="0.3">
      <c r="A16174" t="s">
        <v>985</v>
      </c>
      <c r="B16174" t="s">
        <v>76</v>
      </c>
      <c r="C16174" s="1">
        <f>HYPERLINK("https://cao.dolgi.msk.ru/account/1011421198/", 1011421198)</f>
        <v>1011421198</v>
      </c>
      <c r="D16174">
        <v>7712.61</v>
      </c>
    </row>
    <row r="16175" spans="1:4" hidden="1" x14ac:dyDescent="0.3">
      <c r="A16175" t="s">
        <v>985</v>
      </c>
      <c r="B16175" t="s">
        <v>77</v>
      </c>
      <c r="C16175" s="1">
        <f>HYPERLINK("https://cao.dolgi.msk.ru/account/1011420777/", 1011420777)</f>
        <v>1011420777</v>
      </c>
      <c r="D16175">
        <v>0</v>
      </c>
    </row>
    <row r="16176" spans="1:4" hidden="1" x14ac:dyDescent="0.3">
      <c r="A16176" t="s">
        <v>985</v>
      </c>
      <c r="B16176" t="s">
        <v>78</v>
      </c>
      <c r="C16176" s="1">
        <f>HYPERLINK("https://cao.dolgi.msk.ru/account/1011421497/", 1011421497)</f>
        <v>1011421497</v>
      </c>
      <c r="D16176">
        <v>0</v>
      </c>
    </row>
    <row r="16177" spans="1:4" hidden="1" x14ac:dyDescent="0.3">
      <c r="A16177" t="s">
        <v>985</v>
      </c>
      <c r="B16177" t="s">
        <v>79</v>
      </c>
      <c r="C16177" s="1">
        <f>HYPERLINK("https://cao.dolgi.msk.ru/account/1011421833/", 1011421833)</f>
        <v>1011421833</v>
      </c>
      <c r="D16177">
        <v>0</v>
      </c>
    </row>
    <row r="16178" spans="1:4" hidden="1" x14ac:dyDescent="0.3">
      <c r="A16178" t="s">
        <v>985</v>
      </c>
      <c r="B16178" t="s">
        <v>80</v>
      </c>
      <c r="C16178" s="1">
        <f>HYPERLINK("https://cao.dolgi.msk.ru/account/1011420881/", 1011420881)</f>
        <v>1011420881</v>
      </c>
      <c r="D16178">
        <v>0</v>
      </c>
    </row>
    <row r="16179" spans="1:4" hidden="1" x14ac:dyDescent="0.3">
      <c r="A16179" t="s">
        <v>985</v>
      </c>
      <c r="B16179" t="s">
        <v>81</v>
      </c>
      <c r="C16179" s="1">
        <f>HYPERLINK("https://cao.dolgi.msk.ru/account/1011421585/", 1011421585)</f>
        <v>1011421585</v>
      </c>
      <c r="D16179">
        <v>-9861.26</v>
      </c>
    </row>
    <row r="16180" spans="1:4" hidden="1" x14ac:dyDescent="0.3">
      <c r="A16180" t="s">
        <v>985</v>
      </c>
      <c r="B16180" t="s">
        <v>101</v>
      </c>
      <c r="C16180" s="1">
        <f>HYPERLINK("https://cao.dolgi.msk.ru/account/1011421665/", 1011421665)</f>
        <v>1011421665</v>
      </c>
      <c r="D16180">
        <v>-12834.77</v>
      </c>
    </row>
    <row r="16181" spans="1:4" hidden="1" x14ac:dyDescent="0.3">
      <c r="A16181" t="s">
        <v>985</v>
      </c>
      <c r="B16181" t="s">
        <v>82</v>
      </c>
      <c r="C16181" s="1">
        <f>HYPERLINK("https://cao.dolgi.msk.ru/account/1011422131/", 1011422131)</f>
        <v>1011422131</v>
      </c>
      <c r="D16181">
        <v>0</v>
      </c>
    </row>
    <row r="16182" spans="1:4" hidden="1" x14ac:dyDescent="0.3">
      <c r="A16182" t="s">
        <v>985</v>
      </c>
      <c r="B16182" t="s">
        <v>83</v>
      </c>
      <c r="C16182" s="1">
        <f>HYPERLINK("https://cao.dolgi.msk.ru/account/1011421622/", 1011421622)</f>
        <v>1011421622</v>
      </c>
      <c r="D16182">
        <v>0</v>
      </c>
    </row>
    <row r="16183" spans="1:4" hidden="1" x14ac:dyDescent="0.3">
      <c r="A16183" t="s">
        <v>985</v>
      </c>
      <c r="B16183" t="s">
        <v>84</v>
      </c>
      <c r="C16183" s="1">
        <f>HYPERLINK("https://cao.dolgi.msk.ru/account/1011420961/", 1011420961)</f>
        <v>1011420961</v>
      </c>
      <c r="D16183">
        <v>0</v>
      </c>
    </row>
    <row r="16184" spans="1:4" x14ac:dyDescent="0.3">
      <c r="A16184" t="s">
        <v>985</v>
      </c>
      <c r="B16184" t="s">
        <v>85</v>
      </c>
      <c r="C16184" s="1">
        <f>HYPERLINK("https://cao.dolgi.msk.ru/account/1011421294/", 1011421294)</f>
        <v>1011421294</v>
      </c>
      <c r="D16184">
        <v>38766.43</v>
      </c>
    </row>
    <row r="16185" spans="1:4" x14ac:dyDescent="0.3">
      <c r="A16185" t="s">
        <v>985</v>
      </c>
      <c r="B16185" t="s">
        <v>102</v>
      </c>
      <c r="C16185" s="1">
        <f>HYPERLINK("https://cao.dolgi.msk.ru/account/1011420937/", 1011420937)</f>
        <v>1011420937</v>
      </c>
      <c r="D16185">
        <v>16613.75</v>
      </c>
    </row>
    <row r="16186" spans="1:4" x14ac:dyDescent="0.3">
      <c r="A16186" t="s">
        <v>985</v>
      </c>
      <c r="B16186" t="s">
        <v>103</v>
      </c>
      <c r="C16186" s="1">
        <f>HYPERLINK("https://cao.dolgi.msk.ru/account/1011421366/", 1011421366)</f>
        <v>1011421366</v>
      </c>
      <c r="D16186">
        <v>52.31</v>
      </c>
    </row>
    <row r="16187" spans="1:4" hidden="1" x14ac:dyDescent="0.3">
      <c r="A16187" t="s">
        <v>985</v>
      </c>
      <c r="B16187" t="s">
        <v>104</v>
      </c>
      <c r="C16187" s="1">
        <f>HYPERLINK("https://cao.dolgi.msk.ru/account/1011530845/", 1011530845)</f>
        <v>1011530845</v>
      </c>
      <c r="D16187">
        <v>-10556.46</v>
      </c>
    </row>
    <row r="16188" spans="1:4" hidden="1" x14ac:dyDescent="0.3">
      <c r="A16188" t="s">
        <v>985</v>
      </c>
      <c r="B16188" t="s">
        <v>105</v>
      </c>
      <c r="C16188" s="1">
        <f>HYPERLINK("https://cao.dolgi.msk.ru/account/1011421251/", 1011421251)</f>
        <v>1011421251</v>
      </c>
      <c r="D16188">
        <v>0</v>
      </c>
    </row>
    <row r="16189" spans="1:4" hidden="1" x14ac:dyDescent="0.3">
      <c r="A16189" t="s">
        <v>985</v>
      </c>
      <c r="B16189" t="s">
        <v>106</v>
      </c>
      <c r="C16189" s="1">
        <f>HYPERLINK("https://cao.dolgi.msk.ru/account/1011421462/", 1011421462)</f>
        <v>1011421462</v>
      </c>
      <c r="D16189">
        <v>0</v>
      </c>
    </row>
    <row r="16190" spans="1:4" hidden="1" x14ac:dyDescent="0.3">
      <c r="A16190" t="s">
        <v>985</v>
      </c>
      <c r="B16190" t="s">
        <v>107</v>
      </c>
      <c r="C16190" s="1">
        <f>HYPERLINK("https://cao.dolgi.msk.ru/account/1011421083/", 1011421083)</f>
        <v>1011421083</v>
      </c>
      <c r="D16190">
        <v>-6022.49</v>
      </c>
    </row>
    <row r="16191" spans="1:4" hidden="1" x14ac:dyDescent="0.3">
      <c r="A16191" t="s">
        <v>985</v>
      </c>
      <c r="B16191" t="s">
        <v>108</v>
      </c>
      <c r="C16191" s="1">
        <f>HYPERLINK("https://cao.dolgi.msk.ru/account/1011421171/", 1011421171)</f>
        <v>1011421171</v>
      </c>
      <c r="D16191">
        <v>0</v>
      </c>
    </row>
    <row r="16192" spans="1:4" hidden="1" x14ac:dyDescent="0.3">
      <c r="A16192" t="s">
        <v>985</v>
      </c>
      <c r="B16192" t="s">
        <v>109</v>
      </c>
      <c r="C16192" s="1">
        <f>HYPERLINK("https://cao.dolgi.msk.ru/account/1011420689/", 1011420689)</f>
        <v>1011420689</v>
      </c>
      <c r="D16192">
        <v>0</v>
      </c>
    </row>
    <row r="16193" spans="1:4" hidden="1" x14ac:dyDescent="0.3">
      <c r="A16193" t="s">
        <v>985</v>
      </c>
      <c r="B16193" t="s">
        <v>110</v>
      </c>
      <c r="C16193" s="1">
        <f>HYPERLINK("https://cao.dolgi.msk.ru/account/1011420769/", 1011420769)</f>
        <v>1011420769</v>
      </c>
      <c r="D16193">
        <v>0</v>
      </c>
    </row>
    <row r="16194" spans="1:4" x14ac:dyDescent="0.3">
      <c r="A16194" t="s">
        <v>985</v>
      </c>
      <c r="B16194" t="s">
        <v>111</v>
      </c>
      <c r="C16194" s="1">
        <f>HYPERLINK("https://cao.dolgi.msk.ru/account/1011421139/", 1011421139)</f>
        <v>1011421139</v>
      </c>
      <c r="D16194">
        <v>3451.09</v>
      </c>
    </row>
    <row r="16195" spans="1:4" hidden="1" x14ac:dyDescent="0.3">
      <c r="A16195" t="s">
        <v>985</v>
      </c>
      <c r="B16195" t="s">
        <v>112</v>
      </c>
      <c r="C16195" s="1">
        <f>HYPERLINK("https://cao.dolgi.msk.ru/account/1011421673/", 1011421673)</f>
        <v>1011421673</v>
      </c>
      <c r="D16195">
        <v>0</v>
      </c>
    </row>
    <row r="16196" spans="1:4" x14ac:dyDescent="0.3">
      <c r="A16196" t="s">
        <v>985</v>
      </c>
      <c r="B16196" t="s">
        <v>113</v>
      </c>
      <c r="C16196" s="1">
        <f>HYPERLINK("https://cao.dolgi.msk.ru/account/1011421841/", 1011421841)</f>
        <v>1011421841</v>
      </c>
      <c r="D16196">
        <v>1428</v>
      </c>
    </row>
    <row r="16197" spans="1:4" hidden="1" x14ac:dyDescent="0.3">
      <c r="A16197" t="s">
        <v>985</v>
      </c>
      <c r="B16197" t="s">
        <v>114</v>
      </c>
      <c r="C16197" s="1">
        <f>HYPERLINK("https://cao.dolgi.msk.ru/account/1011421737/", 1011421737)</f>
        <v>1011421737</v>
      </c>
      <c r="D16197">
        <v>0</v>
      </c>
    </row>
    <row r="16198" spans="1:4" hidden="1" x14ac:dyDescent="0.3">
      <c r="A16198" t="s">
        <v>985</v>
      </c>
      <c r="B16198" t="s">
        <v>115</v>
      </c>
      <c r="C16198" s="1">
        <f>HYPERLINK("https://cao.dolgi.msk.ru/account/1011421913/", 1011421913)</f>
        <v>1011421913</v>
      </c>
      <c r="D16198">
        <v>0</v>
      </c>
    </row>
    <row r="16199" spans="1:4" hidden="1" x14ac:dyDescent="0.3">
      <c r="A16199" t="s">
        <v>985</v>
      </c>
      <c r="B16199" t="s">
        <v>116</v>
      </c>
      <c r="C16199" s="1">
        <f>HYPERLINK("https://cao.dolgi.msk.ru/account/1011422078/", 1011422078)</f>
        <v>1011422078</v>
      </c>
      <c r="D16199">
        <v>-7356.63</v>
      </c>
    </row>
    <row r="16200" spans="1:4" hidden="1" x14ac:dyDescent="0.3">
      <c r="A16200" t="s">
        <v>985</v>
      </c>
      <c r="B16200" t="s">
        <v>266</v>
      </c>
      <c r="C16200" s="1">
        <f>HYPERLINK("https://cao.dolgi.msk.ru/account/1011421219/", 1011421219)</f>
        <v>1011421219</v>
      </c>
      <c r="D16200">
        <v>0</v>
      </c>
    </row>
    <row r="16201" spans="1:4" hidden="1" x14ac:dyDescent="0.3">
      <c r="A16201" t="s">
        <v>985</v>
      </c>
      <c r="B16201" t="s">
        <v>117</v>
      </c>
      <c r="C16201" s="1">
        <f>HYPERLINK("https://cao.dolgi.msk.ru/account/1011421948/", 1011421948)</f>
        <v>1011421948</v>
      </c>
      <c r="D16201">
        <v>-2688.59</v>
      </c>
    </row>
    <row r="16202" spans="1:4" hidden="1" x14ac:dyDescent="0.3">
      <c r="A16202" t="s">
        <v>985</v>
      </c>
      <c r="B16202" t="s">
        <v>118</v>
      </c>
      <c r="C16202" s="1">
        <f>HYPERLINK("https://cao.dolgi.msk.ru/account/1011421438/", 1011421438)</f>
        <v>1011421438</v>
      </c>
      <c r="D16202">
        <v>0</v>
      </c>
    </row>
    <row r="16203" spans="1:4" hidden="1" x14ac:dyDescent="0.3">
      <c r="A16203" t="s">
        <v>985</v>
      </c>
      <c r="B16203" t="s">
        <v>119</v>
      </c>
      <c r="C16203" s="1">
        <f>HYPERLINK("https://cao.dolgi.msk.ru/account/1011421446/", 1011421446)</f>
        <v>1011421446</v>
      </c>
      <c r="D16203">
        <v>0</v>
      </c>
    </row>
    <row r="16204" spans="1:4" hidden="1" x14ac:dyDescent="0.3">
      <c r="A16204" t="s">
        <v>985</v>
      </c>
      <c r="B16204" t="s">
        <v>120</v>
      </c>
      <c r="C16204" s="1">
        <f>HYPERLINK("https://cao.dolgi.msk.ru/account/1011421227/", 1011421227)</f>
        <v>1011421227</v>
      </c>
      <c r="D16204">
        <v>0</v>
      </c>
    </row>
    <row r="16205" spans="1:4" hidden="1" x14ac:dyDescent="0.3">
      <c r="A16205" t="s">
        <v>985</v>
      </c>
      <c r="B16205" t="s">
        <v>121</v>
      </c>
      <c r="C16205" s="1">
        <f>HYPERLINK("https://cao.dolgi.msk.ru/account/1011420857/", 1011420857)</f>
        <v>1011420857</v>
      </c>
      <c r="D16205">
        <v>-1753.51</v>
      </c>
    </row>
    <row r="16206" spans="1:4" hidden="1" x14ac:dyDescent="0.3">
      <c r="A16206" t="s">
        <v>985</v>
      </c>
      <c r="B16206" t="s">
        <v>122</v>
      </c>
      <c r="C16206" s="1">
        <f>HYPERLINK("https://cao.dolgi.msk.ru/account/1011422115/", 1011422115)</f>
        <v>1011422115</v>
      </c>
      <c r="D16206">
        <v>0</v>
      </c>
    </row>
    <row r="16207" spans="1:4" x14ac:dyDescent="0.3">
      <c r="A16207" t="s">
        <v>985</v>
      </c>
      <c r="B16207" t="s">
        <v>123</v>
      </c>
      <c r="C16207" s="1">
        <f>HYPERLINK("https://cao.dolgi.msk.ru/account/1011420654/", 1011420654)</f>
        <v>1011420654</v>
      </c>
      <c r="D16207">
        <v>29735.57</v>
      </c>
    </row>
    <row r="16208" spans="1:4" x14ac:dyDescent="0.3">
      <c r="A16208" t="s">
        <v>985</v>
      </c>
      <c r="B16208" t="s">
        <v>124</v>
      </c>
      <c r="C16208" s="1">
        <f>HYPERLINK("https://cao.dolgi.msk.ru/account/1011421876/", 1011421876)</f>
        <v>1011421876</v>
      </c>
      <c r="D16208">
        <v>7964.59</v>
      </c>
    </row>
    <row r="16209" spans="1:4" hidden="1" x14ac:dyDescent="0.3">
      <c r="A16209" t="s">
        <v>985</v>
      </c>
      <c r="B16209" t="s">
        <v>125</v>
      </c>
      <c r="C16209" s="1">
        <f>HYPERLINK("https://cao.dolgi.msk.ru/account/1011422094/", 1011422094)</f>
        <v>1011422094</v>
      </c>
      <c r="D16209">
        <v>-4934.6000000000004</v>
      </c>
    </row>
    <row r="16210" spans="1:4" hidden="1" x14ac:dyDescent="0.3">
      <c r="A16210" t="s">
        <v>985</v>
      </c>
      <c r="B16210" t="s">
        <v>126</v>
      </c>
      <c r="C16210" s="1">
        <f>HYPERLINK("https://cao.dolgi.msk.ru/account/1011421956/", 1011421956)</f>
        <v>1011421956</v>
      </c>
      <c r="D16210">
        <v>0</v>
      </c>
    </row>
    <row r="16211" spans="1:4" hidden="1" x14ac:dyDescent="0.3">
      <c r="A16211" t="s">
        <v>985</v>
      </c>
      <c r="B16211" t="s">
        <v>127</v>
      </c>
      <c r="C16211" s="1">
        <f>HYPERLINK("https://cao.dolgi.msk.ru/account/1011420945/", 1011420945)</f>
        <v>1011420945</v>
      </c>
      <c r="D16211">
        <v>0</v>
      </c>
    </row>
    <row r="16212" spans="1:4" hidden="1" x14ac:dyDescent="0.3">
      <c r="A16212" t="s">
        <v>985</v>
      </c>
      <c r="B16212" t="s">
        <v>262</v>
      </c>
      <c r="C16212" s="1">
        <f>HYPERLINK("https://cao.dolgi.msk.ru/account/1011420988/", 1011420988)</f>
        <v>1011420988</v>
      </c>
      <c r="D16212">
        <v>-9547.4500000000007</v>
      </c>
    </row>
    <row r="16213" spans="1:4" hidden="1" x14ac:dyDescent="0.3">
      <c r="A16213" t="s">
        <v>985</v>
      </c>
      <c r="B16213" t="s">
        <v>128</v>
      </c>
      <c r="C16213" s="1">
        <f>HYPERLINK("https://cao.dolgi.msk.ru/account/1011422107/", 1011422107)</f>
        <v>1011422107</v>
      </c>
      <c r="D16213">
        <v>-128</v>
      </c>
    </row>
    <row r="16214" spans="1:4" x14ac:dyDescent="0.3">
      <c r="A16214" t="s">
        <v>985</v>
      </c>
      <c r="B16214" t="s">
        <v>129</v>
      </c>
      <c r="C16214" s="1">
        <f>HYPERLINK("https://cao.dolgi.msk.ru/account/1011421534/", 1011421534)</f>
        <v>1011421534</v>
      </c>
      <c r="D16214">
        <v>32996.639999999999</v>
      </c>
    </row>
    <row r="16215" spans="1:4" x14ac:dyDescent="0.3">
      <c r="A16215" t="s">
        <v>985</v>
      </c>
      <c r="B16215" t="s">
        <v>130</v>
      </c>
      <c r="C16215" s="1">
        <f>HYPERLINK("https://cao.dolgi.msk.ru/account/1011421921/", 1011421921)</f>
        <v>1011421921</v>
      </c>
      <c r="D16215">
        <v>30256.83</v>
      </c>
    </row>
    <row r="16216" spans="1:4" hidden="1" x14ac:dyDescent="0.3">
      <c r="A16216" t="s">
        <v>985</v>
      </c>
      <c r="B16216" t="s">
        <v>131</v>
      </c>
      <c r="C16216" s="1">
        <f>HYPERLINK("https://cao.dolgi.msk.ru/account/1011421593/", 1011421593)</f>
        <v>1011421593</v>
      </c>
      <c r="D16216">
        <v>-46.49</v>
      </c>
    </row>
    <row r="16217" spans="1:4" hidden="1" x14ac:dyDescent="0.3">
      <c r="A16217" t="s">
        <v>985</v>
      </c>
      <c r="B16217" t="s">
        <v>132</v>
      </c>
      <c r="C16217" s="1">
        <f>HYPERLINK("https://cao.dolgi.msk.ru/account/1011421745/", 1011421745)</f>
        <v>1011421745</v>
      </c>
      <c r="D16217">
        <v>-374.03</v>
      </c>
    </row>
    <row r="16218" spans="1:4" hidden="1" x14ac:dyDescent="0.3">
      <c r="A16218" t="s">
        <v>985</v>
      </c>
      <c r="B16218" t="s">
        <v>133</v>
      </c>
      <c r="C16218" s="1">
        <f>HYPERLINK("https://cao.dolgi.msk.ru/account/1011420822/", 1011420822)</f>
        <v>1011420822</v>
      </c>
      <c r="D16218">
        <v>-8252.32</v>
      </c>
    </row>
    <row r="16219" spans="1:4" hidden="1" x14ac:dyDescent="0.3">
      <c r="A16219" t="s">
        <v>985</v>
      </c>
      <c r="B16219" t="s">
        <v>134</v>
      </c>
      <c r="C16219" s="1">
        <f>HYPERLINK("https://cao.dolgi.msk.ru/account/1011421569/", 1011421569)</f>
        <v>1011421569</v>
      </c>
      <c r="D16219">
        <v>0</v>
      </c>
    </row>
    <row r="16220" spans="1:4" hidden="1" x14ac:dyDescent="0.3">
      <c r="A16220" t="s">
        <v>985</v>
      </c>
      <c r="B16220" t="s">
        <v>135</v>
      </c>
      <c r="C16220" s="1">
        <f>HYPERLINK("https://cao.dolgi.msk.ru/account/1011420785/", 1011420785)</f>
        <v>1011420785</v>
      </c>
      <c r="D16220">
        <v>0</v>
      </c>
    </row>
    <row r="16221" spans="1:4" x14ac:dyDescent="0.3">
      <c r="A16221" t="s">
        <v>985</v>
      </c>
      <c r="B16221" t="s">
        <v>264</v>
      </c>
      <c r="C16221" s="1">
        <f>HYPERLINK("https://cao.dolgi.msk.ru/account/1011421278/", 1011421278)</f>
        <v>1011421278</v>
      </c>
      <c r="D16221">
        <v>695.93</v>
      </c>
    </row>
    <row r="16222" spans="1:4" hidden="1" x14ac:dyDescent="0.3">
      <c r="A16222" t="s">
        <v>985</v>
      </c>
      <c r="B16222" t="s">
        <v>136</v>
      </c>
      <c r="C16222" s="1">
        <f>HYPERLINK("https://cao.dolgi.msk.ru/account/1011421235/", 1011421235)</f>
        <v>1011421235</v>
      </c>
      <c r="D16222">
        <v>0</v>
      </c>
    </row>
    <row r="16223" spans="1:4" hidden="1" x14ac:dyDescent="0.3">
      <c r="A16223" t="s">
        <v>985</v>
      </c>
      <c r="B16223" t="s">
        <v>137</v>
      </c>
      <c r="C16223" s="1">
        <f>HYPERLINK("https://cao.dolgi.msk.ru/account/1011421008/", 1011421008)</f>
        <v>1011421008</v>
      </c>
      <c r="D16223">
        <v>-2520.56</v>
      </c>
    </row>
    <row r="16224" spans="1:4" hidden="1" x14ac:dyDescent="0.3">
      <c r="A16224" t="s">
        <v>985</v>
      </c>
      <c r="B16224" t="s">
        <v>138</v>
      </c>
      <c r="C16224" s="1">
        <f>HYPERLINK("https://cao.dolgi.msk.ru/account/1011421016/", 1011421016)</f>
        <v>1011421016</v>
      </c>
      <c r="D16224">
        <v>0</v>
      </c>
    </row>
    <row r="16225" spans="1:4" hidden="1" x14ac:dyDescent="0.3">
      <c r="A16225" t="s">
        <v>985</v>
      </c>
      <c r="B16225" t="s">
        <v>139</v>
      </c>
      <c r="C16225" s="1">
        <f>HYPERLINK("https://cao.dolgi.msk.ru/account/1011421374/", 1011421374)</f>
        <v>1011421374</v>
      </c>
      <c r="D16225">
        <v>0</v>
      </c>
    </row>
    <row r="16226" spans="1:4" hidden="1" x14ac:dyDescent="0.3">
      <c r="A16226" t="s">
        <v>985</v>
      </c>
      <c r="B16226" t="s">
        <v>140</v>
      </c>
      <c r="C16226" s="1">
        <f>HYPERLINK("https://cao.dolgi.msk.ru/account/1011422174/", 1011422174)</f>
        <v>1011422174</v>
      </c>
      <c r="D16226">
        <v>-2717.24</v>
      </c>
    </row>
    <row r="16227" spans="1:4" hidden="1" x14ac:dyDescent="0.3">
      <c r="A16227" t="s">
        <v>985</v>
      </c>
      <c r="B16227" t="s">
        <v>141</v>
      </c>
      <c r="C16227" s="1">
        <f>HYPERLINK("https://cao.dolgi.msk.ru/account/1011421702/", 1011421702)</f>
        <v>1011421702</v>
      </c>
      <c r="D16227">
        <v>-1585.55</v>
      </c>
    </row>
    <row r="16228" spans="1:4" x14ac:dyDescent="0.3">
      <c r="A16228" t="s">
        <v>985</v>
      </c>
      <c r="B16228" t="s">
        <v>986</v>
      </c>
      <c r="C16228" s="1">
        <f>HYPERLINK("https://cao.dolgi.msk.ru/account/1011421999/", 1011421999)</f>
        <v>1011421999</v>
      </c>
      <c r="D16228">
        <v>13572.46</v>
      </c>
    </row>
    <row r="16229" spans="1:4" hidden="1" x14ac:dyDescent="0.3">
      <c r="A16229" t="s">
        <v>985</v>
      </c>
      <c r="B16229" t="s">
        <v>144</v>
      </c>
      <c r="C16229" s="1">
        <f>HYPERLINK("https://cao.dolgi.msk.ru/account/1011421382/", 1011421382)</f>
        <v>1011421382</v>
      </c>
      <c r="D16229">
        <v>0</v>
      </c>
    </row>
    <row r="16230" spans="1:4" hidden="1" x14ac:dyDescent="0.3">
      <c r="A16230" t="s">
        <v>985</v>
      </c>
      <c r="B16230" t="s">
        <v>145</v>
      </c>
      <c r="C16230" s="1">
        <f>HYPERLINK("https://cao.dolgi.msk.ru/account/1011421606/", 1011421606)</f>
        <v>1011421606</v>
      </c>
      <c r="D16230">
        <v>-20263.05</v>
      </c>
    </row>
    <row r="16231" spans="1:4" hidden="1" x14ac:dyDescent="0.3">
      <c r="A16231" t="s">
        <v>985</v>
      </c>
      <c r="B16231" t="s">
        <v>146</v>
      </c>
      <c r="C16231" s="1">
        <f>HYPERLINK("https://cao.dolgi.msk.ru/account/1011420806/", 1011420806)</f>
        <v>1011420806</v>
      </c>
      <c r="D16231">
        <v>0</v>
      </c>
    </row>
    <row r="16232" spans="1:4" hidden="1" x14ac:dyDescent="0.3">
      <c r="A16232" t="s">
        <v>985</v>
      </c>
      <c r="B16232" t="s">
        <v>147</v>
      </c>
      <c r="C16232" s="1">
        <f>HYPERLINK("https://cao.dolgi.msk.ru/account/1011421286/", 1011421286)</f>
        <v>1011421286</v>
      </c>
      <c r="D16232">
        <v>0</v>
      </c>
    </row>
    <row r="16233" spans="1:4" hidden="1" x14ac:dyDescent="0.3">
      <c r="A16233" t="s">
        <v>985</v>
      </c>
      <c r="B16233" t="s">
        <v>148</v>
      </c>
      <c r="C16233" s="1">
        <f>HYPERLINK("https://cao.dolgi.msk.ru/account/1011420697/", 1011420697)</f>
        <v>1011420697</v>
      </c>
      <c r="D16233">
        <v>0</v>
      </c>
    </row>
    <row r="16234" spans="1:4" hidden="1" x14ac:dyDescent="0.3">
      <c r="A16234" t="s">
        <v>985</v>
      </c>
      <c r="B16234" t="s">
        <v>149</v>
      </c>
      <c r="C16234" s="1">
        <f>HYPERLINK("https://cao.dolgi.msk.ru/account/1011420996/", 1011420996)</f>
        <v>1011420996</v>
      </c>
      <c r="D16234">
        <v>-663.77</v>
      </c>
    </row>
    <row r="16235" spans="1:4" x14ac:dyDescent="0.3">
      <c r="A16235" t="s">
        <v>985</v>
      </c>
      <c r="B16235" t="s">
        <v>150</v>
      </c>
      <c r="C16235" s="1">
        <f>HYPERLINK("https://cao.dolgi.msk.ru/account/1011421024/", 1011421024)</f>
        <v>1011421024</v>
      </c>
      <c r="D16235">
        <v>15378.43</v>
      </c>
    </row>
    <row r="16236" spans="1:4" hidden="1" x14ac:dyDescent="0.3">
      <c r="A16236" t="s">
        <v>985</v>
      </c>
      <c r="B16236" t="s">
        <v>151</v>
      </c>
      <c r="C16236" s="1">
        <f>HYPERLINK("https://cao.dolgi.msk.ru/account/1011421331/", 1011421331)</f>
        <v>1011421331</v>
      </c>
      <c r="D16236">
        <v>-2763.86</v>
      </c>
    </row>
    <row r="16237" spans="1:4" hidden="1" x14ac:dyDescent="0.3">
      <c r="A16237" t="s">
        <v>985</v>
      </c>
      <c r="B16237" t="s">
        <v>152</v>
      </c>
      <c r="C16237" s="1">
        <f>HYPERLINK("https://cao.dolgi.msk.ru/account/1011421681/", 1011421681)</f>
        <v>1011421681</v>
      </c>
      <c r="D16237">
        <v>-4.55</v>
      </c>
    </row>
    <row r="16238" spans="1:4" hidden="1" x14ac:dyDescent="0.3">
      <c r="A16238" t="s">
        <v>985</v>
      </c>
      <c r="B16238" t="s">
        <v>153</v>
      </c>
      <c r="C16238" s="1">
        <f>HYPERLINK("https://cao.dolgi.msk.ru/account/1011421091/", 1011421091)</f>
        <v>1011421091</v>
      </c>
      <c r="D16238">
        <v>-21931.81</v>
      </c>
    </row>
    <row r="16239" spans="1:4" hidden="1" x14ac:dyDescent="0.3">
      <c r="A16239" t="s">
        <v>987</v>
      </c>
      <c r="B16239" t="s">
        <v>6</v>
      </c>
      <c r="C16239" s="1">
        <f>HYPERLINK("https://cao.dolgi.msk.ru/account/1011211115/", 1011211115)</f>
        <v>1011211115</v>
      </c>
      <c r="D16239">
        <v>0</v>
      </c>
    </row>
    <row r="16240" spans="1:4" hidden="1" x14ac:dyDescent="0.3">
      <c r="A16240" t="s">
        <v>987</v>
      </c>
      <c r="B16240" t="s">
        <v>28</v>
      </c>
      <c r="C16240" s="1">
        <f>HYPERLINK("https://cao.dolgi.msk.ru/account/1011210569/", 1011210569)</f>
        <v>1011210569</v>
      </c>
      <c r="D16240">
        <v>-9214.51</v>
      </c>
    </row>
    <row r="16241" spans="1:4" hidden="1" x14ac:dyDescent="0.3">
      <c r="A16241" t="s">
        <v>987</v>
      </c>
      <c r="B16241" t="s">
        <v>35</v>
      </c>
      <c r="C16241" s="1">
        <f>HYPERLINK("https://cao.dolgi.msk.ru/account/1011210884/", 1011210884)</f>
        <v>1011210884</v>
      </c>
      <c r="D16241">
        <v>-20124.11</v>
      </c>
    </row>
    <row r="16242" spans="1:4" hidden="1" x14ac:dyDescent="0.3">
      <c r="A16242" t="s">
        <v>987</v>
      </c>
      <c r="B16242" t="s">
        <v>5</v>
      </c>
      <c r="C16242" s="1">
        <f>HYPERLINK("https://cao.dolgi.msk.ru/account/1011210761/", 1011210761)</f>
        <v>1011210761</v>
      </c>
      <c r="D16242">
        <v>-6983.21</v>
      </c>
    </row>
    <row r="16243" spans="1:4" hidden="1" x14ac:dyDescent="0.3">
      <c r="A16243" t="s">
        <v>987</v>
      </c>
      <c r="B16243" t="s">
        <v>7</v>
      </c>
      <c r="C16243" s="1">
        <f>HYPERLINK("https://cao.dolgi.msk.ru/account/1011211123/", 1011211123)</f>
        <v>1011211123</v>
      </c>
      <c r="D16243">
        <v>0</v>
      </c>
    </row>
    <row r="16244" spans="1:4" hidden="1" x14ac:dyDescent="0.3">
      <c r="A16244" t="s">
        <v>987</v>
      </c>
      <c r="B16244" t="s">
        <v>8</v>
      </c>
      <c r="C16244" s="1">
        <f>HYPERLINK("https://cao.dolgi.msk.ru/account/1011210665/", 1011210665)</f>
        <v>1011210665</v>
      </c>
      <c r="D16244">
        <v>-9438.02</v>
      </c>
    </row>
    <row r="16245" spans="1:4" hidden="1" x14ac:dyDescent="0.3">
      <c r="A16245" t="s">
        <v>987</v>
      </c>
      <c r="B16245" t="s">
        <v>878</v>
      </c>
      <c r="C16245" s="1">
        <f>HYPERLINK("https://cao.dolgi.msk.ru/account/1011210673/", 1011210673)</f>
        <v>1011210673</v>
      </c>
      <c r="D16245">
        <v>-12.41</v>
      </c>
    </row>
    <row r="16246" spans="1:4" hidden="1" x14ac:dyDescent="0.3">
      <c r="A16246" t="s">
        <v>987</v>
      </c>
      <c r="B16246" t="s">
        <v>9</v>
      </c>
      <c r="C16246" s="1">
        <f>HYPERLINK("https://cao.dolgi.msk.ru/account/1011211254/", 1011211254)</f>
        <v>1011211254</v>
      </c>
      <c r="D16246">
        <v>-5.57</v>
      </c>
    </row>
    <row r="16247" spans="1:4" x14ac:dyDescent="0.3">
      <c r="A16247" t="s">
        <v>987</v>
      </c>
      <c r="B16247" t="s">
        <v>10</v>
      </c>
      <c r="C16247" s="1">
        <f>HYPERLINK("https://cao.dolgi.msk.ru/account/1011210753/", 1011210753)</f>
        <v>1011210753</v>
      </c>
      <c r="D16247">
        <v>5772.94</v>
      </c>
    </row>
    <row r="16248" spans="1:4" hidden="1" x14ac:dyDescent="0.3">
      <c r="A16248" t="s">
        <v>987</v>
      </c>
      <c r="B16248" t="s">
        <v>12</v>
      </c>
      <c r="C16248" s="1">
        <f>HYPERLINK("https://cao.dolgi.msk.ru/account/1011210446/", 1011210446)</f>
        <v>1011210446</v>
      </c>
      <c r="D16248">
        <v>-24.74</v>
      </c>
    </row>
    <row r="16249" spans="1:4" hidden="1" x14ac:dyDescent="0.3">
      <c r="A16249" t="s">
        <v>987</v>
      </c>
      <c r="B16249" t="s">
        <v>23</v>
      </c>
      <c r="C16249" s="1">
        <f>HYPERLINK("https://cao.dolgi.msk.ru/account/1011210657/", 1011210657)</f>
        <v>1011210657</v>
      </c>
      <c r="D16249">
        <v>0</v>
      </c>
    </row>
    <row r="16250" spans="1:4" hidden="1" x14ac:dyDescent="0.3">
      <c r="A16250" t="s">
        <v>987</v>
      </c>
      <c r="B16250" t="s">
        <v>13</v>
      </c>
      <c r="C16250" s="1">
        <f>HYPERLINK("https://cao.dolgi.msk.ru/account/1011211035/", 1011211035)</f>
        <v>1011211035</v>
      </c>
      <c r="D16250">
        <v>0</v>
      </c>
    </row>
    <row r="16251" spans="1:4" hidden="1" x14ac:dyDescent="0.3">
      <c r="A16251" t="s">
        <v>987</v>
      </c>
      <c r="B16251" t="s">
        <v>14</v>
      </c>
      <c r="C16251" s="1">
        <f>HYPERLINK("https://cao.dolgi.msk.ru/account/1011210788/", 1011210788)</f>
        <v>1011210788</v>
      </c>
      <c r="D16251">
        <v>-271.88</v>
      </c>
    </row>
    <row r="16252" spans="1:4" hidden="1" x14ac:dyDescent="0.3">
      <c r="A16252" t="s">
        <v>987</v>
      </c>
      <c r="B16252" t="s">
        <v>16</v>
      </c>
      <c r="C16252" s="1">
        <f>HYPERLINK("https://cao.dolgi.msk.ru/account/1011210796/", 1011210796)</f>
        <v>1011210796</v>
      </c>
      <c r="D16252">
        <v>-12.37</v>
      </c>
    </row>
    <row r="16253" spans="1:4" hidden="1" x14ac:dyDescent="0.3">
      <c r="A16253" t="s">
        <v>987</v>
      </c>
      <c r="B16253" t="s">
        <v>17</v>
      </c>
      <c r="C16253" s="1">
        <f>HYPERLINK("https://cao.dolgi.msk.ru/account/1011211019/", 1011211019)</f>
        <v>1011211019</v>
      </c>
      <c r="D16253">
        <v>-5.64</v>
      </c>
    </row>
    <row r="16254" spans="1:4" hidden="1" x14ac:dyDescent="0.3">
      <c r="A16254" t="s">
        <v>987</v>
      </c>
      <c r="B16254" t="s">
        <v>19</v>
      </c>
      <c r="C16254" s="1">
        <f>HYPERLINK("https://cao.dolgi.msk.ru/account/1011210809/", 1011210809)</f>
        <v>1011210809</v>
      </c>
      <c r="D16254">
        <v>0</v>
      </c>
    </row>
    <row r="16255" spans="1:4" x14ac:dyDescent="0.3">
      <c r="A16255" t="s">
        <v>987</v>
      </c>
      <c r="B16255" t="s">
        <v>20</v>
      </c>
      <c r="C16255" s="1">
        <f>HYPERLINK("https://cao.dolgi.msk.ru/account/1011211131/", 1011211131)</f>
        <v>1011211131</v>
      </c>
      <c r="D16255">
        <v>79888.100000000006</v>
      </c>
    </row>
    <row r="16256" spans="1:4" hidden="1" x14ac:dyDescent="0.3">
      <c r="A16256" t="s">
        <v>987</v>
      </c>
      <c r="B16256" t="s">
        <v>21</v>
      </c>
      <c r="C16256" s="1">
        <f>HYPERLINK("https://cao.dolgi.msk.ru/account/1011210577/", 1011210577)</f>
        <v>1011210577</v>
      </c>
      <c r="D16256">
        <v>0</v>
      </c>
    </row>
    <row r="16257" spans="1:4" hidden="1" x14ac:dyDescent="0.3">
      <c r="A16257" t="s">
        <v>987</v>
      </c>
      <c r="B16257" t="s">
        <v>22</v>
      </c>
      <c r="C16257" s="1">
        <f>HYPERLINK("https://cao.dolgi.msk.ru/account/1011211158/", 1011211158)</f>
        <v>1011211158</v>
      </c>
      <c r="D16257">
        <v>-10806.15</v>
      </c>
    </row>
    <row r="16258" spans="1:4" hidden="1" x14ac:dyDescent="0.3">
      <c r="A16258" t="s">
        <v>987</v>
      </c>
      <c r="B16258" t="s">
        <v>24</v>
      </c>
      <c r="C16258" s="1">
        <f>HYPERLINK("https://cao.dolgi.msk.ru/account/1011211166/", 1011211166)</f>
        <v>1011211166</v>
      </c>
      <c r="D16258">
        <v>-26.62</v>
      </c>
    </row>
    <row r="16259" spans="1:4" hidden="1" x14ac:dyDescent="0.3">
      <c r="A16259" t="s">
        <v>987</v>
      </c>
      <c r="B16259" t="s">
        <v>25</v>
      </c>
      <c r="C16259" s="1">
        <f>HYPERLINK("https://cao.dolgi.msk.ru/account/1011210681/", 1011210681)</f>
        <v>1011210681</v>
      </c>
      <c r="D16259">
        <v>-49.16</v>
      </c>
    </row>
    <row r="16260" spans="1:4" x14ac:dyDescent="0.3">
      <c r="A16260" t="s">
        <v>987</v>
      </c>
      <c r="B16260" t="s">
        <v>26</v>
      </c>
      <c r="C16260" s="1">
        <f>HYPERLINK("https://cao.dolgi.msk.ru/account/1011210585/", 1011210585)</f>
        <v>1011210585</v>
      </c>
      <c r="D16260">
        <v>16380.74</v>
      </c>
    </row>
    <row r="16261" spans="1:4" x14ac:dyDescent="0.3">
      <c r="A16261" t="s">
        <v>987</v>
      </c>
      <c r="B16261" t="s">
        <v>27</v>
      </c>
      <c r="C16261" s="1">
        <f>HYPERLINK("https://cao.dolgi.msk.ru/account/1011210892/", 1011210892)</f>
        <v>1011210892</v>
      </c>
      <c r="D16261">
        <v>15334.25</v>
      </c>
    </row>
    <row r="16262" spans="1:4" hidden="1" x14ac:dyDescent="0.3">
      <c r="A16262" t="s">
        <v>987</v>
      </c>
      <c r="B16262" t="s">
        <v>29</v>
      </c>
      <c r="C16262" s="1">
        <f>HYPERLINK("https://cao.dolgi.msk.ru/account/1011211043/", 1011211043)</f>
        <v>1011211043</v>
      </c>
      <c r="D16262">
        <v>-544.35</v>
      </c>
    </row>
    <row r="16263" spans="1:4" hidden="1" x14ac:dyDescent="0.3">
      <c r="A16263" t="s">
        <v>987</v>
      </c>
      <c r="B16263" t="s">
        <v>38</v>
      </c>
      <c r="C16263" s="1">
        <f>HYPERLINK("https://cao.dolgi.msk.ru/account/1011211174/", 1011211174)</f>
        <v>1011211174</v>
      </c>
      <c r="D16263">
        <v>-69.760000000000005</v>
      </c>
    </row>
    <row r="16264" spans="1:4" hidden="1" x14ac:dyDescent="0.3">
      <c r="A16264" t="s">
        <v>987</v>
      </c>
      <c r="B16264" t="s">
        <v>39</v>
      </c>
      <c r="C16264" s="1">
        <f>HYPERLINK("https://cao.dolgi.msk.ru/account/1011210905/", 1011210905)</f>
        <v>1011210905</v>
      </c>
      <c r="D16264">
        <v>-7698.18</v>
      </c>
    </row>
    <row r="16265" spans="1:4" hidden="1" x14ac:dyDescent="0.3">
      <c r="A16265" t="s">
        <v>987</v>
      </c>
      <c r="B16265" t="s">
        <v>40</v>
      </c>
      <c r="C16265" s="1">
        <f>HYPERLINK("https://cao.dolgi.msk.ru/account/1011210876/", 1011210876)</f>
        <v>1011210876</v>
      </c>
      <c r="D16265">
        <v>-1396.66</v>
      </c>
    </row>
    <row r="16266" spans="1:4" x14ac:dyDescent="0.3">
      <c r="A16266" t="s">
        <v>987</v>
      </c>
      <c r="B16266" t="s">
        <v>41</v>
      </c>
      <c r="C16266" s="1">
        <f>HYPERLINK("https://cao.dolgi.msk.ru/account/1011210913/", 1011210913)</f>
        <v>1011210913</v>
      </c>
      <c r="D16266">
        <v>38258.9</v>
      </c>
    </row>
    <row r="16267" spans="1:4" hidden="1" x14ac:dyDescent="0.3">
      <c r="A16267" t="s">
        <v>987</v>
      </c>
      <c r="B16267" t="s">
        <v>51</v>
      </c>
      <c r="C16267" s="1">
        <f>HYPERLINK("https://cao.dolgi.msk.ru/account/1011210454/", 1011210454)</f>
        <v>1011210454</v>
      </c>
      <c r="D16267">
        <v>-32.799999999999997</v>
      </c>
    </row>
    <row r="16268" spans="1:4" hidden="1" x14ac:dyDescent="0.3">
      <c r="A16268" t="s">
        <v>987</v>
      </c>
      <c r="B16268" t="s">
        <v>52</v>
      </c>
      <c r="C16268" s="1">
        <f>HYPERLINK("https://cao.dolgi.msk.ru/account/1011210702/", 1011210702)</f>
        <v>1011210702</v>
      </c>
      <c r="D16268">
        <v>-43.53</v>
      </c>
    </row>
    <row r="16269" spans="1:4" hidden="1" x14ac:dyDescent="0.3">
      <c r="A16269" t="s">
        <v>987</v>
      </c>
      <c r="B16269" t="s">
        <v>53</v>
      </c>
      <c r="C16269" s="1">
        <f>HYPERLINK("https://cao.dolgi.msk.ru/account/1011210462/", 1011210462)</f>
        <v>1011210462</v>
      </c>
      <c r="D16269">
        <v>0</v>
      </c>
    </row>
    <row r="16270" spans="1:4" x14ac:dyDescent="0.3">
      <c r="A16270" t="s">
        <v>987</v>
      </c>
      <c r="B16270" t="s">
        <v>54</v>
      </c>
      <c r="C16270" s="1">
        <f>HYPERLINK("https://cao.dolgi.msk.ru/account/1011210593/", 1011210593)</f>
        <v>1011210593</v>
      </c>
      <c r="D16270">
        <v>11655.81</v>
      </c>
    </row>
    <row r="16271" spans="1:4" hidden="1" x14ac:dyDescent="0.3">
      <c r="A16271" t="s">
        <v>987</v>
      </c>
      <c r="B16271" t="s">
        <v>55</v>
      </c>
      <c r="C16271" s="1">
        <f>HYPERLINK("https://cao.dolgi.msk.ru/account/1011211051/", 1011211051)</f>
        <v>1011211051</v>
      </c>
      <c r="D16271">
        <v>-35</v>
      </c>
    </row>
    <row r="16272" spans="1:4" hidden="1" x14ac:dyDescent="0.3">
      <c r="A16272" t="s">
        <v>987</v>
      </c>
      <c r="B16272" t="s">
        <v>56</v>
      </c>
      <c r="C16272" s="1">
        <f>HYPERLINK("https://cao.dolgi.msk.ru/account/1011211078/", 1011211078)</f>
        <v>1011211078</v>
      </c>
      <c r="D16272">
        <v>-6875.33</v>
      </c>
    </row>
    <row r="16273" spans="1:4" hidden="1" x14ac:dyDescent="0.3">
      <c r="A16273" t="s">
        <v>987</v>
      </c>
      <c r="B16273" t="s">
        <v>87</v>
      </c>
      <c r="C16273" s="1">
        <f>HYPERLINK("https://cao.dolgi.msk.ru/account/1011210489/", 1011210489)</f>
        <v>1011210489</v>
      </c>
      <c r="D16273">
        <v>-13733.57</v>
      </c>
    </row>
    <row r="16274" spans="1:4" x14ac:dyDescent="0.3">
      <c r="A16274" t="s">
        <v>987</v>
      </c>
      <c r="B16274" t="s">
        <v>88</v>
      </c>
      <c r="C16274" s="1">
        <f>HYPERLINK("https://cao.dolgi.msk.ru/account/1011211182/", 1011211182)</f>
        <v>1011211182</v>
      </c>
      <c r="D16274">
        <v>45123.91</v>
      </c>
    </row>
    <row r="16275" spans="1:4" x14ac:dyDescent="0.3">
      <c r="A16275" t="s">
        <v>987</v>
      </c>
      <c r="B16275" t="s">
        <v>89</v>
      </c>
      <c r="C16275" s="1">
        <f>HYPERLINK("https://cao.dolgi.msk.ru/account/1011210817/", 1011210817)</f>
        <v>1011210817</v>
      </c>
      <c r="D16275">
        <v>24033.31</v>
      </c>
    </row>
    <row r="16276" spans="1:4" x14ac:dyDescent="0.3">
      <c r="A16276" t="s">
        <v>987</v>
      </c>
      <c r="B16276" t="s">
        <v>90</v>
      </c>
      <c r="C16276" s="1">
        <f>HYPERLINK("https://cao.dolgi.msk.ru/account/1011210606/", 1011210606)</f>
        <v>1011210606</v>
      </c>
      <c r="D16276">
        <v>1664.1</v>
      </c>
    </row>
    <row r="16277" spans="1:4" hidden="1" x14ac:dyDescent="0.3">
      <c r="A16277" t="s">
        <v>987</v>
      </c>
      <c r="B16277" t="s">
        <v>96</v>
      </c>
      <c r="C16277" s="1">
        <f>HYPERLINK("https://cao.dolgi.msk.ru/account/1011210729/", 1011210729)</f>
        <v>1011210729</v>
      </c>
      <c r="D16277">
        <v>0</v>
      </c>
    </row>
    <row r="16278" spans="1:4" x14ac:dyDescent="0.3">
      <c r="A16278" t="s">
        <v>987</v>
      </c>
      <c r="B16278" t="s">
        <v>97</v>
      </c>
      <c r="C16278" s="1">
        <f>HYPERLINK("https://cao.dolgi.msk.ru/account/1011210614/", 1011210614)</f>
        <v>1011210614</v>
      </c>
      <c r="D16278">
        <v>6791.34</v>
      </c>
    </row>
    <row r="16279" spans="1:4" hidden="1" x14ac:dyDescent="0.3">
      <c r="A16279" t="s">
        <v>987</v>
      </c>
      <c r="B16279" t="s">
        <v>98</v>
      </c>
      <c r="C16279" s="1">
        <f>HYPERLINK("https://cao.dolgi.msk.ru/account/1011210497/", 1011210497)</f>
        <v>1011210497</v>
      </c>
      <c r="D16279">
        <v>-13612.85</v>
      </c>
    </row>
    <row r="16280" spans="1:4" x14ac:dyDescent="0.3">
      <c r="A16280" t="s">
        <v>987</v>
      </c>
      <c r="B16280" t="s">
        <v>58</v>
      </c>
      <c r="C16280" s="1">
        <f>HYPERLINK("https://cao.dolgi.msk.ru/account/1011210921/", 1011210921)</f>
        <v>1011210921</v>
      </c>
      <c r="D16280">
        <v>38</v>
      </c>
    </row>
    <row r="16281" spans="1:4" x14ac:dyDescent="0.3">
      <c r="A16281" t="s">
        <v>987</v>
      </c>
      <c r="B16281" t="s">
        <v>59</v>
      </c>
      <c r="C16281" s="1">
        <f>HYPERLINK("https://cao.dolgi.msk.ru/account/1011210737/", 1011210737)</f>
        <v>1011210737</v>
      </c>
      <c r="D16281">
        <v>4729.05</v>
      </c>
    </row>
    <row r="16282" spans="1:4" x14ac:dyDescent="0.3">
      <c r="A16282" t="s">
        <v>987</v>
      </c>
      <c r="B16282" t="s">
        <v>60</v>
      </c>
      <c r="C16282" s="1">
        <f>HYPERLINK("https://cao.dolgi.msk.ru/account/1011211203/", 1011211203)</f>
        <v>1011211203</v>
      </c>
      <c r="D16282">
        <v>989.92</v>
      </c>
    </row>
    <row r="16283" spans="1:4" hidden="1" x14ac:dyDescent="0.3">
      <c r="A16283" t="s">
        <v>987</v>
      </c>
      <c r="B16283" t="s">
        <v>61</v>
      </c>
      <c r="C16283" s="1">
        <f>HYPERLINK("https://cao.dolgi.msk.ru/account/1011210825/", 1011210825)</f>
        <v>1011210825</v>
      </c>
      <c r="D16283">
        <v>-6968.22</v>
      </c>
    </row>
    <row r="16284" spans="1:4" hidden="1" x14ac:dyDescent="0.3">
      <c r="A16284" t="s">
        <v>987</v>
      </c>
      <c r="B16284" t="s">
        <v>62</v>
      </c>
      <c r="C16284" s="1">
        <f>HYPERLINK("https://cao.dolgi.msk.ru/account/1011210948/", 1011210948)</f>
        <v>1011210948</v>
      </c>
      <c r="D16284">
        <v>-33.26</v>
      </c>
    </row>
    <row r="16285" spans="1:4" x14ac:dyDescent="0.3">
      <c r="A16285" t="s">
        <v>987</v>
      </c>
      <c r="B16285" t="s">
        <v>63</v>
      </c>
      <c r="C16285" s="1">
        <f>HYPERLINK("https://cao.dolgi.msk.ru/account/1011211086/", 1011211086)</f>
        <v>1011211086</v>
      </c>
      <c r="D16285">
        <v>55807.28</v>
      </c>
    </row>
    <row r="16286" spans="1:4" hidden="1" x14ac:dyDescent="0.3">
      <c r="A16286" t="s">
        <v>987</v>
      </c>
      <c r="B16286" t="s">
        <v>64</v>
      </c>
      <c r="C16286" s="1">
        <f>HYPERLINK("https://cao.dolgi.msk.ru/account/1011211094/", 1011211094)</f>
        <v>1011211094</v>
      </c>
      <c r="D16286">
        <v>0</v>
      </c>
    </row>
    <row r="16287" spans="1:4" hidden="1" x14ac:dyDescent="0.3">
      <c r="A16287" t="s">
        <v>987</v>
      </c>
      <c r="B16287" t="s">
        <v>65</v>
      </c>
      <c r="C16287" s="1">
        <f>HYPERLINK("https://cao.dolgi.msk.ru/account/1011210956/", 1011210956)</f>
        <v>1011210956</v>
      </c>
      <c r="D16287">
        <v>-13.13</v>
      </c>
    </row>
    <row r="16288" spans="1:4" hidden="1" x14ac:dyDescent="0.3">
      <c r="A16288" t="s">
        <v>987</v>
      </c>
      <c r="B16288" t="s">
        <v>66</v>
      </c>
      <c r="C16288" s="1">
        <f>HYPERLINK("https://cao.dolgi.msk.ru/account/1011210518/", 1011210518)</f>
        <v>1011210518</v>
      </c>
      <c r="D16288">
        <v>-23880.33</v>
      </c>
    </row>
    <row r="16289" spans="1:4" hidden="1" x14ac:dyDescent="0.3">
      <c r="A16289" t="s">
        <v>987</v>
      </c>
      <c r="B16289" t="s">
        <v>67</v>
      </c>
      <c r="C16289" s="1">
        <f>HYPERLINK("https://cao.dolgi.msk.ru/account/1011210964/", 1011210964)</f>
        <v>1011210964</v>
      </c>
      <c r="D16289">
        <v>-6.73</v>
      </c>
    </row>
    <row r="16290" spans="1:4" hidden="1" x14ac:dyDescent="0.3">
      <c r="A16290" t="s">
        <v>987</v>
      </c>
      <c r="B16290" t="s">
        <v>68</v>
      </c>
      <c r="C16290" s="1">
        <f>HYPERLINK("https://cao.dolgi.msk.ru/account/1011211107/", 1011211107)</f>
        <v>1011211107</v>
      </c>
      <c r="D16290">
        <v>-6080.47</v>
      </c>
    </row>
    <row r="16291" spans="1:4" hidden="1" x14ac:dyDescent="0.3">
      <c r="A16291" t="s">
        <v>987</v>
      </c>
      <c r="B16291" t="s">
        <v>69</v>
      </c>
      <c r="C16291" s="1">
        <f>HYPERLINK("https://cao.dolgi.msk.ru/account/1011210526/", 1011210526)</f>
        <v>1011210526</v>
      </c>
      <c r="D16291">
        <v>-9889.51</v>
      </c>
    </row>
    <row r="16292" spans="1:4" hidden="1" x14ac:dyDescent="0.3">
      <c r="A16292" t="s">
        <v>987</v>
      </c>
      <c r="B16292" t="s">
        <v>70</v>
      </c>
      <c r="C16292" s="1">
        <f>HYPERLINK("https://cao.dolgi.msk.ru/account/1011210745/", 1011210745)</f>
        <v>1011210745</v>
      </c>
      <c r="D16292">
        <v>-16.66</v>
      </c>
    </row>
    <row r="16293" spans="1:4" hidden="1" x14ac:dyDescent="0.3">
      <c r="A16293" t="s">
        <v>987</v>
      </c>
      <c r="B16293" t="s">
        <v>259</v>
      </c>
      <c r="C16293" s="1">
        <f>HYPERLINK("https://cao.dolgi.msk.ru/account/1011210534/", 1011210534)</f>
        <v>1011210534</v>
      </c>
      <c r="D16293">
        <v>0</v>
      </c>
    </row>
    <row r="16294" spans="1:4" hidden="1" x14ac:dyDescent="0.3">
      <c r="A16294" t="s">
        <v>987</v>
      </c>
      <c r="B16294" t="s">
        <v>100</v>
      </c>
      <c r="C16294" s="1">
        <f>HYPERLINK("https://cao.dolgi.msk.ru/account/1011211211/", 1011211211)</f>
        <v>1011211211</v>
      </c>
      <c r="D16294">
        <v>0</v>
      </c>
    </row>
    <row r="16295" spans="1:4" hidden="1" x14ac:dyDescent="0.3">
      <c r="A16295" t="s">
        <v>987</v>
      </c>
      <c r="B16295" t="s">
        <v>72</v>
      </c>
      <c r="C16295" s="1">
        <f>HYPERLINK("https://cao.dolgi.msk.ru/account/1011210972/", 1011210972)</f>
        <v>1011210972</v>
      </c>
      <c r="D16295">
        <v>0</v>
      </c>
    </row>
    <row r="16296" spans="1:4" x14ac:dyDescent="0.3">
      <c r="A16296" t="s">
        <v>987</v>
      </c>
      <c r="B16296" t="s">
        <v>73</v>
      </c>
      <c r="C16296" s="1">
        <f>HYPERLINK("https://cao.dolgi.msk.ru/account/1011210622/", 1011210622)</f>
        <v>1011210622</v>
      </c>
      <c r="D16296">
        <v>25404.080000000002</v>
      </c>
    </row>
    <row r="16297" spans="1:4" hidden="1" x14ac:dyDescent="0.3">
      <c r="A16297" t="s">
        <v>987</v>
      </c>
      <c r="B16297" t="s">
        <v>74</v>
      </c>
      <c r="C16297" s="1">
        <f>HYPERLINK("https://cao.dolgi.msk.ru/account/1011211027/", 1011211027)</f>
        <v>1011211027</v>
      </c>
      <c r="D16297">
        <v>-6.73</v>
      </c>
    </row>
    <row r="16298" spans="1:4" x14ac:dyDescent="0.3">
      <c r="A16298" t="s">
        <v>987</v>
      </c>
      <c r="B16298" t="s">
        <v>75</v>
      </c>
      <c r="C16298" s="1">
        <f>HYPERLINK("https://cao.dolgi.msk.ru/account/1011210999/", 1011210999)</f>
        <v>1011210999</v>
      </c>
      <c r="D16298">
        <v>16977.259999999998</v>
      </c>
    </row>
    <row r="16299" spans="1:4" x14ac:dyDescent="0.3">
      <c r="A16299" t="s">
        <v>987</v>
      </c>
      <c r="B16299" t="s">
        <v>76</v>
      </c>
      <c r="C16299" s="1">
        <f>HYPERLINK("https://cao.dolgi.msk.ru/account/1011211238/", 1011211238)</f>
        <v>1011211238</v>
      </c>
      <c r="D16299">
        <v>24322.66</v>
      </c>
    </row>
    <row r="16300" spans="1:4" hidden="1" x14ac:dyDescent="0.3">
      <c r="A16300" t="s">
        <v>987</v>
      </c>
      <c r="B16300" t="s">
        <v>77</v>
      </c>
      <c r="C16300" s="1">
        <f>HYPERLINK("https://cao.dolgi.msk.ru/account/1011210649/", 1011210649)</f>
        <v>1011210649</v>
      </c>
      <c r="D16300">
        <v>0</v>
      </c>
    </row>
    <row r="16301" spans="1:4" hidden="1" x14ac:dyDescent="0.3">
      <c r="A16301" t="s">
        <v>987</v>
      </c>
      <c r="B16301" t="s">
        <v>78</v>
      </c>
      <c r="C16301" s="1">
        <f>HYPERLINK("https://cao.dolgi.msk.ru/account/1011210833/", 1011210833)</f>
        <v>1011210833</v>
      </c>
      <c r="D16301">
        <v>-4770.78</v>
      </c>
    </row>
    <row r="16302" spans="1:4" x14ac:dyDescent="0.3">
      <c r="A16302" t="s">
        <v>987</v>
      </c>
      <c r="B16302" t="s">
        <v>79</v>
      </c>
      <c r="C16302" s="1">
        <f>HYPERLINK("https://cao.dolgi.msk.ru/account/1011210841/", 1011210841)</f>
        <v>1011210841</v>
      </c>
      <c r="D16302">
        <v>14789.7</v>
      </c>
    </row>
    <row r="16303" spans="1:4" x14ac:dyDescent="0.3">
      <c r="A16303" t="s">
        <v>987</v>
      </c>
      <c r="B16303" t="s">
        <v>80</v>
      </c>
      <c r="C16303" s="1">
        <f>HYPERLINK("https://cao.dolgi.msk.ru/account/1011210868/", 1011210868)</f>
        <v>1011210868</v>
      </c>
      <c r="D16303">
        <v>10725.4</v>
      </c>
    </row>
    <row r="16304" spans="1:4" hidden="1" x14ac:dyDescent="0.3">
      <c r="A16304" t="s">
        <v>987</v>
      </c>
      <c r="B16304" t="s">
        <v>81</v>
      </c>
      <c r="C16304" s="1">
        <f>HYPERLINK("https://cao.dolgi.msk.ru/account/1011210542/", 1011210542)</f>
        <v>1011210542</v>
      </c>
      <c r="D16304">
        <v>0</v>
      </c>
    </row>
    <row r="16305" spans="1:4" hidden="1" x14ac:dyDescent="0.3">
      <c r="A16305" t="s">
        <v>987</v>
      </c>
      <c r="B16305" t="s">
        <v>101</v>
      </c>
      <c r="C16305" s="1">
        <f>HYPERLINK("https://cao.dolgi.msk.ru/account/1011211246/", 1011211246)</f>
        <v>1011211246</v>
      </c>
      <c r="D16305">
        <v>-29.98</v>
      </c>
    </row>
    <row r="16306" spans="1:4" x14ac:dyDescent="0.3">
      <c r="A16306" t="s">
        <v>988</v>
      </c>
      <c r="B16306" t="s">
        <v>6</v>
      </c>
      <c r="C16306" s="1">
        <f>HYPERLINK("https://cao.dolgi.msk.ru/account/1011311482/", 1011311482)</f>
        <v>1011311482</v>
      </c>
      <c r="D16306">
        <v>7511.73</v>
      </c>
    </row>
    <row r="16307" spans="1:4" x14ac:dyDescent="0.3">
      <c r="A16307" t="s">
        <v>988</v>
      </c>
      <c r="B16307" t="s">
        <v>28</v>
      </c>
      <c r="C16307" s="1">
        <f>HYPERLINK("https://cao.dolgi.msk.ru/account/1011311896/", 1011311896)</f>
        <v>1011311896</v>
      </c>
      <c r="D16307">
        <v>5313.39</v>
      </c>
    </row>
    <row r="16308" spans="1:4" x14ac:dyDescent="0.3">
      <c r="A16308" t="s">
        <v>988</v>
      </c>
      <c r="B16308" t="s">
        <v>35</v>
      </c>
      <c r="C16308" s="1">
        <f>HYPERLINK("https://cao.dolgi.msk.ru/account/1011310914/", 1011310914)</f>
        <v>1011310914</v>
      </c>
      <c r="D16308">
        <v>351.32</v>
      </c>
    </row>
    <row r="16309" spans="1:4" x14ac:dyDescent="0.3">
      <c r="A16309" t="s">
        <v>988</v>
      </c>
      <c r="B16309" t="s">
        <v>5</v>
      </c>
      <c r="C16309" s="1">
        <f>HYPERLINK("https://cao.dolgi.msk.ru/account/1011311167/", 1011311167)</f>
        <v>1011311167</v>
      </c>
      <c r="D16309">
        <v>11564.11</v>
      </c>
    </row>
    <row r="16310" spans="1:4" hidden="1" x14ac:dyDescent="0.3">
      <c r="A16310" t="s">
        <v>988</v>
      </c>
      <c r="B16310" t="s">
        <v>7</v>
      </c>
      <c r="C16310" s="1">
        <f>HYPERLINK("https://cao.dolgi.msk.ru/account/1011311781/", 1011311781)</f>
        <v>1011311781</v>
      </c>
      <c r="D16310">
        <v>-56.8</v>
      </c>
    </row>
    <row r="16311" spans="1:4" hidden="1" x14ac:dyDescent="0.3">
      <c r="A16311" t="s">
        <v>988</v>
      </c>
      <c r="B16311" t="s">
        <v>8</v>
      </c>
      <c r="C16311" s="1">
        <f>HYPERLINK("https://cao.dolgi.msk.ru/account/1011312178/", 1011312178)</f>
        <v>1011312178</v>
      </c>
      <c r="D16311">
        <v>-6540.83</v>
      </c>
    </row>
    <row r="16312" spans="1:4" x14ac:dyDescent="0.3">
      <c r="A16312" t="s">
        <v>988</v>
      </c>
      <c r="B16312" t="s">
        <v>31</v>
      </c>
      <c r="C16312" s="1">
        <f>HYPERLINK("https://cao.dolgi.msk.ru/account/1011312434/", 1011312434)</f>
        <v>1011312434</v>
      </c>
      <c r="D16312">
        <v>9524.48</v>
      </c>
    </row>
    <row r="16313" spans="1:4" hidden="1" x14ac:dyDescent="0.3">
      <c r="A16313" t="s">
        <v>988</v>
      </c>
      <c r="B16313" t="s">
        <v>9</v>
      </c>
      <c r="C16313" s="1">
        <f>HYPERLINK("https://cao.dolgi.msk.ru/account/1011311124/", 1011311124)</f>
        <v>1011311124</v>
      </c>
      <c r="D16313">
        <v>0</v>
      </c>
    </row>
    <row r="16314" spans="1:4" hidden="1" x14ac:dyDescent="0.3">
      <c r="A16314" t="s">
        <v>988</v>
      </c>
      <c r="B16314" t="s">
        <v>10</v>
      </c>
      <c r="C16314" s="1">
        <f>HYPERLINK("https://cao.dolgi.msk.ru/account/1011310893/", 1011310893)</f>
        <v>1011310893</v>
      </c>
      <c r="D16314">
        <v>0</v>
      </c>
    </row>
    <row r="16315" spans="1:4" hidden="1" x14ac:dyDescent="0.3">
      <c r="A16315" t="s">
        <v>988</v>
      </c>
      <c r="B16315" t="s">
        <v>11</v>
      </c>
      <c r="C16315" s="1">
        <f>HYPERLINK("https://cao.dolgi.msk.ru/account/1011312119/", 1011312119)</f>
        <v>1011312119</v>
      </c>
      <c r="D16315">
        <v>-4739.7700000000004</v>
      </c>
    </row>
    <row r="16316" spans="1:4" hidden="1" x14ac:dyDescent="0.3">
      <c r="A16316" t="s">
        <v>988</v>
      </c>
      <c r="B16316" t="s">
        <v>12</v>
      </c>
      <c r="C16316" s="1">
        <f>HYPERLINK("https://cao.dolgi.msk.ru/account/1011312207/", 1011312207)</f>
        <v>1011312207</v>
      </c>
      <c r="D16316">
        <v>-851.49</v>
      </c>
    </row>
    <row r="16317" spans="1:4" hidden="1" x14ac:dyDescent="0.3">
      <c r="A16317" t="s">
        <v>988</v>
      </c>
      <c r="B16317" t="s">
        <v>23</v>
      </c>
      <c r="C16317" s="1">
        <f>HYPERLINK("https://cao.dolgi.msk.ru/account/1011312071/", 1011312071)</f>
        <v>1011312071</v>
      </c>
      <c r="D16317">
        <v>0</v>
      </c>
    </row>
    <row r="16318" spans="1:4" hidden="1" x14ac:dyDescent="0.3">
      <c r="A16318" t="s">
        <v>988</v>
      </c>
      <c r="B16318" t="s">
        <v>13</v>
      </c>
      <c r="C16318" s="1">
        <f>HYPERLINK("https://cao.dolgi.msk.ru/account/1011312215/", 1011312215)</f>
        <v>1011312215</v>
      </c>
      <c r="D16318">
        <v>-28.43</v>
      </c>
    </row>
    <row r="16319" spans="1:4" hidden="1" x14ac:dyDescent="0.3">
      <c r="A16319" t="s">
        <v>988</v>
      </c>
      <c r="B16319" t="s">
        <v>14</v>
      </c>
      <c r="C16319" s="1">
        <f>HYPERLINK("https://cao.dolgi.msk.ru/account/1011312055/", 1011312055)</f>
        <v>1011312055</v>
      </c>
      <c r="D16319">
        <v>-13.74</v>
      </c>
    </row>
    <row r="16320" spans="1:4" hidden="1" x14ac:dyDescent="0.3">
      <c r="A16320" t="s">
        <v>988</v>
      </c>
      <c r="B16320" t="s">
        <v>16</v>
      </c>
      <c r="C16320" s="1">
        <f>HYPERLINK("https://cao.dolgi.msk.ru/account/1011312047/", 1011312047)</f>
        <v>1011312047</v>
      </c>
      <c r="D16320">
        <v>0</v>
      </c>
    </row>
    <row r="16321" spans="1:4" hidden="1" x14ac:dyDescent="0.3">
      <c r="A16321" t="s">
        <v>988</v>
      </c>
      <c r="B16321" t="s">
        <v>17</v>
      </c>
      <c r="C16321" s="1">
        <f>HYPERLINK("https://cao.dolgi.msk.ru/account/1011310594/", 1011310594)</f>
        <v>1011310594</v>
      </c>
      <c r="D16321">
        <v>-58.18</v>
      </c>
    </row>
    <row r="16322" spans="1:4" hidden="1" x14ac:dyDescent="0.3">
      <c r="A16322" t="s">
        <v>988</v>
      </c>
      <c r="B16322" t="s">
        <v>18</v>
      </c>
      <c r="C16322" s="1">
        <f>HYPERLINK("https://cao.dolgi.msk.ru/account/1011310981/", 1011310981)</f>
        <v>1011310981</v>
      </c>
      <c r="D16322">
        <v>0</v>
      </c>
    </row>
    <row r="16323" spans="1:4" hidden="1" x14ac:dyDescent="0.3">
      <c r="A16323" t="s">
        <v>988</v>
      </c>
      <c r="B16323" t="s">
        <v>19</v>
      </c>
      <c r="C16323" s="1">
        <f>HYPERLINK("https://cao.dolgi.msk.ru/account/1011312127/", 1011312127)</f>
        <v>1011312127</v>
      </c>
      <c r="D16323">
        <v>0</v>
      </c>
    </row>
    <row r="16324" spans="1:4" x14ac:dyDescent="0.3">
      <c r="A16324" t="s">
        <v>988</v>
      </c>
      <c r="B16324" t="s">
        <v>20</v>
      </c>
      <c r="C16324" s="1">
        <f>HYPERLINK("https://cao.dolgi.msk.ru/account/1011311079/", 1011311079)</f>
        <v>1011311079</v>
      </c>
      <c r="D16324">
        <v>110683.02</v>
      </c>
    </row>
    <row r="16325" spans="1:4" hidden="1" x14ac:dyDescent="0.3">
      <c r="A16325" t="s">
        <v>988</v>
      </c>
      <c r="B16325" t="s">
        <v>21</v>
      </c>
      <c r="C16325" s="1">
        <f>HYPERLINK("https://cao.dolgi.msk.ru/account/1011311546/", 1011311546)</f>
        <v>1011311546</v>
      </c>
      <c r="D16325">
        <v>0</v>
      </c>
    </row>
    <row r="16326" spans="1:4" hidden="1" x14ac:dyDescent="0.3">
      <c r="A16326" t="s">
        <v>988</v>
      </c>
      <c r="B16326" t="s">
        <v>22</v>
      </c>
      <c r="C16326" s="1">
        <f>HYPERLINK("https://cao.dolgi.msk.ru/account/1011312418/", 1011312418)</f>
        <v>1011312418</v>
      </c>
      <c r="D16326">
        <v>0</v>
      </c>
    </row>
    <row r="16327" spans="1:4" hidden="1" x14ac:dyDescent="0.3">
      <c r="A16327" t="s">
        <v>988</v>
      </c>
      <c r="B16327" t="s">
        <v>24</v>
      </c>
      <c r="C16327" s="1">
        <f>HYPERLINK("https://cao.dolgi.msk.ru/account/1011311351/", 1011311351)</f>
        <v>1011311351</v>
      </c>
      <c r="D16327">
        <v>-27.55</v>
      </c>
    </row>
    <row r="16328" spans="1:4" hidden="1" x14ac:dyDescent="0.3">
      <c r="A16328" t="s">
        <v>988</v>
      </c>
      <c r="B16328" t="s">
        <v>25</v>
      </c>
      <c r="C16328" s="1">
        <f>HYPERLINK("https://cao.dolgi.msk.ru/account/1011310834/", 1011310834)</f>
        <v>1011310834</v>
      </c>
      <c r="D16328">
        <v>-27.48</v>
      </c>
    </row>
    <row r="16329" spans="1:4" hidden="1" x14ac:dyDescent="0.3">
      <c r="A16329" t="s">
        <v>988</v>
      </c>
      <c r="B16329" t="s">
        <v>26</v>
      </c>
      <c r="C16329" s="1">
        <f>HYPERLINK("https://cao.dolgi.msk.ru/account/1011311116/", 1011311116)</f>
        <v>1011311116</v>
      </c>
      <c r="D16329">
        <v>-41367.42</v>
      </c>
    </row>
    <row r="16330" spans="1:4" hidden="1" x14ac:dyDescent="0.3">
      <c r="A16330" t="s">
        <v>988</v>
      </c>
      <c r="B16330" t="s">
        <v>27</v>
      </c>
      <c r="C16330" s="1">
        <f>HYPERLINK("https://cao.dolgi.msk.ru/account/1011311183/", 1011311183)</f>
        <v>1011311183</v>
      </c>
      <c r="D16330">
        <v>0</v>
      </c>
    </row>
    <row r="16331" spans="1:4" x14ac:dyDescent="0.3">
      <c r="A16331" t="s">
        <v>988</v>
      </c>
      <c r="B16331" t="s">
        <v>29</v>
      </c>
      <c r="C16331" s="1">
        <f>HYPERLINK("https://cao.dolgi.msk.ru/account/1011311263/", 1011311263)</f>
        <v>1011311263</v>
      </c>
      <c r="D16331">
        <v>2520.9699999999998</v>
      </c>
    </row>
    <row r="16332" spans="1:4" x14ac:dyDescent="0.3">
      <c r="A16332" t="s">
        <v>988</v>
      </c>
      <c r="B16332" t="s">
        <v>38</v>
      </c>
      <c r="C16332" s="1">
        <f>HYPERLINK("https://cao.dolgi.msk.ru/account/1011310674/", 1011310674)</f>
        <v>1011310674</v>
      </c>
      <c r="D16332">
        <v>3619.01</v>
      </c>
    </row>
    <row r="16333" spans="1:4" x14ac:dyDescent="0.3">
      <c r="A16333" t="s">
        <v>988</v>
      </c>
      <c r="B16333" t="s">
        <v>39</v>
      </c>
      <c r="C16333" s="1">
        <f>HYPERLINK("https://cao.dolgi.msk.ru/account/1011311255/", 1011311255)</f>
        <v>1011311255</v>
      </c>
      <c r="D16333">
        <v>15798.88</v>
      </c>
    </row>
    <row r="16334" spans="1:4" hidden="1" x14ac:dyDescent="0.3">
      <c r="A16334" t="s">
        <v>988</v>
      </c>
      <c r="B16334" t="s">
        <v>40</v>
      </c>
      <c r="C16334" s="1">
        <f>HYPERLINK("https://cao.dolgi.msk.ru/account/1011312098/", 1011312098)</f>
        <v>1011312098</v>
      </c>
      <c r="D16334">
        <v>0</v>
      </c>
    </row>
    <row r="16335" spans="1:4" hidden="1" x14ac:dyDescent="0.3">
      <c r="A16335" t="s">
        <v>988</v>
      </c>
      <c r="B16335" t="s">
        <v>41</v>
      </c>
      <c r="C16335" s="1">
        <f>HYPERLINK("https://cao.dolgi.msk.ru/account/1011310623/", 1011310623)</f>
        <v>1011310623</v>
      </c>
      <c r="D16335">
        <v>0</v>
      </c>
    </row>
    <row r="16336" spans="1:4" x14ac:dyDescent="0.3">
      <c r="A16336" t="s">
        <v>988</v>
      </c>
      <c r="B16336" t="s">
        <v>51</v>
      </c>
      <c r="C16336" s="1">
        <f>HYPERLINK("https://cao.dolgi.msk.ru/account/1011311589/", 1011311589)</f>
        <v>1011311589</v>
      </c>
      <c r="D16336">
        <v>4736.96</v>
      </c>
    </row>
    <row r="16337" spans="1:4" hidden="1" x14ac:dyDescent="0.3">
      <c r="A16337" t="s">
        <v>988</v>
      </c>
      <c r="B16337" t="s">
        <v>52</v>
      </c>
      <c r="C16337" s="1">
        <f>HYPERLINK("https://cao.dolgi.msk.ru/account/1011312135/", 1011312135)</f>
        <v>1011312135</v>
      </c>
      <c r="D16337">
        <v>-8574.58</v>
      </c>
    </row>
    <row r="16338" spans="1:4" hidden="1" x14ac:dyDescent="0.3">
      <c r="A16338" t="s">
        <v>988</v>
      </c>
      <c r="B16338" t="s">
        <v>53</v>
      </c>
      <c r="C16338" s="1">
        <f>HYPERLINK("https://cao.dolgi.msk.ru/account/1011311132/", 1011311132)</f>
        <v>1011311132</v>
      </c>
      <c r="D16338">
        <v>0</v>
      </c>
    </row>
    <row r="16339" spans="1:4" x14ac:dyDescent="0.3">
      <c r="A16339" t="s">
        <v>988</v>
      </c>
      <c r="B16339" t="s">
        <v>54</v>
      </c>
      <c r="C16339" s="1">
        <f>HYPERLINK("https://cao.dolgi.msk.ru/account/1011310746/", 1011310746)</f>
        <v>1011310746</v>
      </c>
      <c r="D16339">
        <v>2223.62</v>
      </c>
    </row>
    <row r="16340" spans="1:4" hidden="1" x14ac:dyDescent="0.3">
      <c r="A16340" t="s">
        <v>988</v>
      </c>
      <c r="B16340" t="s">
        <v>55</v>
      </c>
      <c r="C16340" s="1">
        <f>HYPERLINK("https://cao.dolgi.msk.ru/account/1011311597/", 1011311597)</f>
        <v>1011311597</v>
      </c>
      <c r="D16340">
        <v>-7833.39</v>
      </c>
    </row>
    <row r="16341" spans="1:4" hidden="1" x14ac:dyDescent="0.3">
      <c r="A16341" t="s">
        <v>988</v>
      </c>
      <c r="B16341" t="s">
        <v>56</v>
      </c>
      <c r="C16341" s="1">
        <f>HYPERLINK("https://cao.dolgi.msk.ru/account/1011311677/", 1011311677)</f>
        <v>1011311677</v>
      </c>
      <c r="D16341">
        <v>-1291.7</v>
      </c>
    </row>
    <row r="16342" spans="1:4" hidden="1" x14ac:dyDescent="0.3">
      <c r="A16342" t="s">
        <v>988</v>
      </c>
      <c r="B16342" t="s">
        <v>87</v>
      </c>
      <c r="C16342" s="1">
        <f>HYPERLINK("https://cao.dolgi.msk.ru/account/1011311394/", 1011311394)</f>
        <v>1011311394</v>
      </c>
      <c r="D16342">
        <v>-9262.0300000000007</v>
      </c>
    </row>
    <row r="16343" spans="1:4" hidden="1" x14ac:dyDescent="0.3">
      <c r="A16343" t="s">
        <v>988</v>
      </c>
      <c r="B16343" t="s">
        <v>88</v>
      </c>
      <c r="C16343" s="1">
        <f>HYPERLINK("https://cao.dolgi.msk.ru/account/1011311378/", 1011311378)</f>
        <v>1011311378</v>
      </c>
      <c r="D16343">
        <v>-55.24</v>
      </c>
    </row>
    <row r="16344" spans="1:4" hidden="1" x14ac:dyDescent="0.3">
      <c r="A16344" t="s">
        <v>988</v>
      </c>
      <c r="B16344" t="s">
        <v>89</v>
      </c>
      <c r="C16344" s="1">
        <f>HYPERLINK("https://cao.dolgi.msk.ru/account/1011312389/", 1011312389)</f>
        <v>1011312389</v>
      </c>
      <c r="D16344">
        <v>-21162.33</v>
      </c>
    </row>
    <row r="16345" spans="1:4" hidden="1" x14ac:dyDescent="0.3">
      <c r="A16345" t="s">
        <v>988</v>
      </c>
      <c r="B16345" t="s">
        <v>90</v>
      </c>
      <c r="C16345" s="1">
        <f>HYPERLINK("https://cao.dolgi.msk.ru/account/1011311618/", 1011311618)</f>
        <v>1011311618</v>
      </c>
      <c r="D16345">
        <v>0</v>
      </c>
    </row>
    <row r="16346" spans="1:4" x14ac:dyDescent="0.3">
      <c r="A16346" t="s">
        <v>988</v>
      </c>
      <c r="B16346" t="s">
        <v>96</v>
      </c>
      <c r="C16346" s="1">
        <f>HYPERLINK("https://cao.dolgi.msk.ru/account/1011311335/", 1011311335)</f>
        <v>1011311335</v>
      </c>
      <c r="D16346">
        <v>7673.61</v>
      </c>
    </row>
    <row r="16347" spans="1:4" hidden="1" x14ac:dyDescent="0.3">
      <c r="A16347" t="s">
        <v>988</v>
      </c>
      <c r="B16347" t="s">
        <v>97</v>
      </c>
      <c r="C16347" s="1">
        <f>HYPERLINK("https://cao.dolgi.msk.ru/account/1011311802/", 1011311802)</f>
        <v>1011311802</v>
      </c>
      <c r="D16347">
        <v>0</v>
      </c>
    </row>
    <row r="16348" spans="1:4" hidden="1" x14ac:dyDescent="0.3">
      <c r="A16348" t="s">
        <v>988</v>
      </c>
      <c r="B16348" t="s">
        <v>98</v>
      </c>
      <c r="C16348" s="1">
        <f>HYPERLINK("https://cao.dolgi.msk.ru/account/1011310818/", 1011310818)</f>
        <v>1011310818</v>
      </c>
      <c r="D16348">
        <v>-2933.49</v>
      </c>
    </row>
    <row r="16349" spans="1:4" hidden="1" x14ac:dyDescent="0.3">
      <c r="A16349" t="s">
        <v>988</v>
      </c>
      <c r="B16349" t="s">
        <v>58</v>
      </c>
      <c r="C16349" s="1">
        <f>HYPERLINK("https://cao.dolgi.msk.ru/account/1011312143/", 1011312143)</f>
        <v>1011312143</v>
      </c>
      <c r="D16349">
        <v>0</v>
      </c>
    </row>
    <row r="16350" spans="1:4" x14ac:dyDescent="0.3">
      <c r="A16350" t="s">
        <v>988</v>
      </c>
      <c r="B16350" t="s">
        <v>59</v>
      </c>
      <c r="C16350" s="1">
        <f>HYPERLINK("https://cao.dolgi.msk.ru/account/1011310973/", 1011310973)</f>
        <v>1011310973</v>
      </c>
      <c r="D16350">
        <v>8196.2900000000009</v>
      </c>
    </row>
    <row r="16351" spans="1:4" hidden="1" x14ac:dyDescent="0.3">
      <c r="A16351" t="s">
        <v>988</v>
      </c>
      <c r="B16351" t="s">
        <v>60</v>
      </c>
      <c r="C16351" s="1">
        <f>HYPERLINK("https://cao.dolgi.msk.ru/account/1011310797/", 1011310797)</f>
        <v>1011310797</v>
      </c>
      <c r="D16351">
        <v>-597.66</v>
      </c>
    </row>
    <row r="16352" spans="1:4" x14ac:dyDescent="0.3">
      <c r="A16352" t="s">
        <v>988</v>
      </c>
      <c r="B16352" t="s">
        <v>61</v>
      </c>
      <c r="C16352" s="1">
        <f>HYPERLINK("https://cao.dolgi.msk.ru/account/1011311685/", 1011311685)</f>
        <v>1011311685</v>
      </c>
      <c r="D16352">
        <v>12329.75</v>
      </c>
    </row>
    <row r="16353" spans="1:4" hidden="1" x14ac:dyDescent="0.3">
      <c r="A16353" t="s">
        <v>988</v>
      </c>
      <c r="B16353" t="s">
        <v>62</v>
      </c>
      <c r="C16353" s="1">
        <f>HYPERLINK("https://cao.dolgi.msk.ru/account/1011311386/", 1011311386)</f>
        <v>1011311386</v>
      </c>
      <c r="D16353">
        <v>0</v>
      </c>
    </row>
    <row r="16354" spans="1:4" x14ac:dyDescent="0.3">
      <c r="A16354" t="s">
        <v>988</v>
      </c>
      <c r="B16354" t="s">
        <v>63</v>
      </c>
      <c r="C16354" s="1">
        <f>HYPERLINK("https://cao.dolgi.msk.ru/account/1011310762/", 1011310762)</f>
        <v>1011310762</v>
      </c>
      <c r="D16354">
        <v>20237.38</v>
      </c>
    </row>
    <row r="16355" spans="1:4" hidden="1" x14ac:dyDescent="0.3">
      <c r="A16355" t="s">
        <v>988</v>
      </c>
      <c r="B16355" t="s">
        <v>64</v>
      </c>
      <c r="C16355" s="1">
        <f>HYPERLINK("https://cao.dolgi.msk.ru/account/1011311458/", 1011311458)</f>
        <v>1011311458</v>
      </c>
      <c r="D16355">
        <v>-8886.7900000000009</v>
      </c>
    </row>
    <row r="16356" spans="1:4" hidden="1" x14ac:dyDescent="0.3">
      <c r="A16356" t="s">
        <v>988</v>
      </c>
      <c r="B16356" t="s">
        <v>65</v>
      </c>
      <c r="C16356" s="1">
        <f>HYPERLINK("https://cao.dolgi.msk.ru/account/1011311722/", 1011311722)</f>
        <v>1011311722</v>
      </c>
      <c r="D16356">
        <v>-598.39</v>
      </c>
    </row>
    <row r="16357" spans="1:4" x14ac:dyDescent="0.3">
      <c r="A16357" t="s">
        <v>988</v>
      </c>
      <c r="B16357" t="s">
        <v>66</v>
      </c>
      <c r="C16357" s="1">
        <f>HYPERLINK("https://cao.dolgi.msk.ru/account/1011312311/", 1011312311)</f>
        <v>1011312311</v>
      </c>
      <c r="D16357">
        <v>196.54</v>
      </c>
    </row>
    <row r="16358" spans="1:4" hidden="1" x14ac:dyDescent="0.3">
      <c r="A16358" t="s">
        <v>988</v>
      </c>
      <c r="B16358" t="s">
        <v>67</v>
      </c>
      <c r="C16358" s="1">
        <f>HYPERLINK("https://cao.dolgi.msk.ru/account/1011311466/", 1011311466)</f>
        <v>1011311466</v>
      </c>
      <c r="D16358">
        <v>-49758.080000000002</v>
      </c>
    </row>
    <row r="16359" spans="1:4" hidden="1" x14ac:dyDescent="0.3">
      <c r="A16359" t="s">
        <v>988</v>
      </c>
      <c r="B16359" t="s">
        <v>68</v>
      </c>
      <c r="C16359" s="1">
        <f>HYPERLINK("https://cao.dolgi.msk.ru/account/1011311175/", 1011311175)</f>
        <v>1011311175</v>
      </c>
      <c r="D16359">
        <v>-61.87</v>
      </c>
    </row>
    <row r="16360" spans="1:4" x14ac:dyDescent="0.3">
      <c r="A16360" t="s">
        <v>988</v>
      </c>
      <c r="B16360" t="s">
        <v>69</v>
      </c>
      <c r="C16360" s="1">
        <f>HYPERLINK("https://cao.dolgi.msk.ru/account/1011312426/", 1011312426)</f>
        <v>1011312426</v>
      </c>
      <c r="D16360">
        <v>704.5</v>
      </c>
    </row>
    <row r="16361" spans="1:4" hidden="1" x14ac:dyDescent="0.3">
      <c r="A16361" t="s">
        <v>988</v>
      </c>
      <c r="B16361" t="s">
        <v>70</v>
      </c>
      <c r="C16361" s="1">
        <f>HYPERLINK("https://cao.dolgi.msk.ru/account/1011311749/", 1011311749)</f>
        <v>1011311749</v>
      </c>
      <c r="D16361">
        <v>0</v>
      </c>
    </row>
    <row r="16362" spans="1:4" hidden="1" x14ac:dyDescent="0.3">
      <c r="A16362" t="s">
        <v>988</v>
      </c>
      <c r="B16362" t="s">
        <v>259</v>
      </c>
      <c r="C16362" s="1">
        <f>HYPERLINK("https://cao.dolgi.msk.ru/account/1011311909/", 1011311909)</f>
        <v>1011311909</v>
      </c>
      <c r="D16362">
        <v>0</v>
      </c>
    </row>
    <row r="16363" spans="1:4" hidden="1" x14ac:dyDescent="0.3">
      <c r="A16363" t="s">
        <v>988</v>
      </c>
      <c r="B16363" t="s">
        <v>100</v>
      </c>
      <c r="C16363" s="1">
        <f>HYPERLINK("https://cao.dolgi.msk.ru/account/1011311159/", 1011311159)</f>
        <v>1011311159</v>
      </c>
      <c r="D16363">
        <v>-717.8</v>
      </c>
    </row>
    <row r="16364" spans="1:4" hidden="1" x14ac:dyDescent="0.3">
      <c r="A16364" t="s">
        <v>988</v>
      </c>
      <c r="B16364" t="s">
        <v>72</v>
      </c>
      <c r="C16364" s="1">
        <f>HYPERLINK("https://cao.dolgi.msk.ru/account/1011312194/", 1011312194)</f>
        <v>1011312194</v>
      </c>
      <c r="D16364">
        <v>-6100.15</v>
      </c>
    </row>
    <row r="16365" spans="1:4" hidden="1" x14ac:dyDescent="0.3">
      <c r="A16365" t="s">
        <v>988</v>
      </c>
      <c r="B16365" t="s">
        <v>73</v>
      </c>
      <c r="C16365" s="1">
        <f>HYPERLINK("https://cao.dolgi.msk.ru/account/1011310607/", 1011310607)</f>
        <v>1011310607</v>
      </c>
      <c r="D16365">
        <v>-31.59</v>
      </c>
    </row>
    <row r="16366" spans="1:4" hidden="1" x14ac:dyDescent="0.3">
      <c r="A16366" t="s">
        <v>988</v>
      </c>
      <c r="B16366" t="s">
        <v>74</v>
      </c>
      <c r="C16366" s="1">
        <f>HYPERLINK("https://cao.dolgi.msk.ru/account/1011312282/", 1011312282)</f>
        <v>1011312282</v>
      </c>
      <c r="D16366">
        <v>0</v>
      </c>
    </row>
    <row r="16367" spans="1:4" hidden="1" x14ac:dyDescent="0.3">
      <c r="A16367" t="s">
        <v>988</v>
      </c>
      <c r="B16367" t="s">
        <v>75</v>
      </c>
      <c r="C16367" s="1">
        <f>HYPERLINK("https://cao.dolgi.msk.ru/account/1011310789/", 1011310789)</f>
        <v>1011310789</v>
      </c>
      <c r="D16367">
        <v>-8783.64</v>
      </c>
    </row>
    <row r="16368" spans="1:4" hidden="1" x14ac:dyDescent="0.3">
      <c r="A16368" t="s">
        <v>988</v>
      </c>
      <c r="B16368" t="s">
        <v>76</v>
      </c>
      <c r="C16368" s="1">
        <f>HYPERLINK("https://cao.dolgi.msk.ru/account/1011310754/", 1011310754)</f>
        <v>1011310754</v>
      </c>
      <c r="D16368">
        <v>-1385.05</v>
      </c>
    </row>
    <row r="16369" spans="1:4" hidden="1" x14ac:dyDescent="0.3">
      <c r="A16369" t="s">
        <v>988</v>
      </c>
      <c r="B16369" t="s">
        <v>77</v>
      </c>
      <c r="C16369" s="1">
        <f>HYPERLINK("https://cao.dolgi.msk.ru/account/1011312338/", 1011312338)</f>
        <v>1011312338</v>
      </c>
      <c r="D16369">
        <v>-2891.86</v>
      </c>
    </row>
    <row r="16370" spans="1:4" hidden="1" x14ac:dyDescent="0.3">
      <c r="A16370" t="s">
        <v>988</v>
      </c>
      <c r="B16370" t="s">
        <v>78</v>
      </c>
      <c r="C16370" s="1">
        <f>HYPERLINK("https://cao.dolgi.msk.ru/account/1011312303/", 1011312303)</f>
        <v>1011312303</v>
      </c>
      <c r="D16370">
        <v>0</v>
      </c>
    </row>
    <row r="16371" spans="1:4" hidden="1" x14ac:dyDescent="0.3">
      <c r="A16371" t="s">
        <v>988</v>
      </c>
      <c r="B16371" t="s">
        <v>79</v>
      </c>
      <c r="C16371" s="1">
        <f>HYPERLINK("https://cao.dolgi.msk.ru/account/1011311757/", 1011311757)</f>
        <v>1011311757</v>
      </c>
      <c r="D16371">
        <v>-12210.03</v>
      </c>
    </row>
    <row r="16372" spans="1:4" hidden="1" x14ac:dyDescent="0.3">
      <c r="A16372" t="s">
        <v>988</v>
      </c>
      <c r="B16372" t="s">
        <v>80</v>
      </c>
      <c r="C16372" s="1">
        <f>HYPERLINK("https://cao.dolgi.msk.ru/account/1011311407/", 1011311407)</f>
        <v>1011311407</v>
      </c>
      <c r="D16372">
        <v>0</v>
      </c>
    </row>
    <row r="16373" spans="1:4" hidden="1" x14ac:dyDescent="0.3">
      <c r="A16373" t="s">
        <v>988</v>
      </c>
      <c r="B16373" t="s">
        <v>81</v>
      </c>
      <c r="C16373" s="1">
        <f>HYPERLINK("https://cao.dolgi.msk.ru/account/1011310682/", 1011310682)</f>
        <v>1011310682</v>
      </c>
      <c r="D16373">
        <v>-2879.29</v>
      </c>
    </row>
    <row r="16374" spans="1:4" hidden="1" x14ac:dyDescent="0.3">
      <c r="A16374" t="s">
        <v>988</v>
      </c>
      <c r="B16374" t="s">
        <v>101</v>
      </c>
      <c r="C16374" s="1">
        <f>HYPERLINK("https://cao.dolgi.msk.ru/account/1011311271/", 1011311271)</f>
        <v>1011311271</v>
      </c>
      <c r="D16374">
        <v>-48.85</v>
      </c>
    </row>
    <row r="16375" spans="1:4" hidden="1" x14ac:dyDescent="0.3">
      <c r="A16375" t="s">
        <v>988</v>
      </c>
      <c r="B16375" t="s">
        <v>82</v>
      </c>
      <c r="C16375" s="1">
        <f>HYPERLINK("https://cao.dolgi.msk.ru/account/1011311837/", 1011311837)</f>
        <v>1011311837</v>
      </c>
      <c r="D16375">
        <v>-12363.74</v>
      </c>
    </row>
    <row r="16376" spans="1:4" hidden="1" x14ac:dyDescent="0.3">
      <c r="A16376" t="s">
        <v>988</v>
      </c>
      <c r="B16376" t="s">
        <v>83</v>
      </c>
      <c r="C16376" s="1">
        <f>HYPERLINK("https://cao.dolgi.msk.ru/account/1011311765/", 1011311765)</f>
        <v>1011311765</v>
      </c>
      <c r="D16376">
        <v>-65.680000000000007</v>
      </c>
    </row>
    <row r="16377" spans="1:4" hidden="1" x14ac:dyDescent="0.3">
      <c r="A16377" t="s">
        <v>988</v>
      </c>
      <c r="B16377" t="s">
        <v>84</v>
      </c>
      <c r="C16377" s="1">
        <f>HYPERLINK("https://cao.dolgi.msk.ru/account/1011311503/", 1011311503)</f>
        <v>1011311503</v>
      </c>
      <c r="D16377">
        <v>0</v>
      </c>
    </row>
    <row r="16378" spans="1:4" x14ac:dyDescent="0.3">
      <c r="A16378" t="s">
        <v>988</v>
      </c>
      <c r="B16378" t="s">
        <v>85</v>
      </c>
      <c r="C16378" s="1">
        <f>HYPERLINK("https://cao.dolgi.msk.ru/account/1011311554/", 1011311554)</f>
        <v>1011311554</v>
      </c>
      <c r="D16378">
        <v>11305.25</v>
      </c>
    </row>
    <row r="16379" spans="1:4" hidden="1" x14ac:dyDescent="0.3">
      <c r="A16379" t="s">
        <v>988</v>
      </c>
      <c r="B16379" t="s">
        <v>102</v>
      </c>
      <c r="C16379" s="1">
        <f>HYPERLINK("https://cao.dolgi.msk.ru/account/1011311642/", 1011311642)</f>
        <v>1011311642</v>
      </c>
      <c r="D16379">
        <v>-382.05</v>
      </c>
    </row>
    <row r="16380" spans="1:4" hidden="1" x14ac:dyDescent="0.3">
      <c r="A16380" t="s">
        <v>988</v>
      </c>
      <c r="B16380" t="s">
        <v>103</v>
      </c>
      <c r="C16380" s="1">
        <f>HYPERLINK("https://cao.dolgi.msk.ru/account/1011311191/", 1011311191)</f>
        <v>1011311191</v>
      </c>
      <c r="D16380">
        <v>0</v>
      </c>
    </row>
    <row r="16381" spans="1:4" x14ac:dyDescent="0.3">
      <c r="A16381" t="s">
        <v>988</v>
      </c>
      <c r="B16381" t="s">
        <v>104</v>
      </c>
      <c r="C16381" s="1">
        <f>HYPERLINK("https://cao.dolgi.msk.ru/account/1011310842/", 1011310842)</f>
        <v>1011310842</v>
      </c>
      <c r="D16381">
        <v>4109.1899999999996</v>
      </c>
    </row>
    <row r="16382" spans="1:4" hidden="1" x14ac:dyDescent="0.3">
      <c r="A16382" t="s">
        <v>988</v>
      </c>
      <c r="B16382" t="s">
        <v>105</v>
      </c>
      <c r="C16382" s="1">
        <f>HYPERLINK("https://cao.dolgi.msk.ru/account/1011310586/", 1011310586)</f>
        <v>1011310586</v>
      </c>
      <c r="D16382">
        <v>-4604.3999999999996</v>
      </c>
    </row>
    <row r="16383" spans="1:4" hidden="1" x14ac:dyDescent="0.3">
      <c r="A16383" t="s">
        <v>988</v>
      </c>
      <c r="B16383" t="s">
        <v>106</v>
      </c>
      <c r="C16383" s="1">
        <f>HYPERLINK("https://cao.dolgi.msk.ru/account/1011310869/", 1011310869)</f>
        <v>1011310869</v>
      </c>
      <c r="D16383">
        <v>-1694.36</v>
      </c>
    </row>
    <row r="16384" spans="1:4" hidden="1" x14ac:dyDescent="0.3">
      <c r="A16384" t="s">
        <v>988</v>
      </c>
      <c r="B16384" t="s">
        <v>107</v>
      </c>
      <c r="C16384" s="1">
        <f>HYPERLINK("https://cao.dolgi.msk.ru/account/1011310906/", 1011310906)</f>
        <v>1011310906</v>
      </c>
      <c r="D16384">
        <v>-235.62</v>
      </c>
    </row>
    <row r="16385" spans="1:4" hidden="1" x14ac:dyDescent="0.3">
      <c r="A16385" t="s">
        <v>988</v>
      </c>
      <c r="B16385" t="s">
        <v>108</v>
      </c>
      <c r="C16385" s="1">
        <f>HYPERLINK("https://cao.dolgi.msk.ru/account/1011311239/", 1011311239)</f>
        <v>1011311239</v>
      </c>
      <c r="D16385">
        <v>0</v>
      </c>
    </row>
    <row r="16386" spans="1:4" hidden="1" x14ac:dyDescent="0.3">
      <c r="A16386" t="s">
        <v>988</v>
      </c>
      <c r="B16386" t="s">
        <v>109</v>
      </c>
      <c r="C16386" s="1">
        <f>HYPERLINK("https://cao.dolgi.msk.ru/account/1011311669/", 1011311669)</f>
        <v>1011311669</v>
      </c>
      <c r="D16386">
        <v>0</v>
      </c>
    </row>
    <row r="16387" spans="1:4" hidden="1" x14ac:dyDescent="0.3">
      <c r="A16387" t="s">
        <v>988</v>
      </c>
      <c r="B16387" t="s">
        <v>110</v>
      </c>
      <c r="C16387" s="1">
        <f>HYPERLINK("https://cao.dolgi.msk.ru/account/1011311511/", 1011311511)</f>
        <v>1011311511</v>
      </c>
      <c r="D16387">
        <v>0</v>
      </c>
    </row>
    <row r="16388" spans="1:4" hidden="1" x14ac:dyDescent="0.3">
      <c r="A16388" t="s">
        <v>988</v>
      </c>
      <c r="B16388" t="s">
        <v>111</v>
      </c>
      <c r="C16388" s="1">
        <f>HYPERLINK("https://cao.dolgi.msk.ru/account/1011311693/", 1011311693)</f>
        <v>1011311693</v>
      </c>
      <c r="D16388">
        <v>-78.819999999999993</v>
      </c>
    </row>
    <row r="16389" spans="1:4" hidden="1" x14ac:dyDescent="0.3">
      <c r="A16389" t="s">
        <v>988</v>
      </c>
      <c r="B16389" t="s">
        <v>112</v>
      </c>
      <c r="C16389" s="1">
        <f>HYPERLINK("https://cao.dolgi.msk.ru/account/1011311968/", 1011311968)</f>
        <v>1011311968</v>
      </c>
      <c r="D16389">
        <v>0</v>
      </c>
    </row>
    <row r="16390" spans="1:4" hidden="1" x14ac:dyDescent="0.3">
      <c r="A16390" t="s">
        <v>988</v>
      </c>
      <c r="B16390" t="s">
        <v>113</v>
      </c>
      <c r="C16390" s="1">
        <f>HYPERLINK("https://cao.dolgi.msk.ru/account/1011311001/", 1011311001)</f>
        <v>1011311001</v>
      </c>
      <c r="D16390">
        <v>0</v>
      </c>
    </row>
    <row r="16391" spans="1:4" hidden="1" x14ac:dyDescent="0.3">
      <c r="A16391" t="s">
        <v>988</v>
      </c>
      <c r="B16391" t="s">
        <v>113</v>
      </c>
      <c r="C16391" s="1">
        <f>HYPERLINK("https://cao.dolgi.msk.ru/account/1011312186/", 1011312186)</f>
        <v>1011312186</v>
      </c>
      <c r="D16391">
        <v>0</v>
      </c>
    </row>
    <row r="16392" spans="1:4" hidden="1" x14ac:dyDescent="0.3">
      <c r="A16392" t="s">
        <v>988</v>
      </c>
      <c r="B16392" t="s">
        <v>114</v>
      </c>
      <c r="C16392" s="1">
        <f>HYPERLINK("https://cao.dolgi.msk.ru/account/1011312223/", 1011312223)</f>
        <v>1011312223</v>
      </c>
      <c r="D16392">
        <v>0</v>
      </c>
    </row>
    <row r="16393" spans="1:4" hidden="1" x14ac:dyDescent="0.3">
      <c r="A16393" t="s">
        <v>988</v>
      </c>
      <c r="B16393" t="s">
        <v>115</v>
      </c>
      <c r="C16393" s="1">
        <f>HYPERLINK("https://cao.dolgi.msk.ru/account/1011310877/", 1011310877)</f>
        <v>1011310877</v>
      </c>
      <c r="D16393">
        <v>0</v>
      </c>
    </row>
    <row r="16394" spans="1:4" hidden="1" x14ac:dyDescent="0.3">
      <c r="A16394" t="s">
        <v>988</v>
      </c>
      <c r="B16394" t="s">
        <v>116</v>
      </c>
      <c r="C16394" s="1">
        <f>HYPERLINK("https://cao.dolgi.msk.ru/account/1011311415/", 1011311415)</f>
        <v>1011311415</v>
      </c>
      <c r="D16394">
        <v>0</v>
      </c>
    </row>
    <row r="16395" spans="1:4" hidden="1" x14ac:dyDescent="0.3">
      <c r="A16395" t="s">
        <v>988</v>
      </c>
      <c r="B16395" t="s">
        <v>266</v>
      </c>
      <c r="C16395" s="1">
        <f>HYPERLINK("https://cao.dolgi.msk.ru/account/1011312346/", 1011312346)</f>
        <v>1011312346</v>
      </c>
      <c r="D16395">
        <v>-2610.83</v>
      </c>
    </row>
    <row r="16396" spans="1:4" hidden="1" x14ac:dyDescent="0.3">
      <c r="A16396" t="s">
        <v>988</v>
      </c>
      <c r="B16396" t="s">
        <v>117</v>
      </c>
      <c r="C16396" s="1">
        <f>HYPERLINK("https://cao.dolgi.msk.ru/account/1011311992/", 1011311992)</f>
        <v>1011311992</v>
      </c>
      <c r="D16396">
        <v>-50.02</v>
      </c>
    </row>
    <row r="16397" spans="1:4" x14ac:dyDescent="0.3">
      <c r="A16397" t="s">
        <v>988</v>
      </c>
      <c r="B16397" t="s">
        <v>118</v>
      </c>
      <c r="C16397" s="1">
        <f>HYPERLINK("https://cao.dolgi.msk.ru/account/1011311298/", 1011311298)</f>
        <v>1011311298</v>
      </c>
      <c r="D16397">
        <v>23876.21</v>
      </c>
    </row>
    <row r="16398" spans="1:4" hidden="1" x14ac:dyDescent="0.3">
      <c r="A16398" t="s">
        <v>988</v>
      </c>
      <c r="B16398" t="s">
        <v>119</v>
      </c>
      <c r="C16398" s="1">
        <f>HYPERLINK("https://cao.dolgi.msk.ru/account/1011311044/", 1011311044)</f>
        <v>1011311044</v>
      </c>
      <c r="D16398">
        <v>-5385</v>
      </c>
    </row>
    <row r="16399" spans="1:4" hidden="1" x14ac:dyDescent="0.3">
      <c r="A16399" t="s">
        <v>988</v>
      </c>
      <c r="B16399" t="s">
        <v>120</v>
      </c>
      <c r="C16399" s="1">
        <f>HYPERLINK("https://cao.dolgi.msk.ru/account/1011312231/", 1011312231)</f>
        <v>1011312231</v>
      </c>
      <c r="D16399">
        <v>-9180.94</v>
      </c>
    </row>
    <row r="16400" spans="1:4" hidden="1" x14ac:dyDescent="0.3">
      <c r="A16400" t="s">
        <v>988</v>
      </c>
      <c r="B16400" t="s">
        <v>121</v>
      </c>
      <c r="C16400" s="1">
        <f>HYPERLINK("https://cao.dolgi.msk.ru/account/1011311108/", 1011311108)</f>
        <v>1011311108</v>
      </c>
      <c r="D16400">
        <v>0</v>
      </c>
    </row>
    <row r="16401" spans="1:4" hidden="1" x14ac:dyDescent="0.3">
      <c r="A16401" t="s">
        <v>988</v>
      </c>
      <c r="B16401" t="s">
        <v>122</v>
      </c>
      <c r="C16401" s="1">
        <f>HYPERLINK("https://cao.dolgi.msk.ru/account/1011311095/", 1011311095)</f>
        <v>1011311095</v>
      </c>
      <c r="D16401">
        <v>0</v>
      </c>
    </row>
    <row r="16402" spans="1:4" hidden="1" x14ac:dyDescent="0.3">
      <c r="A16402" t="s">
        <v>988</v>
      </c>
      <c r="B16402" t="s">
        <v>123</v>
      </c>
      <c r="C16402" s="1">
        <f>HYPERLINK("https://cao.dolgi.msk.ru/account/1011311343/", 1011311343)</f>
        <v>1011311343</v>
      </c>
      <c r="D16402">
        <v>-6236.19</v>
      </c>
    </row>
    <row r="16403" spans="1:4" hidden="1" x14ac:dyDescent="0.3">
      <c r="A16403" t="s">
        <v>988</v>
      </c>
      <c r="B16403" t="s">
        <v>124</v>
      </c>
      <c r="C16403" s="1">
        <f>HYPERLINK("https://cao.dolgi.msk.ru/account/1011311052/", 1011311052)</f>
        <v>1011311052</v>
      </c>
      <c r="D16403">
        <v>-117.96</v>
      </c>
    </row>
    <row r="16404" spans="1:4" hidden="1" x14ac:dyDescent="0.3">
      <c r="A16404" t="s">
        <v>988</v>
      </c>
      <c r="B16404" t="s">
        <v>125</v>
      </c>
      <c r="C16404" s="1">
        <f>HYPERLINK("https://cao.dolgi.msk.ru/account/1011310885/", 1011310885)</f>
        <v>1011310885</v>
      </c>
      <c r="D16404">
        <v>0</v>
      </c>
    </row>
    <row r="16405" spans="1:4" hidden="1" x14ac:dyDescent="0.3">
      <c r="A16405" t="s">
        <v>988</v>
      </c>
      <c r="B16405" t="s">
        <v>126</v>
      </c>
      <c r="C16405" s="1">
        <f>HYPERLINK("https://cao.dolgi.msk.ru/account/1011311976/", 1011311976)</f>
        <v>1011311976</v>
      </c>
      <c r="D16405">
        <v>-142.97999999999999</v>
      </c>
    </row>
    <row r="16406" spans="1:4" hidden="1" x14ac:dyDescent="0.3">
      <c r="A16406" t="s">
        <v>988</v>
      </c>
      <c r="B16406" t="s">
        <v>127</v>
      </c>
      <c r="C16406" s="1">
        <f>HYPERLINK("https://cao.dolgi.msk.ru/account/1011311853/", 1011311853)</f>
        <v>1011311853</v>
      </c>
      <c r="D16406">
        <v>0</v>
      </c>
    </row>
    <row r="16407" spans="1:4" hidden="1" x14ac:dyDescent="0.3">
      <c r="A16407" t="s">
        <v>988</v>
      </c>
      <c r="B16407" t="s">
        <v>262</v>
      </c>
      <c r="C16407" s="1">
        <f>HYPERLINK("https://cao.dolgi.msk.ru/account/1011311538/", 1011311538)</f>
        <v>1011311538</v>
      </c>
      <c r="D16407">
        <v>0</v>
      </c>
    </row>
    <row r="16408" spans="1:4" hidden="1" x14ac:dyDescent="0.3">
      <c r="A16408" t="s">
        <v>988</v>
      </c>
      <c r="B16408" t="s">
        <v>128</v>
      </c>
      <c r="C16408" s="1">
        <f>HYPERLINK("https://cao.dolgi.msk.ru/account/1011311706/", 1011311706)</f>
        <v>1011311706</v>
      </c>
      <c r="D16408">
        <v>-59.87</v>
      </c>
    </row>
    <row r="16409" spans="1:4" x14ac:dyDescent="0.3">
      <c r="A16409" t="s">
        <v>988</v>
      </c>
      <c r="B16409" t="s">
        <v>129</v>
      </c>
      <c r="C16409" s="1">
        <f>HYPERLINK("https://cao.dolgi.msk.ru/account/1011311829/", 1011311829)</f>
        <v>1011311829</v>
      </c>
      <c r="D16409">
        <v>24428.21</v>
      </c>
    </row>
    <row r="16410" spans="1:4" hidden="1" x14ac:dyDescent="0.3">
      <c r="A16410" t="s">
        <v>988</v>
      </c>
      <c r="B16410" t="s">
        <v>130</v>
      </c>
      <c r="C16410" s="1">
        <f>HYPERLINK("https://cao.dolgi.msk.ru/account/1011312354/", 1011312354)</f>
        <v>1011312354</v>
      </c>
      <c r="D16410">
        <v>0</v>
      </c>
    </row>
    <row r="16411" spans="1:4" hidden="1" x14ac:dyDescent="0.3">
      <c r="A16411" t="s">
        <v>988</v>
      </c>
      <c r="B16411" t="s">
        <v>131</v>
      </c>
      <c r="C16411" s="1">
        <f>HYPERLINK("https://cao.dolgi.msk.ru/account/1011310826/", 1011310826)</f>
        <v>1011310826</v>
      </c>
      <c r="D16411">
        <v>0</v>
      </c>
    </row>
    <row r="16412" spans="1:4" hidden="1" x14ac:dyDescent="0.3">
      <c r="A16412" t="s">
        <v>988</v>
      </c>
      <c r="B16412" t="s">
        <v>132</v>
      </c>
      <c r="C16412" s="1">
        <f>HYPERLINK("https://cao.dolgi.msk.ru/account/1011311431/", 1011311431)</f>
        <v>1011311431</v>
      </c>
      <c r="D16412">
        <v>0</v>
      </c>
    </row>
    <row r="16413" spans="1:4" hidden="1" x14ac:dyDescent="0.3">
      <c r="A16413" t="s">
        <v>988</v>
      </c>
      <c r="B16413" t="s">
        <v>133</v>
      </c>
      <c r="C16413" s="1">
        <f>HYPERLINK("https://cao.dolgi.msk.ru/account/1011310615/", 1011310615)</f>
        <v>1011310615</v>
      </c>
      <c r="D16413">
        <v>-91.56</v>
      </c>
    </row>
    <row r="16414" spans="1:4" x14ac:dyDescent="0.3">
      <c r="A16414" t="s">
        <v>988</v>
      </c>
      <c r="B16414" t="s">
        <v>134</v>
      </c>
      <c r="C16414" s="1">
        <f>HYPERLINK("https://cao.dolgi.msk.ru/account/1011311087/", 1011311087)</f>
        <v>1011311087</v>
      </c>
      <c r="D16414">
        <v>3297.86</v>
      </c>
    </row>
    <row r="16415" spans="1:4" hidden="1" x14ac:dyDescent="0.3">
      <c r="A16415" t="s">
        <v>988</v>
      </c>
      <c r="B16415" t="s">
        <v>135</v>
      </c>
      <c r="C16415" s="1">
        <f>HYPERLINK("https://cao.dolgi.msk.ru/account/1011311028/", 1011311028)</f>
        <v>1011311028</v>
      </c>
      <c r="D16415">
        <v>0</v>
      </c>
    </row>
    <row r="16416" spans="1:4" hidden="1" x14ac:dyDescent="0.3">
      <c r="A16416" t="s">
        <v>988</v>
      </c>
      <c r="B16416" t="s">
        <v>264</v>
      </c>
      <c r="C16416" s="1">
        <f>HYPERLINK("https://cao.dolgi.msk.ru/account/1011311204/", 1011311204)</f>
        <v>1011311204</v>
      </c>
      <c r="D16416">
        <v>-6020.53</v>
      </c>
    </row>
    <row r="16417" spans="1:4" hidden="1" x14ac:dyDescent="0.3">
      <c r="A16417" t="s">
        <v>988</v>
      </c>
      <c r="B16417" t="s">
        <v>136</v>
      </c>
      <c r="C16417" s="1">
        <f>HYPERLINK("https://cao.dolgi.msk.ru/account/1011311423/", 1011311423)</f>
        <v>1011311423</v>
      </c>
      <c r="D16417">
        <v>0</v>
      </c>
    </row>
    <row r="16418" spans="1:4" hidden="1" x14ac:dyDescent="0.3">
      <c r="A16418" t="s">
        <v>988</v>
      </c>
      <c r="B16418" t="s">
        <v>137</v>
      </c>
      <c r="C16418" s="1">
        <f>HYPERLINK("https://cao.dolgi.msk.ru/account/1011310957/", 1011310957)</f>
        <v>1011310957</v>
      </c>
      <c r="D16418">
        <v>0</v>
      </c>
    </row>
    <row r="16419" spans="1:4" hidden="1" x14ac:dyDescent="0.3">
      <c r="A16419" t="s">
        <v>988</v>
      </c>
      <c r="B16419" t="s">
        <v>138</v>
      </c>
      <c r="C16419" s="1">
        <f>HYPERLINK("https://cao.dolgi.msk.ru/account/1011527232/", 1011527232)</f>
        <v>1011527232</v>
      </c>
      <c r="D16419">
        <v>-1789.86</v>
      </c>
    </row>
    <row r="16420" spans="1:4" hidden="1" x14ac:dyDescent="0.3">
      <c r="A16420" t="s">
        <v>988</v>
      </c>
      <c r="B16420" t="s">
        <v>139</v>
      </c>
      <c r="C16420" s="1">
        <f>HYPERLINK("https://cao.dolgi.msk.ru/account/1011310711/", 1011310711)</f>
        <v>1011310711</v>
      </c>
      <c r="D16420">
        <v>-538.6</v>
      </c>
    </row>
    <row r="16421" spans="1:4" x14ac:dyDescent="0.3">
      <c r="A16421" t="s">
        <v>988</v>
      </c>
      <c r="B16421" t="s">
        <v>140</v>
      </c>
      <c r="C16421" s="1">
        <f>HYPERLINK("https://cao.dolgi.msk.ru/account/1011311626/", 1011311626)</f>
        <v>1011311626</v>
      </c>
      <c r="D16421">
        <v>43638.76</v>
      </c>
    </row>
    <row r="16422" spans="1:4" hidden="1" x14ac:dyDescent="0.3">
      <c r="A16422" t="s">
        <v>988</v>
      </c>
      <c r="B16422" t="s">
        <v>141</v>
      </c>
      <c r="C16422" s="1">
        <f>HYPERLINK("https://cao.dolgi.msk.ru/account/1011311036/", 1011311036)</f>
        <v>1011311036</v>
      </c>
      <c r="D16422">
        <v>-26.67</v>
      </c>
    </row>
    <row r="16423" spans="1:4" hidden="1" x14ac:dyDescent="0.3">
      <c r="A16423" t="s">
        <v>988</v>
      </c>
      <c r="B16423" t="s">
        <v>142</v>
      </c>
      <c r="C16423" s="1">
        <f>HYPERLINK("https://cao.dolgi.msk.ru/account/1011312266/", 1011312266)</f>
        <v>1011312266</v>
      </c>
      <c r="D16423">
        <v>-234.2</v>
      </c>
    </row>
    <row r="16424" spans="1:4" x14ac:dyDescent="0.3">
      <c r="A16424" t="s">
        <v>988</v>
      </c>
      <c r="B16424" t="s">
        <v>143</v>
      </c>
      <c r="C16424" s="1">
        <f>HYPERLINK("https://cao.dolgi.msk.ru/account/1011311888/", 1011311888)</f>
        <v>1011311888</v>
      </c>
      <c r="D16424">
        <v>3514.08</v>
      </c>
    </row>
    <row r="16425" spans="1:4" hidden="1" x14ac:dyDescent="0.3">
      <c r="A16425" t="s">
        <v>988</v>
      </c>
      <c r="B16425" t="s">
        <v>144</v>
      </c>
      <c r="C16425" s="1">
        <f>HYPERLINK("https://cao.dolgi.msk.ru/account/1011310703/", 1011310703)</f>
        <v>1011310703</v>
      </c>
      <c r="D16425">
        <v>-59.36</v>
      </c>
    </row>
    <row r="16426" spans="1:4" hidden="1" x14ac:dyDescent="0.3">
      <c r="A16426" t="s">
        <v>988</v>
      </c>
      <c r="B16426" t="s">
        <v>146</v>
      </c>
      <c r="C16426" s="1">
        <f>HYPERLINK("https://cao.dolgi.msk.ru/account/1011310738/", 1011310738)</f>
        <v>1011310738</v>
      </c>
      <c r="D16426">
        <v>0</v>
      </c>
    </row>
    <row r="16427" spans="1:4" hidden="1" x14ac:dyDescent="0.3">
      <c r="A16427" t="s">
        <v>988</v>
      </c>
      <c r="B16427" t="s">
        <v>146</v>
      </c>
      <c r="C16427" s="1">
        <f>HYPERLINK("https://cao.dolgi.msk.ru/account/1011311984/", 1011311984)</f>
        <v>1011311984</v>
      </c>
      <c r="D16427">
        <v>0</v>
      </c>
    </row>
    <row r="16428" spans="1:4" x14ac:dyDescent="0.3">
      <c r="A16428" t="s">
        <v>988</v>
      </c>
      <c r="B16428" t="s">
        <v>147</v>
      </c>
      <c r="C16428" s="1">
        <f>HYPERLINK("https://cao.dolgi.msk.ru/account/1011311319/", 1011311319)</f>
        <v>1011311319</v>
      </c>
      <c r="D16428">
        <v>5605.24</v>
      </c>
    </row>
    <row r="16429" spans="1:4" hidden="1" x14ac:dyDescent="0.3">
      <c r="A16429" t="s">
        <v>988</v>
      </c>
      <c r="B16429" t="s">
        <v>148</v>
      </c>
      <c r="C16429" s="1">
        <f>HYPERLINK("https://cao.dolgi.msk.ru/account/1011310922/", 1011310922)</f>
        <v>1011310922</v>
      </c>
      <c r="D16429">
        <v>-1949.58</v>
      </c>
    </row>
    <row r="16430" spans="1:4" hidden="1" x14ac:dyDescent="0.3">
      <c r="A16430" t="s">
        <v>988</v>
      </c>
      <c r="B16430" t="s">
        <v>149</v>
      </c>
      <c r="C16430" s="1">
        <f>HYPERLINK("https://cao.dolgi.msk.ru/account/1011311474/", 1011311474)</f>
        <v>1011311474</v>
      </c>
      <c r="D16430">
        <v>0</v>
      </c>
    </row>
    <row r="16431" spans="1:4" hidden="1" x14ac:dyDescent="0.3">
      <c r="A16431" t="s">
        <v>988</v>
      </c>
      <c r="B16431" t="s">
        <v>150</v>
      </c>
      <c r="C16431" s="1">
        <f>HYPERLINK("https://cao.dolgi.msk.ru/account/1011311941/", 1011311941)</f>
        <v>1011311941</v>
      </c>
      <c r="D16431">
        <v>0</v>
      </c>
    </row>
    <row r="16432" spans="1:4" hidden="1" x14ac:dyDescent="0.3">
      <c r="A16432" t="s">
        <v>988</v>
      </c>
      <c r="B16432" t="s">
        <v>151</v>
      </c>
      <c r="C16432" s="1">
        <f>HYPERLINK("https://cao.dolgi.msk.ru/account/1011310631/", 1011310631)</f>
        <v>1011310631</v>
      </c>
      <c r="D16432">
        <v>0</v>
      </c>
    </row>
    <row r="16433" spans="1:4" hidden="1" x14ac:dyDescent="0.3">
      <c r="A16433" t="s">
        <v>988</v>
      </c>
      <c r="B16433" t="s">
        <v>152</v>
      </c>
      <c r="C16433" s="1">
        <f>HYPERLINK("https://cao.dolgi.msk.ru/account/1011310965/", 1011310965)</f>
        <v>1011310965</v>
      </c>
      <c r="D16433">
        <v>-8079.33</v>
      </c>
    </row>
    <row r="16434" spans="1:4" hidden="1" x14ac:dyDescent="0.3">
      <c r="A16434" t="s">
        <v>988</v>
      </c>
      <c r="B16434" t="s">
        <v>153</v>
      </c>
      <c r="C16434" s="1">
        <f>HYPERLINK("https://cao.dolgi.msk.ru/account/1011310666/", 1011310666)</f>
        <v>1011310666</v>
      </c>
      <c r="D16434">
        <v>0</v>
      </c>
    </row>
    <row r="16435" spans="1:4" hidden="1" x14ac:dyDescent="0.3">
      <c r="A16435" t="s">
        <v>988</v>
      </c>
      <c r="B16435" t="s">
        <v>154</v>
      </c>
      <c r="C16435" s="1">
        <f>HYPERLINK("https://cao.dolgi.msk.ru/account/1011312151/", 1011312151)</f>
        <v>1011312151</v>
      </c>
      <c r="D16435">
        <v>-106299.64</v>
      </c>
    </row>
    <row r="16436" spans="1:4" hidden="1" x14ac:dyDescent="0.3">
      <c r="A16436" t="s">
        <v>988</v>
      </c>
      <c r="B16436" t="s">
        <v>155</v>
      </c>
      <c r="C16436" s="1">
        <f>HYPERLINK("https://cao.dolgi.msk.ru/account/1011312397/", 1011312397)</f>
        <v>1011312397</v>
      </c>
      <c r="D16436">
        <v>-882.42</v>
      </c>
    </row>
    <row r="16437" spans="1:4" hidden="1" x14ac:dyDescent="0.3">
      <c r="A16437" t="s">
        <v>988</v>
      </c>
      <c r="B16437" t="s">
        <v>156</v>
      </c>
      <c r="C16437" s="1">
        <f>HYPERLINK("https://cao.dolgi.msk.ru/account/1011311773/", 1011311773)</f>
        <v>1011311773</v>
      </c>
      <c r="D16437">
        <v>-1981.53</v>
      </c>
    </row>
    <row r="16438" spans="1:4" x14ac:dyDescent="0.3">
      <c r="A16438" t="s">
        <v>988</v>
      </c>
      <c r="B16438" t="s">
        <v>157</v>
      </c>
      <c r="C16438" s="1">
        <f>HYPERLINK("https://cao.dolgi.msk.ru/account/1011311634/", 1011311634)</f>
        <v>1011311634</v>
      </c>
      <c r="D16438">
        <v>54.94</v>
      </c>
    </row>
    <row r="16439" spans="1:4" x14ac:dyDescent="0.3">
      <c r="A16439" t="s">
        <v>988</v>
      </c>
      <c r="B16439" t="s">
        <v>158</v>
      </c>
      <c r="C16439" s="1">
        <f>HYPERLINK("https://cao.dolgi.msk.ru/account/1011311925/", 1011311925)</f>
        <v>1011311925</v>
      </c>
      <c r="D16439">
        <v>5156.41</v>
      </c>
    </row>
    <row r="16440" spans="1:4" hidden="1" x14ac:dyDescent="0.3">
      <c r="A16440" t="s">
        <v>988</v>
      </c>
      <c r="B16440" t="s">
        <v>159</v>
      </c>
      <c r="C16440" s="1">
        <f>HYPERLINK("https://cao.dolgi.msk.ru/account/1011311933/", 1011311933)</f>
        <v>1011311933</v>
      </c>
      <c r="D16440">
        <v>-1020.87</v>
      </c>
    </row>
    <row r="16441" spans="1:4" hidden="1" x14ac:dyDescent="0.3">
      <c r="A16441" t="s">
        <v>988</v>
      </c>
      <c r="B16441" t="s">
        <v>160</v>
      </c>
      <c r="C16441" s="1">
        <f>HYPERLINK("https://cao.dolgi.msk.ru/account/1011311917/", 1011311917)</f>
        <v>1011311917</v>
      </c>
      <c r="D16441">
        <v>-59.73</v>
      </c>
    </row>
    <row r="16442" spans="1:4" hidden="1" x14ac:dyDescent="0.3">
      <c r="A16442" t="s">
        <v>988</v>
      </c>
      <c r="B16442" t="s">
        <v>161</v>
      </c>
      <c r="C16442" s="1">
        <f>HYPERLINK("https://cao.dolgi.msk.ru/account/1011312039/", 1011312039)</f>
        <v>1011312039</v>
      </c>
      <c r="D16442">
        <v>0</v>
      </c>
    </row>
    <row r="16443" spans="1:4" hidden="1" x14ac:dyDescent="0.3">
      <c r="A16443" t="s">
        <v>988</v>
      </c>
      <c r="B16443" t="s">
        <v>162</v>
      </c>
      <c r="C16443" s="1">
        <f>HYPERLINK("https://cao.dolgi.msk.ru/account/1011312004/", 1011312004)</f>
        <v>1011312004</v>
      </c>
      <c r="D16443">
        <v>-10403.959999999999</v>
      </c>
    </row>
    <row r="16444" spans="1:4" hidden="1" x14ac:dyDescent="0.3">
      <c r="A16444" t="s">
        <v>988</v>
      </c>
      <c r="B16444" t="s">
        <v>163</v>
      </c>
      <c r="C16444" s="1">
        <f>HYPERLINK("https://cao.dolgi.msk.ru/account/1011311861/", 1011311861)</f>
        <v>1011311861</v>
      </c>
      <c r="D16444">
        <v>-137.75</v>
      </c>
    </row>
    <row r="16445" spans="1:4" hidden="1" x14ac:dyDescent="0.3">
      <c r="A16445" t="s">
        <v>988</v>
      </c>
      <c r="B16445" t="s">
        <v>164</v>
      </c>
      <c r="C16445" s="1">
        <f>HYPERLINK("https://cao.dolgi.msk.ru/account/1011312274/", 1011312274)</f>
        <v>1011312274</v>
      </c>
      <c r="D16445">
        <v>0</v>
      </c>
    </row>
    <row r="16446" spans="1:4" hidden="1" x14ac:dyDescent="0.3">
      <c r="A16446" t="s">
        <v>988</v>
      </c>
      <c r="B16446" t="s">
        <v>166</v>
      </c>
      <c r="C16446" s="1">
        <f>HYPERLINK("https://cao.dolgi.msk.ru/account/1011311562/", 1011311562)</f>
        <v>1011311562</v>
      </c>
      <c r="D16446">
        <v>-7736.26</v>
      </c>
    </row>
    <row r="16447" spans="1:4" hidden="1" x14ac:dyDescent="0.3">
      <c r="A16447" t="s">
        <v>988</v>
      </c>
      <c r="B16447" t="s">
        <v>167</v>
      </c>
      <c r="C16447" s="1">
        <f>HYPERLINK("https://cao.dolgi.msk.ru/account/1011311212/", 1011311212)</f>
        <v>1011311212</v>
      </c>
      <c r="D16447">
        <v>-4385.18</v>
      </c>
    </row>
    <row r="16448" spans="1:4" hidden="1" x14ac:dyDescent="0.3">
      <c r="A16448" t="s">
        <v>988</v>
      </c>
      <c r="B16448" t="s">
        <v>168</v>
      </c>
      <c r="C16448" s="1">
        <f>HYPERLINK("https://cao.dolgi.msk.ru/account/1011311714/", 1011311714)</f>
        <v>1011311714</v>
      </c>
      <c r="D16448">
        <v>0</v>
      </c>
    </row>
    <row r="16449" spans="1:4" hidden="1" x14ac:dyDescent="0.3">
      <c r="A16449" t="s">
        <v>988</v>
      </c>
      <c r="B16449" t="s">
        <v>170</v>
      </c>
      <c r="C16449" s="1">
        <f>HYPERLINK("https://cao.dolgi.msk.ru/account/1011310949/", 1011310949)</f>
        <v>1011310949</v>
      </c>
      <c r="D16449">
        <v>-97047.16</v>
      </c>
    </row>
    <row r="16450" spans="1:4" x14ac:dyDescent="0.3">
      <c r="A16450" t="s">
        <v>988</v>
      </c>
      <c r="B16450" t="s">
        <v>171</v>
      </c>
      <c r="C16450" s="1">
        <f>HYPERLINK("https://cao.dolgi.msk.ru/account/1011310658/", 1011310658)</f>
        <v>1011310658</v>
      </c>
      <c r="D16450">
        <v>62225.06</v>
      </c>
    </row>
    <row r="16451" spans="1:4" hidden="1" x14ac:dyDescent="0.3">
      <c r="A16451" t="s">
        <v>988</v>
      </c>
      <c r="B16451" t="s">
        <v>172</v>
      </c>
      <c r="C16451" s="1">
        <f>HYPERLINK("https://cao.dolgi.msk.ru/account/1011312012/", 1011312012)</f>
        <v>1011312012</v>
      </c>
      <c r="D16451">
        <v>0</v>
      </c>
    </row>
    <row r="16452" spans="1:4" hidden="1" x14ac:dyDescent="0.3">
      <c r="A16452" t="s">
        <v>988</v>
      </c>
      <c r="B16452" t="s">
        <v>173</v>
      </c>
      <c r="C16452" s="1">
        <f>HYPERLINK("https://cao.dolgi.msk.ru/account/1011312063/", 1011312063)</f>
        <v>1011312063</v>
      </c>
      <c r="D16452">
        <v>0</v>
      </c>
    </row>
    <row r="16453" spans="1:4" hidden="1" x14ac:dyDescent="0.3">
      <c r="A16453" t="s">
        <v>988</v>
      </c>
      <c r="B16453" t="s">
        <v>174</v>
      </c>
      <c r="C16453" s="1">
        <f>HYPERLINK("https://cao.dolgi.msk.ru/account/1011311845/", 1011311845)</f>
        <v>1011311845</v>
      </c>
      <c r="D16453">
        <v>-8925.8700000000008</v>
      </c>
    </row>
    <row r="16454" spans="1:4" x14ac:dyDescent="0.3">
      <c r="A16454" t="s">
        <v>988</v>
      </c>
      <c r="B16454" t="s">
        <v>175</v>
      </c>
      <c r="C16454" s="1">
        <f>HYPERLINK("https://cao.dolgi.msk.ru/account/1011312362/", 1011312362)</f>
        <v>1011312362</v>
      </c>
      <c r="D16454">
        <v>101.1</v>
      </c>
    </row>
    <row r="16455" spans="1:4" hidden="1" x14ac:dyDescent="0.3">
      <c r="A16455" t="s">
        <v>989</v>
      </c>
      <c r="B16455" t="s">
        <v>6</v>
      </c>
      <c r="C16455" s="1">
        <f>HYPERLINK("https://cao.dolgi.msk.ru/account/1011213647/", 1011213647)</f>
        <v>1011213647</v>
      </c>
      <c r="D16455">
        <v>-42.33</v>
      </c>
    </row>
    <row r="16456" spans="1:4" x14ac:dyDescent="0.3">
      <c r="A16456" t="s">
        <v>989</v>
      </c>
      <c r="B16456" t="s">
        <v>28</v>
      </c>
      <c r="C16456" s="1">
        <f>HYPERLINK("https://cao.dolgi.msk.ru/account/1011213516/", 1011213516)</f>
        <v>1011213516</v>
      </c>
      <c r="D16456">
        <v>9060.23</v>
      </c>
    </row>
    <row r="16457" spans="1:4" hidden="1" x14ac:dyDescent="0.3">
      <c r="A16457" t="s">
        <v>989</v>
      </c>
      <c r="B16457" t="s">
        <v>35</v>
      </c>
      <c r="C16457" s="1">
        <f>HYPERLINK("https://cao.dolgi.msk.ru/account/1011213751/", 1011213751)</f>
        <v>1011213751</v>
      </c>
      <c r="D16457">
        <v>-117.9</v>
      </c>
    </row>
    <row r="16458" spans="1:4" hidden="1" x14ac:dyDescent="0.3">
      <c r="A16458" t="s">
        <v>989</v>
      </c>
      <c r="B16458" t="s">
        <v>7</v>
      </c>
      <c r="C16458" s="1">
        <f>HYPERLINK("https://cao.dolgi.msk.ru/account/1011213209/", 1011213209)</f>
        <v>1011213209</v>
      </c>
      <c r="D16458">
        <v>-42.21</v>
      </c>
    </row>
    <row r="16459" spans="1:4" hidden="1" x14ac:dyDescent="0.3">
      <c r="A16459" t="s">
        <v>989</v>
      </c>
      <c r="B16459" t="s">
        <v>8</v>
      </c>
      <c r="C16459" s="1">
        <f>HYPERLINK("https://cao.dolgi.msk.ru/account/1011213815/", 1011213815)</f>
        <v>1011213815</v>
      </c>
      <c r="D16459">
        <v>-92.34</v>
      </c>
    </row>
    <row r="16460" spans="1:4" x14ac:dyDescent="0.3">
      <c r="A16460" t="s">
        <v>989</v>
      </c>
      <c r="B16460" t="s">
        <v>31</v>
      </c>
      <c r="C16460" s="1">
        <f>HYPERLINK("https://cao.dolgi.msk.ru/account/1011213217/", 1011213217)</f>
        <v>1011213217</v>
      </c>
      <c r="D16460">
        <v>7362.7</v>
      </c>
    </row>
    <row r="16461" spans="1:4" hidden="1" x14ac:dyDescent="0.3">
      <c r="A16461" t="s">
        <v>989</v>
      </c>
      <c r="B16461" t="s">
        <v>9</v>
      </c>
      <c r="C16461" s="1">
        <f>HYPERLINK("https://cao.dolgi.msk.ru/account/1011213313/", 1011213313)</f>
        <v>1011213313</v>
      </c>
      <c r="D16461">
        <v>-42.1</v>
      </c>
    </row>
    <row r="16462" spans="1:4" hidden="1" x14ac:dyDescent="0.3">
      <c r="A16462" t="s">
        <v>989</v>
      </c>
      <c r="B16462" t="s">
        <v>10</v>
      </c>
      <c r="C16462" s="1">
        <f>HYPERLINK("https://cao.dolgi.msk.ru/account/1011213778/", 1011213778)</f>
        <v>1011213778</v>
      </c>
      <c r="D16462">
        <v>-9143.18</v>
      </c>
    </row>
    <row r="16463" spans="1:4" x14ac:dyDescent="0.3">
      <c r="A16463" t="s">
        <v>989</v>
      </c>
      <c r="B16463" t="s">
        <v>11</v>
      </c>
      <c r="C16463" s="1">
        <f>HYPERLINK("https://cao.dolgi.msk.ru/account/1011213321/", 1011213321)</f>
        <v>1011213321</v>
      </c>
      <c r="D16463">
        <v>7248.29</v>
      </c>
    </row>
    <row r="16464" spans="1:4" hidden="1" x14ac:dyDescent="0.3">
      <c r="A16464" t="s">
        <v>989</v>
      </c>
      <c r="B16464" t="s">
        <v>12</v>
      </c>
      <c r="C16464" s="1">
        <f>HYPERLINK("https://cao.dolgi.msk.ru/account/1011213102/", 1011213102)</f>
        <v>1011213102</v>
      </c>
      <c r="D16464">
        <v>-10499.67</v>
      </c>
    </row>
    <row r="16465" spans="1:4" hidden="1" x14ac:dyDescent="0.3">
      <c r="A16465" t="s">
        <v>989</v>
      </c>
      <c r="B16465" t="s">
        <v>23</v>
      </c>
      <c r="C16465" s="1">
        <f>HYPERLINK("https://cao.dolgi.msk.ru/account/1011213225/", 1011213225)</f>
        <v>1011213225</v>
      </c>
      <c r="D16465">
        <v>-2906.21</v>
      </c>
    </row>
    <row r="16466" spans="1:4" x14ac:dyDescent="0.3">
      <c r="A16466" t="s">
        <v>989</v>
      </c>
      <c r="B16466" t="s">
        <v>14</v>
      </c>
      <c r="C16466" s="1">
        <f>HYPERLINK("https://cao.dolgi.msk.ru/account/1011213129/", 1011213129)</f>
        <v>1011213129</v>
      </c>
      <c r="D16466">
        <v>19272.45</v>
      </c>
    </row>
    <row r="16467" spans="1:4" hidden="1" x14ac:dyDescent="0.3">
      <c r="A16467" t="s">
        <v>989</v>
      </c>
      <c r="B16467" t="s">
        <v>990</v>
      </c>
      <c r="C16467" s="1">
        <f>HYPERLINK("https://cao.dolgi.msk.ru/account/1011213786/", 1011213786)</f>
        <v>1011213786</v>
      </c>
      <c r="D16467">
        <v>-131.87</v>
      </c>
    </row>
    <row r="16468" spans="1:4" x14ac:dyDescent="0.3">
      <c r="A16468" t="s">
        <v>989</v>
      </c>
      <c r="B16468" t="s">
        <v>18</v>
      </c>
      <c r="C16468" s="1">
        <f>HYPERLINK("https://cao.dolgi.msk.ru/account/1011213401/", 1011213401)</f>
        <v>1011213401</v>
      </c>
      <c r="D16468">
        <v>262.58999999999997</v>
      </c>
    </row>
    <row r="16469" spans="1:4" hidden="1" x14ac:dyDescent="0.3">
      <c r="A16469" t="s">
        <v>989</v>
      </c>
      <c r="B16469" t="s">
        <v>19</v>
      </c>
      <c r="C16469" s="1">
        <f>HYPERLINK("https://cao.dolgi.msk.ru/account/1011213655/", 1011213655)</f>
        <v>1011213655</v>
      </c>
      <c r="D16469">
        <v>0</v>
      </c>
    </row>
    <row r="16470" spans="1:4" x14ac:dyDescent="0.3">
      <c r="A16470" t="s">
        <v>989</v>
      </c>
      <c r="B16470" t="s">
        <v>991</v>
      </c>
      <c r="C16470" s="1">
        <f>HYPERLINK("https://cao.dolgi.msk.ru/account/1011213823/", 1011213823)</f>
        <v>1011213823</v>
      </c>
      <c r="D16470">
        <v>16610.169999999998</v>
      </c>
    </row>
    <row r="16471" spans="1:4" x14ac:dyDescent="0.3">
      <c r="A16471" t="s">
        <v>989</v>
      </c>
      <c r="B16471" t="s">
        <v>22</v>
      </c>
      <c r="C16471" s="1">
        <f>HYPERLINK("https://cao.dolgi.msk.ru/account/1011213428/", 1011213428)</f>
        <v>1011213428</v>
      </c>
      <c r="D16471">
        <v>5125.93</v>
      </c>
    </row>
    <row r="16472" spans="1:4" x14ac:dyDescent="0.3">
      <c r="A16472" t="s">
        <v>989</v>
      </c>
      <c r="B16472" t="s">
        <v>24</v>
      </c>
      <c r="C16472" s="1">
        <f>HYPERLINK("https://cao.dolgi.msk.ru/account/1011213524/", 1011213524)</f>
        <v>1011213524</v>
      </c>
      <c r="D16472">
        <v>5888.42</v>
      </c>
    </row>
    <row r="16473" spans="1:4" hidden="1" x14ac:dyDescent="0.3">
      <c r="A16473" t="s">
        <v>989</v>
      </c>
      <c r="B16473" t="s">
        <v>25</v>
      </c>
      <c r="C16473" s="1">
        <f>HYPERLINK("https://cao.dolgi.msk.ru/account/1011213663/", 1011213663)</f>
        <v>1011213663</v>
      </c>
      <c r="D16473">
        <v>-267.35000000000002</v>
      </c>
    </row>
    <row r="16474" spans="1:4" x14ac:dyDescent="0.3">
      <c r="A16474" t="s">
        <v>989</v>
      </c>
      <c r="B16474" t="s">
        <v>26</v>
      </c>
      <c r="C16474" s="1">
        <f>HYPERLINK("https://cao.dolgi.msk.ru/account/1011213532/", 1011213532)</f>
        <v>1011213532</v>
      </c>
      <c r="D16474">
        <v>11439.49</v>
      </c>
    </row>
    <row r="16475" spans="1:4" hidden="1" x14ac:dyDescent="0.3">
      <c r="A16475" t="s">
        <v>989</v>
      </c>
      <c r="B16475" t="s">
        <v>27</v>
      </c>
      <c r="C16475" s="1">
        <f>HYPERLINK("https://cao.dolgi.msk.ru/account/1011213436/", 1011213436)</f>
        <v>1011213436</v>
      </c>
      <c r="D16475">
        <v>-8837.65</v>
      </c>
    </row>
    <row r="16476" spans="1:4" hidden="1" x14ac:dyDescent="0.3">
      <c r="A16476" t="s">
        <v>989</v>
      </c>
      <c r="B16476" t="s">
        <v>29</v>
      </c>
      <c r="C16476" s="1">
        <f>HYPERLINK("https://cao.dolgi.msk.ru/account/1011213559/", 1011213559)</f>
        <v>1011213559</v>
      </c>
      <c r="D16476">
        <v>0</v>
      </c>
    </row>
    <row r="16477" spans="1:4" hidden="1" x14ac:dyDescent="0.3">
      <c r="A16477" t="s">
        <v>989</v>
      </c>
      <c r="B16477" t="s">
        <v>38</v>
      </c>
      <c r="C16477" s="1">
        <f>HYPERLINK("https://cao.dolgi.msk.ru/account/1011213137/", 1011213137)</f>
        <v>1011213137</v>
      </c>
      <c r="D16477">
        <v>0</v>
      </c>
    </row>
    <row r="16478" spans="1:4" x14ac:dyDescent="0.3">
      <c r="A16478" t="s">
        <v>989</v>
      </c>
      <c r="B16478" t="s">
        <v>39</v>
      </c>
      <c r="C16478" s="1">
        <f>HYPERLINK("https://cao.dolgi.msk.ru/account/1011213794/", 1011213794)</f>
        <v>1011213794</v>
      </c>
      <c r="D16478">
        <v>2272.56</v>
      </c>
    </row>
    <row r="16479" spans="1:4" hidden="1" x14ac:dyDescent="0.3">
      <c r="A16479" t="s">
        <v>989</v>
      </c>
      <c r="B16479" t="s">
        <v>40</v>
      </c>
      <c r="C16479" s="1">
        <f>HYPERLINK("https://cao.dolgi.msk.ru/account/1011213671/", 1011213671)</f>
        <v>1011213671</v>
      </c>
      <c r="D16479">
        <v>0</v>
      </c>
    </row>
    <row r="16480" spans="1:4" hidden="1" x14ac:dyDescent="0.3">
      <c r="A16480" t="s">
        <v>989</v>
      </c>
      <c r="B16480" t="s">
        <v>41</v>
      </c>
      <c r="C16480" s="1">
        <f>HYPERLINK("https://cao.dolgi.msk.ru/account/1011213305/", 1011213305)</f>
        <v>1011213305</v>
      </c>
      <c r="D16480">
        <v>-10922.75</v>
      </c>
    </row>
    <row r="16481" spans="1:4" hidden="1" x14ac:dyDescent="0.3">
      <c r="A16481" t="s">
        <v>989</v>
      </c>
      <c r="B16481" t="s">
        <v>51</v>
      </c>
      <c r="C16481" s="1">
        <f>HYPERLINK("https://cao.dolgi.msk.ru/account/1011213567/", 1011213567)</f>
        <v>1011213567</v>
      </c>
      <c r="D16481">
        <v>-67.02</v>
      </c>
    </row>
    <row r="16482" spans="1:4" hidden="1" x14ac:dyDescent="0.3">
      <c r="A16482" t="s">
        <v>989</v>
      </c>
      <c r="B16482" t="s">
        <v>52</v>
      </c>
      <c r="C16482" s="1">
        <f>HYPERLINK("https://cao.dolgi.msk.ru/account/1011213698/", 1011213698)</f>
        <v>1011213698</v>
      </c>
      <c r="D16482">
        <v>0</v>
      </c>
    </row>
    <row r="16483" spans="1:4" hidden="1" x14ac:dyDescent="0.3">
      <c r="A16483" t="s">
        <v>989</v>
      </c>
      <c r="B16483" t="s">
        <v>53</v>
      </c>
      <c r="C16483" s="1">
        <f>HYPERLINK("https://cao.dolgi.msk.ru/account/1011213348/", 1011213348)</f>
        <v>1011213348</v>
      </c>
      <c r="D16483">
        <v>-12949.55</v>
      </c>
    </row>
    <row r="16484" spans="1:4" hidden="1" x14ac:dyDescent="0.3">
      <c r="A16484" t="s">
        <v>989</v>
      </c>
      <c r="B16484" t="s">
        <v>54</v>
      </c>
      <c r="C16484" s="1">
        <f>HYPERLINK("https://cao.dolgi.msk.ru/account/1011213145/", 1011213145)</f>
        <v>1011213145</v>
      </c>
      <c r="D16484">
        <v>-1207.04</v>
      </c>
    </row>
    <row r="16485" spans="1:4" hidden="1" x14ac:dyDescent="0.3">
      <c r="A16485" t="s">
        <v>989</v>
      </c>
      <c r="B16485" t="s">
        <v>55</v>
      </c>
      <c r="C16485" s="1">
        <f>HYPERLINK("https://cao.dolgi.msk.ru/account/1011213831/", 1011213831)</f>
        <v>1011213831</v>
      </c>
      <c r="D16485">
        <v>0</v>
      </c>
    </row>
    <row r="16486" spans="1:4" hidden="1" x14ac:dyDescent="0.3">
      <c r="A16486" t="s">
        <v>989</v>
      </c>
      <c r="B16486" t="s">
        <v>56</v>
      </c>
      <c r="C16486" s="1">
        <f>HYPERLINK("https://cao.dolgi.msk.ru/account/1011213153/", 1011213153)</f>
        <v>1011213153</v>
      </c>
      <c r="D16486">
        <v>-12593.66</v>
      </c>
    </row>
    <row r="16487" spans="1:4" hidden="1" x14ac:dyDescent="0.3">
      <c r="A16487" t="s">
        <v>989</v>
      </c>
      <c r="B16487" t="s">
        <v>87</v>
      </c>
      <c r="C16487" s="1">
        <f>HYPERLINK("https://cao.dolgi.msk.ru/account/1011213444/", 1011213444)</f>
        <v>1011213444</v>
      </c>
      <c r="D16487">
        <v>0</v>
      </c>
    </row>
    <row r="16488" spans="1:4" hidden="1" x14ac:dyDescent="0.3">
      <c r="A16488" t="s">
        <v>989</v>
      </c>
      <c r="B16488" t="s">
        <v>88</v>
      </c>
      <c r="C16488" s="1">
        <f>HYPERLINK("https://cao.dolgi.msk.ru/account/1011213356/", 1011213356)</f>
        <v>1011213356</v>
      </c>
      <c r="D16488">
        <v>-8239.2800000000007</v>
      </c>
    </row>
    <row r="16489" spans="1:4" hidden="1" x14ac:dyDescent="0.3">
      <c r="A16489" t="s">
        <v>989</v>
      </c>
      <c r="B16489" t="s">
        <v>89</v>
      </c>
      <c r="C16489" s="1">
        <f>HYPERLINK("https://cao.dolgi.msk.ru/account/1011213452/", 1011213452)</f>
        <v>1011213452</v>
      </c>
      <c r="D16489">
        <v>-6779.24</v>
      </c>
    </row>
    <row r="16490" spans="1:4" hidden="1" x14ac:dyDescent="0.3">
      <c r="A16490" t="s">
        <v>989</v>
      </c>
      <c r="B16490" t="s">
        <v>90</v>
      </c>
      <c r="C16490" s="1">
        <f>HYPERLINK("https://cao.dolgi.msk.ru/account/1011213161/", 1011213161)</f>
        <v>1011213161</v>
      </c>
      <c r="D16490">
        <v>0</v>
      </c>
    </row>
    <row r="16491" spans="1:4" x14ac:dyDescent="0.3">
      <c r="A16491" t="s">
        <v>989</v>
      </c>
      <c r="B16491" t="s">
        <v>96</v>
      </c>
      <c r="C16491" s="1">
        <f>HYPERLINK("https://cao.dolgi.msk.ru/account/1011213858/", 1011213858)</f>
        <v>1011213858</v>
      </c>
      <c r="D16491">
        <v>9438.17</v>
      </c>
    </row>
    <row r="16492" spans="1:4" x14ac:dyDescent="0.3">
      <c r="A16492" t="s">
        <v>989</v>
      </c>
      <c r="B16492" t="s">
        <v>97</v>
      </c>
      <c r="C16492" s="1">
        <f>HYPERLINK("https://cao.dolgi.msk.ru/account/1011213233/", 1011213233)</f>
        <v>1011213233</v>
      </c>
      <c r="D16492">
        <v>61459.4</v>
      </c>
    </row>
    <row r="16493" spans="1:4" hidden="1" x14ac:dyDescent="0.3">
      <c r="A16493" t="s">
        <v>989</v>
      </c>
      <c r="B16493" t="s">
        <v>98</v>
      </c>
      <c r="C16493" s="1">
        <f>HYPERLINK("https://cao.dolgi.msk.ru/account/1011213719/", 1011213719)</f>
        <v>1011213719</v>
      </c>
      <c r="D16493">
        <v>0</v>
      </c>
    </row>
    <row r="16494" spans="1:4" hidden="1" x14ac:dyDescent="0.3">
      <c r="A16494" t="s">
        <v>989</v>
      </c>
      <c r="B16494" t="s">
        <v>58</v>
      </c>
      <c r="C16494" s="1">
        <f>HYPERLINK("https://cao.dolgi.msk.ru/account/1011213575/", 1011213575)</f>
        <v>1011213575</v>
      </c>
      <c r="D16494">
        <v>-222.8</v>
      </c>
    </row>
    <row r="16495" spans="1:4" hidden="1" x14ac:dyDescent="0.3">
      <c r="A16495" t="s">
        <v>989</v>
      </c>
      <c r="B16495" t="s">
        <v>59</v>
      </c>
      <c r="C16495" s="1">
        <f>HYPERLINK("https://cao.dolgi.msk.ru/account/1011213727/", 1011213727)</f>
        <v>1011213727</v>
      </c>
      <c r="D16495">
        <v>0</v>
      </c>
    </row>
    <row r="16496" spans="1:4" x14ac:dyDescent="0.3">
      <c r="A16496" t="s">
        <v>989</v>
      </c>
      <c r="B16496" t="s">
        <v>60</v>
      </c>
      <c r="C16496" s="1">
        <f>HYPERLINK("https://cao.dolgi.msk.ru/account/1011213583/", 1011213583)</f>
        <v>1011213583</v>
      </c>
      <c r="D16496">
        <v>1955.54</v>
      </c>
    </row>
    <row r="16497" spans="1:4" hidden="1" x14ac:dyDescent="0.3">
      <c r="A16497" t="s">
        <v>989</v>
      </c>
      <c r="B16497" t="s">
        <v>61</v>
      </c>
      <c r="C16497" s="1">
        <f>HYPERLINK("https://cao.dolgi.msk.ru/account/1011213866/", 1011213866)</f>
        <v>1011213866</v>
      </c>
      <c r="D16497">
        <v>0</v>
      </c>
    </row>
    <row r="16498" spans="1:4" hidden="1" x14ac:dyDescent="0.3">
      <c r="A16498" t="s">
        <v>989</v>
      </c>
      <c r="B16498" t="s">
        <v>62</v>
      </c>
      <c r="C16498" s="1">
        <f>HYPERLINK("https://cao.dolgi.msk.ru/account/1011213639/", 1011213639)</f>
        <v>1011213639</v>
      </c>
      <c r="D16498">
        <v>0</v>
      </c>
    </row>
    <row r="16499" spans="1:4" hidden="1" x14ac:dyDescent="0.3">
      <c r="A16499" t="s">
        <v>989</v>
      </c>
      <c r="B16499" t="s">
        <v>63</v>
      </c>
      <c r="C16499" s="1">
        <f>HYPERLINK("https://cao.dolgi.msk.ru/account/1011213479/", 1011213479)</f>
        <v>1011213479</v>
      </c>
      <c r="D16499">
        <v>0</v>
      </c>
    </row>
    <row r="16500" spans="1:4" hidden="1" x14ac:dyDescent="0.3">
      <c r="A16500" t="s">
        <v>989</v>
      </c>
      <c r="B16500" t="s">
        <v>64</v>
      </c>
      <c r="C16500" s="1">
        <f>HYPERLINK("https://cao.dolgi.msk.ru/account/1011213241/", 1011213241)</f>
        <v>1011213241</v>
      </c>
      <c r="D16500">
        <v>-2187.5</v>
      </c>
    </row>
    <row r="16501" spans="1:4" hidden="1" x14ac:dyDescent="0.3">
      <c r="A16501" t="s">
        <v>989</v>
      </c>
      <c r="B16501" t="s">
        <v>65</v>
      </c>
      <c r="C16501" s="1">
        <f>HYPERLINK("https://cao.dolgi.msk.ru/account/1011213807/", 1011213807)</f>
        <v>1011213807</v>
      </c>
      <c r="D16501">
        <v>0</v>
      </c>
    </row>
    <row r="16502" spans="1:4" hidden="1" x14ac:dyDescent="0.3">
      <c r="A16502" t="s">
        <v>989</v>
      </c>
      <c r="B16502" t="s">
        <v>66</v>
      </c>
      <c r="C16502" s="1">
        <f>HYPERLINK("https://cao.dolgi.msk.ru/account/1011213268/", 1011213268)</f>
        <v>1011213268</v>
      </c>
      <c r="D16502">
        <v>0</v>
      </c>
    </row>
    <row r="16503" spans="1:4" hidden="1" x14ac:dyDescent="0.3">
      <c r="A16503" t="s">
        <v>989</v>
      </c>
      <c r="B16503" t="s">
        <v>67</v>
      </c>
      <c r="C16503" s="1">
        <f>HYPERLINK("https://cao.dolgi.msk.ru/account/1011213487/", 1011213487)</f>
        <v>1011213487</v>
      </c>
      <c r="D16503">
        <v>-6871.39</v>
      </c>
    </row>
    <row r="16504" spans="1:4" x14ac:dyDescent="0.3">
      <c r="A16504" t="s">
        <v>989</v>
      </c>
      <c r="B16504" t="s">
        <v>68</v>
      </c>
      <c r="C16504" s="1">
        <f>HYPERLINK("https://cao.dolgi.msk.ru/account/1011213188/", 1011213188)</f>
        <v>1011213188</v>
      </c>
      <c r="D16504">
        <v>2290.23</v>
      </c>
    </row>
    <row r="16505" spans="1:4" hidden="1" x14ac:dyDescent="0.3">
      <c r="A16505" t="s">
        <v>989</v>
      </c>
      <c r="B16505" t="s">
        <v>69</v>
      </c>
      <c r="C16505" s="1">
        <f>HYPERLINK("https://cao.dolgi.msk.ru/account/1011213276/", 1011213276)</f>
        <v>1011213276</v>
      </c>
      <c r="D16505">
        <v>-144.34</v>
      </c>
    </row>
    <row r="16506" spans="1:4" hidden="1" x14ac:dyDescent="0.3">
      <c r="A16506" t="s">
        <v>989</v>
      </c>
      <c r="B16506" t="s">
        <v>70</v>
      </c>
      <c r="C16506" s="1">
        <f>HYPERLINK("https://cao.dolgi.msk.ru/account/1011213495/", 1011213495)</f>
        <v>1011213495</v>
      </c>
      <c r="D16506">
        <v>0</v>
      </c>
    </row>
    <row r="16507" spans="1:4" hidden="1" x14ac:dyDescent="0.3">
      <c r="A16507" t="s">
        <v>989</v>
      </c>
      <c r="B16507" t="s">
        <v>259</v>
      </c>
      <c r="C16507" s="1">
        <f>HYPERLINK("https://cao.dolgi.msk.ru/account/1011213591/", 1011213591)</f>
        <v>1011213591</v>
      </c>
      <c r="D16507">
        <v>-2382.12</v>
      </c>
    </row>
    <row r="16508" spans="1:4" hidden="1" x14ac:dyDescent="0.3">
      <c r="A16508" t="s">
        <v>989</v>
      </c>
      <c r="B16508" t="s">
        <v>100</v>
      </c>
      <c r="C16508" s="1">
        <f>HYPERLINK("https://cao.dolgi.msk.ru/account/1011213284/", 1011213284)</f>
        <v>1011213284</v>
      </c>
      <c r="D16508">
        <v>-10224.700000000001</v>
      </c>
    </row>
    <row r="16509" spans="1:4" x14ac:dyDescent="0.3">
      <c r="A16509" t="s">
        <v>989</v>
      </c>
      <c r="B16509" t="s">
        <v>72</v>
      </c>
      <c r="C16509" s="1">
        <f>HYPERLINK("https://cao.dolgi.msk.ru/account/1011213735/", 1011213735)</f>
        <v>1011213735</v>
      </c>
      <c r="D16509">
        <v>41362.839999999997</v>
      </c>
    </row>
    <row r="16510" spans="1:4" hidden="1" x14ac:dyDescent="0.3">
      <c r="A16510" t="s">
        <v>989</v>
      </c>
      <c r="B16510" t="s">
        <v>73</v>
      </c>
      <c r="C16510" s="1">
        <f>HYPERLINK("https://cao.dolgi.msk.ru/account/1011213604/", 1011213604)</f>
        <v>1011213604</v>
      </c>
      <c r="D16510">
        <v>0</v>
      </c>
    </row>
    <row r="16511" spans="1:4" hidden="1" x14ac:dyDescent="0.3">
      <c r="A16511" t="s">
        <v>989</v>
      </c>
      <c r="B16511" t="s">
        <v>74</v>
      </c>
      <c r="C16511" s="1">
        <f>HYPERLINK("https://cao.dolgi.msk.ru/account/1011213743/", 1011213743)</f>
        <v>1011213743</v>
      </c>
      <c r="D16511">
        <v>-8476.3700000000008</v>
      </c>
    </row>
    <row r="16512" spans="1:4" hidden="1" x14ac:dyDescent="0.3">
      <c r="A16512" t="s">
        <v>989</v>
      </c>
      <c r="B16512" t="s">
        <v>75</v>
      </c>
      <c r="C16512" s="1">
        <f>HYPERLINK("https://cao.dolgi.msk.ru/account/1011213364/", 1011213364)</f>
        <v>1011213364</v>
      </c>
      <c r="D16512">
        <v>0</v>
      </c>
    </row>
    <row r="16513" spans="1:4" x14ac:dyDescent="0.3">
      <c r="A16513" t="s">
        <v>989</v>
      </c>
      <c r="B16513" t="s">
        <v>76</v>
      </c>
      <c r="C16513" s="1">
        <f>HYPERLINK("https://cao.dolgi.msk.ru/account/1011213372/", 1011213372)</f>
        <v>1011213372</v>
      </c>
      <c r="D16513">
        <v>26498.78</v>
      </c>
    </row>
    <row r="16514" spans="1:4" hidden="1" x14ac:dyDescent="0.3">
      <c r="A16514" t="s">
        <v>989</v>
      </c>
      <c r="B16514" t="s">
        <v>77</v>
      </c>
      <c r="C16514" s="1">
        <f>HYPERLINK("https://cao.dolgi.msk.ru/account/1011213196/", 1011213196)</f>
        <v>1011213196</v>
      </c>
      <c r="D16514">
        <v>0</v>
      </c>
    </row>
    <row r="16515" spans="1:4" hidden="1" x14ac:dyDescent="0.3">
      <c r="A16515" t="s">
        <v>989</v>
      </c>
      <c r="B16515" t="s">
        <v>78</v>
      </c>
      <c r="C16515" s="1">
        <f>HYPERLINK("https://cao.dolgi.msk.ru/account/1011213508/", 1011213508)</f>
        <v>1011213508</v>
      </c>
      <c r="D16515">
        <v>-7071.91</v>
      </c>
    </row>
    <row r="16516" spans="1:4" hidden="1" x14ac:dyDescent="0.3">
      <c r="A16516" t="s">
        <v>989</v>
      </c>
      <c r="B16516" t="s">
        <v>79</v>
      </c>
      <c r="C16516" s="1">
        <f>HYPERLINK("https://cao.dolgi.msk.ru/account/1011213874/", 1011213874)</f>
        <v>1011213874</v>
      </c>
      <c r="D16516">
        <v>0</v>
      </c>
    </row>
    <row r="16517" spans="1:4" hidden="1" x14ac:dyDescent="0.3">
      <c r="A16517" t="s">
        <v>989</v>
      </c>
      <c r="B16517" t="s">
        <v>80</v>
      </c>
      <c r="C16517" s="1">
        <f>HYPERLINK("https://cao.dolgi.msk.ru/account/1011213292/", 1011213292)</f>
        <v>1011213292</v>
      </c>
      <c r="D16517">
        <v>0</v>
      </c>
    </row>
    <row r="16518" spans="1:4" hidden="1" x14ac:dyDescent="0.3">
      <c r="A16518" t="s">
        <v>989</v>
      </c>
      <c r="B16518" t="s">
        <v>81</v>
      </c>
      <c r="C16518" s="1">
        <f>HYPERLINK("https://cao.dolgi.msk.ru/account/1011213612/", 1011213612)</f>
        <v>1011213612</v>
      </c>
      <c r="D16518">
        <v>0</v>
      </c>
    </row>
    <row r="16519" spans="1:4" x14ac:dyDescent="0.3">
      <c r="A16519" t="s">
        <v>989</v>
      </c>
      <c r="B16519" t="s">
        <v>101</v>
      </c>
      <c r="C16519" s="1">
        <f>HYPERLINK("https://cao.dolgi.msk.ru/account/1011213399/", 1011213399)</f>
        <v>1011213399</v>
      </c>
      <c r="D16519">
        <v>41184.620000000003</v>
      </c>
    </row>
    <row r="16520" spans="1:4" hidden="1" x14ac:dyDescent="0.3">
      <c r="A16520" t="s">
        <v>992</v>
      </c>
      <c r="B16520" t="s">
        <v>6</v>
      </c>
      <c r="C16520" s="1">
        <f>HYPERLINK("https://cao.dolgi.msk.ru/account/1011213882/", 1011213882)</f>
        <v>1011213882</v>
      </c>
      <c r="D16520">
        <v>0</v>
      </c>
    </row>
    <row r="16521" spans="1:4" hidden="1" x14ac:dyDescent="0.3">
      <c r="A16521" t="s">
        <v>992</v>
      </c>
      <c r="B16521" t="s">
        <v>28</v>
      </c>
      <c r="C16521" s="1">
        <f>HYPERLINK("https://cao.dolgi.msk.ru/account/1011214148/", 1011214148)</f>
        <v>1011214148</v>
      </c>
      <c r="D16521">
        <v>0</v>
      </c>
    </row>
    <row r="16522" spans="1:4" hidden="1" x14ac:dyDescent="0.3">
      <c r="A16522" t="s">
        <v>992</v>
      </c>
      <c r="B16522" t="s">
        <v>35</v>
      </c>
      <c r="C16522" s="1">
        <f>HYPERLINK("https://cao.dolgi.msk.ru/account/1011214244/", 1011214244)</f>
        <v>1011214244</v>
      </c>
      <c r="D16522">
        <v>0</v>
      </c>
    </row>
    <row r="16523" spans="1:4" hidden="1" x14ac:dyDescent="0.3">
      <c r="A16523" t="s">
        <v>992</v>
      </c>
      <c r="B16523" t="s">
        <v>35</v>
      </c>
      <c r="C16523" s="1">
        <f>HYPERLINK("https://cao.dolgi.msk.ru/account/1011214391/", 1011214391)</f>
        <v>1011214391</v>
      </c>
      <c r="D16523">
        <v>0</v>
      </c>
    </row>
    <row r="16524" spans="1:4" x14ac:dyDescent="0.3">
      <c r="A16524" t="s">
        <v>992</v>
      </c>
      <c r="B16524" t="s">
        <v>5</v>
      </c>
      <c r="C16524" s="1">
        <f>HYPERLINK("https://cao.dolgi.msk.ru/account/1011214041/", 1011214041)</f>
        <v>1011214041</v>
      </c>
      <c r="D16524">
        <v>9742.61</v>
      </c>
    </row>
    <row r="16525" spans="1:4" hidden="1" x14ac:dyDescent="0.3">
      <c r="A16525" t="s">
        <v>992</v>
      </c>
      <c r="B16525" t="s">
        <v>7</v>
      </c>
      <c r="C16525" s="1">
        <f>HYPERLINK("https://cao.dolgi.msk.ru/account/1011214615/", 1011214615)</f>
        <v>1011214615</v>
      </c>
      <c r="D16525">
        <v>0</v>
      </c>
    </row>
    <row r="16526" spans="1:4" hidden="1" x14ac:dyDescent="0.3">
      <c r="A16526" t="s">
        <v>992</v>
      </c>
      <c r="B16526" t="s">
        <v>8</v>
      </c>
      <c r="C16526" s="1">
        <f>HYPERLINK("https://cao.dolgi.msk.ru/account/1011214068/", 1011214068)</f>
        <v>1011214068</v>
      </c>
      <c r="D16526">
        <v>-4869.2299999999996</v>
      </c>
    </row>
    <row r="16527" spans="1:4" hidden="1" x14ac:dyDescent="0.3">
      <c r="A16527" t="s">
        <v>992</v>
      </c>
      <c r="B16527" t="s">
        <v>9</v>
      </c>
      <c r="C16527" s="1">
        <f>HYPERLINK("https://cao.dolgi.msk.ru/account/1011214498/", 1011214498)</f>
        <v>1011214498</v>
      </c>
      <c r="D16527">
        <v>-18145.93</v>
      </c>
    </row>
    <row r="16528" spans="1:4" hidden="1" x14ac:dyDescent="0.3">
      <c r="A16528" t="s">
        <v>992</v>
      </c>
      <c r="B16528" t="s">
        <v>10</v>
      </c>
      <c r="C16528" s="1">
        <f>HYPERLINK("https://cao.dolgi.msk.ru/account/1011214404/", 1011214404)</f>
        <v>1011214404</v>
      </c>
      <c r="D16528">
        <v>0</v>
      </c>
    </row>
    <row r="16529" spans="1:4" hidden="1" x14ac:dyDescent="0.3">
      <c r="A16529" t="s">
        <v>992</v>
      </c>
      <c r="B16529" t="s">
        <v>11</v>
      </c>
      <c r="C16529" s="1">
        <f>HYPERLINK("https://cao.dolgi.msk.ru/account/1011214113/", 1011214113)</f>
        <v>1011214113</v>
      </c>
      <c r="D16529">
        <v>-5991.07</v>
      </c>
    </row>
    <row r="16530" spans="1:4" hidden="1" x14ac:dyDescent="0.3">
      <c r="A16530" t="s">
        <v>992</v>
      </c>
      <c r="B16530" t="s">
        <v>12</v>
      </c>
      <c r="C16530" s="1">
        <f>HYPERLINK("https://cao.dolgi.msk.ru/account/1011214252/", 1011214252)</f>
        <v>1011214252</v>
      </c>
      <c r="D16530">
        <v>0</v>
      </c>
    </row>
    <row r="16531" spans="1:4" hidden="1" x14ac:dyDescent="0.3">
      <c r="A16531" t="s">
        <v>992</v>
      </c>
      <c r="B16531" t="s">
        <v>23</v>
      </c>
      <c r="C16531" s="1">
        <f>HYPERLINK("https://cao.dolgi.msk.ru/account/1011214623/", 1011214623)</f>
        <v>1011214623</v>
      </c>
      <c r="D16531">
        <v>0</v>
      </c>
    </row>
    <row r="16532" spans="1:4" x14ac:dyDescent="0.3">
      <c r="A16532" t="s">
        <v>992</v>
      </c>
      <c r="B16532" t="s">
        <v>13</v>
      </c>
      <c r="C16532" s="1">
        <f>HYPERLINK("https://cao.dolgi.msk.ru/account/1011214631/", 1011214631)</f>
        <v>1011214631</v>
      </c>
      <c r="D16532">
        <v>8629.15</v>
      </c>
    </row>
    <row r="16533" spans="1:4" x14ac:dyDescent="0.3">
      <c r="A16533" t="s">
        <v>992</v>
      </c>
      <c r="B16533" t="s">
        <v>14</v>
      </c>
      <c r="C16533" s="1">
        <f>HYPERLINK("https://cao.dolgi.msk.ru/account/1011213903/", 1011213903)</f>
        <v>1011213903</v>
      </c>
      <c r="D16533">
        <v>2589.48</v>
      </c>
    </row>
    <row r="16534" spans="1:4" hidden="1" x14ac:dyDescent="0.3">
      <c r="A16534" t="s">
        <v>992</v>
      </c>
      <c r="B16534" t="s">
        <v>16</v>
      </c>
      <c r="C16534" s="1">
        <f>HYPERLINK("https://cao.dolgi.msk.ru/account/1011214658/", 1011214658)</f>
        <v>1011214658</v>
      </c>
      <c r="D16534">
        <v>0</v>
      </c>
    </row>
    <row r="16535" spans="1:4" hidden="1" x14ac:dyDescent="0.3">
      <c r="A16535" t="s">
        <v>992</v>
      </c>
      <c r="B16535" t="s">
        <v>17</v>
      </c>
      <c r="C16535" s="1">
        <f>HYPERLINK("https://cao.dolgi.msk.ru/account/1011213911/", 1011213911)</f>
        <v>1011213911</v>
      </c>
      <c r="D16535">
        <v>0</v>
      </c>
    </row>
    <row r="16536" spans="1:4" hidden="1" x14ac:dyDescent="0.3">
      <c r="A16536" t="s">
        <v>992</v>
      </c>
      <c r="B16536" t="s">
        <v>18</v>
      </c>
      <c r="C16536" s="1">
        <f>HYPERLINK("https://cao.dolgi.msk.ru/account/1011214412/", 1011214412)</f>
        <v>1011214412</v>
      </c>
      <c r="D16536">
        <v>-10840.9</v>
      </c>
    </row>
    <row r="16537" spans="1:4" hidden="1" x14ac:dyDescent="0.3">
      <c r="A16537" t="s">
        <v>992</v>
      </c>
      <c r="B16537" t="s">
        <v>20</v>
      </c>
      <c r="C16537" s="1">
        <f>HYPERLINK("https://cao.dolgi.msk.ru/account/1011214439/", 1011214439)</f>
        <v>1011214439</v>
      </c>
      <c r="D16537">
        <v>-25369.43</v>
      </c>
    </row>
    <row r="16538" spans="1:4" hidden="1" x14ac:dyDescent="0.3">
      <c r="A16538" t="s">
        <v>992</v>
      </c>
      <c r="B16538" t="s">
        <v>21</v>
      </c>
      <c r="C16538" s="1">
        <f>HYPERLINK("https://cao.dolgi.msk.ru/account/1011214447/", 1011214447)</f>
        <v>1011214447</v>
      </c>
      <c r="D16538">
        <v>-156991.39000000001</v>
      </c>
    </row>
    <row r="16539" spans="1:4" hidden="1" x14ac:dyDescent="0.3">
      <c r="A16539" t="s">
        <v>992</v>
      </c>
      <c r="B16539" t="s">
        <v>22</v>
      </c>
      <c r="C16539" s="1">
        <f>HYPERLINK("https://cao.dolgi.msk.ru/account/1011214156/", 1011214156)</f>
        <v>1011214156</v>
      </c>
      <c r="D16539">
        <v>0</v>
      </c>
    </row>
    <row r="16540" spans="1:4" hidden="1" x14ac:dyDescent="0.3">
      <c r="A16540" t="s">
        <v>992</v>
      </c>
      <c r="B16540" t="s">
        <v>24</v>
      </c>
      <c r="C16540" s="1">
        <f>HYPERLINK("https://cao.dolgi.msk.ru/account/1011214076/", 1011214076)</f>
        <v>1011214076</v>
      </c>
      <c r="D16540">
        <v>0</v>
      </c>
    </row>
    <row r="16541" spans="1:4" hidden="1" x14ac:dyDescent="0.3">
      <c r="A16541" t="s">
        <v>992</v>
      </c>
      <c r="B16541" t="s">
        <v>25</v>
      </c>
      <c r="C16541" s="1">
        <f>HYPERLINK("https://cao.dolgi.msk.ru/account/1011214164/", 1011214164)</f>
        <v>1011214164</v>
      </c>
      <c r="D16541">
        <v>0</v>
      </c>
    </row>
    <row r="16542" spans="1:4" hidden="1" x14ac:dyDescent="0.3">
      <c r="A16542" t="s">
        <v>992</v>
      </c>
      <c r="B16542" t="s">
        <v>26</v>
      </c>
      <c r="C16542" s="1">
        <f>HYPERLINK("https://cao.dolgi.msk.ru/account/1011214324/", 1011214324)</f>
        <v>1011214324</v>
      </c>
      <c r="D16542">
        <v>-2747.97</v>
      </c>
    </row>
    <row r="16543" spans="1:4" hidden="1" x14ac:dyDescent="0.3">
      <c r="A16543" t="s">
        <v>992</v>
      </c>
      <c r="B16543" t="s">
        <v>26</v>
      </c>
      <c r="C16543" s="1">
        <f>HYPERLINK("https://cao.dolgi.msk.ru/account/1011214359/", 1011214359)</f>
        <v>1011214359</v>
      </c>
      <c r="D16543">
        <v>-6625.82</v>
      </c>
    </row>
    <row r="16544" spans="1:4" hidden="1" x14ac:dyDescent="0.3">
      <c r="A16544" t="s">
        <v>992</v>
      </c>
      <c r="B16544" t="s">
        <v>27</v>
      </c>
      <c r="C16544" s="1">
        <f>HYPERLINK("https://cao.dolgi.msk.ru/account/1011214666/", 1011214666)</f>
        <v>1011214666</v>
      </c>
      <c r="D16544">
        <v>0</v>
      </c>
    </row>
    <row r="16545" spans="1:4" hidden="1" x14ac:dyDescent="0.3">
      <c r="A16545" t="s">
        <v>992</v>
      </c>
      <c r="B16545" t="s">
        <v>29</v>
      </c>
      <c r="C16545" s="1">
        <f>HYPERLINK("https://cao.dolgi.msk.ru/account/1011214017/", 1011214017)</f>
        <v>1011214017</v>
      </c>
      <c r="D16545">
        <v>0</v>
      </c>
    </row>
    <row r="16546" spans="1:4" hidden="1" x14ac:dyDescent="0.3">
      <c r="A16546" t="s">
        <v>992</v>
      </c>
      <c r="B16546" t="s">
        <v>38</v>
      </c>
      <c r="C16546" s="1">
        <f>HYPERLINK("https://cao.dolgi.msk.ru/account/1011214279/", 1011214279)</f>
        <v>1011214279</v>
      </c>
      <c r="D16546">
        <v>-2904.05</v>
      </c>
    </row>
    <row r="16547" spans="1:4" hidden="1" x14ac:dyDescent="0.3">
      <c r="A16547" t="s">
        <v>992</v>
      </c>
      <c r="B16547" t="s">
        <v>39</v>
      </c>
      <c r="C16547" s="1">
        <f>HYPERLINK("https://cao.dolgi.msk.ru/account/1011213938/", 1011213938)</f>
        <v>1011213938</v>
      </c>
      <c r="D16547">
        <v>0</v>
      </c>
    </row>
    <row r="16548" spans="1:4" hidden="1" x14ac:dyDescent="0.3">
      <c r="A16548" t="s">
        <v>992</v>
      </c>
      <c r="B16548" t="s">
        <v>40</v>
      </c>
      <c r="C16548" s="1">
        <f>HYPERLINK("https://cao.dolgi.msk.ru/account/1011214121/", 1011214121)</f>
        <v>1011214121</v>
      </c>
      <c r="D16548">
        <v>0</v>
      </c>
    </row>
    <row r="16549" spans="1:4" x14ac:dyDescent="0.3">
      <c r="A16549" t="s">
        <v>992</v>
      </c>
      <c r="B16549" t="s">
        <v>41</v>
      </c>
      <c r="C16549" s="1">
        <f>HYPERLINK("https://cao.dolgi.msk.ru/account/1011214455/", 1011214455)</f>
        <v>1011214455</v>
      </c>
      <c r="D16549">
        <v>7134.14</v>
      </c>
    </row>
    <row r="16550" spans="1:4" hidden="1" x14ac:dyDescent="0.3">
      <c r="A16550" t="s">
        <v>992</v>
      </c>
      <c r="B16550" t="s">
        <v>993</v>
      </c>
      <c r="C16550" s="1">
        <f>HYPERLINK("https://cao.dolgi.msk.ru/account/1011214463/", 1011214463)</f>
        <v>1011214463</v>
      </c>
      <c r="D16550">
        <v>0</v>
      </c>
    </row>
    <row r="16551" spans="1:4" hidden="1" x14ac:dyDescent="0.3">
      <c r="A16551" t="s">
        <v>992</v>
      </c>
      <c r="B16551" t="s">
        <v>53</v>
      </c>
      <c r="C16551" s="1">
        <f>HYPERLINK("https://cao.dolgi.msk.ru/account/1011214084/", 1011214084)</f>
        <v>1011214084</v>
      </c>
      <c r="D16551">
        <v>-9797.1299999999992</v>
      </c>
    </row>
    <row r="16552" spans="1:4" x14ac:dyDescent="0.3">
      <c r="A16552" t="s">
        <v>992</v>
      </c>
      <c r="B16552" t="s">
        <v>54</v>
      </c>
      <c r="C16552" s="1">
        <f>HYPERLINK("https://cao.dolgi.msk.ru/account/1011214092/", 1011214092)</f>
        <v>1011214092</v>
      </c>
      <c r="D16552">
        <v>11374.26</v>
      </c>
    </row>
    <row r="16553" spans="1:4" hidden="1" x14ac:dyDescent="0.3">
      <c r="A16553" t="s">
        <v>992</v>
      </c>
      <c r="B16553" t="s">
        <v>55</v>
      </c>
      <c r="C16553" s="1">
        <f>HYPERLINK("https://cao.dolgi.msk.ru/account/1011214519/", 1011214519)</f>
        <v>1011214519</v>
      </c>
      <c r="D16553">
        <v>0</v>
      </c>
    </row>
    <row r="16554" spans="1:4" hidden="1" x14ac:dyDescent="0.3">
      <c r="A16554" t="s">
        <v>992</v>
      </c>
      <c r="B16554" t="s">
        <v>56</v>
      </c>
      <c r="C16554" s="1">
        <f>HYPERLINK("https://cao.dolgi.msk.ru/account/1011214287/", 1011214287)</f>
        <v>1011214287</v>
      </c>
      <c r="D16554">
        <v>0</v>
      </c>
    </row>
    <row r="16555" spans="1:4" hidden="1" x14ac:dyDescent="0.3">
      <c r="A16555" t="s">
        <v>992</v>
      </c>
      <c r="B16555" t="s">
        <v>87</v>
      </c>
      <c r="C16555" s="1">
        <f>HYPERLINK("https://cao.dolgi.msk.ru/account/1011214295/", 1011214295)</f>
        <v>1011214295</v>
      </c>
      <c r="D16555">
        <v>0</v>
      </c>
    </row>
    <row r="16556" spans="1:4" hidden="1" x14ac:dyDescent="0.3">
      <c r="A16556" t="s">
        <v>992</v>
      </c>
      <c r="B16556" t="s">
        <v>88</v>
      </c>
      <c r="C16556" s="1">
        <f>HYPERLINK("https://cao.dolgi.msk.ru/account/1011213946/", 1011213946)</f>
        <v>1011213946</v>
      </c>
      <c r="D16556">
        <v>0</v>
      </c>
    </row>
    <row r="16557" spans="1:4" x14ac:dyDescent="0.3">
      <c r="A16557" t="s">
        <v>992</v>
      </c>
      <c r="B16557" t="s">
        <v>89</v>
      </c>
      <c r="C16557" s="1">
        <f>HYPERLINK("https://cao.dolgi.msk.ru/account/1011214527/", 1011214527)</f>
        <v>1011214527</v>
      </c>
      <c r="D16557">
        <v>23187.98</v>
      </c>
    </row>
    <row r="16558" spans="1:4" hidden="1" x14ac:dyDescent="0.3">
      <c r="A16558" t="s">
        <v>992</v>
      </c>
      <c r="B16558" t="s">
        <v>90</v>
      </c>
      <c r="C16558" s="1">
        <f>HYPERLINK("https://cao.dolgi.msk.ru/account/1011214375/", 1011214375)</f>
        <v>1011214375</v>
      </c>
      <c r="D16558">
        <v>-5065.7700000000004</v>
      </c>
    </row>
    <row r="16559" spans="1:4" hidden="1" x14ac:dyDescent="0.3">
      <c r="A16559" t="s">
        <v>992</v>
      </c>
      <c r="B16559" t="s">
        <v>96</v>
      </c>
      <c r="C16559" s="1">
        <f>HYPERLINK("https://cao.dolgi.msk.ru/account/1011213954/", 1011213954)</f>
        <v>1011213954</v>
      </c>
      <c r="D16559">
        <v>-11331.6</v>
      </c>
    </row>
    <row r="16560" spans="1:4" hidden="1" x14ac:dyDescent="0.3">
      <c r="A16560" t="s">
        <v>992</v>
      </c>
      <c r="B16560" t="s">
        <v>97</v>
      </c>
      <c r="C16560" s="1">
        <f>HYPERLINK("https://cao.dolgi.msk.ru/account/1011214535/", 1011214535)</f>
        <v>1011214535</v>
      </c>
      <c r="D16560">
        <v>0</v>
      </c>
    </row>
    <row r="16561" spans="1:4" hidden="1" x14ac:dyDescent="0.3">
      <c r="A16561" t="s">
        <v>992</v>
      </c>
      <c r="B16561" t="s">
        <v>98</v>
      </c>
      <c r="C16561" s="1">
        <f>HYPERLINK("https://cao.dolgi.msk.ru/account/1011213962/", 1011213962)</f>
        <v>1011213962</v>
      </c>
      <c r="D16561">
        <v>-10494.28</v>
      </c>
    </row>
    <row r="16562" spans="1:4" hidden="1" x14ac:dyDescent="0.3">
      <c r="A16562" t="s">
        <v>992</v>
      </c>
      <c r="B16562" t="s">
        <v>58</v>
      </c>
      <c r="C16562" s="1">
        <f>HYPERLINK("https://cao.dolgi.msk.ru/account/1011214383/", 1011214383)</f>
        <v>1011214383</v>
      </c>
      <c r="D16562">
        <v>0</v>
      </c>
    </row>
    <row r="16563" spans="1:4" hidden="1" x14ac:dyDescent="0.3">
      <c r="A16563" t="s">
        <v>992</v>
      </c>
      <c r="B16563" t="s">
        <v>59</v>
      </c>
      <c r="C16563" s="1">
        <f>HYPERLINK("https://cao.dolgi.msk.ru/account/1011213989/", 1011213989)</f>
        <v>1011213989</v>
      </c>
      <c r="D16563">
        <v>0</v>
      </c>
    </row>
    <row r="16564" spans="1:4" hidden="1" x14ac:dyDescent="0.3">
      <c r="A16564" t="s">
        <v>992</v>
      </c>
      <c r="B16564" t="s">
        <v>60</v>
      </c>
      <c r="C16564" s="1">
        <f>HYPERLINK("https://cao.dolgi.msk.ru/account/1011214543/", 1011214543)</f>
        <v>1011214543</v>
      </c>
      <c r="D16564">
        <v>0</v>
      </c>
    </row>
    <row r="16565" spans="1:4" hidden="1" x14ac:dyDescent="0.3">
      <c r="A16565" t="s">
        <v>992</v>
      </c>
      <c r="B16565" t="s">
        <v>61</v>
      </c>
      <c r="C16565" s="1">
        <f>HYPERLINK("https://cao.dolgi.msk.ru/account/1011214674/", 1011214674)</f>
        <v>1011214674</v>
      </c>
      <c r="D16565">
        <v>0</v>
      </c>
    </row>
    <row r="16566" spans="1:4" hidden="1" x14ac:dyDescent="0.3">
      <c r="A16566" t="s">
        <v>992</v>
      </c>
      <c r="B16566" t="s">
        <v>62</v>
      </c>
      <c r="C16566" s="1">
        <f>HYPERLINK("https://cao.dolgi.msk.ru/account/1011214682/", 1011214682)</f>
        <v>1011214682</v>
      </c>
      <c r="D16566">
        <v>0</v>
      </c>
    </row>
    <row r="16567" spans="1:4" hidden="1" x14ac:dyDescent="0.3">
      <c r="A16567" t="s">
        <v>992</v>
      </c>
      <c r="B16567" t="s">
        <v>63</v>
      </c>
      <c r="C16567" s="1">
        <f>HYPERLINK("https://cao.dolgi.msk.ru/account/1011214703/", 1011214703)</f>
        <v>1011214703</v>
      </c>
      <c r="D16567">
        <v>0</v>
      </c>
    </row>
    <row r="16568" spans="1:4" hidden="1" x14ac:dyDescent="0.3">
      <c r="A16568" t="s">
        <v>992</v>
      </c>
      <c r="B16568" t="s">
        <v>64</v>
      </c>
      <c r="C16568" s="1">
        <f>HYPERLINK("https://cao.dolgi.msk.ru/account/1011214172/", 1011214172)</f>
        <v>1011214172</v>
      </c>
      <c r="D16568">
        <v>0</v>
      </c>
    </row>
    <row r="16569" spans="1:4" hidden="1" x14ac:dyDescent="0.3">
      <c r="A16569" t="s">
        <v>992</v>
      </c>
      <c r="B16569" t="s">
        <v>65</v>
      </c>
      <c r="C16569" s="1">
        <f>HYPERLINK("https://cao.dolgi.msk.ru/account/1011214025/", 1011214025)</f>
        <v>1011214025</v>
      </c>
      <c r="D16569">
        <v>-8927.69</v>
      </c>
    </row>
    <row r="16570" spans="1:4" hidden="1" x14ac:dyDescent="0.3">
      <c r="A16570" t="s">
        <v>992</v>
      </c>
      <c r="B16570" t="s">
        <v>66</v>
      </c>
      <c r="C16570" s="1">
        <f>HYPERLINK("https://cao.dolgi.msk.ru/account/1011214367/", 1011214367)</f>
        <v>1011214367</v>
      </c>
      <c r="D16570">
        <v>-9096.5</v>
      </c>
    </row>
    <row r="16571" spans="1:4" x14ac:dyDescent="0.3">
      <c r="A16571" t="s">
        <v>992</v>
      </c>
      <c r="B16571" t="s">
        <v>67</v>
      </c>
      <c r="C16571" s="1">
        <f>HYPERLINK("https://cao.dolgi.msk.ru/account/1011214551/", 1011214551)</f>
        <v>1011214551</v>
      </c>
      <c r="D16571">
        <v>4268.99</v>
      </c>
    </row>
    <row r="16572" spans="1:4" x14ac:dyDescent="0.3">
      <c r="A16572" t="s">
        <v>992</v>
      </c>
      <c r="B16572" t="s">
        <v>68</v>
      </c>
      <c r="C16572" s="1">
        <f>HYPERLINK("https://cao.dolgi.msk.ru/account/1011214578/", 1011214578)</f>
        <v>1011214578</v>
      </c>
      <c r="D16572">
        <v>6366.36</v>
      </c>
    </row>
    <row r="16573" spans="1:4" hidden="1" x14ac:dyDescent="0.3">
      <c r="A16573" t="s">
        <v>992</v>
      </c>
      <c r="B16573" t="s">
        <v>69</v>
      </c>
      <c r="C16573" s="1">
        <f>HYPERLINK("https://cao.dolgi.msk.ru/account/1011214199/", 1011214199)</f>
        <v>1011214199</v>
      </c>
      <c r="D16573">
        <v>-909.64</v>
      </c>
    </row>
    <row r="16574" spans="1:4" hidden="1" x14ac:dyDescent="0.3">
      <c r="A16574" t="s">
        <v>992</v>
      </c>
      <c r="B16574" t="s">
        <v>70</v>
      </c>
      <c r="C16574" s="1">
        <f>HYPERLINK("https://cao.dolgi.msk.ru/account/1011214201/", 1011214201)</f>
        <v>1011214201</v>
      </c>
      <c r="D16574">
        <v>0</v>
      </c>
    </row>
    <row r="16575" spans="1:4" x14ac:dyDescent="0.3">
      <c r="A16575" t="s">
        <v>992</v>
      </c>
      <c r="B16575" t="s">
        <v>259</v>
      </c>
      <c r="C16575" s="1">
        <f>HYPERLINK("https://cao.dolgi.msk.ru/account/1011214332/", 1011214332)</f>
        <v>1011214332</v>
      </c>
      <c r="D16575">
        <v>7195.79</v>
      </c>
    </row>
    <row r="16576" spans="1:4" hidden="1" x14ac:dyDescent="0.3">
      <c r="A16576" t="s">
        <v>992</v>
      </c>
      <c r="B16576" t="s">
        <v>100</v>
      </c>
      <c r="C16576" s="1">
        <f>HYPERLINK("https://cao.dolgi.msk.ru/account/1011213997/", 1011213997)</f>
        <v>1011213997</v>
      </c>
      <c r="D16576">
        <v>0</v>
      </c>
    </row>
    <row r="16577" spans="1:4" hidden="1" x14ac:dyDescent="0.3">
      <c r="A16577" t="s">
        <v>992</v>
      </c>
      <c r="B16577" t="s">
        <v>72</v>
      </c>
      <c r="C16577" s="1">
        <f>HYPERLINK("https://cao.dolgi.msk.ru/account/1011214308/", 1011214308)</f>
        <v>1011214308</v>
      </c>
      <c r="D16577">
        <v>-11912.73</v>
      </c>
    </row>
    <row r="16578" spans="1:4" hidden="1" x14ac:dyDescent="0.3">
      <c r="A16578" t="s">
        <v>992</v>
      </c>
      <c r="B16578" t="s">
        <v>73</v>
      </c>
      <c r="C16578" s="1">
        <f>HYPERLINK("https://cao.dolgi.msk.ru/account/1011214228/", 1011214228)</f>
        <v>1011214228</v>
      </c>
      <c r="D16578">
        <v>0</v>
      </c>
    </row>
    <row r="16579" spans="1:4" hidden="1" x14ac:dyDescent="0.3">
      <c r="A16579" t="s">
        <v>992</v>
      </c>
      <c r="B16579" t="s">
        <v>74</v>
      </c>
      <c r="C16579" s="1">
        <f>HYPERLINK("https://cao.dolgi.msk.ru/account/1011214009/", 1011214009)</f>
        <v>1011214009</v>
      </c>
      <c r="D16579">
        <v>-6201.21</v>
      </c>
    </row>
    <row r="16580" spans="1:4" hidden="1" x14ac:dyDescent="0.3">
      <c r="A16580" t="s">
        <v>992</v>
      </c>
      <c r="B16580" t="s">
        <v>75</v>
      </c>
      <c r="C16580" s="1">
        <f>HYPERLINK("https://cao.dolgi.msk.ru/account/1011214236/", 1011214236)</f>
        <v>1011214236</v>
      </c>
      <c r="D16580">
        <v>0</v>
      </c>
    </row>
    <row r="16581" spans="1:4" x14ac:dyDescent="0.3">
      <c r="A16581" t="s">
        <v>992</v>
      </c>
      <c r="B16581" t="s">
        <v>76</v>
      </c>
      <c r="C16581" s="1">
        <f>HYPERLINK("https://cao.dolgi.msk.ru/account/1011542387/", 1011542387)</f>
        <v>1011542387</v>
      </c>
      <c r="D16581">
        <v>8372.6</v>
      </c>
    </row>
    <row r="16582" spans="1:4" x14ac:dyDescent="0.3">
      <c r="A16582" t="s">
        <v>992</v>
      </c>
      <c r="B16582" t="s">
        <v>77</v>
      </c>
      <c r="C16582" s="1">
        <f>HYPERLINK("https://cao.dolgi.msk.ru/account/1011214033/", 1011214033)</f>
        <v>1011214033</v>
      </c>
      <c r="D16582">
        <v>6097.25</v>
      </c>
    </row>
    <row r="16583" spans="1:4" hidden="1" x14ac:dyDescent="0.3">
      <c r="A16583" t="s">
        <v>992</v>
      </c>
      <c r="B16583" t="s">
        <v>78</v>
      </c>
      <c r="C16583" s="1">
        <f>HYPERLINK("https://cao.dolgi.msk.ru/account/1011214105/", 1011214105)</f>
        <v>1011214105</v>
      </c>
      <c r="D16583">
        <v>0</v>
      </c>
    </row>
    <row r="16584" spans="1:4" hidden="1" x14ac:dyDescent="0.3">
      <c r="A16584" t="s">
        <v>992</v>
      </c>
      <c r="B16584" t="s">
        <v>79</v>
      </c>
      <c r="C16584" s="1">
        <f>HYPERLINK("https://cao.dolgi.msk.ru/account/1011214471/", 1011214471)</f>
        <v>1011214471</v>
      </c>
      <c r="D16584">
        <v>0</v>
      </c>
    </row>
    <row r="16585" spans="1:4" hidden="1" x14ac:dyDescent="0.3">
      <c r="A16585" t="s">
        <v>992</v>
      </c>
      <c r="B16585" t="s">
        <v>80</v>
      </c>
      <c r="C16585" s="1">
        <f>HYPERLINK("https://cao.dolgi.msk.ru/account/1011214586/", 1011214586)</f>
        <v>1011214586</v>
      </c>
      <c r="D16585">
        <v>0</v>
      </c>
    </row>
    <row r="16586" spans="1:4" hidden="1" x14ac:dyDescent="0.3">
      <c r="A16586" t="s">
        <v>992</v>
      </c>
      <c r="B16586" t="s">
        <v>81</v>
      </c>
      <c r="C16586" s="1">
        <f>HYPERLINK("https://cao.dolgi.msk.ru/account/1011214316/", 1011214316)</f>
        <v>1011214316</v>
      </c>
      <c r="D16586">
        <v>0</v>
      </c>
    </row>
    <row r="16587" spans="1:4" x14ac:dyDescent="0.3">
      <c r="A16587" t="s">
        <v>994</v>
      </c>
      <c r="B16587" t="s">
        <v>6</v>
      </c>
      <c r="C16587" s="1">
        <f>HYPERLINK("https://cao.dolgi.msk.ru/account/1011422959/", 1011422959)</f>
        <v>1011422959</v>
      </c>
      <c r="D16587">
        <v>1047.1400000000001</v>
      </c>
    </row>
    <row r="16588" spans="1:4" hidden="1" x14ac:dyDescent="0.3">
      <c r="A16588" t="s">
        <v>994</v>
      </c>
      <c r="B16588" t="s">
        <v>28</v>
      </c>
      <c r="C16588" s="1">
        <f>HYPERLINK("https://cao.dolgi.msk.ru/account/1011423679/", 1011423679)</f>
        <v>1011423679</v>
      </c>
      <c r="D16588">
        <v>-219.76</v>
      </c>
    </row>
    <row r="16589" spans="1:4" hidden="1" x14ac:dyDescent="0.3">
      <c r="A16589" t="s">
        <v>994</v>
      </c>
      <c r="B16589" t="s">
        <v>35</v>
      </c>
      <c r="C16589" s="1">
        <f>HYPERLINK("https://cao.dolgi.msk.ru/account/1011423388/", 1011423388)</f>
        <v>1011423388</v>
      </c>
      <c r="D16589">
        <v>0</v>
      </c>
    </row>
    <row r="16590" spans="1:4" hidden="1" x14ac:dyDescent="0.3">
      <c r="A16590" t="s">
        <v>994</v>
      </c>
      <c r="B16590" t="s">
        <v>5</v>
      </c>
      <c r="C16590" s="1">
        <f>HYPERLINK("https://cao.dolgi.msk.ru/account/1011423767/", 1011423767)</f>
        <v>1011423767</v>
      </c>
      <c r="D16590">
        <v>0</v>
      </c>
    </row>
    <row r="16591" spans="1:4" x14ac:dyDescent="0.3">
      <c r="A16591" t="s">
        <v>994</v>
      </c>
      <c r="B16591" t="s">
        <v>7</v>
      </c>
      <c r="C16591" s="1">
        <f>HYPERLINK("https://cao.dolgi.msk.ru/account/1011422377/", 1011422377)</f>
        <v>1011422377</v>
      </c>
      <c r="D16591">
        <v>4851.8599999999997</v>
      </c>
    </row>
    <row r="16592" spans="1:4" hidden="1" x14ac:dyDescent="0.3">
      <c r="A16592" t="s">
        <v>994</v>
      </c>
      <c r="B16592" t="s">
        <v>8</v>
      </c>
      <c r="C16592" s="1">
        <f>HYPERLINK("https://cao.dolgi.msk.ru/account/1011422879/", 1011422879)</f>
        <v>1011422879</v>
      </c>
      <c r="D16592">
        <v>0</v>
      </c>
    </row>
    <row r="16593" spans="1:4" hidden="1" x14ac:dyDescent="0.3">
      <c r="A16593" t="s">
        <v>994</v>
      </c>
      <c r="B16593" t="s">
        <v>31</v>
      </c>
      <c r="C16593" s="1">
        <f>HYPERLINK("https://cao.dolgi.msk.ru/account/1011422844/", 1011422844)</f>
        <v>1011422844</v>
      </c>
      <c r="D16593">
        <v>-2070.3000000000002</v>
      </c>
    </row>
    <row r="16594" spans="1:4" hidden="1" x14ac:dyDescent="0.3">
      <c r="A16594" t="s">
        <v>994</v>
      </c>
      <c r="B16594" t="s">
        <v>9</v>
      </c>
      <c r="C16594" s="1">
        <f>HYPERLINK("https://cao.dolgi.msk.ru/account/1011423943/", 1011423943)</f>
        <v>1011423943</v>
      </c>
      <c r="D16594">
        <v>-6277.14</v>
      </c>
    </row>
    <row r="16595" spans="1:4" hidden="1" x14ac:dyDescent="0.3">
      <c r="A16595" t="s">
        <v>994</v>
      </c>
      <c r="B16595" t="s">
        <v>10</v>
      </c>
      <c r="C16595" s="1">
        <f>HYPERLINK("https://cao.dolgi.msk.ru/account/1011422772/", 1011422772)</f>
        <v>1011422772</v>
      </c>
      <c r="D16595">
        <v>0</v>
      </c>
    </row>
    <row r="16596" spans="1:4" hidden="1" x14ac:dyDescent="0.3">
      <c r="A16596" t="s">
        <v>994</v>
      </c>
      <c r="B16596" t="s">
        <v>11</v>
      </c>
      <c r="C16596" s="1">
        <f>HYPERLINK("https://cao.dolgi.msk.ru/account/1011422473/", 1011422473)</f>
        <v>1011422473</v>
      </c>
      <c r="D16596">
        <v>-10297.83</v>
      </c>
    </row>
    <row r="16597" spans="1:4" hidden="1" x14ac:dyDescent="0.3">
      <c r="A16597" t="s">
        <v>994</v>
      </c>
      <c r="B16597" t="s">
        <v>12</v>
      </c>
      <c r="C16597" s="1">
        <f>HYPERLINK("https://cao.dolgi.msk.ru/account/1011422211/", 1011422211)</f>
        <v>1011422211</v>
      </c>
      <c r="D16597">
        <v>-81819.850000000006</v>
      </c>
    </row>
    <row r="16598" spans="1:4" x14ac:dyDescent="0.3">
      <c r="A16598" t="s">
        <v>994</v>
      </c>
      <c r="B16598" t="s">
        <v>23</v>
      </c>
      <c r="C16598" s="1">
        <f>HYPERLINK("https://cao.dolgi.msk.ru/account/1011423433/", 1011423433)</f>
        <v>1011423433</v>
      </c>
      <c r="D16598">
        <v>65354.12</v>
      </c>
    </row>
    <row r="16599" spans="1:4" hidden="1" x14ac:dyDescent="0.3">
      <c r="A16599" t="s">
        <v>994</v>
      </c>
      <c r="B16599" t="s">
        <v>13</v>
      </c>
      <c r="C16599" s="1">
        <f>HYPERLINK("https://cao.dolgi.msk.ru/account/1011530271/", 1011530271)</f>
        <v>1011530271</v>
      </c>
      <c r="D16599">
        <v>-4729.71</v>
      </c>
    </row>
    <row r="16600" spans="1:4" hidden="1" x14ac:dyDescent="0.3">
      <c r="A16600" t="s">
        <v>994</v>
      </c>
      <c r="B16600" t="s">
        <v>14</v>
      </c>
      <c r="C16600" s="1">
        <f>HYPERLINK("https://cao.dolgi.msk.ru/account/1011422289/", 1011422289)</f>
        <v>1011422289</v>
      </c>
      <c r="D16600">
        <v>0</v>
      </c>
    </row>
    <row r="16601" spans="1:4" hidden="1" x14ac:dyDescent="0.3">
      <c r="A16601" t="s">
        <v>994</v>
      </c>
      <c r="B16601" t="s">
        <v>16</v>
      </c>
      <c r="C16601" s="1">
        <f>HYPERLINK("https://cao.dolgi.msk.ru/account/1011422449/", 1011422449)</f>
        <v>1011422449</v>
      </c>
      <c r="D16601">
        <v>0</v>
      </c>
    </row>
    <row r="16602" spans="1:4" hidden="1" x14ac:dyDescent="0.3">
      <c r="A16602" t="s">
        <v>994</v>
      </c>
      <c r="B16602" t="s">
        <v>17</v>
      </c>
      <c r="C16602" s="1">
        <f>HYPERLINK("https://cao.dolgi.msk.ru/account/1011423628/", 1011423628)</f>
        <v>1011423628</v>
      </c>
      <c r="D16602">
        <v>0</v>
      </c>
    </row>
    <row r="16603" spans="1:4" hidden="1" x14ac:dyDescent="0.3">
      <c r="A16603" t="s">
        <v>994</v>
      </c>
      <c r="B16603" t="s">
        <v>18</v>
      </c>
      <c r="C16603" s="1">
        <f>HYPERLINK("https://cao.dolgi.msk.ru/account/1011423126/", 1011423126)</f>
        <v>1011423126</v>
      </c>
      <c r="D16603">
        <v>-5062.07</v>
      </c>
    </row>
    <row r="16604" spans="1:4" hidden="1" x14ac:dyDescent="0.3">
      <c r="A16604" t="s">
        <v>994</v>
      </c>
      <c r="B16604" t="s">
        <v>19</v>
      </c>
      <c r="C16604" s="1">
        <f>HYPERLINK("https://cao.dolgi.msk.ru/account/1011423046/", 1011423046)</f>
        <v>1011423046</v>
      </c>
      <c r="D16604">
        <v>0</v>
      </c>
    </row>
    <row r="16605" spans="1:4" hidden="1" x14ac:dyDescent="0.3">
      <c r="A16605" t="s">
        <v>994</v>
      </c>
      <c r="B16605" t="s">
        <v>20</v>
      </c>
      <c r="C16605" s="1">
        <f>HYPERLINK("https://cao.dolgi.msk.ru/account/1011423513/", 1011423513)</f>
        <v>1011423513</v>
      </c>
      <c r="D16605">
        <v>-15011.17</v>
      </c>
    </row>
    <row r="16606" spans="1:4" hidden="1" x14ac:dyDescent="0.3">
      <c r="A16606" t="s">
        <v>994</v>
      </c>
      <c r="B16606" t="s">
        <v>21</v>
      </c>
      <c r="C16606" s="1">
        <f>HYPERLINK("https://cao.dolgi.msk.ru/account/1011423724/", 1011423724)</f>
        <v>1011423724</v>
      </c>
      <c r="D16606">
        <v>0</v>
      </c>
    </row>
    <row r="16607" spans="1:4" hidden="1" x14ac:dyDescent="0.3">
      <c r="A16607" t="s">
        <v>994</v>
      </c>
      <c r="B16607" t="s">
        <v>22</v>
      </c>
      <c r="C16607" s="1">
        <f>HYPERLINK("https://cao.dolgi.msk.ru/account/1011423038/", 1011423038)</f>
        <v>1011423038</v>
      </c>
      <c r="D16607">
        <v>0</v>
      </c>
    </row>
    <row r="16608" spans="1:4" hidden="1" x14ac:dyDescent="0.3">
      <c r="A16608" t="s">
        <v>994</v>
      </c>
      <c r="B16608" t="s">
        <v>24</v>
      </c>
      <c r="C16608" s="1">
        <f>HYPERLINK("https://cao.dolgi.msk.ru/account/1011422924/", 1011422924)</f>
        <v>1011422924</v>
      </c>
      <c r="D16608">
        <v>-38395.96</v>
      </c>
    </row>
    <row r="16609" spans="1:4" hidden="1" x14ac:dyDescent="0.3">
      <c r="A16609" t="s">
        <v>994</v>
      </c>
      <c r="B16609" t="s">
        <v>25</v>
      </c>
      <c r="C16609" s="1">
        <f>HYPERLINK("https://cao.dolgi.msk.ru/account/1011423791/", 1011423791)</f>
        <v>1011423791</v>
      </c>
      <c r="D16609">
        <v>-10290.86</v>
      </c>
    </row>
    <row r="16610" spans="1:4" x14ac:dyDescent="0.3">
      <c r="A16610" t="s">
        <v>994</v>
      </c>
      <c r="B16610" t="s">
        <v>26</v>
      </c>
      <c r="C16610" s="1">
        <f>HYPERLINK("https://cao.dolgi.msk.ru/account/1011423863/", 1011423863)</f>
        <v>1011423863</v>
      </c>
      <c r="D16610">
        <v>6423.13</v>
      </c>
    </row>
    <row r="16611" spans="1:4" hidden="1" x14ac:dyDescent="0.3">
      <c r="A16611" t="s">
        <v>994</v>
      </c>
      <c r="B16611" t="s">
        <v>27</v>
      </c>
      <c r="C16611" s="1">
        <f>HYPERLINK("https://cao.dolgi.msk.ru/account/1011423396/", 1011423396)</f>
        <v>1011423396</v>
      </c>
      <c r="D16611">
        <v>-18.600000000000001</v>
      </c>
    </row>
    <row r="16612" spans="1:4" hidden="1" x14ac:dyDescent="0.3">
      <c r="A16612" t="s">
        <v>994</v>
      </c>
      <c r="B16612" t="s">
        <v>29</v>
      </c>
      <c r="C16612" s="1">
        <f>HYPERLINK("https://cao.dolgi.msk.ru/account/1011423556/", 1011423556)</f>
        <v>1011423556</v>
      </c>
      <c r="D16612">
        <v>0</v>
      </c>
    </row>
    <row r="16613" spans="1:4" hidden="1" x14ac:dyDescent="0.3">
      <c r="A16613" t="s">
        <v>994</v>
      </c>
      <c r="B16613" t="s">
        <v>38</v>
      </c>
      <c r="C16613" s="1">
        <f>HYPERLINK("https://cao.dolgi.msk.ru/account/1011423337/", 1011423337)</f>
        <v>1011423337</v>
      </c>
      <c r="D16613">
        <v>-4009.07</v>
      </c>
    </row>
    <row r="16614" spans="1:4" x14ac:dyDescent="0.3">
      <c r="A16614" t="s">
        <v>994</v>
      </c>
      <c r="B16614" t="s">
        <v>39</v>
      </c>
      <c r="C16614" s="1">
        <f>HYPERLINK("https://cao.dolgi.msk.ru/account/1011422764/", 1011422764)</f>
        <v>1011422764</v>
      </c>
      <c r="D16614">
        <v>26160.97</v>
      </c>
    </row>
    <row r="16615" spans="1:4" hidden="1" x14ac:dyDescent="0.3">
      <c r="A16615" t="s">
        <v>994</v>
      </c>
      <c r="B16615" t="s">
        <v>40</v>
      </c>
      <c r="C16615" s="1">
        <f>HYPERLINK("https://cao.dolgi.msk.ru/account/1011423775/", 1011423775)</f>
        <v>1011423775</v>
      </c>
      <c r="D16615">
        <v>0</v>
      </c>
    </row>
    <row r="16616" spans="1:4" hidden="1" x14ac:dyDescent="0.3">
      <c r="A16616" t="s">
        <v>994</v>
      </c>
      <c r="B16616" t="s">
        <v>41</v>
      </c>
      <c r="C16616" s="1">
        <f>HYPERLINK("https://cao.dolgi.msk.ru/account/1011423302/", 1011423302)</f>
        <v>1011423302</v>
      </c>
      <c r="D16616">
        <v>0</v>
      </c>
    </row>
    <row r="16617" spans="1:4" hidden="1" x14ac:dyDescent="0.3">
      <c r="A16617" t="s">
        <v>994</v>
      </c>
      <c r="B16617" t="s">
        <v>51</v>
      </c>
      <c r="C16617" s="1">
        <f>HYPERLINK("https://cao.dolgi.msk.ru/account/1011423839/", 1011423839)</f>
        <v>1011423839</v>
      </c>
      <c r="D16617">
        <v>0</v>
      </c>
    </row>
    <row r="16618" spans="1:4" hidden="1" x14ac:dyDescent="0.3">
      <c r="A16618" t="s">
        <v>994</v>
      </c>
      <c r="B16618" t="s">
        <v>52</v>
      </c>
      <c r="C16618" s="1">
        <f>HYPERLINK("https://cao.dolgi.msk.ru/account/1011422908/", 1011422908)</f>
        <v>1011422908</v>
      </c>
      <c r="D16618">
        <v>0</v>
      </c>
    </row>
    <row r="16619" spans="1:4" hidden="1" x14ac:dyDescent="0.3">
      <c r="A16619" t="s">
        <v>994</v>
      </c>
      <c r="B16619" t="s">
        <v>53</v>
      </c>
      <c r="C16619" s="1">
        <f>HYPERLINK("https://cao.dolgi.msk.ru/account/1011422668/", 1011422668)</f>
        <v>1011422668</v>
      </c>
      <c r="D16619">
        <v>0</v>
      </c>
    </row>
    <row r="16620" spans="1:4" hidden="1" x14ac:dyDescent="0.3">
      <c r="A16620" t="s">
        <v>994</v>
      </c>
      <c r="B16620" t="s">
        <v>55</v>
      </c>
      <c r="C16620" s="1">
        <f>HYPERLINK("https://cao.dolgi.msk.ru/account/1011423935/", 1011423935)</f>
        <v>1011423935</v>
      </c>
      <c r="D16620">
        <v>0</v>
      </c>
    </row>
    <row r="16621" spans="1:4" hidden="1" x14ac:dyDescent="0.3">
      <c r="A16621" t="s">
        <v>994</v>
      </c>
      <c r="B16621" t="s">
        <v>56</v>
      </c>
      <c r="C16621" s="1">
        <f>HYPERLINK("https://cao.dolgi.msk.ru/account/1011422502/", 1011422502)</f>
        <v>1011422502</v>
      </c>
      <c r="D16621">
        <v>0</v>
      </c>
    </row>
    <row r="16622" spans="1:4" hidden="1" x14ac:dyDescent="0.3">
      <c r="A16622" t="s">
        <v>994</v>
      </c>
      <c r="B16622" t="s">
        <v>87</v>
      </c>
      <c r="C16622" s="1">
        <f>HYPERLINK("https://cao.dolgi.msk.ru/account/1011423652/", 1011423652)</f>
        <v>1011423652</v>
      </c>
      <c r="D16622">
        <v>0</v>
      </c>
    </row>
    <row r="16623" spans="1:4" hidden="1" x14ac:dyDescent="0.3">
      <c r="A16623" t="s">
        <v>994</v>
      </c>
      <c r="B16623" t="s">
        <v>88</v>
      </c>
      <c r="C16623" s="1">
        <f>HYPERLINK("https://cao.dolgi.msk.ru/account/1011422422/", 1011422422)</f>
        <v>1011422422</v>
      </c>
      <c r="D16623">
        <v>0</v>
      </c>
    </row>
    <row r="16624" spans="1:4" hidden="1" x14ac:dyDescent="0.3">
      <c r="A16624" t="s">
        <v>994</v>
      </c>
      <c r="B16624" t="s">
        <v>89</v>
      </c>
      <c r="C16624" s="1">
        <f>HYPERLINK("https://cao.dolgi.msk.ru/account/1011422465/", 1011422465)</f>
        <v>1011422465</v>
      </c>
      <c r="D16624">
        <v>-9527.1299999999992</v>
      </c>
    </row>
    <row r="16625" spans="1:4" hidden="1" x14ac:dyDescent="0.3">
      <c r="A16625" t="s">
        <v>994</v>
      </c>
      <c r="B16625" t="s">
        <v>90</v>
      </c>
      <c r="C16625" s="1">
        <f>HYPERLINK("https://cao.dolgi.msk.ru/account/1011423265/", 1011423265)</f>
        <v>1011423265</v>
      </c>
      <c r="D16625">
        <v>-3339.7</v>
      </c>
    </row>
    <row r="16626" spans="1:4" x14ac:dyDescent="0.3">
      <c r="A16626" t="s">
        <v>994</v>
      </c>
      <c r="B16626" t="s">
        <v>96</v>
      </c>
      <c r="C16626" s="1">
        <f>HYPERLINK("https://cao.dolgi.msk.ru/account/1011423994/", 1011423994)</f>
        <v>1011423994</v>
      </c>
      <c r="D16626">
        <v>33045.120000000003</v>
      </c>
    </row>
    <row r="16627" spans="1:4" x14ac:dyDescent="0.3">
      <c r="A16627" t="s">
        <v>994</v>
      </c>
      <c r="B16627" t="s">
        <v>97</v>
      </c>
      <c r="C16627" s="1">
        <f>HYPERLINK("https://cao.dolgi.msk.ru/account/1011423812/", 1011423812)</f>
        <v>1011423812</v>
      </c>
      <c r="D16627">
        <v>15408.09</v>
      </c>
    </row>
    <row r="16628" spans="1:4" hidden="1" x14ac:dyDescent="0.3">
      <c r="A16628" t="s">
        <v>994</v>
      </c>
      <c r="B16628" t="s">
        <v>98</v>
      </c>
      <c r="C16628" s="1">
        <f>HYPERLINK("https://cao.dolgi.msk.ru/account/1011422254/", 1011422254)</f>
        <v>1011422254</v>
      </c>
      <c r="D16628">
        <v>0</v>
      </c>
    </row>
    <row r="16629" spans="1:4" hidden="1" x14ac:dyDescent="0.3">
      <c r="A16629" t="s">
        <v>994</v>
      </c>
      <c r="B16629" t="s">
        <v>58</v>
      </c>
      <c r="C16629" s="1">
        <f>HYPERLINK("https://cao.dolgi.msk.ru/account/1011423716/", 1011423716)</f>
        <v>1011423716</v>
      </c>
      <c r="D16629">
        <v>0</v>
      </c>
    </row>
    <row r="16630" spans="1:4" x14ac:dyDescent="0.3">
      <c r="A16630" t="s">
        <v>994</v>
      </c>
      <c r="B16630" t="s">
        <v>59</v>
      </c>
      <c r="C16630" s="1">
        <f>HYPERLINK("https://cao.dolgi.msk.ru/account/1011423468/", 1011423468)</f>
        <v>1011423468</v>
      </c>
      <c r="D16630">
        <v>8081.68</v>
      </c>
    </row>
    <row r="16631" spans="1:4" hidden="1" x14ac:dyDescent="0.3">
      <c r="A16631" t="s">
        <v>994</v>
      </c>
      <c r="B16631" t="s">
        <v>60</v>
      </c>
      <c r="C16631" s="1">
        <f>HYPERLINK("https://cao.dolgi.msk.ru/account/1011423644/", 1011423644)</f>
        <v>1011423644</v>
      </c>
      <c r="D16631">
        <v>-187.03</v>
      </c>
    </row>
    <row r="16632" spans="1:4" hidden="1" x14ac:dyDescent="0.3">
      <c r="A16632" t="s">
        <v>994</v>
      </c>
      <c r="B16632" t="s">
        <v>61</v>
      </c>
      <c r="C16632" s="1">
        <f>HYPERLINK("https://cao.dolgi.msk.ru/account/1011422991/", 1011422991)</f>
        <v>1011422991</v>
      </c>
      <c r="D16632">
        <v>0</v>
      </c>
    </row>
    <row r="16633" spans="1:4" hidden="1" x14ac:dyDescent="0.3">
      <c r="A16633" t="s">
        <v>994</v>
      </c>
      <c r="B16633" t="s">
        <v>62</v>
      </c>
      <c r="C16633" s="1">
        <f>HYPERLINK("https://cao.dolgi.msk.ru/account/1011422545/", 1011422545)</f>
        <v>1011422545</v>
      </c>
      <c r="D16633">
        <v>0</v>
      </c>
    </row>
    <row r="16634" spans="1:4" x14ac:dyDescent="0.3">
      <c r="A16634" t="s">
        <v>994</v>
      </c>
      <c r="B16634" t="s">
        <v>63</v>
      </c>
      <c r="C16634" s="1">
        <f>HYPERLINK("https://cao.dolgi.msk.ru/account/1011423732/", 1011423732)</f>
        <v>1011423732</v>
      </c>
      <c r="D16634">
        <v>51772.94</v>
      </c>
    </row>
    <row r="16635" spans="1:4" hidden="1" x14ac:dyDescent="0.3">
      <c r="A16635" t="s">
        <v>994</v>
      </c>
      <c r="B16635" t="s">
        <v>64</v>
      </c>
      <c r="C16635" s="1">
        <f>HYPERLINK("https://cao.dolgi.msk.ru/account/1011423871/", 1011423871)</f>
        <v>1011423871</v>
      </c>
      <c r="D16635">
        <v>-29.74</v>
      </c>
    </row>
    <row r="16636" spans="1:4" hidden="1" x14ac:dyDescent="0.3">
      <c r="A16636" t="s">
        <v>994</v>
      </c>
      <c r="B16636" t="s">
        <v>65</v>
      </c>
      <c r="C16636" s="1">
        <f>HYPERLINK("https://cao.dolgi.msk.ru/account/1011423214/", 1011423214)</f>
        <v>1011423214</v>
      </c>
      <c r="D16636">
        <v>0</v>
      </c>
    </row>
    <row r="16637" spans="1:4" x14ac:dyDescent="0.3">
      <c r="A16637" t="s">
        <v>994</v>
      </c>
      <c r="B16637" t="s">
        <v>66</v>
      </c>
      <c r="C16637" s="1">
        <f>HYPERLINK("https://cao.dolgi.msk.ru/account/1011422588/", 1011422588)</f>
        <v>1011422588</v>
      </c>
      <c r="D16637">
        <v>6915.66</v>
      </c>
    </row>
    <row r="16638" spans="1:4" hidden="1" x14ac:dyDescent="0.3">
      <c r="A16638" t="s">
        <v>994</v>
      </c>
      <c r="B16638" t="s">
        <v>67</v>
      </c>
      <c r="C16638" s="1">
        <f>HYPERLINK("https://cao.dolgi.msk.ru/account/1011422238/", 1011422238)</f>
        <v>1011422238</v>
      </c>
      <c r="D16638">
        <v>0</v>
      </c>
    </row>
    <row r="16639" spans="1:4" hidden="1" x14ac:dyDescent="0.3">
      <c r="A16639" t="s">
        <v>994</v>
      </c>
      <c r="B16639" t="s">
        <v>68</v>
      </c>
      <c r="C16639" s="1">
        <f>HYPERLINK("https://cao.dolgi.msk.ru/account/1011423361/", 1011423361)</f>
        <v>1011423361</v>
      </c>
      <c r="D16639">
        <v>0</v>
      </c>
    </row>
    <row r="16640" spans="1:4" hidden="1" x14ac:dyDescent="0.3">
      <c r="A16640" t="s">
        <v>994</v>
      </c>
      <c r="B16640" t="s">
        <v>69</v>
      </c>
      <c r="C16640" s="1">
        <f>HYPERLINK("https://cao.dolgi.msk.ru/account/1011423425/", 1011423425)</f>
        <v>1011423425</v>
      </c>
      <c r="D16640">
        <v>0</v>
      </c>
    </row>
    <row r="16641" spans="1:4" hidden="1" x14ac:dyDescent="0.3">
      <c r="A16641" t="s">
        <v>994</v>
      </c>
      <c r="B16641" t="s">
        <v>70</v>
      </c>
      <c r="C16641" s="1">
        <f>HYPERLINK("https://cao.dolgi.msk.ru/account/1011423564/", 1011423564)</f>
        <v>1011423564</v>
      </c>
      <c r="D16641">
        <v>0</v>
      </c>
    </row>
    <row r="16642" spans="1:4" hidden="1" x14ac:dyDescent="0.3">
      <c r="A16642" t="s">
        <v>994</v>
      </c>
      <c r="B16642" t="s">
        <v>259</v>
      </c>
      <c r="C16642" s="1">
        <f>HYPERLINK("https://cao.dolgi.msk.ru/account/1011423222/", 1011423222)</f>
        <v>1011423222</v>
      </c>
      <c r="D16642">
        <v>0</v>
      </c>
    </row>
    <row r="16643" spans="1:4" hidden="1" x14ac:dyDescent="0.3">
      <c r="A16643" t="s">
        <v>994</v>
      </c>
      <c r="B16643" t="s">
        <v>100</v>
      </c>
      <c r="C16643" s="1">
        <f>HYPERLINK("https://cao.dolgi.msk.ru/account/1011422262/", 1011422262)</f>
        <v>1011422262</v>
      </c>
      <c r="D16643">
        <v>0</v>
      </c>
    </row>
    <row r="16644" spans="1:4" hidden="1" x14ac:dyDescent="0.3">
      <c r="A16644" t="s">
        <v>994</v>
      </c>
      <c r="B16644" t="s">
        <v>72</v>
      </c>
      <c r="C16644" s="1">
        <f>HYPERLINK("https://cao.dolgi.msk.ru/account/1011422887/", 1011422887)</f>
        <v>1011422887</v>
      </c>
      <c r="D16644">
        <v>0</v>
      </c>
    </row>
    <row r="16645" spans="1:4" hidden="1" x14ac:dyDescent="0.3">
      <c r="A16645" t="s">
        <v>994</v>
      </c>
      <c r="B16645" t="s">
        <v>73</v>
      </c>
      <c r="C16645" s="1">
        <f>HYPERLINK("https://cao.dolgi.msk.ru/account/1011422801/", 1011422801)</f>
        <v>1011422801</v>
      </c>
      <c r="D16645">
        <v>0</v>
      </c>
    </row>
    <row r="16646" spans="1:4" hidden="1" x14ac:dyDescent="0.3">
      <c r="A16646" t="s">
        <v>994</v>
      </c>
      <c r="B16646" t="s">
        <v>74</v>
      </c>
      <c r="C16646" s="1">
        <f>HYPERLINK("https://cao.dolgi.msk.ru/account/1011423345/", 1011423345)</f>
        <v>1011423345</v>
      </c>
      <c r="D16646">
        <v>0</v>
      </c>
    </row>
    <row r="16647" spans="1:4" hidden="1" x14ac:dyDescent="0.3">
      <c r="A16647" t="s">
        <v>994</v>
      </c>
      <c r="B16647" t="s">
        <v>75</v>
      </c>
      <c r="C16647" s="1">
        <f>HYPERLINK("https://cao.dolgi.msk.ru/account/1011422406/", 1011422406)</f>
        <v>1011422406</v>
      </c>
      <c r="D16647">
        <v>0</v>
      </c>
    </row>
    <row r="16648" spans="1:4" hidden="1" x14ac:dyDescent="0.3">
      <c r="A16648" t="s">
        <v>994</v>
      </c>
      <c r="B16648" t="s">
        <v>76</v>
      </c>
      <c r="C16648" s="1">
        <f>HYPERLINK("https://cao.dolgi.msk.ru/account/1011423492/", 1011423492)</f>
        <v>1011423492</v>
      </c>
      <c r="D16648">
        <v>0</v>
      </c>
    </row>
    <row r="16649" spans="1:4" hidden="1" x14ac:dyDescent="0.3">
      <c r="A16649" t="s">
        <v>994</v>
      </c>
      <c r="B16649" t="s">
        <v>77</v>
      </c>
      <c r="C16649" s="1">
        <f>HYPERLINK("https://cao.dolgi.msk.ru/account/1011423978/", 1011423978)</f>
        <v>1011423978</v>
      </c>
      <c r="D16649">
        <v>-6749.42</v>
      </c>
    </row>
    <row r="16650" spans="1:4" x14ac:dyDescent="0.3">
      <c r="A16650" t="s">
        <v>994</v>
      </c>
      <c r="B16650" t="s">
        <v>78</v>
      </c>
      <c r="C16650" s="1">
        <f>HYPERLINK("https://cao.dolgi.msk.ru/account/1011423695/", 1011423695)</f>
        <v>1011423695</v>
      </c>
      <c r="D16650">
        <v>26282.2</v>
      </c>
    </row>
    <row r="16651" spans="1:4" hidden="1" x14ac:dyDescent="0.3">
      <c r="A16651" t="s">
        <v>994</v>
      </c>
      <c r="B16651" t="s">
        <v>79</v>
      </c>
      <c r="C16651" s="1">
        <f>HYPERLINK("https://cao.dolgi.msk.ru/account/1011422342/", 1011422342)</f>
        <v>1011422342</v>
      </c>
      <c r="D16651">
        <v>0</v>
      </c>
    </row>
    <row r="16652" spans="1:4" x14ac:dyDescent="0.3">
      <c r="A16652" t="s">
        <v>994</v>
      </c>
      <c r="B16652" t="s">
        <v>80</v>
      </c>
      <c r="C16652" s="1">
        <f>HYPERLINK("https://cao.dolgi.msk.ru/account/1011423134/", 1011423134)</f>
        <v>1011423134</v>
      </c>
      <c r="D16652">
        <v>26595.5</v>
      </c>
    </row>
    <row r="16653" spans="1:4" x14ac:dyDescent="0.3">
      <c r="A16653" t="s">
        <v>994</v>
      </c>
      <c r="B16653" t="s">
        <v>81</v>
      </c>
      <c r="C16653" s="1">
        <f>HYPERLINK("https://cao.dolgi.msk.ru/account/1011423097/", 1011423097)</f>
        <v>1011423097</v>
      </c>
      <c r="D16653">
        <v>55120.160000000003</v>
      </c>
    </row>
    <row r="16654" spans="1:4" hidden="1" x14ac:dyDescent="0.3">
      <c r="A16654" t="s">
        <v>994</v>
      </c>
      <c r="B16654" t="s">
        <v>101</v>
      </c>
      <c r="C16654" s="1">
        <f>HYPERLINK("https://cao.dolgi.msk.ru/account/1011422692/", 1011422692)</f>
        <v>1011422692</v>
      </c>
      <c r="D16654">
        <v>0</v>
      </c>
    </row>
    <row r="16655" spans="1:4" hidden="1" x14ac:dyDescent="0.3">
      <c r="A16655" t="s">
        <v>994</v>
      </c>
      <c r="B16655" t="s">
        <v>82</v>
      </c>
      <c r="C16655" s="1">
        <f>HYPERLINK("https://cao.dolgi.msk.ru/account/1011422318/", 1011422318)</f>
        <v>1011422318</v>
      </c>
      <c r="D16655">
        <v>0</v>
      </c>
    </row>
    <row r="16656" spans="1:4" hidden="1" x14ac:dyDescent="0.3">
      <c r="A16656" t="s">
        <v>994</v>
      </c>
      <c r="B16656" t="s">
        <v>83</v>
      </c>
      <c r="C16656" s="1">
        <f>HYPERLINK("https://cao.dolgi.msk.ru/account/1011423054/", 1011423054)</f>
        <v>1011423054</v>
      </c>
      <c r="D16656">
        <v>-18.579999999999998</v>
      </c>
    </row>
    <row r="16657" spans="1:4" hidden="1" x14ac:dyDescent="0.3">
      <c r="A16657" t="s">
        <v>994</v>
      </c>
      <c r="B16657" t="s">
        <v>84</v>
      </c>
      <c r="C16657" s="1">
        <f>HYPERLINK("https://cao.dolgi.msk.ru/account/1011423185/", 1011423185)</f>
        <v>1011423185</v>
      </c>
      <c r="D16657">
        <v>-9421.16</v>
      </c>
    </row>
    <row r="16658" spans="1:4" hidden="1" x14ac:dyDescent="0.3">
      <c r="A16658" t="s">
        <v>994</v>
      </c>
      <c r="B16658" t="s">
        <v>85</v>
      </c>
      <c r="C16658" s="1">
        <f>HYPERLINK("https://cao.dolgi.msk.ru/account/1011423169/", 1011423169)</f>
        <v>1011423169</v>
      </c>
      <c r="D16658">
        <v>0</v>
      </c>
    </row>
    <row r="16659" spans="1:4" hidden="1" x14ac:dyDescent="0.3">
      <c r="A16659" t="s">
        <v>994</v>
      </c>
      <c r="B16659" t="s">
        <v>102</v>
      </c>
      <c r="C16659" s="1">
        <f>HYPERLINK("https://cao.dolgi.msk.ru/account/1011423273/", 1011423273)</f>
        <v>1011423273</v>
      </c>
      <c r="D16659">
        <v>0</v>
      </c>
    </row>
    <row r="16660" spans="1:4" hidden="1" x14ac:dyDescent="0.3">
      <c r="A16660" t="s">
        <v>994</v>
      </c>
      <c r="B16660" t="s">
        <v>103</v>
      </c>
      <c r="C16660" s="1">
        <f>HYPERLINK("https://cao.dolgi.msk.ru/account/1011422852/", 1011422852)</f>
        <v>1011422852</v>
      </c>
      <c r="D16660">
        <v>-6628.77</v>
      </c>
    </row>
    <row r="16661" spans="1:4" hidden="1" x14ac:dyDescent="0.3">
      <c r="A16661" t="s">
        <v>994</v>
      </c>
      <c r="B16661" t="s">
        <v>104</v>
      </c>
      <c r="C16661" s="1">
        <f>HYPERLINK("https://cao.dolgi.msk.ru/account/1011423919/", 1011423919)</f>
        <v>1011423919</v>
      </c>
      <c r="D16661">
        <v>0</v>
      </c>
    </row>
    <row r="16662" spans="1:4" hidden="1" x14ac:dyDescent="0.3">
      <c r="A16662" t="s">
        <v>994</v>
      </c>
      <c r="B16662" t="s">
        <v>105</v>
      </c>
      <c r="C16662" s="1">
        <f>HYPERLINK("https://cao.dolgi.msk.ru/account/1011422182/", 1011422182)</f>
        <v>1011422182</v>
      </c>
      <c r="D16662">
        <v>-11651.61</v>
      </c>
    </row>
    <row r="16663" spans="1:4" hidden="1" x14ac:dyDescent="0.3">
      <c r="A16663" t="s">
        <v>994</v>
      </c>
      <c r="B16663" t="s">
        <v>106</v>
      </c>
      <c r="C16663" s="1">
        <f>HYPERLINK("https://cao.dolgi.msk.ru/account/1011423521/", 1011423521)</f>
        <v>1011423521</v>
      </c>
      <c r="D16663">
        <v>-5894.14</v>
      </c>
    </row>
    <row r="16664" spans="1:4" hidden="1" x14ac:dyDescent="0.3">
      <c r="A16664" t="s">
        <v>994</v>
      </c>
      <c r="B16664" t="s">
        <v>107</v>
      </c>
      <c r="C16664" s="1">
        <f>HYPERLINK("https://cao.dolgi.msk.ru/account/1011422713/", 1011422713)</f>
        <v>1011422713</v>
      </c>
      <c r="D16664">
        <v>0</v>
      </c>
    </row>
    <row r="16665" spans="1:4" hidden="1" x14ac:dyDescent="0.3">
      <c r="A16665" t="s">
        <v>994</v>
      </c>
      <c r="B16665" t="s">
        <v>108</v>
      </c>
      <c r="C16665" s="1">
        <f>HYPERLINK("https://cao.dolgi.msk.ru/account/1011422326/", 1011422326)</f>
        <v>1011422326</v>
      </c>
      <c r="D16665">
        <v>-47.77</v>
      </c>
    </row>
    <row r="16666" spans="1:4" hidden="1" x14ac:dyDescent="0.3">
      <c r="A16666" t="s">
        <v>994</v>
      </c>
      <c r="B16666" t="s">
        <v>109</v>
      </c>
      <c r="C16666" s="1">
        <f>HYPERLINK("https://cao.dolgi.msk.ru/account/1011422481/", 1011422481)</f>
        <v>1011422481</v>
      </c>
      <c r="D16666">
        <v>0</v>
      </c>
    </row>
    <row r="16667" spans="1:4" hidden="1" x14ac:dyDescent="0.3">
      <c r="A16667" t="s">
        <v>994</v>
      </c>
      <c r="B16667" t="s">
        <v>110</v>
      </c>
      <c r="C16667" s="1">
        <f>HYPERLINK("https://cao.dolgi.msk.ru/account/1011423548/", 1011423548)</f>
        <v>1011423548</v>
      </c>
      <c r="D16667">
        <v>0</v>
      </c>
    </row>
    <row r="16668" spans="1:4" hidden="1" x14ac:dyDescent="0.3">
      <c r="A16668" t="s">
        <v>994</v>
      </c>
      <c r="B16668" t="s">
        <v>111</v>
      </c>
      <c r="C16668" s="1">
        <f>HYPERLINK("https://cao.dolgi.msk.ru/account/1011423847/", 1011423847)</f>
        <v>1011423847</v>
      </c>
      <c r="D16668">
        <v>0</v>
      </c>
    </row>
    <row r="16669" spans="1:4" hidden="1" x14ac:dyDescent="0.3">
      <c r="A16669" t="s">
        <v>994</v>
      </c>
      <c r="B16669" t="s">
        <v>112</v>
      </c>
      <c r="C16669" s="1">
        <f>HYPERLINK("https://cao.dolgi.msk.ru/account/1011422756/", 1011422756)</f>
        <v>1011422756</v>
      </c>
      <c r="D16669">
        <v>-3652.85</v>
      </c>
    </row>
    <row r="16670" spans="1:4" x14ac:dyDescent="0.3">
      <c r="A16670" t="s">
        <v>994</v>
      </c>
      <c r="B16670" t="s">
        <v>113</v>
      </c>
      <c r="C16670" s="1">
        <f>HYPERLINK("https://cao.dolgi.msk.ru/account/1011422932/", 1011422932)</f>
        <v>1011422932</v>
      </c>
      <c r="D16670">
        <v>42555.67</v>
      </c>
    </row>
    <row r="16671" spans="1:4" hidden="1" x14ac:dyDescent="0.3">
      <c r="A16671" t="s">
        <v>994</v>
      </c>
      <c r="B16671" t="s">
        <v>114</v>
      </c>
      <c r="C16671" s="1">
        <f>HYPERLINK("https://cao.dolgi.msk.ru/account/1011422246/", 1011422246)</f>
        <v>1011422246</v>
      </c>
      <c r="D16671">
        <v>0</v>
      </c>
    </row>
    <row r="16672" spans="1:4" hidden="1" x14ac:dyDescent="0.3">
      <c r="A16672" t="s">
        <v>994</v>
      </c>
      <c r="B16672" t="s">
        <v>115</v>
      </c>
      <c r="C16672" s="1">
        <f>HYPERLINK("https://cao.dolgi.msk.ru/account/1011423062/", 1011423062)</f>
        <v>1011423062</v>
      </c>
      <c r="D16672">
        <v>0</v>
      </c>
    </row>
    <row r="16673" spans="1:4" hidden="1" x14ac:dyDescent="0.3">
      <c r="A16673" t="s">
        <v>994</v>
      </c>
      <c r="B16673" t="s">
        <v>116</v>
      </c>
      <c r="C16673" s="1">
        <f>HYPERLINK("https://cao.dolgi.msk.ru/account/1011423783/", 1011423783)</f>
        <v>1011423783</v>
      </c>
      <c r="D16673">
        <v>0</v>
      </c>
    </row>
    <row r="16674" spans="1:4" x14ac:dyDescent="0.3">
      <c r="A16674" t="s">
        <v>994</v>
      </c>
      <c r="B16674" t="s">
        <v>266</v>
      </c>
      <c r="C16674" s="1">
        <f>HYPERLINK("https://cao.dolgi.msk.ru/account/1011422721/", 1011422721)</f>
        <v>1011422721</v>
      </c>
      <c r="D16674">
        <v>12873.9</v>
      </c>
    </row>
    <row r="16675" spans="1:4" hidden="1" x14ac:dyDescent="0.3">
      <c r="A16675" t="s">
        <v>994</v>
      </c>
      <c r="B16675" t="s">
        <v>117</v>
      </c>
      <c r="C16675" s="1">
        <f>HYPERLINK("https://cao.dolgi.msk.ru/account/1011422393/", 1011422393)</f>
        <v>1011422393</v>
      </c>
      <c r="D16675">
        <v>-7372.32</v>
      </c>
    </row>
    <row r="16676" spans="1:4" hidden="1" x14ac:dyDescent="0.3">
      <c r="A16676" t="s">
        <v>994</v>
      </c>
      <c r="B16676" t="s">
        <v>118</v>
      </c>
      <c r="C16676" s="1">
        <f>HYPERLINK("https://cao.dolgi.msk.ru/account/1011422414/", 1011422414)</f>
        <v>1011422414</v>
      </c>
      <c r="D16676">
        <v>-6134.93</v>
      </c>
    </row>
    <row r="16677" spans="1:4" hidden="1" x14ac:dyDescent="0.3">
      <c r="A16677" t="s">
        <v>994</v>
      </c>
      <c r="B16677" t="s">
        <v>119</v>
      </c>
      <c r="C16677" s="1">
        <f>HYPERLINK("https://cao.dolgi.msk.ru/account/1011422633/", 1011422633)</f>
        <v>1011422633</v>
      </c>
      <c r="D16677">
        <v>-18.579999999999998</v>
      </c>
    </row>
    <row r="16678" spans="1:4" hidden="1" x14ac:dyDescent="0.3">
      <c r="A16678" t="s">
        <v>994</v>
      </c>
      <c r="B16678" t="s">
        <v>120</v>
      </c>
      <c r="C16678" s="1">
        <f>HYPERLINK("https://cao.dolgi.msk.ru/account/1011422334/", 1011422334)</f>
        <v>1011422334</v>
      </c>
      <c r="D16678">
        <v>0</v>
      </c>
    </row>
    <row r="16679" spans="1:4" hidden="1" x14ac:dyDescent="0.3">
      <c r="A16679" t="s">
        <v>994</v>
      </c>
      <c r="B16679" t="s">
        <v>121</v>
      </c>
      <c r="C16679" s="1">
        <f>HYPERLINK("https://cao.dolgi.msk.ru/account/1011423708/", 1011423708)</f>
        <v>1011423708</v>
      </c>
      <c r="D16679">
        <v>-7308.08</v>
      </c>
    </row>
    <row r="16680" spans="1:4" hidden="1" x14ac:dyDescent="0.3">
      <c r="A16680" t="s">
        <v>994</v>
      </c>
      <c r="B16680" t="s">
        <v>122</v>
      </c>
      <c r="C16680" s="1">
        <f>HYPERLINK("https://cao.dolgi.msk.ru/account/1011422895/", 1011422895)</f>
        <v>1011422895</v>
      </c>
      <c r="D16680">
        <v>-9246.6200000000008</v>
      </c>
    </row>
    <row r="16681" spans="1:4" hidden="1" x14ac:dyDescent="0.3">
      <c r="A16681" t="s">
        <v>994</v>
      </c>
      <c r="B16681" t="s">
        <v>123</v>
      </c>
      <c r="C16681" s="1">
        <f>HYPERLINK("https://cao.dolgi.msk.ru/account/1011422609/", 1011422609)</f>
        <v>1011422609</v>
      </c>
      <c r="D16681">
        <v>-47420.02</v>
      </c>
    </row>
    <row r="16682" spans="1:4" hidden="1" x14ac:dyDescent="0.3">
      <c r="A16682" t="s">
        <v>994</v>
      </c>
      <c r="B16682" t="s">
        <v>124</v>
      </c>
      <c r="C16682" s="1">
        <f>HYPERLINK("https://cao.dolgi.msk.ru/account/1011423484/", 1011423484)</f>
        <v>1011423484</v>
      </c>
      <c r="D16682">
        <v>0</v>
      </c>
    </row>
    <row r="16683" spans="1:4" x14ac:dyDescent="0.3">
      <c r="A16683" t="s">
        <v>994</v>
      </c>
      <c r="B16683" t="s">
        <v>125</v>
      </c>
      <c r="C16683" s="1">
        <f>HYPERLINK("https://cao.dolgi.msk.ru/account/1011422529/", 1011422529)</f>
        <v>1011422529</v>
      </c>
      <c r="D16683">
        <v>4756.7299999999996</v>
      </c>
    </row>
    <row r="16684" spans="1:4" hidden="1" x14ac:dyDescent="0.3">
      <c r="A16684" t="s">
        <v>994</v>
      </c>
      <c r="B16684" t="s">
        <v>126</v>
      </c>
      <c r="C16684" s="1">
        <f>HYPERLINK("https://cao.dolgi.msk.ru/account/1011422537/", 1011422537)</f>
        <v>1011422537</v>
      </c>
      <c r="D16684">
        <v>-4434.8</v>
      </c>
    </row>
    <row r="16685" spans="1:4" x14ac:dyDescent="0.3">
      <c r="A16685" t="s">
        <v>994</v>
      </c>
      <c r="B16685" t="s">
        <v>127</v>
      </c>
      <c r="C16685" s="1">
        <f>HYPERLINK("https://cao.dolgi.msk.ru/account/1011423353/", 1011423353)</f>
        <v>1011423353</v>
      </c>
      <c r="D16685">
        <v>62912.44</v>
      </c>
    </row>
    <row r="16686" spans="1:4" hidden="1" x14ac:dyDescent="0.3">
      <c r="A16686" t="s">
        <v>994</v>
      </c>
      <c r="B16686" t="s">
        <v>262</v>
      </c>
      <c r="C16686" s="1">
        <f>HYPERLINK("https://cao.dolgi.msk.ru/account/1011423599/", 1011423599)</f>
        <v>1011423599</v>
      </c>
      <c r="D16686">
        <v>0</v>
      </c>
    </row>
    <row r="16687" spans="1:4" hidden="1" x14ac:dyDescent="0.3">
      <c r="A16687" t="s">
        <v>994</v>
      </c>
      <c r="B16687" t="s">
        <v>128</v>
      </c>
      <c r="C16687" s="1">
        <f>HYPERLINK("https://cao.dolgi.msk.ru/account/1011422975/", 1011422975)</f>
        <v>1011422975</v>
      </c>
      <c r="D16687">
        <v>-186.97</v>
      </c>
    </row>
    <row r="16688" spans="1:4" hidden="1" x14ac:dyDescent="0.3">
      <c r="A16688" t="s">
        <v>994</v>
      </c>
      <c r="B16688" t="s">
        <v>129</v>
      </c>
      <c r="C16688" s="1">
        <f>HYPERLINK("https://cao.dolgi.msk.ru/account/1011422705/", 1011422705)</f>
        <v>1011422705</v>
      </c>
      <c r="D16688">
        <v>0</v>
      </c>
    </row>
    <row r="16689" spans="1:4" hidden="1" x14ac:dyDescent="0.3">
      <c r="A16689" t="s">
        <v>994</v>
      </c>
      <c r="B16689" t="s">
        <v>130</v>
      </c>
      <c r="C16689" s="1">
        <f>HYPERLINK("https://cao.dolgi.msk.ru/account/1011423329/", 1011423329)</f>
        <v>1011423329</v>
      </c>
      <c r="D16689">
        <v>-33687.870000000003</v>
      </c>
    </row>
    <row r="16690" spans="1:4" hidden="1" x14ac:dyDescent="0.3">
      <c r="A16690" t="s">
        <v>994</v>
      </c>
      <c r="B16690" t="s">
        <v>131</v>
      </c>
      <c r="C16690" s="1">
        <f>HYPERLINK("https://cao.dolgi.msk.ru/account/1011423636/", 1011423636)</f>
        <v>1011423636</v>
      </c>
      <c r="D16690">
        <v>0</v>
      </c>
    </row>
    <row r="16691" spans="1:4" hidden="1" x14ac:dyDescent="0.3">
      <c r="A16691" t="s">
        <v>994</v>
      </c>
      <c r="B16691" t="s">
        <v>132</v>
      </c>
      <c r="C16691" s="1">
        <f>HYPERLINK("https://cao.dolgi.msk.ru/account/1011423898/", 1011423898)</f>
        <v>1011423898</v>
      </c>
      <c r="D16691">
        <v>-10506.6</v>
      </c>
    </row>
    <row r="16692" spans="1:4" hidden="1" x14ac:dyDescent="0.3">
      <c r="A16692" t="s">
        <v>994</v>
      </c>
      <c r="B16692" t="s">
        <v>133</v>
      </c>
      <c r="C16692" s="1">
        <f>HYPERLINK("https://cao.dolgi.msk.ru/account/1011423193/", 1011423193)</f>
        <v>1011423193</v>
      </c>
      <c r="D16692">
        <v>0</v>
      </c>
    </row>
    <row r="16693" spans="1:4" hidden="1" x14ac:dyDescent="0.3">
      <c r="A16693" t="s">
        <v>994</v>
      </c>
      <c r="B16693" t="s">
        <v>134</v>
      </c>
      <c r="C16693" s="1">
        <f>HYPERLINK("https://cao.dolgi.msk.ru/account/1011422641/", 1011422641)</f>
        <v>1011422641</v>
      </c>
      <c r="D16693">
        <v>0</v>
      </c>
    </row>
    <row r="16694" spans="1:4" hidden="1" x14ac:dyDescent="0.3">
      <c r="A16694" t="s">
        <v>994</v>
      </c>
      <c r="B16694" t="s">
        <v>135</v>
      </c>
      <c r="C16694" s="1">
        <f>HYPERLINK("https://cao.dolgi.msk.ru/account/1011422457/", 1011422457)</f>
        <v>1011422457</v>
      </c>
      <c r="D16694">
        <v>0</v>
      </c>
    </row>
    <row r="16695" spans="1:4" hidden="1" x14ac:dyDescent="0.3">
      <c r="A16695" t="s">
        <v>994</v>
      </c>
      <c r="B16695" t="s">
        <v>264</v>
      </c>
      <c r="C16695" s="1">
        <f>HYPERLINK("https://cao.dolgi.msk.ru/account/1011423011/", 1011423011)</f>
        <v>1011423011</v>
      </c>
      <c r="D16695">
        <v>0</v>
      </c>
    </row>
    <row r="16696" spans="1:4" hidden="1" x14ac:dyDescent="0.3">
      <c r="A16696" t="s">
        <v>994</v>
      </c>
      <c r="B16696" t="s">
        <v>136</v>
      </c>
      <c r="C16696" s="1">
        <f>HYPERLINK("https://cao.dolgi.msk.ru/account/1011423687/", 1011423687)</f>
        <v>1011423687</v>
      </c>
      <c r="D16696">
        <v>0</v>
      </c>
    </row>
    <row r="16697" spans="1:4" hidden="1" x14ac:dyDescent="0.3">
      <c r="A16697" t="s">
        <v>994</v>
      </c>
      <c r="B16697" t="s">
        <v>137</v>
      </c>
      <c r="C16697" s="1">
        <f>HYPERLINK("https://cao.dolgi.msk.ru/account/1011422596/", 1011422596)</f>
        <v>1011422596</v>
      </c>
      <c r="D16697">
        <v>0</v>
      </c>
    </row>
    <row r="16698" spans="1:4" hidden="1" x14ac:dyDescent="0.3">
      <c r="A16698" t="s">
        <v>994</v>
      </c>
      <c r="B16698" t="s">
        <v>138</v>
      </c>
      <c r="C16698" s="1">
        <f>HYPERLINK("https://cao.dolgi.msk.ru/account/1011422297/", 1011422297)</f>
        <v>1011422297</v>
      </c>
      <c r="D16698">
        <v>-4666.6499999999996</v>
      </c>
    </row>
    <row r="16699" spans="1:4" hidden="1" x14ac:dyDescent="0.3">
      <c r="A16699" t="s">
        <v>994</v>
      </c>
      <c r="B16699" t="s">
        <v>139</v>
      </c>
      <c r="C16699" s="1">
        <f>HYPERLINK("https://cao.dolgi.msk.ru/account/1011422799/", 1011422799)</f>
        <v>1011422799</v>
      </c>
      <c r="D16699">
        <v>0</v>
      </c>
    </row>
    <row r="16700" spans="1:4" hidden="1" x14ac:dyDescent="0.3">
      <c r="A16700" t="s">
        <v>994</v>
      </c>
      <c r="B16700" t="s">
        <v>140</v>
      </c>
      <c r="C16700" s="1">
        <f>HYPERLINK("https://cao.dolgi.msk.ru/account/1011422967/", 1011422967)</f>
        <v>1011422967</v>
      </c>
      <c r="D16700">
        <v>-217.63</v>
      </c>
    </row>
    <row r="16701" spans="1:4" hidden="1" x14ac:dyDescent="0.3">
      <c r="A16701" t="s">
        <v>994</v>
      </c>
      <c r="B16701" t="s">
        <v>141</v>
      </c>
      <c r="C16701" s="1">
        <f>HYPERLINK("https://cao.dolgi.msk.ru/account/1011422203/", 1011422203)</f>
        <v>1011422203</v>
      </c>
      <c r="D16701">
        <v>0</v>
      </c>
    </row>
    <row r="16702" spans="1:4" hidden="1" x14ac:dyDescent="0.3">
      <c r="A16702" t="s">
        <v>994</v>
      </c>
      <c r="B16702" t="s">
        <v>142</v>
      </c>
      <c r="C16702" s="1">
        <f>HYPERLINK("https://cao.dolgi.msk.ru/account/1011422983/", 1011422983)</f>
        <v>1011422983</v>
      </c>
      <c r="D16702">
        <v>0</v>
      </c>
    </row>
    <row r="16703" spans="1:4" hidden="1" x14ac:dyDescent="0.3">
      <c r="A16703" t="s">
        <v>994</v>
      </c>
      <c r="B16703" t="s">
        <v>143</v>
      </c>
      <c r="C16703" s="1">
        <f>HYPERLINK("https://cao.dolgi.msk.ru/account/1011423951/", 1011423951)</f>
        <v>1011423951</v>
      </c>
      <c r="D16703">
        <v>0</v>
      </c>
    </row>
    <row r="16704" spans="1:4" x14ac:dyDescent="0.3">
      <c r="A16704" t="s">
        <v>994</v>
      </c>
      <c r="B16704" t="s">
        <v>144</v>
      </c>
      <c r="C16704" s="1">
        <f>HYPERLINK("https://cao.dolgi.msk.ru/account/1011423206/", 1011423206)</f>
        <v>1011423206</v>
      </c>
      <c r="D16704">
        <v>7468.74</v>
      </c>
    </row>
    <row r="16705" spans="1:4" hidden="1" x14ac:dyDescent="0.3">
      <c r="A16705" t="s">
        <v>994</v>
      </c>
      <c r="B16705" t="s">
        <v>145</v>
      </c>
      <c r="C16705" s="1">
        <f>HYPERLINK("https://cao.dolgi.msk.ru/account/1011422385/", 1011422385)</f>
        <v>1011422385</v>
      </c>
      <c r="D16705">
        <v>-8571.01</v>
      </c>
    </row>
    <row r="16706" spans="1:4" hidden="1" x14ac:dyDescent="0.3">
      <c r="A16706" t="s">
        <v>994</v>
      </c>
      <c r="B16706" t="s">
        <v>146</v>
      </c>
      <c r="C16706" s="1">
        <f>HYPERLINK("https://cao.dolgi.msk.ru/account/1011423177/", 1011423177)</f>
        <v>1011423177</v>
      </c>
      <c r="D16706">
        <v>-24048.31</v>
      </c>
    </row>
    <row r="16707" spans="1:4" hidden="1" x14ac:dyDescent="0.3">
      <c r="A16707" t="s">
        <v>994</v>
      </c>
      <c r="B16707" t="s">
        <v>147</v>
      </c>
      <c r="C16707" s="1">
        <f>HYPERLINK("https://cao.dolgi.msk.ru/account/1011423089/", 1011423089)</f>
        <v>1011423089</v>
      </c>
      <c r="D16707">
        <v>-6674.1</v>
      </c>
    </row>
    <row r="16708" spans="1:4" hidden="1" x14ac:dyDescent="0.3">
      <c r="A16708" t="s">
        <v>994</v>
      </c>
      <c r="B16708" t="s">
        <v>148</v>
      </c>
      <c r="C16708" s="1">
        <f>HYPERLINK("https://cao.dolgi.msk.ru/account/1011423441/", 1011423441)</f>
        <v>1011423441</v>
      </c>
      <c r="D16708">
        <v>-9323.0499999999993</v>
      </c>
    </row>
    <row r="16709" spans="1:4" hidden="1" x14ac:dyDescent="0.3">
      <c r="A16709" t="s">
        <v>994</v>
      </c>
      <c r="B16709" t="s">
        <v>149</v>
      </c>
      <c r="C16709" s="1">
        <f>HYPERLINK("https://cao.dolgi.msk.ru/account/1011423409/", 1011423409)</f>
        <v>1011423409</v>
      </c>
      <c r="D16709">
        <v>-12886.63</v>
      </c>
    </row>
    <row r="16710" spans="1:4" x14ac:dyDescent="0.3">
      <c r="A16710" t="s">
        <v>994</v>
      </c>
      <c r="B16710" t="s">
        <v>150</v>
      </c>
      <c r="C16710" s="1">
        <f>HYPERLINK("https://cao.dolgi.msk.ru/account/1011422369/", 1011422369)</f>
        <v>1011422369</v>
      </c>
      <c r="D16710">
        <v>10278.31</v>
      </c>
    </row>
    <row r="16711" spans="1:4" hidden="1" x14ac:dyDescent="0.3">
      <c r="A16711" t="s">
        <v>994</v>
      </c>
      <c r="B16711" t="s">
        <v>151</v>
      </c>
      <c r="C16711" s="1">
        <f>HYPERLINK("https://cao.dolgi.msk.ru/account/1011423257/", 1011423257)</f>
        <v>1011423257</v>
      </c>
      <c r="D16711">
        <v>0</v>
      </c>
    </row>
    <row r="16712" spans="1:4" hidden="1" x14ac:dyDescent="0.3">
      <c r="A16712" t="s">
        <v>994</v>
      </c>
      <c r="B16712" t="s">
        <v>152</v>
      </c>
      <c r="C16712" s="1">
        <f>HYPERLINK("https://cao.dolgi.msk.ru/account/1011422916/", 1011422916)</f>
        <v>1011422916</v>
      </c>
      <c r="D16712">
        <v>0</v>
      </c>
    </row>
    <row r="16713" spans="1:4" hidden="1" x14ac:dyDescent="0.3">
      <c r="A16713" t="s">
        <v>994</v>
      </c>
      <c r="B16713" t="s">
        <v>153</v>
      </c>
      <c r="C16713" s="1">
        <f>HYPERLINK("https://cao.dolgi.msk.ru/account/1011423804/", 1011423804)</f>
        <v>1011423804</v>
      </c>
      <c r="D16713">
        <v>0</v>
      </c>
    </row>
    <row r="16714" spans="1:4" hidden="1" x14ac:dyDescent="0.3">
      <c r="A16714" t="s">
        <v>994</v>
      </c>
      <c r="B16714" t="s">
        <v>154</v>
      </c>
      <c r="C16714" s="1">
        <f>HYPERLINK("https://cao.dolgi.msk.ru/account/1011423601/", 1011423601)</f>
        <v>1011423601</v>
      </c>
      <c r="D16714">
        <v>0</v>
      </c>
    </row>
    <row r="16715" spans="1:4" x14ac:dyDescent="0.3">
      <c r="A16715" t="s">
        <v>994</v>
      </c>
      <c r="B16715" t="s">
        <v>155</v>
      </c>
      <c r="C16715" s="1">
        <f>HYPERLINK("https://cao.dolgi.msk.ru/account/1011422676/", 1011422676)</f>
        <v>1011422676</v>
      </c>
      <c r="D16715">
        <v>2057.2800000000002</v>
      </c>
    </row>
    <row r="16716" spans="1:4" x14ac:dyDescent="0.3">
      <c r="A16716" t="s">
        <v>994</v>
      </c>
      <c r="B16716" t="s">
        <v>156</v>
      </c>
      <c r="C16716" s="1">
        <f>HYPERLINK("https://cao.dolgi.msk.ru/account/1011423142/", 1011423142)</f>
        <v>1011423142</v>
      </c>
      <c r="D16716">
        <v>687.58</v>
      </c>
    </row>
    <row r="16717" spans="1:4" hidden="1" x14ac:dyDescent="0.3">
      <c r="A16717" t="s">
        <v>994</v>
      </c>
      <c r="B16717" t="s">
        <v>157</v>
      </c>
      <c r="C16717" s="1">
        <f>HYPERLINK("https://cao.dolgi.msk.ru/account/1011423927/", 1011423927)</f>
        <v>1011423927</v>
      </c>
      <c r="D16717">
        <v>-2867.27</v>
      </c>
    </row>
    <row r="16718" spans="1:4" hidden="1" x14ac:dyDescent="0.3">
      <c r="A16718" t="s">
        <v>994</v>
      </c>
      <c r="B16718" t="s">
        <v>158</v>
      </c>
      <c r="C16718" s="1">
        <f>HYPERLINK("https://cao.dolgi.msk.ru/account/1011423118/", 1011423118)</f>
        <v>1011423118</v>
      </c>
      <c r="D16718">
        <v>0</v>
      </c>
    </row>
    <row r="16719" spans="1:4" hidden="1" x14ac:dyDescent="0.3">
      <c r="A16719" t="s">
        <v>994</v>
      </c>
      <c r="B16719" t="s">
        <v>159</v>
      </c>
      <c r="C16719" s="1">
        <f>HYPERLINK("https://cao.dolgi.msk.ru/account/1011422748/", 1011422748)</f>
        <v>1011422748</v>
      </c>
      <c r="D16719">
        <v>0</v>
      </c>
    </row>
    <row r="16720" spans="1:4" hidden="1" x14ac:dyDescent="0.3">
      <c r="A16720" t="s">
        <v>994</v>
      </c>
      <c r="B16720" t="s">
        <v>160</v>
      </c>
      <c r="C16720" s="1">
        <f>HYPERLINK("https://cao.dolgi.msk.ru/account/1011422553/", 1011422553)</f>
        <v>1011422553</v>
      </c>
      <c r="D16720">
        <v>-8708.64</v>
      </c>
    </row>
    <row r="16721" spans="1:4" hidden="1" x14ac:dyDescent="0.3">
      <c r="A16721" t="s">
        <v>994</v>
      </c>
      <c r="B16721" t="s">
        <v>161</v>
      </c>
      <c r="C16721" s="1">
        <f>HYPERLINK("https://cao.dolgi.msk.ru/account/1011422617/", 1011422617)</f>
        <v>1011422617</v>
      </c>
      <c r="D16721">
        <v>-9608.92</v>
      </c>
    </row>
    <row r="16722" spans="1:4" hidden="1" x14ac:dyDescent="0.3">
      <c r="A16722" t="s">
        <v>994</v>
      </c>
      <c r="B16722" t="s">
        <v>162</v>
      </c>
      <c r="C16722" s="1">
        <f>HYPERLINK("https://cao.dolgi.msk.ru/account/1011423417/", 1011423417)</f>
        <v>1011423417</v>
      </c>
      <c r="D16722">
        <v>0</v>
      </c>
    </row>
    <row r="16723" spans="1:4" hidden="1" x14ac:dyDescent="0.3">
      <c r="A16723" t="s">
        <v>994</v>
      </c>
      <c r="B16723" t="s">
        <v>163</v>
      </c>
      <c r="C16723" s="1">
        <f>HYPERLINK("https://cao.dolgi.msk.ru/account/1011423476/", 1011423476)</f>
        <v>1011423476</v>
      </c>
      <c r="D16723">
        <v>-26654.91</v>
      </c>
    </row>
    <row r="16724" spans="1:4" hidden="1" x14ac:dyDescent="0.3">
      <c r="A16724" t="s">
        <v>994</v>
      </c>
      <c r="B16724" t="s">
        <v>164</v>
      </c>
      <c r="C16724" s="1">
        <f>HYPERLINK("https://cao.dolgi.msk.ru/account/1011423281/", 1011423281)</f>
        <v>1011423281</v>
      </c>
      <c r="D16724">
        <v>0</v>
      </c>
    </row>
    <row r="16725" spans="1:4" hidden="1" x14ac:dyDescent="0.3">
      <c r="A16725" t="s">
        <v>994</v>
      </c>
      <c r="B16725" t="s">
        <v>166</v>
      </c>
      <c r="C16725" s="1">
        <f>HYPERLINK("https://cao.dolgi.msk.ru/account/1011422561/", 1011422561)</f>
        <v>1011422561</v>
      </c>
      <c r="D16725">
        <v>0</v>
      </c>
    </row>
    <row r="16726" spans="1:4" hidden="1" x14ac:dyDescent="0.3">
      <c r="A16726" t="s">
        <v>994</v>
      </c>
      <c r="B16726" t="s">
        <v>167</v>
      </c>
      <c r="C16726" s="1">
        <f>HYPERLINK("https://cao.dolgi.msk.ru/account/1011526643/", 1011526643)</f>
        <v>1011526643</v>
      </c>
      <c r="D16726">
        <v>-50.87</v>
      </c>
    </row>
    <row r="16727" spans="1:4" x14ac:dyDescent="0.3">
      <c r="A16727" t="s">
        <v>994</v>
      </c>
      <c r="B16727" t="s">
        <v>168</v>
      </c>
      <c r="C16727" s="1">
        <f>HYPERLINK("https://cao.dolgi.msk.ru/account/1011422836/", 1011422836)</f>
        <v>1011422836</v>
      </c>
      <c r="D16727">
        <v>27563.48</v>
      </c>
    </row>
    <row r="16728" spans="1:4" x14ac:dyDescent="0.3">
      <c r="A16728" t="s">
        <v>994</v>
      </c>
      <c r="B16728" t="s">
        <v>169</v>
      </c>
      <c r="C16728" s="1">
        <f>HYPERLINK("https://cao.dolgi.msk.ru/account/1011423572/", 1011423572)</f>
        <v>1011423572</v>
      </c>
      <c r="D16728">
        <v>10403.780000000001</v>
      </c>
    </row>
    <row r="16729" spans="1:4" hidden="1" x14ac:dyDescent="0.3">
      <c r="A16729" t="s">
        <v>994</v>
      </c>
      <c r="B16729" t="s">
        <v>170</v>
      </c>
      <c r="C16729" s="1">
        <f>HYPERLINK("https://cao.dolgi.msk.ru/account/1011526918/", 1011526918)</f>
        <v>1011526918</v>
      </c>
      <c r="D16729">
        <v>0</v>
      </c>
    </row>
    <row r="16730" spans="1:4" hidden="1" x14ac:dyDescent="0.3">
      <c r="A16730" t="s">
        <v>994</v>
      </c>
      <c r="B16730" t="s">
        <v>172</v>
      </c>
      <c r="C16730" s="1">
        <f>HYPERLINK("https://cao.dolgi.msk.ru/account/1011423855/", 1011423855)</f>
        <v>1011423855</v>
      </c>
      <c r="D16730">
        <v>0</v>
      </c>
    </row>
    <row r="16731" spans="1:4" hidden="1" x14ac:dyDescent="0.3">
      <c r="A16731" t="s">
        <v>994</v>
      </c>
      <c r="B16731" t="s">
        <v>173</v>
      </c>
      <c r="C16731" s="1">
        <f>HYPERLINK("https://cao.dolgi.msk.ru/account/1011423759/", 1011423759)</f>
        <v>1011423759</v>
      </c>
      <c r="D16731">
        <v>0</v>
      </c>
    </row>
    <row r="16732" spans="1:4" hidden="1" x14ac:dyDescent="0.3">
      <c r="A16732" t="s">
        <v>994</v>
      </c>
      <c r="B16732" t="s">
        <v>174</v>
      </c>
      <c r="C16732" s="1">
        <f>HYPERLINK("https://cao.dolgi.msk.ru/account/1011422828/", 1011422828)</f>
        <v>1011422828</v>
      </c>
      <c r="D16732">
        <v>-67.67</v>
      </c>
    </row>
    <row r="16733" spans="1:4" hidden="1" x14ac:dyDescent="0.3">
      <c r="A16733" t="s">
        <v>994</v>
      </c>
      <c r="B16733" t="s">
        <v>175</v>
      </c>
      <c r="C16733" s="1">
        <f>HYPERLINK("https://cao.dolgi.msk.ru/account/1011424006/", 1011424006)</f>
        <v>1011424006</v>
      </c>
      <c r="D16733">
        <v>-3589.22</v>
      </c>
    </row>
    <row r="16734" spans="1:4" hidden="1" x14ac:dyDescent="0.3">
      <c r="A16734" t="s">
        <v>994</v>
      </c>
      <c r="B16734" t="s">
        <v>176</v>
      </c>
      <c r="C16734" s="1">
        <f>HYPERLINK("https://cao.dolgi.msk.ru/account/1011422684/", 1011422684)</f>
        <v>1011422684</v>
      </c>
      <c r="D16734">
        <v>0</v>
      </c>
    </row>
    <row r="16735" spans="1:4" hidden="1" x14ac:dyDescent="0.3">
      <c r="A16735" t="s">
        <v>994</v>
      </c>
      <c r="B16735" t="s">
        <v>177</v>
      </c>
      <c r="C16735" s="1">
        <f>HYPERLINK("https://cao.dolgi.msk.ru/account/1011423505/", 1011423505)</f>
        <v>1011423505</v>
      </c>
      <c r="D16735">
        <v>-10353.92</v>
      </c>
    </row>
    <row r="16736" spans="1:4" hidden="1" x14ac:dyDescent="0.3">
      <c r="A16736" t="s">
        <v>995</v>
      </c>
      <c r="B16736" t="s">
        <v>6</v>
      </c>
      <c r="C16736" s="1">
        <f>HYPERLINK("https://cao.dolgi.msk.ru/account/1011424292/", 1011424292)</f>
        <v>1011424292</v>
      </c>
      <c r="D16736">
        <v>0</v>
      </c>
    </row>
    <row r="16737" spans="1:4" hidden="1" x14ac:dyDescent="0.3">
      <c r="A16737" t="s">
        <v>995</v>
      </c>
      <c r="B16737" t="s">
        <v>28</v>
      </c>
      <c r="C16737" s="1">
        <f>HYPERLINK("https://cao.dolgi.msk.ru/account/1011424516/", 1011424516)</f>
        <v>1011424516</v>
      </c>
      <c r="D16737">
        <v>-11167.09</v>
      </c>
    </row>
    <row r="16738" spans="1:4" x14ac:dyDescent="0.3">
      <c r="A16738" t="s">
        <v>995</v>
      </c>
      <c r="B16738" t="s">
        <v>35</v>
      </c>
      <c r="C16738" s="1">
        <f>HYPERLINK("https://cao.dolgi.msk.ru/account/1011424671/", 1011424671)</f>
        <v>1011424671</v>
      </c>
      <c r="D16738">
        <v>8179.58</v>
      </c>
    </row>
    <row r="16739" spans="1:4" x14ac:dyDescent="0.3">
      <c r="A16739" t="s">
        <v>995</v>
      </c>
      <c r="B16739" t="s">
        <v>5</v>
      </c>
      <c r="C16739" s="1">
        <f>HYPERLINK("https://cao.dolgi.msk.ru/account/1011424508/", 1011424508)</f>
        <v>1011424508</v>
      </c>
      <c r="D16739">
        <v>7482.99</v>
      </c>
    </row>
    <row r="16740" spans="1:4" x14ac:dyDescent="0.3">
      <c r="A16740" t="s">
        <v>995</v>
      </c>
      <c r="B16740" t="s">
        <v>7</v>
      </c>
      <c r="C16740" s="1">
        <f>HYPERLINK("https://cao.dolgi.msk.ru/account/1011425164/", 1011425164)</f>
        <v>1011425164</v>
      </c>
      <c r="D16740">
        <v>9285.07</v>
      </c>
    </row>
    <row r="16741" spans="1:4" hidden="1" x14ac:dyDescent="0.3">
      <c r="A16741" t="s">
        <v>995</v>
      </c>
      <c r="B16741" t="s">
        <v>8</v>
      </c>
      <c r="C16741" s="1">
        <f>HYPERLINK("https://cao.dolgi.msk.ru/account/1011424807/", 1011424807)</f>
        <v>1011424807</v>
      </c>
      <c r="D16741">
        <v>-15360.71</v>
      </c>
    </row>
    <row r="16742" spans="1:4" x14ac:dyDescent="0.3">
      <c r="A16742" t="s">
        <v>995</v>
      </c>
      <c r="B16742" t="s">
        <v>31</v>
      </c>
      <c r="C16742" s="1">
        <f>HYPERLINK("https://cao.dolgi.msk.ru/account/1011424014/", 1011424014)</f>
        <v>1011424014</v>
      </c>
      <c r="D16742">
        <v>18112.71</v>
      </c>
    </row>
    <row r="16743" spans="1:4" x14ac:dyDescent="0.3">
      <c r="A16743" t="s">
        <v>995</v>
      </c>
      <c r="B16743" t="s">
        <v>9</v>
      </c>
      <c r="C16743" s="1">
        <f>HYPERLINK("https://cao.dolgi.msk.ru/account/1011425201/", 1011425201)</f>
        <v>1011425201</v>
      </c>
      <c r="D16743">
        <v>13453.64</v>
      </c>
    </row>
    <row r="16744" spans="1:4" hidden="1" x14ac:dyDescent="0.3">
      <c r="A16744" t="s">
        <v>995</v>
      </c>
      <c r="B16744" t="s">
        <v>11</v>
      </c>
      <c r="C16744" s="1">
        <f>HYPERLINK("https://cao.dolgi.msk.ru/account/1011424719/", 1011424719)</f>
        <v>1011424719</v>
      </c>
      <c r="D16744">
        <v>0</v>
      </c>
    </row>
    <row r="16745" spans="1:4" x14ac:dyDescent="0.3">
      <c r="A16745" t="s">
        <v>995</v>
      </c>
      <c r="B16745" t="s">
        <v>23</v>
      </c>
      <c r="C16745" s="1">
        <f>HYPERLINK("https://cao.dolgi.msk.ru/account/1011425076/", 1011425076)</f>
        <v>1011425076</v>
      </c>
      <c r="D16745">
        <v>11957.56</v>
      </c>
    </row>
    <row r="16746" spans="1:4" hidden="1" x14ac:dyDescent="0.3">
      <c r="A16746" t="s">
        <v>995</v>
      </c>
      <c r="B16746" t="s">
        <v>13</v>
      </c>
      <c r="C16746" s="1">
        <f>HYPERLINK("https://cao.dolgi.msk.ru/account/1011424022/", 1011424022)</f>
        <v>1011424022</v>
      </c>
      <c r="D16746">
        <v>0</v>
      </c>
    </row>
    <row r="16747" spans="1:4" hidden="1" x14ac:dyDescent="0.3">
      <c r="A16747" t="s">
        <v>995</v>
      </c>
      <c r="B16747" t="s">
        <v>14</v>
      </c>
      <c r="C16747" s="1">
        <f>HYPERLINK("https://cao.dolgi.msk.ru/account/1011425906/", 1011425906)</f>
        <v>1011425906</v>
      </c>
      <c r="D16747">
        <v>-11946.08</v>
      </c>
    </row>
    <row r="16748" spans="1:4" hidden="1" x14ac:dyDescent="0.3">
      <c r="A16748" t="s">
        <v>995</v>
      </c>
      <c r="B16748" t="s">
        <v>16</v>
      </c>
      <c r="C16748" s="1">
        <f>HYPERLINK("https://cao.dolgi.msk.ru/account/1011425682/", 1011425682)</f>
        <v>1011425682</v>
      </c>
      <c r="D16748">
        <v>0</v>
      </c>
    </row>
    <row r="16749" spans="1:4" hidden="1" x14ac:dyDescent="0.3">
      <c r="A16749" t="s">
        <v>995</v>
      </c>
      <c r="B16749" t="s">
        <v>17</v>
      </c>
      <c r="C16749" s="1">
        <f>HYPERLINK("https://cao.dolgi.msk.ru/account/1011425383/", 1011425383)</f>
        <v>1011425383</v>
      </c>
      <c r="D16749">
        <v>0</v>
      </c>
    </row>
    <row r="16750" spans="1:4" x14ac:dyDescent="0.3">
      <c r="A16750" t="s">
        <v>995</v>
      </c>
      <c r="B16750" t="s">
        <v>18</v>
      </c>
      <c r="C16750" s="1">
        <f>HYPERLINK("https://cao.dolgi.msk.ru/account/1011425041/", 1011425041)</f>
        <v>1011425041</v>
      </c>
      <c r="D16750">
        <v>9167.75</v>
      </c>
    </row>
    <row r="16751" spans="1:4" hidden="1" x14ac:dyDescent="0.3">
      <c r="A16751" t="s">
        <v>995</v>
      </c>
      <c r="B16751" t="s">
        <v>19</v>
      </c>
      <c r="C16751" s="1">
        <f>HYPERLINK("https://cao.dolgi.msk.ru/account/1011424436/", 1011424436)</f>
        <v>1011424436</v>
      </c>
      <c r="D16751">
        <v>0</v>
      </c>
    </row>
    <row r="16752" spans="1:4" hidden="1" x14ac:dyDescent="0.3">
      <c r="A16752" t="s">
        <v>995</v>
      </c>
      <c r="B16752" t="s">
        <v>20</v>
      </c>
      <c r="C16752" s="1">
        <f>HYPERLINK("https://cao.dolgi.msk.ru/account/1011425797/", 1011425797)</f>
        <v>1011425797</v>
      </c>
      <c r="D16752">
        <v>-8480.42</v>
      </c>
    </row>
    <row r="16753" spans="1:4" hidden="1" x14ac:dyDescent="0.3">
      <c r="A16753" t="s">
        <v>995</v>
      </c>
      <c r="B16753" t="s">
        <v>21</v>
      </c>
      <c r="C16753" s="1">
        <f>HYPERLINK("https://cao.dolgi.msk.ru/account/1011424794/", 1011424794)</f>
        <v>1011424794</v>
      </c>
      <c r="D16753">
        <v>0</v>
      </c>
    </row>
    <row r="16754" spans="1:4" hidden="1" x14ac:dyDescent="0.3">
      <c r="A16754" t="s">
        <v>995</v>
      </c>
      <c r="B16754" t="s">
        <v>22</v>
      </c>
      <c r="C16754" s="1">
        <f>HYPERLINK("https://cao.dolgi.msk.ru/account/1011424938/", 1011424938)</f>
        <v>1011424938</v>
      </c>
      <c r="D16754">
        <v>0</v>
      </c>
    </row>
    <row r="16755" spans="1:4" hidden="1" x14ac:dyDescent="0.3">
      <c r="A16755" t="s">
        <v>995</v>
      </c>
      <c r="B16755" t="s">
        <v>24</v>
      </c>
      <c r="C16755" s="1">
        <f>HYPERLINK("https://cao.dolgi.msk.ru/account/1011425412/", 1011425412)</f>
        <v>1011425412</v>
      </c>
      <c r="D16755">
        <v>-7724.9</v>
      </c>
    </row>
    <row r="16756" spans="1:4" hidden="1" x14ac:dyDescent="0.3">
      <c r="A16756" t="s">
        <v>995</v>
      </c>
      <c r="B16756" t="s">
        <v>25</v>
      </c>
      <c r="C16756" s="1">
        <f>HYPERLINK("https://cao.dolgi.msk.ru/account/1011425869/", 1011425869)</f>
        <v>1011425869</v>
      </c>
      <c r="D16756">
        <v>0</v>
      </c>
    </row>
    <row r="16757" spans="1:4" hidden="1" x14ac:dyDescent="0.3">
      <c r="A16757" t="s">
        <v>995</v>
      </c>
      <c r="B16757" t="s">
        <v>26</v>
      </c>
      <c r="C16757" s="1">
        <f>HYPERLINK("https://cao.dolgi.msk.ru/account/1011425367/", 1011425367)</f>
        <v>1011425367</v>
      </c>
      <c r="D16757">
        <v>-8949.07</v>
      </c>
    </row>
    <row r="16758" spans="1:4" hidden="1" x14ac:dyDescent="0.3">
      <c r="A16758" t="s">
        <v>995</v>
      </c>
      <c r="B16758" t="s">
        <v>27</v>
      </c>
      <c r="C16758" s="1">
        <f>HYPERLINK("https://cao.dolgi.msk.ru/account/1011425711/", 1011425711)</f>
        <v>1011425711</v>
      </c>
      <c r="D16758">
        <v>0</v>
      </c>
    </row>
    <row r="16759" spans="1:4" x14ac:dyDescent="0.3">
      <c r="A16759" t="s">
        <v>995</v>
      </c>
      <c r="B16759" t="s">
        <v>29</v>
      </c>
      <c r="C16759" s="1">
        <f>HYPERLINK("https://cao.dolgi.msk.ru/account/1011425586/", 1011425586)</f>
        <v>1011425586</v>
      </c>
      <c r="D16759">
        <v>37881.870000000003</v>
      </c>
    </row>
    <row r="16760" spans="1:4" hidden="1" x14ac:dyDescent="0.3">
      <c r="A16760" t="s">
        <v>995</v>
      </c>
      <c r="B16760" t="s">
        <v>38</v>
      </c>
      <c r="C16760" s="1">
        <f>HYPERLINK("https://cao.dolgi.msk.ru/account/1011425105/", 1011425105)</f>
        <v>1011425105</v>
      </c>
      <c r="D16760">
        <v>0</v>
      </c>
    </row>
    <row r="16761" spans="1:4" x14ac:dyDescent="0.3">
      <c r="A16761" t="s">
        <v>995</v>
      </c>
      <c r="B16761" t="s">
        <v>40</v>
      </c>
      <c r="C16761" s="1">
        <f>HYPERLINK("https://cao.dolgi.msk.ru/account/1011424276/", 1011424276)</f>
        <v>1011424276</v>
      </c>
      <c r="D16761">
        <v>4189.26</v>
      </c>
    </row>
    <row r="16762" spans="1:4" hidden="1" x14ac:dyDescent="0.3">
      <c r="A16762" t="s">
        <v>995</v>
      </c>
      <c r="B16762" t="s">
        <v>41</v>
      </c>
      <c r="C16762" s="1">
        <f>HYPERLINK("https://cao.dolgi.msk.ru/account/1011424778/", 1011424778)</f>
        <v>1011424778</v>
      </c>
      <c r="D16762">
        <v>0</v>
      </c>
    </row>
    <row r="16763" spans="1:4" x14ac:dyDescent="0.3">
      <c r="A16763" t="s">
        <v>995</v>
      </c>
      <c r="B16763" t="s">
        <v>51</v>
      </c>
      <c r="C16763" s="1">
        <f>HYPERLINK("https://cao.dolgi.msk.ru/account/1011424882/", 1011424882)</f>
        <v>1011424882</v>
      </c>
      <c r="D16763">
        <v>4572.38</v>
      </c>
    </row>
    <row r="16764" spans="1:4" hidden="1" x14ac:dyDescent="0.3">
      <c r="A16764" t="s">
        <v>995</v>
      </c>
      <c r="B16764" t="s">
        <v>52</v>
      </c>
      <c r="C16764" s="1">
        <f>HYPERLINK("https://cao.dolgi.msk.ru/account/1011425738/", 1011425738)</f>
        <v>1011425738</v>
      </c>
      <c r="D16764">
        <v>0</v>
      </c>
    </row>
    <row r="16765" spans="1:4" x14ac:dyDescent="0.3">
      <c r="A16765" t="s">
        <v>995</v>
      </c>
      <c r="B16765" t="s">
        <v>54</v>
      </c>
      <c r="C16765" s="1">
        <f>HYPERLINK("https://cao.dolgi.msk.ru/account/1011424487/", 1011424487)</f>
        <v>1011424487</v>
      </c>
      <c r="D16765">
        <v>12340.8</v>
      </c>
    </row>
    <row r="16766" spans="1:4" hidden="1" x14ac:dyDescent="0.3">
      <c r="A16766" t="s">
        <v>995</v>
      </c>
      <c r="B16766" t="s">
        <v>55</v>
      </c>
      <c r="C16766" s="1">
        <f>HYPERLINK("https://cao.dolgi.msk.ru/account/1011425156/", 1011425156)</f>
        <v>1011425156</v>
      </c>
      <c r="D16766">
        <v>0</v>
      </c>
    </row>
    <row r="16767" spans="1:4" hidden="1" x14ac:dyDescent="0.3">
      <c r="A16767" t="s">
        <v>995</v>
      </c>
      <c r="B16767" t="s">
        <v>56</v>
      </c>
      <c r="C16767" s="1">
        <f>HYPERLINK("https://cao.dolgi.msk.ru/account/1011424479/", 1011424479)</f>
        <v>1011424479</v>
      </c>
      <c r="D16767">
        <v>0</v>
      </c>
    </row>
    <row r="16768" spans="1:4" hidden="1" x14ac:dyDescent="0.3">
      <c r="A16768" t="s">
        <v>995</v>
      </c>
      <c r="B16768" t="s">
        <v>87</v>
      </c>
      <c r="C16768" s="1">
        <f>HYPERLINK("https://cao.dolgi.msk.ru/account/1011425535/", 1011425535)</f>
        <v>1011425535</v>
      </c>
      <c r="D16768">
        <v>-5395.52</v>
      </c>
    </row>
    <row r="16769" spans="1:4" hidden="1" x14ac:dyDescent="0.3">
      <c r="A16769" t="s">
        <v>995</v>
      </c>
      <c r="B16769" t="s">
        <v>88</v>
      </c>
      <c r="C16769" s="1">
        <f>HYPERLINK("https://cao.dolgi.msk.ru/account/1011424399/", 1011424399)</f>
        <v>1011424399</v>
      </c>
      <c r="D16769">
        <v>0</v>
      </c>
    </row>
    <row r="16770" spans="1:4" hidden="1" x14ac:dyDescent="0.3">
      <c r="A16770" t="s">
        <v>995</v>
      </c>
      <c r="B16770" t="s">
        <v>89</v>
      </c>
      <c r="C16770" s="1">
        <f>HYPERLINK("https://cao.dolgi.msk.ru/account/1011424401/", 1011424401)</f>
        <v>1011424401</v>
      </c>
      <c r="D16770">
        <v>0</v>
      </c>
    </row>
    <row r="16771" spans="1:4" hidden="1" x14ac:dyDescent="0.3">
      <c r="A16771" t="s">
        <v>995</v>
      </c>
      <c r="B16771" t="s">
        <v>90</v>
      </c>
      <c r="C16771" s="1">
        <f>HYPERLINK("https://cao.dolgi.msk.ru/account/1011425447/", 1011425447)</f>
        <v>1011425447</v>
      </c>
      <c r="D16771">
        <v>0</v>
      </c>
    </row>
    <row r="16772" spans="1:4" hidden="1" x14ac:dyDescent="0.3">
      <c r="A16772" t="s">
        <v>995</v>
      </c>
      <c r="B16772" t="s">
        <v>96</v>
      </c>
      <c r="C16772" s="1">
        <f>HYPERLINK("https://cao.dolgi.msk.ru/account/1011424954/", 1011424954)</f>
        <v>1011424954</v>
      </c>
      <c r="D16772">
        <v>-7119.95</v>
      </c>
    </row>
    <row r="16773" spans="1:4" x14ac:dyDescent="0.3">
      <c r="A16773" t="s">
        <v>995</v>
      </c>
      <c r="B16773" t="s">
        <v>97</v>
      </c>
      <c r="C16773" s="1">
        <f>HYPERLINK("https://cao.dolgi.msk.ru/account/1011424946/", 1011424946)</f>
        <v>1011424946</v>
      </c>
      <c r="D16773">
        <v>5881.42</v>
      </c>
    </row>
    <row r="16774" spans="1:4" hidden="1" x14ac:dyDescent="0.3">
      <c r="A16774" t="s">
        <v>995</v>
      </c>
      <c r="B16774" t="s">
        <v>98</v>
      </c>
      <c r="C16774" s="1">
        <f>HYPERLINK("https://cao.dolgi.msk.ru/account/1011424866/", 1011424866)</f>
        <v>1011424866</v>
      </c>
      <c r="D16774">
        <v>0</v>
      </c>
    </row>
    <row r="16775" spans="1:4" hidden="1" x14ac:dyDescent="0.3">
      <c r="A16775" t="s">
        <v>995</v>
      </c>
      <c r="B16775" t="s">
        <v>58</v>
      </c>
      <c r="C16775" s="1">
        <f>HYPERLINK("https://cao.dolgi.msk.ru/account/1011424639/", 1011424639)</f>
        <v>1011424639</v>
      </c>
      <c r="D16775">
        <v>-12.63</v>
      </c>
    </row>
    <row r="16776" spans="1:4" hidden="1" x14ac:dyDescent="0.3">
      <c r="A16776" t="s">
        <v>995</v>
      </c>
      <c r="B16776" t="s">
        <v>59</v>
      </c>
      <c r="C16776" s="1">
        <f>HYPERLINK("https://cao.dolgi.msk.ru/account/1011424305/", 1011424305)</f>
        <v>1011424305</v>
      </c>
      <c r="D16776">
        <v>-12639.43</v>
      </c>
    </row>
    <row r="16777" spans="1:4" hidden="1" x14ac:dyDescent="0.3">
      <c r="A16777" t="s">
        <v>995</v>
      </c>
      <c r="B16777" t="s">
        <v>61</v>
      </c>
      <c r="C16777" s="1">
        <f>HYPERLINK("https://cao.dolgi.msk.ru/account/1011424858/", 1011424858)</f>
        <v>1011424858</v>
      </c>
      <c r="D16777">
        <v>0</v>
      </c>
    </row>
    <row r="16778" spans="1:4" hidden="1" x14ac:dyDescent="0.3">
      <c r="A16778" t="s">
        <v>995</v>
      </c>
      <c r="B16778" t="s">
        <v>62</v>
      </c>
      <c r="C16778" s="1">
        <f>HYPERLINK("https://cao.dolgi.msk.ru/account/1011424655/", 1011424655)</f>
        <v>1011424655</v>
      </c>
      <c r="D16778">
        <v>0</v>
      </c>
    </row>
    <row r="16779" spans="1:4" hidden="1" x14ac:dyDescent="0.3">
      <c r="A16779" t="s">
        <v>995</v>
      </c>
      <c r="B16779" t="s">
        <v>63</v>
      </c>
      <c r="C16779" s="1">
        <f>HYPERLINK("https://cao.dolgi.msk.ru/account/1011425551/", 1011425551)</f>
        <v>1011425551</v>
      </c>
      <c r="D16779">
        <v>0</v>
      </c>
    </row>
    <row r="16780" spans="1:4" hidden="1" x14ac:dyDescent="0.3">
      <c r="A16780" t="s">
        <v>995</v>
      </c>
      <c r="B16780" t="s">
        <v>64</v>
      </c>
      <c r="C16780" s="1">
        <f>HYPERLINK("https://cao.dolgi.msk.ru/account/1011425666/", 1011425666)</f>
        <v>1011425666</v>
      </c>
      <c r="D16780">
        <v>-4624.18</v>
      </c>
    </row>
    <row r="16781" spans="1:4" hidden="1" x14ac:dyDescent="0.3">
      <c r="A16781" t="s">
        <v>995</v>
      </c>
      <c r="B16781" t="s">
        <v>65</v>
      </c>
      <c r="C16781" s="1">
        <f>HYPERLINK("https://cao.dolgi.msk.ru/account/1011424209/", 1011424209)</f>
        <v>1011424209</v>
      </c>
      <c r="D16781">
        <v>0</v>
      </c>
    </row>
    <row r="16782" spans="1:4" hidden="1" x14ac:dyDescent="0.3">
      <c r="A16782" t="s">
        <v>995</v>
      </c>
      <c r="B16782" t="s">
        <v>66</v>
      </c>
      <c r="C16782" s="1">
        <f>HYPERLINK("https://cao.dolgi.msk.ru/account/1011424911/", 1011424911)</f>
        <v>1011424911</v>
      </c>
      <c r="D16782">
        <v>-1724.06</v>
      </c>
    </row>
    <row r="16783" spans="1:4" hidden="1" x14ac:dyDescent="0.3">
      <c r="A16783" t="s">
        <v>995</v>
      </c>
      <c r="B16783" t="s">
        <v>67</v>
      </c>
      <c r="C16783" s="1">
        <f>HYPERLINK("https://cao.dolgi.msk.ru/account/1011425789/", 1011425789)</f>
        <v>1011425789</v>
      </c>
      <c r="D16783">
        <v>0</v>
      </c>
    </row>
    <row r="16784" spans="1:4" x14ac:dyDescent="0.3">
      <c r="A16784" t="s">
        <v>995</v>
      </c>
      <c r="B16784" t="s">
        <v>68</v>
      </c>
      <c r="C16784" s="1">
        <f>HYPERLINK("https://cao.dolgi.msk.ru/account/1011425252/", 1011425252)</f>
        <v>1011425252</v>
      </c>
      <c r="D16784">
        <v>8524.7000000000007</v>
      </c>
    </row>
    <row r="16785" spans="1:4" hidden="1" x14ac:dyDescent="0.3">
      <c r="A16785" t="s">
        <v>995</v>
      </c>
      <c r="B16785" t="s">
        <v>69</v>
      </c>
      <c r="C16785" s="1">
        <f>HYPERLINK("https://cao.dolgi.msk.ru/account/1011425287/", 1011425287)</f>
        <v>1011425287</v>
      </c>
      <c r="D16785">
        <v>0</v>
      </c>
    </row>
    <row r="16786" spans="1:4" x14ac:dyDescent="0.3">
      <c r="A16786" t="s">
        <v>995</v>
      </c>
      <c r="B16786" t="s">
        <v>70</v>
      </c>
      <c r="C16786" s="1">
        <f>HYPERLINK("https://cao.dolgi.msk.ru/account/1011425607/", 1011425607)</f>
        <v>1011425607</v>
      </c>
      <c r="D16786">
        <v>8489.86</v>
      </c>
    </row>
    <row r="16787" spans="1:4" hidden="1" x14ac:dyDescent="0.3">
      <c r="A16787" t="s">
        <v>995</v>
      </c>
      <c r="B16787" t="s">
        <v>259</v>
      </c>
      <c r="C16787" s="1">
        <f>HYPERLINK("https://cao.dolgi.msk.ru/account/1011424348/", 1011424348)</f>
        <v>1011424348</v>
      </c>
      <c r="D16787">
        <v>-2985.72</v>
      </c>
    </row>
    <row r="16788" spans="1:4" hidden="1" x14ac:dyDescent="0.3">
      <c r="A16788" t="s">
        <v>995</v>
      </c>
      <c r="B16788" t="s">
        <v>100</v>
      </c>
      <c r="C16788" s="1">
        <f>HYPERLINK("https://cao.dolgi.msk.ru/account/1011424284/", 1011424284)</f>
        <v>1011424284</v>
      </c>
      <c r="D16788">
        <v>0</v>
      </c>
    </row>
    <row r="16789" spans="1:4" hidden="1" x14ac:dyDescent="0.3">
      <c r="A16789" t="s">
        <v>995</v>
      </c>
      <c r="B16789" t="s">
        <v>72</v>
      </c>
      <c r="C16789" s="1">
        <f>HYPERLINK("https://cao.dolgi.msk.ru/account/1011425623/", 1011425623)</f>
        <v>1011425623</v>
      </c>
      <c r="D16789">
        <v>0</v>
      </c>
    </row>
    <row r="16790" spans="1:4" hidden="1" x14ac:dyDescent="0.3">
      <c r="A16790" t="s">
        <v>995</v>
      </c>
      <c r="B16790" t="s">
        <v>73</v>
      </c>
      <c r="C16790" s="1">
        <f>HYPERLINK("https://cao.dolgi.msk.ru/account/1011425359/", 1011425359)</f>
        <v>1011425359</v>
      </c>
      <c r="D16790">
        <v>0</v>
      </c>
    </row>
    <row r="16791" spans="1:4" x14ac:dyDescent="0.3">
      <c r="A16791" t="s">
        <v>995</v>
      </c>
      <c r="B16791" t="s">
        <v>996</v>
      </c>
      <c r="C16791" s="1">
        <f>HYPERLINK("https://cao.dolgi.msk.ru/account/1011424583/", 1011424583)</f>
        <v>1011424583</v>
      </c>
      <c r="D16791">
        <v>25131.360000000001</v>
      </c>
    </row>
    <row r="16792" spans="1:4" hidden="1" x14ac:dyDescent="0.3">
      <c r="A16792" t="s">
        <v>995</v>
      </c>
      <c r="B16792" t="s">
        <v>76</v>
      </c>
      <c r="C16792" s="1">
        <f>HYPERLINK("https://cao.dolgi.msk.ru/account/1011424129/", 1011424129)</f>
        <v>1011424129</v>
      </c>
      <c r="D16792">
        <v>0</v>
      </c>
    </row>
    <row r="16793" spans="1:4" hidden="1" x14ac:dyDescent="0.3">
      <c r="A16793" t="s">
        <v>995</v>
      </c>
      <c r="B16793" t="s">
        <v>77</v>
      </c>
      <c r="C16793" s="1">
        <f>HYPERLINK("https://cao.dolgi.msk.ru/account/1011534571/", 1011534571)</f>
        <v>1011534571</v>
      </c>
      <c r="D16793">
        <v>-9231.2000000000007</v>
      </c>
    </row>
    <row r="16794" spans="1:4" hidden="1" x14ac:dyDescent="0.3">
      <c r="A16794" t="s">
        <v>995</v>
      </c>
      <c r="B16794" t="s">
        <v>78</v>
      </c>
      <c r="C16794" s="1">
        <f>HYPERLINK("https://cao.dolgi.msk.ru/account/1011424559/", 1011424559)</f>
        <v>1011424559</v>
      </c>
      <c r="D16794">
        <v>-41.08</v>
      </c>
    </row>
    <row r="16795" spans="1:4" hidden="1" x14ac:dyDescent="0.3">
      <c r="A16795" t="s">
        <v>995</v>
      </c>
      <c r="B16795" t="s">
        <v>79</v>
      </c>
      <c r="C16795" s="1">
        <f>HYPERLINK("https://cao.dolgi.msk.ru/account/1011424137/", 1011424137)</f>
        <v>1011424137</v>
      </c>
      <c r="D16795">
        <v>0</v>
      </c>
    </row>
    <row r="16796" spans="1:4" hidden="1" x14ac:dyDescent="0.3">
      <c r="A16796" t="s">
        <v>995</v>
      </c>
      <c r="B16796" t="s">
        <v>80</v>
      </c>
      <c r="C16796" s="1">
        <f>HYPERLINK("https://cao.dolgi.msk.ru/account/1011425009/", 1011425009)</f>
        <v>1011425009</v>
      </c>
      <c r="D16796">
        <v>0</v>
      </c>
    </row>
    <row r="16797" spans="1:4" hidden="1" x14ac:dyDescent="0.3">
      <c r="A16797" t="s">
        <v>995</v>
      </c>
      <c r="B16797" t="s">
        <v>81</v>
      </c>
      <c r="C16797" s="1">
        <f>HYPERLINK("https://cao.dolgi.msk.ru/account/1011424989/", 1011424989)</f>
        <v>1011424989</v>
      </c>
      <c r="D16797">
        <v>0</v>
      </c>
    </row>
    <row r="16798" spans="1:4" hidden="1" x14ac:dyDescent="0.3">
      <c r="A16798" t="s">
        <v>995</v>
      </c>
      <c r="B16798" t="s">
        <v>101</v>
      </c>
      <c r="C16798" s="1">
        <f>HYPERLINK("https://cao.dolgi.msk.ru/account/1011425746/", 1011425746)</f>
        <v>1011425746</v>
      </c>
      <c r="D16798">
        <v>0</v>
      </c>
    </row>
    <row r="16799" spans="1:4" hidden="1" x14ac:dyDescent="0.3">
      <c r="A16799" t="s">
        <v>995</v>
      </c>
      <c r="B16799" t="s">
        <v>82</v>
      </c>
      <c r="C16799" s="1">
        <f>HYPERLINK("https://cao.dolgi.msk.ru/account/1011425703/", 1011425703)</f>
        <v>1011425703</v>
      </c>
      <c r="D16799">
        <v>0</v>
      </c>
    </row>
    <row r="16800" spans="1:4" hidden="1" x14ac:dyDescent="0.3">
      <c r="A16800" t="s">
        <v>995</v>
      </c>
      <c r="B16800" t="s">
        <v>83</v>
      </c>
      <c r="C16800" s="1">
        <f>HYPERLINK("https://cao.dolgi.msk.ru/account/1011425519/", 1011425519)</f>
        <v>1011425519</v>
      </c>
      <c r="D16800">
        <v>0</v>
      </c>
    </row>
    <row r="16801" spans="1:4" hidden="1" x14ac:dyDescent="0.3">
      <c r="A16801" t="s">
        <v>995</v>
      </c>
      <c r="B16801" t="s">
        <v>84</v>
      </c>
      <c r="C16801" s="1">
        <f>HYPERLINK("https://cao.dolgi.msk.ru/account/1011425148/", 1011425148)</f>
        <v>1011425148</v>
      </c>
      <c r="D16801">
        <v>-7249.02</v>
      </c>
    </row>
    <row r="16802" spans="1:4" hidden="1" x14ac:dyDescent="0.3">
      <c r="A16802" t="s">
        <v>995</v>
      </c>
      <c r="B16802" t="s">
        <v>85</v>
      </c>
      <c r="C16802" s="1">
        <f>HYPERLINK("https://cao.dolgi.msk.ru/account/1011425834/", 1011425834)</f>
        <v>1011425834</v>
      </c>
      <c r="D16802">
        <v>0</v>
      </c>
    </row>
    <row r="16803" spans="1:4" hidden="1" x14ac:dyDescent="0.3">
      <c r="A16803" t="s">
        <v>995</v>
      </c>
      <c r="B16803" t="s">
        <v>102</v>
      </c>
      <c r="C16803" s="1">
        <f>HYPERLINK("https://cao.dolgi.msk.ru/account/1011425033/", 1011425033)</f>
        <v>1011425033</v>
      </c>
      <c r="D16803">
        <v>0</v>
      </c>
    </row>
    <row r="16804" spans="1:4" hidden="1" x14ac:dyDescent="0.3">
      <c r="A16804" t="s">
        <v>995</v>
      </c>
      <c r="B16804" t="s">
        <v>103</v>
      </c>
      <c r="C16804" s="1">
        <f>HYPERLINK("https://cao.dolgi.msk.ru/account/1011424997/", 1011424997)</f>
        <v>1011424997</v>
      </c>
      <c r="D16804">
        <v>-6131.52</v>
      </c>
    </row>
    <row r="16805" spans="1:4" hidden="1" x14ac:dyDescent="0.3">
      <c r="A16805" t="s">
        <v>995</v>
      </c>
      <c r="B16805" t="s">
        <v>104</v>
      </c>
      <c r="C16805" s="1">
        <f>HYPERLINK("https://cao.dolgi.msk.ru/account/1011425228/", 1011425228)</f>
        <v>1011425228</v>
      </c>
      <c r="D16805">
        <v>-6733.31</v>
      </c>
    </row>
    <row r="16806" spans="1:4" hidden="1" x14ac:dyDescent="0.3">
      <c r="A16806" t="s">
        <v>995</v>
      </c>
      <c r="B16806" t="s">
        <v>105</v>
      </c>
      <c r="C16806" s="1">
        <f>HYPERLINK("https://cao.dolgi.msk.ru/account/1011425922/", 1011425922)</f>
        <v>1011425922</v>
      </c>
      <c r="D16806">
        <v>0</v>
      </c>
    </row>
    <row r="16807" spans="1:4" hidden="1" x14ac:dyDescent="0.3">
      <c r="A16807" t="s">
        <v>995</v>
      </c>
      <c r="B16807" t="s">
        <v>106</v>
      </c>
      <c r="C16807" s="1">
        <f>HYPERLINK("https://cao.dolgi.msk.ru/account/1011425957/", 1011425957)</f>
        <v>1011425957</v>
      </c>
      <c r="D16807">
        <v>0</v>
      </c>
    </row>
    <row r="16808" spans="1:4" x14ac:dyDescent="0.3">
      <c r="A16808" t="s">
        <v>995</v>
      </c>
      <c r="B16808" t="s">
        <v>107</v>
      </c>
      <c r="C16808" s="1">
        <f>HYPERLINK("https://cao.dolgi.msk.ru/account/1011424567/", 1011424567)</f>
        <v>1011424567</v>
      </c>
      <c r="D16808">
        <v>8843.9699999999993</v>
      </c>
    </row>
    <row r="16809" spans="1:4" hidden="1" x14ac:dyDescent="0.3">
      <c r="A16809" t="s">
        <v>995</v>
      </c>
      <c r="B16809" t="s">
        <v>108</v>
      </c>
      <c r="C16809" s="1">
        <f>HYPERLINK("https://cao.dolgi.msk.ru/account/1011425498/", 1011425498)</f>
        <v>1011425498</v>
      </c>
      <c r="D16809">
        <v>0</v>
      </c>
    </row>
    <row r="16810" spans="1:4" hidden="1" x14ac:dyDescent="0.3">
      <c r="A16810" t="s">
        <v>995</v>
      </c>
      <c r="B16810" t="s">
        <v>109</v>
      </c>
      <c r="C16810" s="1">
        <f>HYPERLINK("https://cao.dolgi.msk.ru/account/1011425455/", 1011425455)</f>
        <v>1011425455</v>
      </c>
      <c r="D16810">
        <v>0</v>
      </c>
    </row>
    <row r="16811" spans="1:4" hidden="1" x14ac:dyDescent="0.3">
      <c r="A16811" t="s">
        <v>995</v>
      </c>
      <c r="B16811" t="s">
        <v>110</v>
      </c>
      <c r="C16811" s="1">
        <f>HYPERLINK("https://cao.dolgi.msk.ru/account/1011424532/", 1011424532)</f>
        <v>1011424532</v>
      </c>
      <c r="D16811">
        <v>0</v>
      </c>
    </row>
    <row r="16812" spans="1:4" hidden="1" x14ac:dyDescent="0.3">
      <c r="A16812" t="s">
        <v>995</v>
      </c>
      <c r="B16812" t="s">
        <v>111</v>
      </c>
      <c r="C16812" s="1">
        <f>HYPERLINK("https://cao.dolgi.msk.ru/account/1011424428/", 1011424428)</f>
        <v>1011424428</v>
      </c>
      <c r="D16812">
        <v>0</v>
      </c>
    </row>
    <row r="16813" spans="1:4" hidden="1" x14ac:dyDescent="0.3">
      <c r="A16813" t="s">
        <v>995</v>
      </c>
      <c r="B16813" t="s">
        <v>112</v>
      </c>
      <c r="C16813" s="1">
        <f>HYPERLINK("https://cao.dolgi.msk.ru/account/1011424743/", 1011424743)</f>
        <v>1011424743</v>
      </c>
      <c r="D16813">
        <v>0</v>
      </c>
    </row>
    <row r="16814" spans="1:4" hidden="1" x14ac:dyDescent="0.3">
      <c r="A16814" t="s">
        <v>995</v>
      </c>
      <c r="B16814" t="s">
        <v>113</v>
      </c>
      <c r="C16814" s="1">
        <f>HYPERLINK("https://cao.dolgi.msk.ru/account/1011424065/", 1011424065)</f>
        <v>1011424065</v>
      </c>
      <c r="D16814">
        <v>0</v>
      </c>
    </row>
    <row r="16815" spans="1:4" hidden="1" x14ac:dyDescent="0.3">
      <c r="A16815" t="s">
        <v>995</v>
      </c>
      <c r="B16815" t="s">
        <v>114</v>
      </c>
      <c r="C16815" s="1">
        <f>HYPERLINK("https://cao.dolgi.msk.ru/account/1011425236/", 1011425236)</f>
        <v>1011425236</v>
      </c>
      <c r="D16815">
        <v>0</v>
      </c>
    </row>
    <row r="16816" spans="1:4" hidden="1" x14ac:dyDescent="0.3">
      <c r="A16816" t="s">
        <v>995</v>
      </c>
      <c r="B16816" t="s">
        <v>115</v>
      </c>
      <c r="C16816" s="1">
        <f>HYPERLINK("https://cao.dolgi.msk.ru/account/1011424903/", 1011424903)</f>
        <v>1011424903</v>
      </c>
      <c r="D16816">
        <v>0</v>
      </c>
    </row>
    <row r="16817" spans="1:4" x14ac:dyDescent="0.3">
      <c r="A16817" t="s">
        <v>995</v>
      </c>
      <c r="B16817" t="s">
        <v>116</v>
      </c>
      <c r="C16817" s="1">
        <f>HYPERLINK("https://cao.dolgi.msk.ru/account/1011424591/", 1011424591)</f>
        <v>1011424591</v>
      </c>
      <c r="D16817">
        <v>124</v>
      </c>
    </row>
    <row r="16818" spans="1:4" hidden="1" x14ac:dyDescent="0.3">
      <c r="A16818" t="s">
        <v>995</v>
      </c>
      <c r="B16818" t="s">
        <v>266</v>
      </c>
      <c r="C16818" s="1">
        <f>HYPERLINK("https://cao.dolgi.msk.ru/account/1011425324/", 1011425324)</f>
        <v>1011425324</v>
      </c>
      <c r="D16818">
        <v>0</v>
      </c>
    </row>
    <row r="16819" spans="1:4" hidden="1" x14ac:dyDescent="0.3">
      <c r="A16819" t="s">
        <v>995</v>
      </c>
      <c r="B16819" t="s">
        <v>117</v>
      </c>
      <c r="C16819" s="1">
        <f>HYPERLINK("https://cao.dolgi.msk.ru/account/1011425885/", 1011425885)</f>
        <v>1011425885</v>
      </c>
      <c r="D16819">
        <v>0</v>
      </c>
    </row>
    <row r="16820" spans="1:4" hidden="1" x14ac:dyDescent="0.3">
      <c r="A16820" t="s">
        <v>995</v>
      </c>
      <c r="B16820" t="s">
        <v>118</v>
      </c>
      <c r="C16820" s="1">
        <f>HYPERLINK("https://cao.dolgi.msk.ru/account/1011425762/", 1011425762)</f>
        <v>1011425762</v>
      </c>
      <c r="D16820">
        <v>-11418.76</v>
      </c>
    </row>
    <row r="16821" spans="1:4" x14ac:dyDescent="0.3">
      <c r="A16821" t="s">
        <v>995</v>
      </c>
      <c r="B16821" t="s">
        <v>119</v>
      </c>
      <c r="C16821" s="1">
        <f>HYPERLINK("https://cao.dolgi.msk.ru/account/1011425615/", 1011425615)</f>
        <v>1011425615</v>
      </c>
      <c r="D16821">
        <v>15141.35</v>
      </c>
    </row>
    <row r="16822" spans="1:4" x14ac:dyDescent="0.3">
      <c r="A16822" t="s">
        <v>995</v>
      </c>
      <c r="B16822" t="s">
        <v>120</v>
      </c>
      <c r="C16822" s="1">
        <f>HYPERLINK("https://cao.dolgi.msk.ru/account/1011424786/", 1011424786)</f>
        <v>1011424786</v>
      </c>
      <c r="D16822">
        <v>1031.19</v>
      </c>
    </row>
    <row r="16823" spans="1:4" hidden="1" x14ac:dyDescent="0.3">
      <c r="A16823" t="s">
        <v>995</v>
      </c>
      <c r="B16823" t="s">
        <v>121</v>
      </c>
      <c r="C16823" s="1">
        <f>HYPERLINK("https://cao.dolgi.msk.ru/account/1011424153/", 1011424153)</f>
        <v>1011424153</v>
      </c>
      <c r="D16823">
        <v>-14396.27</v>
      </c>
    </row>
    <row r="16824" spans="1:4" x14ac:dyDescent="0.3">
      <c r="A16824" t="s">
        <v>995</v>
      </c>
      <c r="B16824" t="s">
        <v>122</v>
      </c>
      <c r="C16824" s="1">
        <f>HYPERLINK("https://cao.dolgi.msk.ru/account/1011424161/", 1011424161)</f>
        <v>1011424161</v>
      </c>
      <c r="D16824">
        <v>2886.4</v>
      </c>
    </row>
    <row r="16825" spans="1:4" hidden="1" x14ac:dyDescent="0.3">
      <c r="A16825" t="s">
        <v>995</v>
      </c>
      <c r="B16825" t="s">
        <v>123</v>
      </c>
      <c r="C16825" s="1">
        <f>HYPERLINK("https://cao.dolgi.msk.ru/account/1011425658/", 1011425658)</f>
        <v>1011425658</v>
      </c>
      <c r="D16825">
        <v>-1512.73</v>
      </c>
    </row>
    <row r="16826" spans="1:4" x14ac:dyDescent="0.3">
      <c r="A16826" t="s">
        <v>995</v>
      </c>
      <c r="B16826" t="s">
        <v>124</v>
      </c>
      <c r="C16826" s="1">
        <f>HYPERLINK("https://cao.dolgi.msk.ru/account/1011424364/", 1011424364)</f>
        <v>1011424364</v>
      </c>
      <c r="D16826">
        <v>98041.15</v>
      </c>
    </row>
    <row r="16827" spans="1:4" x14ac:dyDescent="0.3">
      <c r="A16827" t="s">
        <v>995</v>
      </c>
      <c r="B16827" t="s">
        <v>125</v>
      </c>
      <c r="C16827" s="1">
        <f>HYPERLINK("https://cao.dolgi.msk.ru/account/1011425842/", 1011425842)</f>
        <v>1011425842</v>
      </c>
      <c r="D16827">
        <v>8361.08</v>
      </c>
    </row>
    <row r="16828" spans="1:4" hidden="1" x14ac:dyDescent="0.3">
      <c r="A16828" t="s">
        <v>995</v>
      </c>
      <c r="B16828" t="s">
        <v>997</v>
      </c>
      <c r="C16828" s="1">
        <f>HYPERLINK("https://cao.dolgi.msk.ru/account/1011424145/", 1011424145)</f>
        <v>1011424145</v>
      </c>
      <c r="D16828">
        <v>0</v>
      </c>
    </row>
    <row r="16829" spans="1:4" hidden="1" x14ac:dyDescent="0.3">
      <c r="A16829" t="s">
        <v>995</v>
      </c>
      <c r="B16829" t="s">
        <v>262</v>
      </c>
      <c r="C16829" s="1">
        <f>HYPERLINK("https://cao.dolgi.msk.ru/account/1011424268/", 1011424268)</f>
        <v>1011424268</v>
      </c>
      <c r="D16829">
        <v>-4434.63</v>
      </c>
    </row>
    <row r="16830" spans="1:4" hidden="1" x14ac:dyDescent="0.3">
      <c r="A16830" t="s">
        <v>995</v>
      </c>
      <c r="B16830" t="s">
        <v>128</v>
      </c>
      <c r="C16830" s="1">
        <f>HYPERLINK("https://cao.dolgi.msk.ru/account/1011424196/", 1011424196)</f>
        <v>1011424196</v>
      </c>
      <c r="D16830">
        <v>-38.33</v>
      </c>
    </row>
    <row r="16831" spans="1:4" hidden="1" x14ac:dyDescent="0.3">
      <c r="A16831" t="s">
        <v>995</v>
      </c>
      <c r="B16831" t="s">
        <v>129</v>
      </c>
      <c r="C16831" s="1">
        <f>HYPERLINK("https://cao.dolgi.msk.ru/account/1011425965/", 1011425965)</f>
        <v>1011425965</v>
      </c>
      <c r="D16831">
        <v>0</v>
      </c>
    </row>
    <row r="16832" spans="1:4" hidden="1" x14ac:dyDescent="0.3">
      <c r="A16832" t="s">
        <v>995</v>
      </c>
      <c r="B16832" t="s">
        <v>130</v>
      </c>
      <c r="C16832" s="1">
        <f>HYPERLINK("https://cao.dolgi.msk.ru/account/1011424647/", 1011424647)</f>
        <v>1011424647</v>
      </c>
      <c r="D16832">
        <v>-4676.59</v>
      </c>
    </row>
    <row r="16833" spans="1:4" hidden="1" x14ac:dyDescent="0.3">
      <c r="A16833" t="s">
        <v>995</v>
      </c>
      <c r="B16833" t="s">
        <v>131</v>
      </c>
      <c r="C16833" s="1">
        <f>HYPERLINK("https://cao.dolgi.msk.ru/account/1011424575/", 1011424575)</f>
        <v>1011424575</v>
      </c>
      <c r="D16833">
        <v>0</v>
      </c>
    </row>
    <row r="16834" spans="1:4" hidden="1" x14ac:dyDescent="0.3">
      <c r="A16834" t="s">
        <v>995</v>
      </c>
      <c r="B16834" t="s">
        <v>131</v>
      </c>
      <c r="C16834" s="1">
        <f>HYPERLINK("https://cao.dolgi.msk.ru/account/1011504823/", 1011504823)</f>
        <v>1011504823</v>
      </c>
      <c r="D16834">
        <v>0</v>
      </c>
    </row>
    <row r="16835" spans="1:4" hidden="1" x14ac:dyDescent="0.3">
      <c r="A16835" t="s">
        <v>995</v>
      </c>
      <c r="B16835" t="s">
        <v>132</v>
      </c>
      <c r="C16835" s="1">
        <f>HYPERLINK("https://cao.dolgi.msk.ru/account/1011424452/", 1011424452)</f>
        <v>1011424452</v>
      </c>
      <c r="D16835">
        <v>-2750.56</v>
      </c>
    </row>
    <row r="16836" spans="1:4" hidden="1" x14ac:dyDescent="0.3">
      <c r="A16836" t="s">
        <v>995</v>
      </c>
      <c r="B16836" t="s">
        <v>133</v>
      </c>
      <c r="C16836" s="1">
        <f>HYPERLINK("https://cao.dolgi.msk.ru/account/1011425527/", 1011425527)</f>
        <v>1011425527</v>
      </c>
      <c r="D16836">
        <v>-13968.99</v>
      </c>
    </row>
    <row r="16837" spans="1:4" hidden="1" x14ac:dyDescent="0.3">
      <c r="A16837" t="s">
        <v>995</v>
      </c>
      <c r="B16837" t="s">
        <v>134</v>
      </c>
      <c r="C16837" s="1">
        <f>HYPERLINK("https://cao.dolgi.msk.ru/account/1011424188/", 1011424188)</f>
        <v>1011424188</v>
      </c>
      <c r="D16837">
        <v>0</v>
      </c>
    </row>
    <row r="16838" spans="1:4" x14ac:dyDescent="0.3">
      <c r="A16838" t="s">
        <v>995</v>
      </c>
      <c r="B16838" t="s">
        <v>135</v>
      </c>
      <c r="C16838" s="1">
        <f>HYPERLINK("https://cao.dolgi.msk.ru/account/1011425631/", 1011425631)</f>
        <v>1011425631</v>
      </c>
      <c r="D16838">
        <v>19634.36</v>
      </c>
    </row>
    <row r="16839" spans="1:4" x14ac:dyDescent="0.3">
      <c r="A16839" t="s">
        <v>995</v>
      </c>
      <c r="B16839" t="s">
        <v>264</v>
      </c>
      <c r="C16839" s="1">
        <f>HYPERLINK("https://cao.dolgi.msk.ru/account/1011425121/", 1011425121)</f>
        <v>1011425121</v>
      </c>
      <c r="D16839">
        <v>21457.31</v>
      </c>
    </row>
    <row r="16840" spans="1:4" hidden="1" x14ac:dyDescent="0.3">
      <c r="A16840" t="s">
        <v>995</v>
      </c>
      <c r="B16840" t="s">
        <v>136</v>
      </c>
      <c r="C16840" s="1">
        <f>HYPERLINK("https://cao.dolgi.msk.ru/account/1011425949/", 1011425949)</f>
        <v>1011425949</v>
      </c>
      <c r="D16840">
        <v>0</v>
      </c>
    </row>
    <row r="16841" spans="1:4" hidden="1" x14ac:dyDescent="0.3">
      <c r="A16841" t="s">
        <v>995</v>
      </c>
      <c r="B16841" t="s">
        <v>137</v>
      </c>
      <c r="C16841" s="1">
        <f>HYPERLINK("https://cao.dolgi.msk.ru/account/1011425826/", 1011425826)</f>
        <v>1011425826</v>
      </c>
      <c r="D16841">
        <v>-5928.25</v>
      </c>
    </row>
    <row r="16842" spans="1:4" hidden="1" x14ac:dyDescent="0.3">
      <c r="A16842" t="s">
        <v>995</v>
      </c>
      <c r="B16842" t="s">
        <v>138</v>
      </c>
      <c r="C16842" s="1">
        <f>HYPERLINK("https://cao.dolgi.msk.ru/account/1011424372/", 1011424372)</f>
        <v>1011424372</v>
      </c>
      <c r="D16842">
        <v>0</v>
      </c>
    </row>
    <row r="16843" spans="1:4" hidden="1" x14ac:dyDescent="0.3">
      <c r="A16843" t="s">
        <v>995</v>
      </c>
      <c r="B16843" t="s">
        <v>139</v>
      </c>
      <c r="C16843" s="1">
        <f>HYPERLINK("https://cao.dolgi.msk.ru/account/1011424313/", 1011424313)</f>
        <v>1011424313</v>
      </c>
      <c r="D16843">
        <v>0</v>
      </c>
    </row>
    <row r="16844" spans="1:4" hidden="1" x14ac:dyDescent="0.3">
      <c r="A16844" t="s">
        <v>995</v>
      </c>
      <c r="B16844" t="s">
        <v>140</v>
      </c>
      <c r="C16844" s="1">
        <f>HYPERLINK("https://cao.dolgi.msk.ru/account/1011425404/", 1011425404)</f>
        <v>1011425404</v>
      </c>
      <c r="D16844">
        <v>0</v>
      </c>
    </row>
    <row r="16845" spans="1:4" hidden="1" x14ac:dyDescent="0.3">
      <c r="A16845" t="s">
        <v>995</v>
      </c>
      <c r="B16845" t="s">
        <v>141</v>
      </c>
      <c r="C16845" s="1">
        <f>HYPERLINK("https://cao.dolgi.msk.ru/account/1011425279/", 1011425279)</f>
        <v>1011425279</v>
      </c>
      <c r="D16845">
        <v>0</v>
      </c>
    </row>
    <row r="16846" spans="1:4" hidden="1" x14ac:dyDescent="0.3">
      <c r="A16846" t="s">
        <v>995</v>
      </c>
      <c r="B16846" t="s">
        <v>142</v>
      </c>
      <c r="C16846" s="1">
        <f>HYPERLINK("https://cao.dolgi.msk.ru/account/1011425543/", 1011425543)</f>
        <v>1011425543</v>
      </c>
      <c r="D16846">
        <v>-62.34</v>
      </c>
    </row>
    <row r="16847" spans="1:4" hidden="1" x14ac:dyDescent="0.3">
      <c r="A16847" t="s">
        <v>995</v>
      </c>
      <c r="B16847" t="s">
        <v>143</v>
      </c>
      <c r="C16847" s="1">
        <f>HYPERLINK("https://cao.dolgi.msk.ru/account/1011424233/", 1011424233)</f>
        <v>1011424233</v>
      </c>
      <c r="D16847">
        <v>0</v>
      </c>
    </row>
    <row r="16848" spans="1:4" hidden="1" x14ac:dyDescent="0.3">
      <c r="A16848" t="s">
        <v>995</v>
      </c>
      <c r="B16848" t="s">
        <v>144</v>
      </c>
      <c r="C16848" s="1">
        <f>HYPERLINK("https://cao.dolgi.msk.ru/account/1011424663/", 1011424663)</f>
        <v>1011424663</v>
      </c>
      <c r="D16848">
        <v>-5704.03</v>
      </c>
    </row>
    <row r="16849" spans="1:4" hidden="1" x14ac:dyDescent="0.3">
      <c r="A16849" t="s">
        <v>995</v>
      </c>
      <c r="B16849" t="s">
        <v>145</v>
      </c>
      <c r="C16849" s="1">
        <f>HYPERLINK("https://cao.dolgi.msk.ru/account/1011425295/", 1011425295)</f>
        <v>1011425295</v>
      </c>
      <c r="D16849">
        <v>0</v>
      </c>
    </row>
    <row r="16850" spans="1:4" hidden="1" x14ac:dyDescent="0.3">
      <c r="A16850" t="s">
        <v>995</v>
      </c>
      <c r="B16850" t="s">
        <v>146</v>
      </c>
      <c r="C16850" s="1">
        <f>HYPERLINK("https://cao.dolgi.msk.ru/account/1011424321/", 1011424321)</f>
        <v>1011424321</v>
      </c>
      <c r="D16850">
        <v>0</v>
      </c>
    </row>
    <row r="16851" spans="1:4" hidden="1" x14ac:dyDescent="0.3">
      <c r="A16851" t="s">
        <v>995</v>
      </c>
      <c r="B16851" t="s">
        <v>147</v>
      </c>
      <c r="C16851" s="1">
        <f>HYPERLINK("https://cao.dolgi.msk.ru/account/1011425893/", 1011425893)</f>
        <v>1011425893</v>
      </c>
      <c r="D16851">
        <v>-5334.76</v>
      </c>
    </row>
    <row r="16852" spans="1:4" x14ac:dyDescent="0.3">
      <c r="A16852" t="s">
        <v>995</v>
      </c>
      <c r="B16852" t="s">
        <v>148</v>
      </c>
      <c r="C16852" s="1">
        <f>HYPERLINK("https://cao.dolgi.msk.ru/account/1011425674/", 1011425674)</f>
        <v>1011425674</v>
      </c>
      <c r="D16852">
        <v>9431.33</v>
      </c>
    </row>
    <row r="16853" spans="1:4" hidden="1" x14ac:dyDescent="0.3">
      <c r="A16853" t="s">
        <v>995</v>
      </c>
      <c r="B16853" t="s">
        <v>149</v>
      </c>
      <c r="C16853" s="1">
        <f>HYPERLINK("https://cao.dolgi.msk.ru/account/1011424524/", 1011424524)</f>
        <v>1011424524</v>
      </c>
      <c r="D16853">
        <v>-81.06</v>
      </c>
    </row>
    <row r="16854" spans="1:4" hidden="1" x14ac:dyDescent="0.3">
      <c r="A16854" t="s">
        <v>995</v>
      </c>
      <c r="B16854" t="s">
        <v>150</v>
      </c>
      <c r="C16854" s="1">
        <f>HYPERLINK("https://cao.dolgi.msk.ru/account/1011425113/", 1011425113)</f>
        <v>1011425113</v>
      </c>
      <c r="D16854">
        <v>0</v>
      </c>
    </row>
    <row r="16855" spans="1:4" hidden="1" x14ac:dyDescent="0.3">
      <c r="A16855" t="s">
        <v>995</v>
      </c>
      <c r="B16855" t="s">
        <v>151</v>
      </c>
      <c r="C16855" s="1">
        <f>HYPERLINK("https://cao.dolgi.msk.ru/account/1011425914/", 1011425914)</f>
        <v>1011425914</v>
      </c>
      <c r="D16855">
        <v>0</v>
      </c>
    </row>
    <row r="16856" spans="1:4" x14ac:dyDescent="0.3">
      <c r="A16856" t="s">
        <v>995</v>
      </c>
      <c r="B16856" t="s">
        <v>152</v>
      </c>
      <c r="C16856" s="1">
        <f>HYPERLINK("https://cao.dolgi.msk.ru/account/1011424727/", 1011424727)</f>
        <v>1011424727</v>
      </c>
      <c r="D16856">
        <v>4195.55</v>
      </c>
    </row>
    <row r="16857" spans="1:4" hidden="1" x14ac:dyDescent="0.3">
      <c r="A16857" t="s">
        <v>995</v>
      </c>
      <c r="B16857" t="s">
        <v>153</v>
      </c>
      <c r="C16857" s="1">
        <f>HYPERLINK("https://cao.dolgi.msk.ru/account/1011424241/", 1011424241)</f>
        <v>1011424241</v>
      </c>
      <c r="D16857">
        <v>-13003.17</v>
      </c>
    </row>
    <row r="16858" spans="1:4" hidden="1" x14ac:dyDescent="0.3">
      <c r="A16858" t="s">
        <v>995</v>
      </c>
      <c r="B16858" t="s">
        <v>154</v>
      </c>
      <c r="C16858" s="1">
        <f>HYPERLINK("https://cao.dolgi.msk.ru/account/1011424823/", 1011424823)</f>
        <v>1011424823</v>
      </c>
      <c r="D16858">
        <v>0</v>
      </c>
    </row>
    <row r="16859" spans="1:4" hidden="1" x14ac:dyDescent="0.3">
      <c r="A16859" t="s">
        <v>995</v>
      </c>
      <c r="B16859" t="s">
        <v>155</v>
      </c>
      <c r="C16859" s="1">
        <f>HYPERLINK("https://cao.dolgi.msk.ru/account/1011425092/", 1011425092)</f>
        <v>1011425092</v>
      </c>
      <c r="D16859">
        <v>0</v>
      </c>
    </row>
    <row r="16860" spans="1:4" hidden="1" x14ac:dyDescent="0.3">
      <c r="A16860" t="s">
        <v>995</v>
      </c>
      <c r="B16860" t="s">
        <v>156</v>
      </c>
      <c r="C16860" s="1">
        <f>HYPERLINK("https://cao.dolgi.msk.ru/account/1011424495/", 1011424495)</f>
        <v>1011424495</v>
      </c>
      <c r="D16860">
        <v>-7060.84</v>
      </c>
    </row>
    <row r="16861" spans="1:4" x14ac:dyDescent="0.3">
      <c r="A16861" t="s">
        <v>995</v>
      </c>
      <c r="B16861" t="s">
        <v>157</v>
      </c>
      <c r="C16861" s="1">
        <f>HYPERLINK("https://cao.dolgi.msk.ru/account/1011425754/", 1011425754)</f>
        <v>1011425754</v>
      </c>
      <c r="D16861">
        <v>10096.17</v>
      </c>
    </row>
    <row r="16862" spans="1:4" hidden="1" x14ac:dyDescent="0.3">
      <c r="A16862" t="s">
        <v>995</v>
      </c>
      <c r="B16862" t="s">
        <v>158</v>
      </c>
      <c r="C16862" s="1">
        <f>HYPERLINK("https://cao.dolgi.msk.ru/account/1011425375/", 1011425375)</f>
        <v>1011425375</v>
      </c>
      <c r="D16862">
        <v>0</v>
      </c>
    </row>
    <row r="16863" spans="1:4" hidden="1" x14ac:dyDescent="0.3">
      <c r="A16863" t="s">
        <v>995</v>
      </c>
      <c r="B16863" t="s">
        <v>159</v>
      </c>
      <c r="C16863" s="1">
        <f>HYPERLINK("https://cao.dolgi.msk.ru/account/1011424081/", 1011424081)</f>
        <v>1011424081</v>
      </c>
      <c r="D16863">
        <v>0</v>
      </c>
    </row>
    <row r="16864" spans="1:4" hidden="1" x14ac:dyDescent="0.3">
      <c r="A16864" t="s">
        <v>995</v>
      </c>
      <c r="B16864" t="s">
        <v>160</v>
      </c>
      <c r="C16864" s="1">
        <f>HYPERLINK("https://cao.dolgi.msk.ru/account/1011425332/", 1011425332)</f>
        <v>1011425332</v>
      </c>
      <c r="D16864">
        <v>0</v>
      </c>
    </row>
    <row r="16865" spans="1:4" hidden="1" x14ac:dyDescent="0.3">
      <c r="A16865" t="s">
        <v>995</v>
      </c>
      <c r="B16865" t="s">
        <v>161</v>
      </c>
      <c r="C16865" s="1">
        <f>HYPERLINK("https://cao.dolgi.msk.ru/account/1011425199/", 1011425199)</f>
        <v>1011425199</v>
      </c>
      <c r="D16865">
        <v>0</v>
      </c>
    </row>
    <row r="16866" spans="1:4" hidden="1" x14ac:dyDescent="0.3">
      <c r="A16866" t="s">
        <v>995</v>
      </c>
      <c r="B16866" t="s">
        <v>162</v>
      </c>
      <c r="C16866" s="1">
        <f>HYPERLINK("https://cao.dolgi.msk.ru/account/1011424698/", 1011424698)</f>
        <v>1011424698</v>
      </c>
      <c r="D16866">
        <v>0</v>
      </c>
    </row>
    <row r="16867" spans="1:4" x14ac:dyDescent="0.3">
      <c r="A16867" t="s">
        <v>995</v>
      </c>
      <c r="B16867" t="s">
        <v>164</v>
      </c>
      <c r="C16867" s="1">
        <f>HYPERLINK("https://cao.dolgi.msk.ru/account/1011425316/", 1011425316)</f>
        <v>1011425316</v>
      </c>
      <c r="D16867">
        <v>16659.849999999999</v>
      </c>
    </row>
    <row r="16868" spans="1:4" x14ac:dyDescent="0.3">
      <c r="A16868" t="s">
        <v>995</v>
      </c>
      <c r="B16868" t="s">
        <v>165</v>
      </c>
      <c r="C16868" s="1">
        <f>HYPERLINK("https://cao.dolgi.msk.ru/account/1011425594/", 1011425594)</f>
        <v>1011425594</v>
      </c>
      <c r="D16868">
        <v>27283.01</v>
      </c>
    </row>
    <row r="16869" spans="1:4" hidden="1" x14ac:dyDescent="0.3">
      <c r="A16869" t="s">
        <v>995</v>
      </c>
      <c r="B16869" t="s">
        <v>166</v>
      </c>
      <c r="C16869" s="1">
        <f>HYPERLINK("https://cao.dolgi.msk.ru/account/1011424225/", 1011424225)</f>
        <v>1011424225</v>
      </c>
      <c r="D16869">
        <v>0</v>
      </c>
    </row>
    <row r="16870" spans="1:4" hidden="1" x14ac:dyDescent="0.3">
      <c r="A16870" t="s">
        <v>995</v>
      </c>
      <c r="B16870" t="s">
        <v>167</v>
      </c>
      <c r="C16870" s="1">
        <f>HYPERLINK("https://cao.dolgi.msk.ru/account/1011424604/", 1011424604)</f>
        <v>1011424604</v>
      </c>
      <c r="D16870">
        <v>0</v>
      </c>
    </row>
    <row r="16871" spans="1:4" hidden="1" x14ac:dyDescent="0.3">
      <c r="A16871" t="s">
        <v>995</v>
      </c>
      <c r="B16871" t="s">
        <v>168</v>
      </c>
      <c r="C16871" s="1">
        <f>HYPERLINK("https://cao.dolgi.msk.ru/account/1011424612/", 1011424612)</f>
        <v>1011424612</v>
      </c>
      <c r="D16871">
        <v>-5377.26</v>
      </c>
    </row>
    <row r="16872" spans="1:4" hidden="1" x14ac:dyDescent="0.3">
      <c r="A16872" t="s">
        <v>995</v>
      </c>
      <c r="B16872" t="s">
        <v>169</v>
      </c>
      <c r="C16872" s="1">
        <f>HYPERLINK("https://cao.dolgi.msk.ru/account/1011424049/", 1011424049)</f>
        <v>1011424049</v>
      </c>
      <c r="D16872">
        <v>-9711.24</v>
      </c>
    </row>
    <row r="16873" spans="1:4" hidden="1" x14ac:dyDescent="0.3">
      <c r="A16873" t="s">
        <v>995</v>
      </c>
      <c r="B16873" t="s">
        <v>170</v>
      </c>
      <c r="C16873" s="1">
        <f>HYPERLINK("https://cao.dolgi.msk.ru/account/1011425439/", 1011425439)</f>
        <v>1011425439</v>
      </c>
      <c r="D16873">
        <v>0</v>
      </c>
    </row>
    <row r="16874" spans="1:4" x14ac:dyDescent="0.3">
      <c r="A16874" t="s">
        <v>995</v>
      </c>
      <c r="B16874" t="s">
        <v>172</v>
      </c>
      <c r="C16874" s="1">
        <f>HYPERLINK("https://cao.dolgi.msk.ru/account/1011425084/", 1011425084)</f>
        <v>1011425084</v>
      </c>
      <c r="D16874">
        <v>21633.35</v>
      </c>
    </row>
    <row r="16875" spans="1:4" x14ac:dyDescent="0.3">
      <c r="A16875" t="s">
        <v>995</v>
      </c>
      <c r="B16875" t="s">
        <v>173</v>
      </c>
      <c r="C16875" s="1">
        <f>HYPERLINK("https://cao.dolgi.msk.ru/account/1011425463/", 1011425463)</f>
        <v>1011425463</v>
      </c>
      <c r="D16875">
        <v>276974.08000000002</v>
      </c>
    </row>
    <row r="16876" spans="1:4" x14ac:dyDescent="0.3">
      <c r="A16876" t="s">
        <v>995</v>
      </c>
      <c r="B16876" t="s">
        <v>174</v>
      </c>
      <c r="C16876" s="1">
        <f>HYPERLINK("https://cao.dolgi.msk.ru/account/1011424444/", 1011424444)</f>
        <v>1011424444</v>
      </c>
      <c r="D16876">
        <v>72113.350000000006</v>
      </c>
    </row>
    <row r="16877" spans="1:4" hidden="1" x14ac:dyDescent="0.3">
      <c r="A16877" t="s">
        <v>995</v>
      </c>
      <c r="B16877" t="s">
        <v>175</v>
      </c>
      <c r="C16877" s="1">
        <f>HYPERLINK("https://cao.dolgi.msk.ru/account/1011425244/", 1011425244)</f>
        <v>1011425244</v>
      </c>
      <c r="D16877">
        <v>0</v>
      </c>
    </row>
    <row r="16878" spans="1:4" x14ac:dyDescent="0.3">
      <c r="A16878" t="s">
        <v>995</v>
      </c>
      <c r="B16878" t="s">
        <v>176</v>
      </c>
      <c r="C16878" s="1">
        <f>HYPERLINK("https://cao.dolgi.msk.ru/account/1011425818/", 1011425818)</f>
        <v>1011425818</v>
      </c>
      <c r="D16878">
        <v>18356.79</v>
      </c>
    </row>
    <row r="16879" spans="1:4" hidden="1" x14ac:dyDescent="0.3">
      <c r="A16879" t="s">
        <v>995</v>
      </c>
      <c r="B16879" t="s">
        <v>177</v>
      </c>
      <c r="C16879" s="1">
        <f>HYPERLINK("https://cao.dolgi.msk.ru/account/1011424217/", 1011424217)</f>
        <v>1011424217</v>
      </c>
      <c r="D16879">
        <v>0</v>
      </c>
    </row>
    <row r="16880" spans="1:4" hidden="1" x14ac:dyDescent="0.3">
      <c r="A16880" t="s">
        <v>995</v>
      </c>
      <c r="B16880" t="s">
        <v>178</v>
      </c>
      <c r="C16880" s="1">
        <f>HYPERLINK("https://cao.dolgi.msk.ru/account/1011425308/", 1011425308)</f>
        <v>1011425308</v>
      </c>
      <c r="D16880">
        <v>0</v>
      </c>
    </row>
    <row r="16881" spans="1:4" x14ac:dyDescent="0.3">
      <c r="A16881" t="s">
        <v>995</v>
      </c>
      <c r="B16881" t="s">
        <v>179</v>
      </c>
      <c r="C16881" s="1">
        <f>HYPERLINK("https://cao.dolgi.msk.ru/account/1011425578/", 1011425578)</f>
        <v>1011425578</v>
      </c>
      <c r="D16881">
        <v>10469.59</v>
      </c>
    </row>
    <row r="16882" spans="1:4" hidden="1" x14ac:dyDescent="0.3">
      <c r="A16882" t="s">
        <v>995</v>
      </c>
      <c r="B16882" t="s">
        <v>273</v>
      </c>
      <c r="C16882" s="1">
        <f>HYPERLINK("https://cao.dolgi.msk.ru/account/1011425471/", 1011425471)</f>
        <v>1011425471</v>
      </c>
      <c r="D16882">
        <v>0</v>
      </c>
    </row>
    <row r="16883" spans="1:4" x14ac:dyDescent="0.3">
      <c r="A16883" t="s">
        <v>995</v>
      </c>
      <c r="B16883" t="s">
        <v>180</v>
      </c>
      <c r="C16883" s="1">
        <f>HYPERLINK("https://cao.dolgi.msk.ru/account/1011510473/", 1011510473)</f>
        <v>1011510473</v>
      </c>
      <c r="D16883">
        <v>21401.040000000001</v>
      </c>
    </row>
    <row r="16884" spans="1:4" hidden="1" x14ac:dyDescent="0.3">
      <c r="A16884" t="s">
        <v>995</v>
      </c>
      <c r="B16884" t="s">
        <v>181</v>
      </c>
      <c r="C16884" s="1">
        <f>HYPERLINK("https://cao.dolgi.msk.ru/account/1011425391/", 1011425391)</f>
        <v>1011425391</v>
      </c>
      <c r="D16884">
        <v>-81.06</v>
      </c>
    </row>
    <row r="16885" spans="1:4" hidden="1" x14ac:dyDescent="0.3">
      <c r="A16885" t="s">
        <v>995</v>
      </c>
      <c r="B16885" t="s">
        <v>182</v>
      </c>
      <c r="C16885" s="1">
        <f>HYPERLINK("https://cao.dolgi.msk.ru/account/1011424356/", 1011424356)</f>
        <v>1011424356</v>
      </c>
      <c r="D16885">
        <v>0</v>
      </c>
    </row>
    <row r="16886" spans="1:4" hidden="1" x14ac:dyDescent="0.3">
      <c r="A16886" t="s">
        <v>995</v>
      </c>
      <c r="B16886" t="s">
        <v>183</v>
      </c>
      <c r="C16886" s="1">
        <f>HYPERLINK("https://cao.dolgi.msk.ru/account/1011424073/", 1011424073)</f>
        <v>1011424073</v>
      </c>
      <c r="D16886">
        <v>0</v>
      </c>
    </row>
    <row r="16887" spans="1:4" x14ac:dyDescent="0.3">
      <c r="A16887" t="s">
        <v>995</v>
      </c>
      <c r="B16887" t="s">
        <v>184</v>
      </c>
      <c r="C16887" s="1">
        <f>HYPERLINK("https://cao.dolgi.msk.ru/account/1011425172/", 1011425172)</f>
        <v>1011425172</v>
      </c>
      <c r="D16887">
        <v>17353.009999999998</v>
      </c>
    </row>
    <row r="16888" spans="1:4" hidden="1" x14ac:dyDescent="0.3">
      <c r="A16888" t="s">
        <v>995</v>
      </c>
      <c r="B16888" t="s">
        <v>185</v>
      </c>
      <c r="C16888" s="1">
        <f>HYPERLINK("https://cao.dolgi.msk.ru/account/1011424962/", 1011424962)</f>
        <v>1011424962</v>
      </c>
      <c r="D16888">
        <v>0</v>
      </c>
    </row>
    <row r="16889" spans="1:4" hidden="1" x14ac:dyDescent="0.3">
      <c r="A16889" t="s">
        <v>995</v>
      </c>
      <c r="B16889" t="s">
        <v>274</v>
      </c>
      <c r="C16889" s="1">
        <f>HYPERLINK("https://cao.dolgi.msk.ru/account/1011424751/", 1011424751)</f>
        <v>1011424751</v>
      </c>
      <c r="D16889">
        <v>0</v>
      </c>
    </row>
    <row r="16890" spans="1:4" x14ac:dyDescent="0.3">
      <c r="A16890" t="s">
        <v>995</v>
      </c>
      <c r="B16890" t="s">
        <v>186</v>
      </c>
      <c r="C16890" s="1">
        <f>HYPERLINK("https://cao.dolgi.msk.ru/account/1011424057/", 1011424057)</f>
        <v>1011424057</v>
      </c>
      <c r="D16890">
        <v>6017.24</v>
      </c>
    </row>
    <row r="16891" spans="1:4" hidden="1" x14ac:dyDescent="0.3">
      <c r="A16891" t="s">
        <v>995</v>
      </c>
      <c r="B16891" t="s">
        <v>187</v>
      </c>
      <c r="C16891" s="1">
        <f>HYPERLINK("https://cao.dolgi.msk.ru/account/1011424831/", 1011424831)</f>
        <v>1011424831</v>
      </c>
      <c r="D16891">
        <v>-8602.18</v>
      </c>
    </row>
    <row r="16892" spans="1:4" hidden="1" x14ac:dyDescent="0.3">
      <c r="A16892" t="s">
        <v>995</v>
      </c>
      <c r="B16892" t="s">
        <v>188</v>
      </c>
      <c r="C16892" s="1">
        <f>HYPERLINK("https://cao.dolgi.msk.ru/account/1011424102/", 1011424102)</f>
        <v>1011424102</v>
      </c>
      <c r="D16892">
        <v>-2.5499999999999998</v>
      </c>
    </row>
    <row r="16893" spans="1:4" hidden="1" x14ac:dyDescent="0.3">
      <c r="A16893" t="s">
        <v>995</v>
      </c>
      <c r="B16893" t="s">
        <v>189</v>
      </c>
      <c r="C16893" s="1">
        <f>HYPERLINK("https://cao.dolgi.msk.ru/account/1011425877/", 1011425877)</f>
        <v>1011425877</v>
      </c>
      <c r="D16893">
        <v>0</v>
      </c>
    </row>
    <row r="16894" spans="1:4" hidden="1" x14ac:dyDescent="0.3">
      <c r="A16894" t="s">
        <v>998</v>
      </c>
      <c r="B16894" t="s">
        <v>6</v>
      </c>
      <c r="C16894" s="1">
        <f>HYPERLINK("https://cao.dolgi.msk.ru/account/1011426968/", 1011426968)</f>
        <v>1011426968</v>
      </c>
      <c r="D16894">
        <v>0</v>
      </c>
    </row>
    <row r="16895" spans="1:4" hidden="1" x14ac:dyDescent="0.3">
      <c r="A16895" t="s">
        <v>998</v>
      </c>
      <c r="B16895" t="s">
        <v>28</v>
      </c>
      <c r="C16895" s="1">
        <f>HYPERLINK("https://cao.dolgi.msk.ru/account/1011426466/", 1011426466)</f>
        <v>1011426466</v>
      </c>
      <c r="D16895">
        <v>0</v>
      </c>
    </row>
    <row r="16896" spans="1:4" hidden="1" x14ac:dyDescent="0.3">
      <c r="A16896" t="s">
        <v>998</v>
      </c>
      <c r="B16896" t="s">
        <v>35</v>
      </c>
      <c r="C16896" s="1">
        <f>HYPERLINK("https://cao.dolgi.msk.ru/account/1011427151/", 1011427151)</f>
        <v>1011427151</v>
      </c>
      <c r="D16896">
        <v>0</v>
      </c>
    </row>
    <row r="16897" spans="1:4" hidden="1" x14ac:dyDescent="0.3">
      <c r="A16897" t="s">
        <v>998</v>
      </c>
      <c r="B16897" t="s">
        <v>5</v>
      </c>
      <c r="C16897" s="1">
        <f>HYPERLINK("https://cao.dolgi.msk.ru/account/1011427354/", 1011427354)</f>
        <v>1011427354</v>
      </c>
      <c r="D16897">
        <v>0</v>
      </c>
    </row>
    <row r="16898" spans="1:4" hidden="1" x14ac:dyDescent="0.3">
      <c r="A16898" t="s">
        <v>998</v>
      </c>
      <c r="B16898" t="s">
        <v>7</v>
      </c>
      <c r="C16898" s="1">
        <f>HYPERLINK("https://cao.dolgi.msk.ru/account/1011427602/", 1011427602)</f>
        <v>1011427602</v>
      </c>
      <c r="D16898">
        <v>-11897.09</v>
      </c>
    </row>
    <row r="16899" spans="1:4" x14ac:dyDescent="0.3">
      <c r="A16899" t="s">
        <v>998</v>
      </c>
      <c r="B16899" t="s">
        <v>8</v>
      </c>
      <c r="C16899" s="1">
        <f>HYPERLINK("https://cao.dolgi.msk.ru/account/1011425973/", 1011425973)</f>
        <v>1011425973</v>
      </c>
      <c r="D16899">
        <v>52202.05</v>
      </c>
    </row>
    <row r="16900" spans="1:4" hidden="1" x14ac:dyDescent="0.3">
      <c r="A16900" t="s">
        <v>998</v>
      </c>
      <c r="B16900" t="s">
        <v>31</v>
      </c>
      <c r="C16900" s="1">
        <f>HYPERLINK("https://cao.dolgi.msk.ru/account/1011426378/", 1011426378)</f>
        <v>1011426378</v>
      </c>
      <c r="D16900">
        <v>-19984.96</v>
      </c>
    </row>
    <row r="16901" spans="1:4" hidden="1" x14ac:dyDescent="0.3">
      <c r="A16901" t="s">
        <v>998</v>
      </c>
      <c r="B16901" t="s">
        <v>9</v>
      </c>
      <c r="C16901" s="1">
        <f>HYPERLINK("https://cao.dolgi.msk.ru/account/1011426095/", 1011426095)</f>
        <v>1011426095</v>
      </c>
      <c r="D16901">
        <v>-8929.18</v>
      </c>
    </row>
    <row r="16902" spans="1:4" hidden="1" x14ac:dyDescent="0.3">
      <c r="A16902" t="s">
        <v>998</v>
      </c>
      <c r="B16902" t="s">
        <v>10</v>
      </c>
      <c r="C16902" s="1">
        <f>HYPERLINK("https://cao.dolgi.msk.ru/account/1011426204/", 1011426204)</f>
        <v>1011426204</v>
      </c>
      <c r="D16902">
        <v>0</v>
      </c>
    </row>
    <row r="16903" spans="1:4" hidden="1" x14ac:dyDescent="0.3">
      <c r="A16903" t="s">
        <v>998</v>
      </c>
      <c r="B16903" t="s">
        <v>11</v>
      </c>
      <c r="C16903" s="1">
        <f>HYPERLINK("https://cao.dolgi.msk.ru/account/1011427637/", 1011427637)</f>
        <v>1011427637</v>
      </c>
      <c r="D16903">
        <v>0</v>
      </c>
    </row>
    <row r="16904" spans="1:4" hidden="1" x14ac:dyDescent="0.3">
      <c r="A16904" t="s">
        <v>998</v>
      </c>
      <c r="B16904" t="s">
        <v>12</v>
      </c>
      <c r="C16904" s="1">
        <f>HYPERLINK("https://cao.dolgi.msk.ru/account/1011426861/", 1011426861)</f>
        <v>1011426861</v>
      </c>
      <c r="D16904">
        <v>0</v>
      </c>
    </row>
    <row r="16905" spans="1:4" hidden="1" x14ac:dyDescent="0.3">
      <c r="A16905" t="s">
        <v>998</v>
      </c>
      <c r="B16905" t="s">
        <v>23</v>
      </c>
      <c r="C16905" s="1">
        <f>HYPERLINK("https://cao.dolgi.msk.ru/account/1011427127/", 1011427127)</f>
        <v>1011427127</v>
      </c>
      <c r="D16905">
        <v>0</v>
      </c>
    </row>
    <row r="16906" spans="1:4" x14ac:dyDescent="0.3">
      <c r="A16906" t="s">
        <v>998</v>
      </c>
      <c r="B16906" t="s">
        <v>13</v>
      </c>
      <c r="C16906" s="1">
        <f>HYPERLINK("https://cao.dolgi.msk.ru/account/1011427709/", 1011427709)</f>
        <v>1011427709</v>
      </c>
      <c r="D16906">
        <v>16155.98</v>
      </c>
    </row>
    <row r="16907" spans="1:4" hidden="1" x14ac:dyDescent="0.3">
      <c r="A16907" t="s">
        <v>998</v>
      </c>
      <c r="B16907" t="s">
        <v>14</v>
      </c>
      <c r="C16907" s="1">
        <f>HYPERLINK("https://cao.dolgi.msk.ru/account/1011427768/", 1011427768)</f>
        <v>1011427768</v>
      </c>
      <c r="D16907">
        <v>-4697.4399999999996</v>
      </c>
    </row>
    <row r="16908" spans="1:4" hidden="1" x14ac:dyDescent="0.3">
      <c r="A16908" t="s">
        <v>998</v>
      </c>
      <c r="B16908" t="s">
        <v>16</v>
      </c>
      <c r="C16908" s="1">
        <f>HYPERLINK("https://cao.dolgi.msk.ru/account/1011427442/", 1011427442)</f>
        <v>1011427442</v>
      </c>
      <c r="D16908">
        <v>0</v>
      </c>
    </row>
    <row r="16909" spans="1:4" hidden="1" x14ac:dyDescent="0.3">
      <c r="A16909" t="s">
        <v>998</v>
      </c>
      <c r="B16909" t="s">
        <v>18</v>
      </c>
      <c r="C16909" s="1">
        <f>HYPERLINK("https://cao.dolgi.msk.ru/account/1011427135/", 1011427135)</f>
        <v>1011427135</v>
      </c>
      <c r="D16909">
        <v>-8548.66</v>
      </c>
    </row>
    <row r="16910" spans="1:4" hidden="1" x14ac:dyDescent="0.3">
      <c r="A16910" t="s">
        <v>998</v>
      </c>
      <c r="B16910" t="s">
        <v>19</v>
      </c>
      <c r="C16910" s="1">
        <f>HYPERLINK("https://cao.dolgi.msk.ru/account/1011426933/", 1011426933)</f>
        <v>1011426933</v>
      </c>
      <c r="D16910">
        <v>0</v>
      </c>
    </row>
    <row r="16911" spans="1:4" hidden="1" x14ac:dyDescent="0.3">
      <c r="A16911" t="s">
        <v>998</v>
      </c>
      <c r="B16911" t="s">
        <v>20</v>
      </c>
      <c r="C16911" s="1">
        <f>HYPERLINK("https://cao.dolgi.msk.ru/account/1011427776/", 1011427776)</f>
        <v>1011427776</v>
      </c>
      <c r="D16911">
        <v>0</v>
      </c>
    </row>
    <row r="16912" spans="1:4" hidden="1" x14ac:dyDescent="0.3">
      <c r="A16912" t="s">
        <v>998</v>
      </c>
      <c r="B16912" t="s">
        <v>21</v>
      </c>
      <c r="C16912" s="1">
        <f>HYPERLINK("https://cao.dolgi.msk.ru/account/1011427311/", 1011427311)</f>
        <v>1011427311</v>
      </c>
      <c r="D16912">
        <v>0</v>
      </c>
    </row>
    <row r="16913" spans="1:4" x14ac:dyDescent="0.3">
      <c r="A16913" t="s">
        <v>998</v>
      </c>
      <c r="B16913" t="s">
        <v>22</v>
      </c>
      <c r="C16913" s="1">
        <f>HYPERLINK("https://cao.dolgi.msk.ru/account/1011426925/", 1011426925)</f>
        <v>1011426925</v>
      </c>
      <c r="D16913">
        <v>7434.79</v>
      </c>
    </row>
    <row r="16914" spans="1:4" x14ac:dyDescent="0.3">
      <c r="A16914" t="s">
        <v>998</v>
      </c>
      <c r="B16914" t="s">
        <v>24</v>
      </c>
      <c r="C16914" s="1">
        <f>HYPERLINK("https://cao.dolgi.msk.ru/account/1011426829/", 1011426829)</f>
        <v>1011426829</v>
      </c>
      <c r="D16914">
        <v>4189.55</v>
      </c>
    </row>
    <row r="16915" spans="1:4" hidden="1" x14ac:dyDescent="0.3">
      <c r="A16915" t="s">
        <v>998</v>
      </c>
      <c r="B16915" t="s">
        <v>25</v>
      </c>
      <c r="C16915" s="1">
        <f>HYPERLINK("https://cao.dolgi.msk.ru/account/1011426845/", 1011426845)</f>
        <v>1011426845</v>
      </c>
      <c r="D16915">
        <v>-994.94</v>
      </c>
    </row>
    <row r="16916" spans="1:4" x14ac:dyDescent="0.3">
      <c r="A16916" t="s">
        <v>998</v>
      </c>
      <c r="B16916" t="s">
        <v>26</v>
      </c>
      <c r="C16916" s="1">
        <f>HYPERLINK("https://cao.dolgi.msk.ru/account/1011426669/", 1011426669)</f>
        <v>1011426669</v>
      </c>
      <c r="D16916">
        <v>14042.92</v>
      </c>
    </row>
    <row r="16917" spans="1:4" hidden="1" x14ac:dyDescent="0.3">
      <c r="A16917" t="s">
        <v>998</v>
      </c>
      <c r="B16917" t="s">
        <v>27</v>
      </c>
      <c r="C16917" s="1">
        <f>HYPERLINK("https://cao.dolgi.msk.ru/account/1011426087/", 1011426087)</f>
        <v>1011426087</v>
      </c>
      <c r="D16917">
        <v>-10209</v>
      </c>
    </row>
    <row r="16918" spans="1:4" x14ac:dyDescent="0.3">
      <c r="A16918" t="s">
        <v>998</v>
      </c>
      <c r="B16918" t="s">
        <v>29</v>
      </c>
      <c r="C16918" s="1">
        <f>HYPERLINK("https://cao.dolgi.msk.ru/account/1011427493/", 1011427493)</f>
        <v>1011427493</v>
      </c>
      <c r="D16918">
        <v>15990.53</v>
      </c>
    </row>
    <row r="16919" spans="1:4" hidden="1" x14ac:dyDescent="0.3">
      <c r="A16919" t="s">
        <v>998</v>
      </c>
      <c r="B16919" t="s">
        <v>38</v>
      </c>
      <c r="C16919" s="1">
        <f>HYPERLINK("https://cao.dolgi.msk.ru/account/1011426546/", 1011426546)</f>
        <v>1011426546</v>
      </c>
      <c r="D16919">
        <v>0</v>
      </c>
    </row>
    <row r="16920" spans="1:4" hidden="1" x14ac:dyDescent="0.3">
      <c r="A16920" t="s">
        <v>998</v>
      </c>
      <c r="B16920" t="s">
        <v>39</v>
      </c>
      <c r="C16920" s="1">
        <f>HYPERLINK("https://cao.dolgi.msk.ru/account/1011426749/", 1011426749)</f>
        <v>1011426749</v>
      </c>
      <c r="D16920">
        <v>-5780.52</v>
      </c>
    </row>
    <row r="16921" spans="1:4" hidden="1" x14ac:dyDescent="0.3">
      <c r="A16921" t="s">
        <v>998</v>
      </c>
      <c r="B16921" t="s">
        <v>40</v>
      </c>
      <c r="C16921" s="1">
        <f>HYPERLINK("https://cao.dolgi.msk.ru/account/1011426837/", 1011426837)</f>
        <v>1011426837</v>
      </c>
      <c r="D16921">
        <v>-7583.66</v>
      </c>
    </row>
    <row r="16922" spans="1:4" hidden="1" x14ac:dyDescent="0.3">
      <c r="A16922" t="s">
        <v>998</v>
      </c>
      <c r="B16922" t="s">
        <v>41</v>
      </c>
      <c r="C16922" s="1">
        <f>HYPERLINK("https://cao.dolgi.msk.ru/account/1011426503/", 1011426503)</f>
        <v>1011426503</v>
      </c>
      <c r="D16922">
        <v>-4600.3599999999997</v>
      </c>
    </row>
    <row r="16923" spans="1:4" hidden="1" x14ac:dyDescent="0.3">
      <c r="A16923" t="s">
        <v>998</v>
      </c>
      <c r="B16923" t="s">
        <v>51</v>
      </c>
      <c r="C16923" s="1">
        <f>HYPERLINK("https://cao.dolgi.msk.ru/account/1011426773/", 1011426773)</f>
        <v>1011426773</v>
      </c>
      <c r="D16923">
        <v>-1291.25</v>
      </c>
    </row>
    <row r="16924" spans="1:4" hidden="1" x14ac:dyDescent="0.3">
      <c r="A16924" t="s">
        <v>998</v>
      </c>
      <c r="B16924" t="s">
        <v>52</v>
      </c>
      <c r="C16924" s="1">
        <f>HYPERLINK("https://cao.dolgi.msk.ru/account/1011427338/", 1011427338)</f>
        <v>1011427338</v>
      </c>
      <c r="D16924">
        <v>0</v>
      </c>
    </row>
    <row r="16925" spans="1:4" hidden="1" x14ac:dyDescent="0.3">
      <c r="A16925" t="s">
        <v>998</v>
      </c>
      <c r="B16925" t="s">
        <v>53</v>
      </c>
      <c r="C16925" s="1">
        <f>HYPERLINK("https://cao.dolgi.msk.ru/account/1011426781/", 1011426781)</f>
        <v>1011426781</v>
      </c>
      <c r="D16925">
        <v>-8349.7900000000009</v>
      </c>
    </row>
    <row r="16926" spans="1:4" hidden="1" x14ac:dyDescent="0.3">
      <c r="A16926" t="s">
        <v>998</v>
      </c>
      <c r="B16926" t="s">
        <v>54</v>
      </c>
      <c r="C16926" s="1">
        <f>HYPERLINK("https://cao.dolgi.msk.ru/account/1011427207/", 1011427207)</f>
        <v>1011427207</v>
      </c>
      <c r="D16926">
        <v>-6358.18</v>
      </c>
    </row>
    <row r="16927" spans="1:4" hidden="1" x14ac:dyDescent="0.3">
      <c r="A16927" t="s">
        <v>998</v>
      </c>
      <c r="B16927" t="s">
        <v>55</v>
      </c>
      <c r="C16927" s="1">
        <f>HYPERLINK("https://cao.dolgi.msk.ru/account/1011427733/", 1011427733)</f>
        <v>1011427733</v>
      </c>
      <c r="D16927">
        <v>0</v>
      </c>
    </row>
    <row r="16928" spans="1:4" hidden="1" x14ac:dyDescent="0.3">
      <c r="A16928" t="s">
        <v>998</v>
      </c>
      <c r="B16928" t="s">
        <v>87</v>
      </c>
      <c r="C16928" s="1">
        <f>HYPERLINK("https://cao.dolgi.msk.ru/account/1011426589/", 1011426589)</f>
        <v>1011426589</v>
      </c>
      <c r="D16928">
        <v>0</v>
      </c>
    </row>
    <row r="16929" spans="1:4" x14ac:dyDescent="0.3">
      <c r="A16929" t="s">
        <v>998</v>
      </c>
      <c r="B16929" t="s">
        <v>88</v>
      </c>
      <c r="C16929" s="1">
        <f>HYPERLINK("https://cao.dolgi.msk.ru/account/1011426802/", 1011426802)</f>
        <v>1011426802</v>
      </c>
      <c r="D16929">
        <v>4697.92</v>
      </c>
    </row>
    <row r="16930" spans="1:4" hidden="1" x14ac:dyDescent="0.3">
      <c r="A16930" t="s">
        <v>998</v>
      </c>
      <c r="B16930" t="s">
        <v>89</v>
      </c>
      <c r="C16930" s="1">
        <f>HYPERLINK("https://cao.dolgi.msk.ru/account/1011427792/", 1011427792)</f>
        <v>1011427792</v>
      </c>
      <c r="D16930">
        <v>-7905.38</v>
      </c>
    </row>
    <row r="16931" spans="1:4" hidden="1" x14ac:dyDescent="0.3">
      <c r="A16931" t="s">
        <v>998</v>
      </c>
      <c r="B16931" t="s">
        <v>90</v>
      </c>
      <c r="C16931" s="1">
        <f>HYPERLINK("https://cao.dolgi.msk.ru/account/1011427303/", 1011427303)</f>
        <v>1011427303</v>
      </c>
      <c r="D16931">
        <v>-6494.11</v>
      </c>
    </row>
    <row r="16932" spans="1:4" hidden="1" x14ac:dyDescent="0.3">
      <c r="A16932" t="s">
        <v>998</v>
      </c>
      <c r="B16932" t="s">
        <v>96</v>
      </c>
      <c r="C16932" s="1">
        <f>HYPERLINK("https://cao.dolgi.msk.ru/account/1011426132/", 1011426132)</f>
        <v>1011426132</v>
      </c>
      <c r="D16932">
        <v>-10338.98</v>
      </c>
    </row>
    <row r="16933" spans="1:4" hidden="1" x14ac:dyDescent="0.3">
      <c r="A16933" t="s">
        <v>998</v>
      </c>
      <c r="B16933" t="s">
        <v>97</v>
      </c>
      <c r="C16933" s="1">
        <f>HYPERLINK("https://cao.dolgi.msk.ru/account/1011427741/", 1011427741)</f>
        <v>1011427741</v>
      </c>
      <c r="D16933">
        <v>0</v>
      </c>
    </row>
    <row r="16934" spans="1:4" x14ac:dyDescent="0.3">
      <c r="A16934" t="s">
        <v>998</v>
      </c>
      <c r="B16934" t="s">
        <v>98</v>
      </c>
      <c r="C16934" s="1">
        <f>HYPERLINK("https://cao.dolgi.msk.ru/account/1011427717/", 1011427717)</f>
        <v>1011427717</v>
      </c>
      <c r="D16934">
        <v>15252.04</v>
      </c>
    </row>
    <row r="16935" spans="1:4" x14ac:dyDescent="0.3">
      <c r="A16935" t="s">
        <v>998</v>
      </c>
      <c r="B16935" t="s">
        <v>58</v>
      </c>
      <c r="C16935" s="1">
        <f>HYPERLINK("https://cao.dolgi.msk.ru/account/1011427821/", 1011427821)</f>
        <v>1011427821</v>
      </c>
      <c r="D16935">
        <v>10216.65</v>
      </c>
    </row>
    <row r="16936" spans="1:4" hidden="1" x14ac:dyDescent="0.3">
      <c r="A16936" t="s">
        <v>998</v>
      </c>
      <c r="B16936" t="s">
        <v>59</v>
      </c>
      <c r="C16936" s="1">
        <f>HYPERLINK("https://cao.dolgi.msk.ru/account/1011427725/", 1011427725)</f>
        <v>1011427725</v>
      </c>
      <c r="D16936">
        <v>0</v>
      </c>
    </row>
    <row r="16937" spans="1:4" hidden="1" x14ac:dyDescent="0.3">
      <c r="A16937" t="s">
        <v>998</v>
      </c>
      <c r="B16937" t="s">
        <v>60</v>
      </c>
      <c r="C16937" s="1">
        <f>HYPERLINK("https://cao.dolgi.msk.ru/account/1011427047/", 1011427047)</f>
        <v>1011427047</v>
      </c>
      <c r="D16937">
        <v>-14.66</v>
      </c>
    </row>
    <row r="16938" spans="1:4" hidden="1" x14ac:dyDescent="0.3">
      <c r="A16938" t="s">
        <v>998</v>
      </c>
      <c r="B16938" t="s">
        <v>61</v>
      </c>
      <c r="C16938" s="1">
        <f>HYPERLINK("https://cao.dolgi.msk.ru/account/1011427848/", 1011427848)</f>
        <v>1011427848</v>
      </c>
      <c r="D16938">
        <v>0</v>
      </c>
    </row>
    <row r="16939" spans="1:4" hidden="1" x14ac:dyDescent="0.3">
      <c r="A16939" t="s">
        <v>998</v>
      </c>
      <c r="B16939" t="s">
        <v>62</v>
      </c>
      <c r="C16939" s="1">
        <f>HYPERLINK("https://cao.dolgi.msk.ru/account/1011426984/", 1011426984)</f>
        <v>1011426984</v>
      </c>
      <c r="D16939">
        <v>0</v>
      </c>
    </row>
    <row r="16940" spans="1:4" hidden="1" x14ac:dyDescent="0.3">
      <c r="A16940" t="s">
        <v>998</v>
      </c>
      <c r="B16940" t="s">
        <v>63</v>
      </c>
      <c r="C16940" s="1">
        <f>HYPERLINK("https://cao.dolgi.msk.ru/account/1011426714/", 1011426714)</f>
        <v>1011426714</v>
      </c>
      <c r="D16940">
        <v>0</v>
      </c>
    </row>
    <row r="16941" spans="1:4" hidden="1" x14ac:dyDescent="0.3">
      <c r="A16941" t="s">
        <v>998</v>
      </c>
      <c r="B16941" t="s">
        <v>64</v>
      </c>
      <c r="C16941" s="1">
        <f>HYPERLINK("https://cao.dolgi.msk.ru/account/1011427629/", 1011427629)</f>
        <v>1011427629</v>
      </c>
      <c r="D16941">
        <v>0</v>
      </c>
    </row>
    <row r="16942" spans="1:4" x14ac:dyDescent="0.3">
      <c r="A16942" t="s">
        <v>998</v>
      </c>
      <c r="B16942" t="s">
        <v>65</v>
      </c>
      <c r="C16942" s="1">
        <f>HYPERLINK("https://cao.dolgi.msk.ru/account/1011427645/", 1011427645)</f>
        <v>1011427645</v>
      </c>
      <c r="D16942">
        <v>45195.44</v>
      </c>
    </row>
    <row r="16943" spans="1:4" hidden="1" x14ac:dyDescent="0.3">
      <c r="A16943" t="s">
        <v>998</v>
      </c>
      <c r="B16943" t="s">
        <v>66</v>
      </c>
      <c r="C16943" s="1">
        <f>HYPERLINK("https://cao.dolgi.msk.ru/account/1011427231/", 1011427231)</f>
        <v>1011427231</v>
      </c>
      <c r="D16943">
        <v>0</v>
      </c>
    </row>
    <row r="16944" spans="1:4" hidden="1" x14ac:dyDescent="0.3">
      <c r="A16944" t="s">
        <v>998</v>
      </c>
      <c r="B16944" t="s">
        <v>67</v>
      </c>
      <c r="C16944" s="1">
        <f>HYPERLINK("https://cao.dolgi.msk.ru/account/1011426888/", 1011426888)</f>
        <v>1011426888</v>
      </c>
      <c r="D16944">
        <v>0</v>
      </c>
    </row>
    <row r="16945" spans="1:4" hidden="1" x14ac:dyDescent="0.3">
      <c r="A16945" t="s">
        <v>998</v>
      </c>
      <c r="B16945" t="s">
        <v>68</v>
      </c>
      <c r="C16945" s="1">
        <f>HYPERLINK("https://cao.dolgi.msk.ru/account/1011427004/", 1011427004)</f>
        <v>1011427004</v>
      </c>
      <c r="D16945">
        <v>0</v>
      </c>
    </row>
    <row r="16946" spans="1:4" hidden="1" x14ac:dyDescent="0.3">
      <c r="A16946" t="s">
        <v>998</v>
      </c>
      <c r="B16946" t="s">
        <v>69</v>
      </c>
      <c r="C16946" s="1">
        <f>HYPERLINK("https://cao.dolgi.msk.ru/account/1011427055/", 1011427055)</f>
        <v>1011427055</v>
      </c>
      <c r="D16946">
        <v>-6918.4</v>
      </c>
    </row>
    <row r="16947" spans="1:4" hidden="1" x14ac:dyDescent="0.3">
      <c r="A16947" t="s">
        <v>998</v>
      </c>
      <c r="B16947" t="s">
        <v>70</v>
      </c>
      <c r="C16947" s="1">
        <f>HYPERLINK("https://cao.dolgi.msk.ru/account/1011427805/", 1011427805)</f>
        <v>1011427805</v>
      </c>
      <c r="D16947">
        <v>-536.19000000000005</v>
      </c>
    </row>
    <row r="16948" spans="1:4" hidden="1" x14ac:dyDescent="0.3">
      <c r="A16948" t="s">
        <v>998</v>
      </c>
      <c r="B16948" t="s">
        <v>259</v>
      </c>
      <c r="C16948" s="1">
        <f>HYPERLINK("https://cao.dolgi.msk.ru/account/1011426677/", 1011426677)</f>
        <v>1011426677</v>
      </c>
      <c r="D16948">
        <v>-7758.71</v>
      </c>
    </row>
    <row r="16949" spans="1:4" hidden="1" x14ac:dyDescent="0.3">
      <c r="A16949" t="s">
        <v>998</v>
      </c>
      <c r="B16949" t="s">
        <v>72</v>
      </c>
      <c r="C16949" s="1">
        <f>HYPERLINK("https://cao.dolgi.msk.ru/account/1011426319/", 1011426319)</f>
        <v>1011426319</v>
      </c>
      <c r="D16949">
        <v>0</v>
      </c>
    </row>
    <row r="16950" spans="1:4" x14ac:dyDescent="0.3">
      <c r="A16950" t="s">
        <v>998</v>
      </c>
      <c r="B16950" t="s">
        <v>73</v>
      </c>
      <c r="C16950" s="1">
        <f>HYPERLINK("https://cao.dolgi.msk.ru/account/1011427477/", 1011427477)</f>
        <v>1011427477</v>
      </c>
      <c r="D16950">
        <v>12406.59</v>
      </c>
    </row>
    <row r="16951" spans="1:4" hidden="1" x14ac:dyDescent="0.3">
      <c r="A16951" t="s">
        <v>998</v>
      </c>
      <c r="B16951" t="s">
        <v>74</v>
      </c>
      <c r="C16951" s="1">
        <f>HYPERLINK("https://cao.dolgi.msk.ru/account/1011426431/", 1011426431)</f>
        <v>1011426431</v>
      </c>
      <c r="D16951">
        <v>0</v>
      </c>
    </row>
    <row r="16952" spans="1:4" hidden="1" x14ac:dyDescent="0.3">
      <c r="A16952" t="s">
        <v>998</v>
      </c>
      <c r="B16952" t="s">
        <v>75</v>
      </c>
      <c r="C16952" s="1">
        <f>HYPERLINK("https://cao.dolgi.msk.ru/account/1011426116/", 1011426116)</f>
        <v>1011426116</v>
      </c>
      <c r="D16952">
        <v>0</v>
      </c>
    </row>
    <row r="16953" spans="1:4" hidden="1" x14ac:dyDescent="0.3">
      <c r="A16953" t="s">
        <v>998</v>
      </c>
      <c r="B16953" t="s">
        <v>76</v>
      </c>
      <c r="C16953" s="1">
        <f>HYPERLINK("https://cao.dolgi.msk.ru/account/1011426909/", 1011426909)</f>
        <v>1011426909</v>
      </c>
      <c r="D16953">
        <v>0</v>
      </c>
    </row>
    <row r="16954" spans="1:4" x14ac:dyDescent="0.3">
      <c r="A16954" t="s">
        <v>998</v>
      </c>
      <c r="B16954" t="s">
        <v>77</v>
      </c>
      <c r="C16954" s="1">
        <f>HYPERLINK("https://cao.dolgi.msk.ru/account/1011427063/", 1011427063)</f>
        <v>1011427063</v>
      </c>
      <c r="D16954">
        <v>9317.25</v>
      </c>
    </row>
    <row r="16955" spans="1:4" hidden="1" x14ac:dyDescent="0.3">
      <c r="A16955" t="s">
        <v>998</v>
      </c>
      <c r="B16955" t="s">
        <v>78</v>
      </c>
      <c r="C16955" s="1">
        <f>HYPERLINK("https://cao.dolgi.msk.ru/account/1011427565/", 1011427565)</f>
        <v>1011427565</v>
      </c>
      <c r="D16955">
        <v>0</v>
      </c>
    </row>
    <row r="16956" spans="1:4" hidden="1" x14ac:dyDescent="0.3">
      <c r="A16956" t="s">
        <v>998</v>
      </c>
      <c r="B16956" t="s">
        <v>79</v>
      </c>
      <c r="C16956" s="1">
        <f>HYPERLINK("https://cao.dolgi.msk.ru/account/1011426001/", 1011426001)</f>
        <v>1011426001</v>
      </c>
      <c r="D16956">
        <v>0</v>
      </c>
    </row>
    <row r="16957" spans="1:4" hidden="1" x14ac:dyDescent="0.3">
      <c r="A16957" t="s">
        <v>998</v>
      </c>
      <c r="B16957" t="s">
        <v>80</v>
      </c>
      <c r="C16957" s="1">
        <f>HYPERLINK("https://cao.dolgi.msk.ru/account/1011426335/", 1011426335)</f>
        <v>1011426335</v>
      </c>
      <c r="D16957">
        <v>-28417.06</v>
      </c>
    </row>
    <row r="16958" spans="1:4" hidden="1" x14ac:dyDescent="0.3">
      <c r="A16958" t="s">
        <v>998</v>
      </c>
      <c r="B16958" t="s">
        <v>81</v>
      </c>
      <c r="C16958" s="1">
        <f>HYPERLINK("https://cao.dolgi.msk.ru/account/1011427549/", 1011427549)</f>
        <v>1011427549</v>
      </c>
      <c r="D16958">
        <v>0</v>
      </c>
    </row>
    <row r="16959" spans="1:4" x14ac:dyDescent="0.3">
      <c r="A16959" t="s">
        <v>998</v>
      </c>
      <c r="B16959" t="s">
        <v>101</v>
      </c>
      <c r="C16959" s="1">
        <f>HYPERLINK("https://cao.dolgi.msk.ru/account/1011427661/", 1011427661)</f>
        <v>1011427661</v>
      </c>
      <c r="D16959">
        <v>9798.58</v>
      </c>
    </row>
    <row r="16960" spans="1:4" hidden="1" x14ac:dyDescent="0.3">
      <c r="A16960" t="s">
        <v>998</v>
      </c>
      <c r="B16960" t="s">
        <v>82</v>
      </c>
      <c r="C16960" s="1">
        <f>HYPERLINK("https://cao.dolgi.msk.ru/account/1011426052/", 1011426052)</f>
        <v>1011426052</v>
      </c>
      <c r="D16960">
        <v>-3870.34</v>
      </c>
    </row>
    <row r="16961" spans="1:4" hidden="1" x14ac:dyDescent="0.3">
      <c r="A16961" t="s">
        <v>998</v>
      </c>
      <c r="B16961" t="s">
        <v>83</v>
      </c>
      <c r="C16961" s="1">
        <f>HYPERLINK("https://cao.dolgi.msk.ru/account/1011427426/", 1011427426)</f>
        <v>1011427426</v>
      </c>
      <c r="D16961">
        <v>-121.06</v>
      </c>
    </row>
    <row r="16962" spans="1:4" hidden="1" x14ac:dyDescent="0.3">
      <c r="A16962" t="s">
        <v>998</v>
      </c>
      <c r="B16962" t="s">
        <v>84</v>
      </c>
      <c r="C16962" s="1">
        <f>HYPERLINK("https://cao.dolgi.msk.ru/account/1011427186/", 1011427186)</f>
        <v>1011427186</v>
      </c>
      <c r="D16962">
        <v>-8776.65</v>
      </c>
    </row>
    <row r="16963" spans="1:4" x14ac:dyDescent="0.3">
      <c r="A16963" t="s">
        <v>998</v>
      </c>
      <c r="B16963" t="s">
        <v>85</v>
      </c>
      <c r="C16963" s="1">
        <f>HYPERLINK("https://cao.dolgi.msk.ru/account/1011426458/", 1011426458)</f>
        <v>1011426458</v>
      </c>
      <c r="D16963">
        <v>16683.14</v>
      </c>
    </row>
    <row r="16964" spans="1:4" x14ac:dyDescent="0.3">
      <c r="A16964" t="s">
        <v>998</v>
      </c>
      <c r="B16964" t="s">
        <v>102</v>
      </c>
      <c r="C16964" s="1">
        <f>HYPERLINK("https://cao.dolgi.msk.ru/account/1011427215/", 1011427215)</f>
        <v>1011427215</v>
      </c>
      <c r="D16964">
        <v>4108.17</v>
      </c>
    </row>
    <row r="16965" spans="1:4" hidden="1" x14ac:dyDescent="0.3">
      <c r="A16965" t="s">
        <v>998</v>
      </c>
      <c r="B16965" t="s">
        <v>103</v>
      </c>
      <c r="C16965" s="1">
        <f>HYPERLINK("https://cao.dolgi.msk.ru/account/1011426183/", 1011426183)</f>
        <v>1011426183</v>
      </c>
      <c r="D16965">
        <v>-229.18</v>
      </c>
    </row>
    <row r="16966" spans="1:4" x14ac:dyDescent="0.3">
      <c r="A16966" t="s">
        <v>998</v>
      </c>
      <c r="B16966" t="s">
        <v>104</v>
      </c>
      <c r="C16966" s="1">
        <f>HYPERLINK("https://cao.dolgi.msk.ru/account/1011426407/", 1011426407)</f>
        <v>1011426407</v>
      </c>
      <c r="D16966">
        <v>38558.550000000003</v>
      </c>
    </row>
    <row r="16967" spans="1:4" hidden="1" x14ac:dyDescent="0.3">
      <c r="A16967" t="s">
        <v>998</v>
      </c>
      <c r="B16967" t="s">
        <v>105</v>
      </c>
      <c r="C16967" s="1">
        <f>HYPERLINK("https://cao.dolgi.msk.ru/account/1011426167/", 1011426167)</f>
        <v>1011426167</v>
      </c>
      <c r="D16967">
        <v>0</v>
      </c>
    </row>
    <row r="16968" spans="1:4" hidden="1" x14ac:dyDescent="0.3">
      <c r="A16968" t="s">
        <v>998</v>
      </c>
      <c r="B16968" t="s">
        <v>106</v>
      </c>
      <c r="C16968" s="1">
        <f>HYPERLINK("https://cao.dolgi.msk.ru/account/1011427581/", 1011427581)</f>
        <v>1011427581</v>
      </c>
      <c r="D16968">
        <v>-6260.24</v>
      </c>
    </row>
    <row r="16969" spans="1:4" hidden="1" x14ac:dyDescent="0.3">
      <c r="A16969" t="s">
        <v>998</v>
      </c>
      <c r="B16969" t="s">
        <v>107</v>
      </c>
      <c r="C16969" s="1">
        <f>HYPERLINK("https://cao.dolgi.msk.ru/account/1011427119/", 1011427119)</f>
        <v>1011427119</v>
      </c>
      <c r="D16969">
        <v>0</v>
      </c>
    </row>
    <row r="16970" spans="1:4" hidden="1" x14ac:dyDescent="0.3">
      <c r="A16970" t="s">
        <v>998</v>
      </c>
      <c r="B16970" t="s">
        <v>108</v>
      </c>
      <c r="C16970" s="1">
        <f>HYPERLINK("https://cao.dolgi.msk.ru/account/1011426175/", 1011426175)</f>
        <v>1011426175</v>
      </c>
      <c r="D16970">
        <v>-5061.9799999999996</v>
      </c>
    </row>
    <row r="16971" spans="1:4" hidden="1" x14ac:dyDescent="0.3">
      <c r="A16971" t="s">
        <v>998</v>
      </c>
      <c r="B16971" t="s">
        <v>109</v>
      </c>
      <c r="C16971" s="1">
        <f>HYPERLINK("https://cao.dolgi.msk.ru/account/1011426853/", 1011426853)</f>
        <v>1011426853</v>
      </c>
      <c r="D16971">
        <v>-6895.01</v>
      </c>
    </row>
    <row r="16972" spans="1:4" hidden="1" x14ac:dyDescent="0.3">
      <c r="A16972" t="s">
        <v>998</v>
      </c>
      <c r="B16972" t="s">
        <v>110</v>
      </c>
      <c r="C16972" s="1">
        <f>HYPERLINK("https://cao.dolgi.msk.ru/account/1011426597/", 1011426597)</f>
        <v>1011426597</v>
      </c>
      <c r="D16972">
        <v>-2680.81</v>
      </c>
    </row>
    <row r="16973" spans="1:4" hidden="1" x14ac:dyDescent="0.3">
      <c r="A16973" t="s">
        <v>998</v>
      </c>
      <c r="B16973" t="s">
        <v>111</v>
      </c>
      <c r="C16973" s="1">
        <f>HYPERLINK("https://cao.dolgi.msk.ru/account/1011427143/", 1011427143)</f>
        <v>1011427143</v>
      </c>
      <c r="D16973">
        <v>0</v>
      </c>
    </row>
    <row r="16974" spans="1:4" x14ac:dyDescent="0.3">
      <c r="A16974" t="s">
        <v>998</v>
      </c>
      <c r="B16974" t="s">
        <v>112</v>
      </c>
      <c r="C16974" s="1">
        <f>HYPERLINK("https://cao.dolgi.msk.ru/account/1011426263/", 1011426263)</f>
        <v>1011426263</v>
      </c>
      <c r="D16974">
        <v>23975.119999999999</v>
      </c>
    </row>
    <row r="16975" spans="1:4" hidden="1" x14ac:dyDescent="0.3">
      <c r="A16975" t="s">
        <v>998</v>
      </c>
      <c r="B16975" t="s">
        <v>113</v>
      </c>
      <c r="C16975" s="1">
        <f>HYPERLINK("https://cao.dolgi.msk.ru/account/1011426538/", 1011426538)</f>
        <v>1011426538</v>
      </c>
      <c r="D16975">
        <v>0</v>
      </c>
    </row>
    <row r="16976" spans="1:4" hidden="1" x14ac:dyDescent="0.3">
      <c r="A16976" t="s">
        <v>998</v>
      </c>
      <c r="B16976" t="s">
        <v>114</v>
      </c>
      <c r="C16976" s="1">
        <f>HYPERLINK("https://cao.dolgi.msk.ru/account/1011425981/", 1011425981)</f>
        <v>1011425981</v>
      </c>
      <c r="D16976">
        <v>-12182.13</v>
      </c>
    </row>
    <row r="16977" spans="1:4" x14ac:dyDescent="0.3">
      <c r="A16977" t="s">
        <v>998</v>
      </c>
      <c r="B16977" t="s">
        <v>115</v>
      </c>
      <c r="C16977" s="1">
        <f>HYPERLINK("https://cao.dolgi.msk.ru/account/1011426036/", 1011426036)</f>
        <v>1011426036</v>
      </c>
      <c r="D16977">
        <v>19452.55</v>
      </c>
    </row>
    <row r="16978" spans="1:4" x14ac:dyDescent="0.3">
      <c r="A16978" t="s">
        <v>998</v>
      </c>
      <c r="B16978" t="s">
        <v>116</v>
      </c>
      <c r="C16978" s="1">
        <f>HYPERLINK("https://cao.dolgi.msk.ru/account/1011427194/", 1011427194)</f>
        <v>1011427194</v>
      </c>
      <c r="D16978">
        <v>20328.77</v>
      </c>
    </row>
    <row r="16979" spans="1:4" hidden="1" x14ac:dyDescent="0.3">
      <c r="A16979" t="s">
        <v>998</v>
      </c>
      <c r="B16979" t="s">
        <v>266</v>
      </c>
      <c r="C16979" s="1">
        <f>HYPERLINK("https://cao.dolgi.msk.ru/account/1011426482/", 1011426482)</f>
        <v>1011426482</v>
      </c>
      <c r="D16979">
        <v>-8649.4599999999991</v>
      </c>
    </row>
    <row r="16980" spans="1:4" hidden="1" x14ac:dyDescent="0.3">
      <c r="A16980" t="s">
        <v>998</v>
      </c>
      <c r="B16980" t="s">
        <v>117</v>
      </c>
      <c r="C16980" s="1">
        <f>HYPERLINK("https://cao.dolgi.msk.ru/account/1011426351/", 1011426351)</f>
        <v>1011426351</v>
      </c>
      <c r="D16980">
        <v>0</v>
      </c>
    </row>
    <row r="16981" spans="1:4" hidden="1" x14ac:dyDescent="0.3">
      <c r="A16981" t="s">
        <v>998</v>
      </c>
      <c r="B16981" t="s">
        <v>118</v>
      </c>
      <c r="C16981" s="1">
        <f>HYPERLINK("https://cao.dolgi.msk.ru/account/1011426554/", 1011426554)</f>
        <v>1011426554</v>
      </c>
      <c r="D16981">
        <v>0</v>
      </c>
    </row>
    <row r="16982" spans="1:4" hidden="1" x14ac:dyDescent="0.3">
      <c r="A16982" t="s">
        <v>998</v>
      </c>
      <c r="B16982" t="s">
        <v>118</v>
      </c>
      <c r="C16982" s="1">
        <f>HYPERLINK("https://cao.dolgi.msk.ru/account/1011426976/", 1011426976)</f>
        <v>1011426976</v>
      </c>
      <c r="D16982">
        <v>0</v>
      </c>
    </row>
    <row r="16983" spans="1:4" hidden="1" x14ac:dyDescent="0.3">
      <c r="A16983" t="s">
        <v>998</v>
      </c>
      <c r="B16983" t="s">
        <v>119</v>
      </c>
      <c r="C16983" s="1">
        <f>HYPERLINK("https://cao.dolgi.msk.ru/account/1011427557/", 1011427557)</f>
        <v>1011427557</v>
      </c>
      <c r="D16983">
        <v>0</v>
      </c>
    </row>
    <row r="16984" spans="1:4" hidden="1" x14ac:dyDescent="0.3">
      <c r="A16984" t="s">
        <v>998</v>
      </c>
      <c r="B16984" t="s">
        <v>120</v>
      </c>
      <c r="C16984" s="1">
        <f>HYPERLINK("https://cao.dolgi.msk.ru/account/1011427688/", 1011427688)</f>
        <v>1011427688</v>
      </c>
      <c r="D16984">
        <v>0</v>
      </c>
    </row>
    <row r="16985" spans="1:4" hidden="1" x14ac:dyDescent="0.3">
      <c r="A16985" t="s">
        <v>998</v>
      </c>
      <c r="B16985" t="s">
        <v>121</v>
      </c>
      <c r="C16985" s="1">
        <f>HYPERLINK("https://cao.dolgi.msk.ru/account/1011426896/", 1011426896)</f>
        <v>1011426896</v>
      </c>
      <c r="D16985">
        <v>0</v>
      </c>
    </row>
    <row r="16986" spans="1:4" hidden="1" x14ac:dyDescent="0.3">
      <c r="A16986" t="s">
        <v>998</v>
      </c>
      <c r="B16986" t="s">
        <v>122</v>
      </c>
      <c r="C16986" s="1">
        <f>HYPERLINK("https://cao.dolgi.msk.ru/account/1011426191/", 1011426191)</f>
        <v>1011426191</v>
      </c>
      <c r="D16986">
        <v>-252.97</v>
      </c>
    </row>
    <row r="16987" spans="1:4" hidden="1" x14ac:dyDescent="0.3">
      <c r="A16987" t="s">
        <v>998</v>
      </c>
      <c r="B16987" t="s">
        <v>123</v>
      </c>
      <c r="C16987" s="1">
        <f>HYPERLINK("https://cao.dolgi.msk.ru/account/1011427282/", 1011427282)</f>
        <v>1011427282</v>
      </c>
      <c r="D16987">
        <v>-987.87</v>
      </c>
    </row>
    <row r="16988" spans="1:4" hidden="1" x14ac:dyDescent="0.3">
      <c r="A16988" t="s">
        <v>998</v>
      </c>
      <c r="B16988" t="s">
        <v>124</v>
      </c>
      <c r="C16988" s="1">
        <f>HYPERLINK("https://cao.dolgi.msk.ru/account/1011427258/", 1011427258)</f>
        <v>1011427258</v>
      </c>
      <c r="D16988">
        <v>0</v>
      </c>
    </row>
    <row r="16989" spans="1:4" hidden="1" x14ac:dyDescent="0.3">
      <c r="A16989" t="s">
        <v>998</v>
      </c>
      <c r="B16989" t="s">
        <v>125</v>
      </c>
      <c r="C16989" s="1">
        <f>HYPERLINK("https://cao.dolgi.msk.ru/account/1011426028/", 1011426028)</f>
        <v>1011426028</v>
      </c>
      <c r="D16989">
        <v>0</v>
      </c>
    </row>
    <row r="16990" spans="1:4" hidden="1" x14ac:dyDescent="0.3">
      <c r="A16990" t="s">
        <v>998</v>
      </c>
      <c r="B16990" t="s">
        <v>126</v>
      </c>
      <c r="C16990" s="1">
        <f>HYPERLINK("https://cao.dolgi.msk.ru/account/1011427012/", 1011427012)</f>
        <v>1011427012</v>
      </c>
      <c r="D16990">
        <v>0</v>
      </c>
    </row>
    <row r="16991" spans="1:4" x14ac:dyDescent="0.3">
      <c r="A16991" t="s">
        <v>998</v>
      </c>
      <c r="B16991" t="s">
        <v>127</v>
      </c>
      <c r="C16991" s="1">
        <f>HYPERLINK("https://cao.dolgi.msk.ru/account/1011426634/", 1011426634)</f>
        <v>1011426634</v>
      </c>
      <c r="D16991">
        <v>5529.78</v>
      </c>
    </row>
    <row r="16992" spans="1:4" hidden="1" x14ac:dyDescent="0.3">
      <c r="A16992" t="s">
        <v>998</v>
      </c>
      <c r="B16992" t="s">
        <v>262</v>
      </c>
      <c r="C16992" s="1">
        <f>HYPERLINK("https://cao.dolgi.msk.ru/account/1011426642/", 1011426642)</f>
        <v>1011426642</v>
      </c>
      <c r="D16992">
        <v>0</v>
      </c>
    </row>
    <row r="16993" spans="1:4" hidden="1" x14ac:dyDescent="0.3">
      <c r="A16993" t="s">
        <v>998</v>
      </c>
      <c r="B16993" t="s">
        <v>128</v>
      </c>
      <c r="C16993" s="1">
        <f>HYPERLINK("https://cao.dolgi.msk.ru/account/1011427346/", 1011427346)</f>
        <v>1011427346</v>
      </c>
      <c r="D16993">
        <v>0</v>
      </c>
    </row>
    <row r="16994" spans="1:4" hidden="1" x14ac:dyDescent="0.3">
      <c r="A16994" t="s">
        <v>998</v>
      </c>
      <c r="B16994" t="s">
        <v>129</v>
      </c>
      <c r="C16994" s="1">
        <f>HYPERLINK("https://cao.dolgi.msk.ru/account/1011426247/", 1011426247)</f>
        <v>1011426247</v>
      </c>
      <c r="D16994">
        <v>0</v>
      </c>
    </row>
    <row r="16995" spans="1:4" x14ac:dyDescent="0.3">
      <c r="A16995" t="s">
        <v>998</v>
      </c>
      <c r="B16995" t="s">
        <v>130</v>
      </c>
      <c r="C16995" s="1">
        <f>HYPERLINK("https://cao.dolgi.msk.ru/account/1011426562/", 1011426562)</f>
        <v>1011426562</v>
      </c>
      <c r="D16995">
        <v>5888.61</v>
      </c>
    </row>
    <row r="16996" spans="1:4" hidden="1" x14ac:dyDescent="0.3">
      <c r="A16996" t="s">
        <v>998</v>
      </c>
      <c r="B16996" t="s">
        <v>131</v>
      </c>
      <c r="C16996" s="1">
        <f>HYPERLINK("https://cao.dolgi.msk.ru/account/1011426706/", 1011426706)</f>
        <v>1011426706</v>
      </c>
      <c r="D16996">
        <v>0</v>
      </c>
    </row>
    <row r="16997" spans="1:4" hidden="1" x14ac:dyDescent="0.3">
      <c r="A16997" t="s">
        <v>998</v>
      </c>
      <c r="B16997" t="s">
        <v>132</v>
      </c>
      <c r="C16997" s="1">
        <f>HYPERLINK("https://cao.dolgi.msk.ru/account/1011426618/", 1011426618)</f>
        <v>1011426618</v>
      </c>
      <c r="D16997">
        <v>0</v>
      </c>
    </row>
    <row r="16998" spans="1:4" x14ac:dyDescent="0.3">
      <c r="A16998" t="s">
        <v>998</v>
      </c>
      <c r="B16998" t="s">
        <v>133</v>
      </c>
      <c r="C16998" s="1">
        <f>HYPERLINK("https://cao.dolgi.msk.ru/account/1011427223/", 1011427223)</f>
        <v>1011427223</v>
      </c>
      <c r="D16998">
        <v>11980.15</v>
      </c>
    </row>
    <row r="16999" spans="1:4" hidden="1" x14ac:dyDescent="0.3">
      <c r="A16999" t="s">
        <v>998</v>
      </c>
      <c r="B16999" t="s">
        <v>134</v>
      </c>
      <c r="C16999" s="1">
        <f>HYPERLINK("https://cao.dolgi.msk.ru/account/1011426941/", 1011426941)</f>
        <v>1011426941</v>
      </c>
      <c r="D16999">
        <v>-8564.9</v>
      </c>
    </row>
    <row r="17000" spans="1:4" hidden="1" x14ac:dyDescent="0.3">
      <c r="A17000" t="s">
        <v>998</v>
      </c>
      <c r="B17000" t="s">
        <v>135</v>
      </c>
      <c r="C17000" s="1">
        <f>HYPERLINK("https://cao.dolgi.msk.ru/account/1011426343/", 1011426343)</f>
        <v>1011426343</v>
      </c>
      <c r="D17000">
        <v>-10976.04</v>
      </c>
    </row>
    <row r="17001" spans="1:4" hidden="1" x14ac:dyDescent="0.3">
      <c r="A17001" t="s">
        <v>998</v>
      </c>
      <c r="B17001" t="s">
        <v>264</v>
      </c>
      <c r="C17001" s="1">
        <f>HYPERLINK("https://cao.dolgi.msk.ru/account/1011426757/", 1011426757)</f>
        <v>1011426757</v>
      </c>
      <c r="D17001">
        <v>0</v>
      </c>
    </row>
    <row r="17002" spans="1:4" hidden="1" x14ac:dyDescent="0.3">
      <c r="A17002" t="s">
        <v>998</v>
      </c>
      <c r="B17002" t="s">
        <v>136</v>
      </c>
      <c r="C17002" s="1">
        <f>HYPERLINK("https://cao.dolgi.msk.ru/account/1011427696/", 1011427696)</f>
        <v>1011427696</v>
      </c>
      <c r="D17002">
        <v>-7733.05</v>
      </c>
    </row>
    <row r="17003" spans="1:4" hidden="1" x14ac:dyDescent="0.3">
      <c r="A17003" t="s">
        <v>998</v>
      </c>
      <c r="B17003" t="s">
        <v>137</v>
      </c>
      <c r="C17003" s="1">
        <f>HYPERLINK("https://cao.dolgi.msk.ru/account/1011427813/", 1011427813)</f>
        <v>1011427813</v>
      </c>
      <c r="D17003">
        <v>0</v>
      </c>
    </row>
    <row r="17004" spans="1:4" hidden="1" x14ac:dyDescent="0.3">
      <c r="A17004" t="s">
        <v>998</v>
      </c>
      <c r="B17004" t="s">
        <v>138</v>
      </c>
      <c r="C17004" s="1">
        <f>HYPERLINK("https://cao.dolgi.msk.ru/account/1011426124/", 1011426124)</f>
        <v>1011426124</v>
      </c>
      <c r="D17004">
        <v>-3349.49</v>
      </c>
    </row>
    <row r="17005" spans="1:4" hidden="1" x14ac:dyDescent="0.3">
      <c r="A17005" t="s">
        <v>998</v>
      </c>
      <c r="B17005" t="s">
        <v>139</v>
      </c>
      <c r="C17005" s="1">
        <f>HYPERLINK("https://cao.dolgi.msk.ru/account/1011426255/", 1011426255)</f>
        <v>1011426255</v>
      </c>
      <c r="D17005">
        <v>-603.5</v>
      </c>
    </row>
    <row r="17006" spans="1:4" hidden="1" x14ac:dyDescent="0.3">
      <c r="A17006" t="s">
        <v>998</v>
      </c>
      <c r="B17006" t="s">
        <v>140</v>
      </c>
      <c r="C17006" s="1">
        <f>HYPERLINK("https://cao.dolgi.msk.ru/account/1011426212/", 1011426212)</f>
        <v>1011426212</v>
      </c>
      <c r="D17006">
        <v>-596.4</v>
      </c>
    </row>
    <row r="17007" spans="1:4" hidden="1" x14ac:dyDescent="0.3">
      <c r="A17007" t="s">
        <v>998</v>
      </c>
      <c r="B17007" t="s">
        <v>141</v>
      </c>
      <c r="C17007" s="1">
        <f>HYPERLINK("https://cao.dolgi.msk.ru/account/1011426474/", 1011426474)</f>
        <v>1011426474</v>
      </c>
      <c r="D17007">
        <v>0</v>
      </c>
    </row>
    <row r="17008" spans="1:4" x14ac:dyDescent="0.3">
      <c r="A17008" t="s">
        <v>998</v>
      </c>
      <c r="B17008" t="s">
        <v>142</v>
      </c>
      <c r="C17008" s="1">
        <f>HYPERLINK("https://cao.dolgi.msk.ru/account/1011427389/", 1011427389)</f>
        <v>1011427389</v>
      </c>
      <c r="D17008">
        <v>52602.2</v>
      </c>
    </row>
    <row r="17009" spans="1:4" hidden="1" x14ac:dyDescent="0.3">
      <c r="A17009" t="s">
        <v>998</v>
      </c>
      <c r="B17009" t="s">
        <v>144</v>
      </c>
      <c r="C17009" s="1">
        <f>HYPERLINK("https://cao.dolgi.msk.ru/account/1011427653/", 1011427653)</f>
        <v>1011427653</v>
      </c>
      <c r="D17009">
        <v>-13376.14</v>
      </c>
    </row>
    <row r="17010" spans="1:4" hidden="1" x14ac:dyDescent="0.3">
      <c r="A17010" t="s">
        <v>998</v>
      </c>
      <c r="B17010" t="s">
        <v>145</v>
      </c>
      <c r="C17010" s="1">
        <f>HYPERLINK("https://cao.dolgi.msk.ru/account/1011426685/", 1011426685)</f>
        <v>1011426685</v>
      </c>
      <c r="D17010">
        <v>0</v>
      </c>
    </row>
    <row r="17011" spans="1:4" hidden="1" x14ac:dyDescent="0.3">
      <c r="A17011" t="s">
        <v>998</v>
      </c>
      <c r="B17011" t="s">
        <v>146</v>
      </c>
      <c r="C17011" s="1">
        <f>HYPERLINK("https://cao.dolgi.msk.ru/account/1011426239/", 1011426239)</f>
        <v>1011426239</v>
      </c>
      <c r="D17011">
        <v>0</v>
      </c>
    </row>
    <row r="17012" spans="1:4" hidden="1" x14ac:dyDescent="0.3">
      <c r="A17012" t="s">
        <v>998</v>
      </c>
      <c r="B17012" t="s">
        <v>147</v>
      </c>
      <c r="C17012" s="1">
        <f>HYPERLINK("https://cao.dolgi.msk.ru/account/1011427485/", 1011427485)</f>
        <v>1011427485</v>
      </c>
      <c r="D17012">
        <v>-6282.77</v>
      </c>
    </row>
    <row r="17013" spans="1:4" hidden="1" x14ac:dyDescent="0.3">
      <c r="A17013" t="s">
        <v>998</v>
      </c>
      <c r="B17013" t="s">
        <v>148</v>
      </c>
      <c r="C17013" s="1">
        <f>HYPERLINK("https://cao.dolgi.msk.ru/account/1011427522/", 1011427522)</f>
        <v>1011427522</v>
      </c>
      <c r="D17013">
        <v>-10859.72</v>
      </c>
    </row>
    <row r="17014" spans="1:4" hidden="1" x14ac:dyDescent="0.3">
      <c r="A17014" t="s">
        <v>998</v>
      </c>
      <c r="B17014" t="s">
        <v>149</v>
      </c>
      <c r="C17014" s="1">
        <f>HYPERLINK("https://cao.dolgi.msk.ru/account/1011426044/", 1011426044)</f>
        <v>1011426044</v>
      </c>
      <c r="D17014">
        <v>0</v>
      </c>
    </row>
    <row r="17015" spans="1:4" hidden="1" x14ac:dyDescent="0.3">
      <c r="A17015" t="s">
        <v>998</v>
      </c>
      <c r="B17015" t="s">
        <v>150</v>
      </c>
      <c r="C17015" s="1">
        <f>HYPERLINK("https://cao.dolgi.msk.ru/account/1011427397/", 1011427397)</f>
        <v>1011427397</v>
      </c>
      <c r="D17015">
        <v>-14061.26</v>
      </c>
    </row>
    <row r="17016" spans="1:4" hidden="1" x14ac:dyDescent="0.3">
      <c r="A17016" t="s">
        <v>998</v>
      </c>
      <c r="B17016" t="s">
        <v>151</v>
      </c>
      <c r="C17016" s="1">
        <f>HYPERLINK("https://cao.dolgi.msk.ru/account/1011426693/", 1011426693)</f>
        <v>1011426693</v>
      </c>
      <c r="D17016">
        <v>-4752.59</v>
      </c>
    </row>
    <row r="17017" spans="1:4" x14ac:dyDescent="0.3">
      <c r="A17017" t="s">
        <v>998</v>
      </c>
      <c r="B17017" t="s">
        <v>152</v>
      </c>
      <c r="C17017" s="1">
        <f>HYPERLINK("https://cao.dolgi.msk.ru/account/1011426108/", 1011426108)</f>
        <v>1011426108</v>
      </c>
      <c r="D17017">
        <v>7298.73</v>
      </c>
    </row>
    <row r="17018" spans="1:4" hidden="1" x14ac:dyDescent="0.3">
      <c r="A17018" t="s">
        <v>998</v>
      </c>
      <c r="B17018" t="s">
        <v>153</v>
      </c>
      <c r="C17018" s="1">
        <f>HYPERLINK("https://cao.dolgi.msk.ru/account/1011426626/", 1011426626)</f>
        <v>1011426626</v>
      </c>
      <c r="D17018">
        <v>0</v>
      </c>
    </row>
    <row r="17019" spans="1:4" hidden="1" x14ac:dyDescent="0.3">
      <c r="A17019" t="s">
        <v>998</v>
      </c>
      <c r="B17019" t="s">
        <v>154</v>
      </c>
      <c r="C17019" s="1">
        <f>HYPERLINK("https://cao.dolgi.msk.ru/account/1011427506/", 1011427506)</f>
        <v>1011427506</v>
      </c>
      <c r="D17019">
        <v>-8484.34</v>
      </c>
    </row>
    <row r="17020" spans="1:4" hidden="1" x14ac:dyDescent="0.3">
      <c r="A17020" t="s">
        <v>998</v>
      </c>
      <c r="B17020" t="s">
        <v>155</v>
      </c>
      <c r="C17020" s="1">
        <f>HYPERLINK("https://cao.dolgi.msk.ru/account/1011427469/", 1011427469)</f>
        <v>1011427469</v>
      </c>
      <c r="D17020">
        <v>-6123.11</v>
      </c>
    </row>
    <row r="17021" spans="1:4" hidden="1" x14ac:dyDescent="0.3">
      <c r="A17021" t="s">
        <v>998</v>
      </c>
      <c r="B17021" t="s">
        <v>156</v>
      </c>
      <c r="C17021" s="1">
        <f>HYPERLINK("https://cao.dolgi.msk.ru/account/1011427784/", 1011427784)</f>
        <v>1011427784</v>
      </c>
      <c r="D17021">
        <v>0</v>
      </c>
    </row>
    <row r="17022" spans="1:4" hidden="1" x14ac:dyDescent="0.3">
      <c r="A17022" t="s">
        <v>998</v>
      </c>
      <c r="B17022" t="s">
        <v>157</v>
      </c>
      <c r="C17022" s="1">
        <f>HYPERLINK("https://cao.dolgi.msk.ru/account/1011426159/", 1011426159)</f>
        <v>1011426159</v>
      </c>
      <c r="D17022">
        <v>0</v>
      </c>
    </row>
    <row r="17023" spans="1:4" hidden="1" x14ac:dyDescent="0.3">
      <c r="A17023" t="s">
        <v>998</v>
      </c>
      <c r="B17023" t="s">
        <v>158</v>
      </c>
      <c r="C17023" s="1">
        <f>HYPERLINK("https://cao.dolgi.msk.ru/account/1011426271/", 1011426271)</f>
        <v>1011426271</v>
      </c>
      <c r="D17023">
        <v>0</v>
      </c>
    </row>
    <row r="17024" spans="1:4" hidden="1" x14ac:dyDescent="0.3">
      <c r="A17024" t="s">
        <v>998</v>
      </c>
      <c r="B17024" t="s">
        <v>159</v>
      </c>
      <c r="C17024" s="1">
        <f>HYPERLINK("https://cao.dolgi.msk.ru/account/1011426992/", 1011426992)</f>
        <v>1011426992</v>
      </c>
      <c r="D17024">
        <v>-124537.97</v>
      </c>
    </row>
    <row r="17025" spans="1:4" hidden="1" x14ac:dyDescent="0.3">
      <c r="A17025" t="s">
        <v>998</v>
      </c>
      <c r="B17025" t="s">
        <v>160</v>
      </c>
      <c r="C17025" s="1">
        <f>HYPERLINK("https://cao.dolgi.msk.ru/account/1011427266/", 1011427266)</f>
        <v>1011427266</v>
      </c>
      <c r="D17025">
        <v>0</v>
      </c>
    </row>
    <row r="17026" spans="1:4" hidden="1" x14ac:dyDescent="0.3">
      <c r="A17026" t="s">
        <v>998</v>
      </c>
      <c r="B17026" t="s">
        <v>161</v>
      </c>
      <c r="C17026" s="1">
        <f>HYPERLINK("https://cao.dolgi.msk.ru/account/1011427274/", 1011427274)</f>
        <v>1011427274</v>
      </c>
      <c r="D17026">
        <v>0</v>
      </c>
    </row>
    <row r="17027" spans="1:4" hidden="1" x14ac:dyDescent="0.3">
      <c r="A17027" t="s">
        <v>998</v>
      </c>
      <c r="B17027" t="s">
        <v>162</v>
      </c>
      <c r="C17027" s="1">
        <f>HYPERLINK("https://cao.dolgi.msk.ru/account/1011427039/", 1011427039)</f>
        <v>1011427039</v>
      </c>
      <c r="D17027">
        <v>0</v>
      </c>
    </row>
    <row r="17028" spans="1:4" hidden="1" x14ac:dyDescent="0.3">
      <c r="A17028" t="s">
        <v>998</v>
      </c>
      <c r="B17028" t="s">
        <v>163</v>
      </c>
      <c r="C17028" s="1">
        <f>HYPERLINK("https://cao.dolgi.msk.ru/account/1011427362/", 1011427362)</f>
        <v>1011427362</v>
      </c>
      <c r="D17028">
        <v>0</v>
      </c>
    </row>
    <row r="17029" spans="1:4" hidden="1" x14ac:dyDescent="0.3">
      <c r="A17029" t="s">
        <v>998</v>
      </c>
      <c r="B17029" t="s">
        <v>164</v>
      </c>
      <c r="C17029" s="1">
        <f>HYPERLINK("https://cao.dolgi.msk.ru/account/1011426327/", 1011426327)</f>
        <v>1011426327</v>
      </c>
      <c r="D17029">
        <v>0</v>
      </c>
    </row>
    <row r="17030" spans="1:4" hidden="1" x14ac:dyDescent="0.3">
      <c r="A17030" t="s">
        <v>998</v>
      </c>
      <c r="B17030" t="s">
        <v>165</v>
      </c>
      <c r="C17030" s="1">
        <f>HYPERLINK("https://cao.dolgi.msk.ru/account/1011426765/", 1011426765)</f>
        <v>1011426765</v>
      </c>
      <c r="D17030">
        <v>0</v>
      </c>
    </row>
    <row r="17031" spans="1:4" hidden="1" x14ac:dyDescent="0.3">
      <c r="A17031" t="s">
        <v>998</v>
      </c>
      <c r="B17031" t="s">
        <v>166</v>
      </c>
      <c r="C17031" s="1">
        <f>HYPERLINK("https://cao.dolgi.msk.ru/account/1011426386/", 1011426386)</f>
        <v>1011426386</v>
      </c>
      <c r="D17031">
        <v>-10776.45</v>
      </c>
    </row>
    <row r="17032" spans="1:4" hidden="1" x14ac:dyDescent="0.3">
      <c r="A17032" t="s">
        <v>998</v>
      </c>
      <c r="B17032" t="s">
        <v>167</v>
      </c>
      <c r="C17032" s="1">
        <f>HYPERLINK("https://cao.dolgi.msk.ru/account/1011427573/", 1011427573)</f>
        <v>1011427573</v>
      </c>
      <c r="D17032">
        <v>-3784.33</v>
      </c>
    </row>
    <row r="17033" spans="1:4" hidden="1" x14ac:dyDescent="0.3">
      <c r="A17033" t="s">
        <v>998</v>
      </c>
      <c r="B17033" t="s">
        <v>168</v>
      </c>
      <c r="C17033" s="1">
        <f>HYPERLINK("https://cao.dolgi.msk.ru/account/1011426079/", 1011426079)</f>
        <v>1011426079</v>
      </c>
      <c r="D17033">
        <v>0</v>
      </c>
    </row>
    <row r="17034" spans="1:4" hidden="1" x14ac:dyDescent="0.3">
      <c r="A17034" t="s">
        <v>998</v>
      </c>
      <c r="B17034" t="s">
        <v>169</v>
      </c>
      <c r="C17034" s="1">
        <f>HYPERLINK("https://cao.dolgi.msk.ru/account/1011426394/", 1011426394)</f>
        <v>1011426394</v>
      </c>
      <c r="D17034">
        <v>-9036.58</v>
      </c>
    </row>
    <row r="17035" spans="1:4" hidden="1" x14ac:dyDescent="0.3">
      <c r="A17035" t="s">
        <v>998</v>
      </c>
      <c r="B17035" t="s">
        <v>170</v>
      </c>
      <c r="C17035" s="1">
        <f>HYPERLINK("https://cao.dolgi.msk.ru/account/1011426722/", 1011426722)</f>
        <v>1011426722</v>
      </c>
      <c r="D17035">
        <v>-9998.9599999999991</v>
      </c>
    </row>
    <row r="17036" spans="1:4" hidden="1" x14ac:dyDescent="0.3">
      <c r="A17036" t="s">
        <v>998</v>
      </c>
      <c r="B17036" t="s">
        <v>171</v>
      </c>
      <c r="C17036" s="1">
        <f>HYPERLINK("https://cao.dolgi.msk.ru/account/1011427071/", 1011427071)</f>
        <v>1011427071</v>
      </c>
      <c r="D17036">
        <v>-4886.96</v>
      </c>
    </row>
    <row r="17037" spans="1:4" x14ac:dyDescent="0.3">
      <c r="A17037" t="s">
        <v>998</v>
      </c>
      <c r="B17037" t="s">
        <v>172</v>
      </c>
      <c r="C17037" s="1">
        <f>HYPERLINK("https://cao.dolgi.msk.ru/account/1011427434/", 1011427434)</f>
        <v>1011427434</v>
      </c>
      <c r="D17037">
        <v>5958.15</v>
      </c>
    </row>
    <row r="17038" spans="1:4" x14ac:dyDescent="0.3">
      <c r="A17038" t="s">
        <v>998</v>
      </c>
      <c r="B17038" t="s">
        <v>173</v>
      </c>
      <c r="C17038" s="1">
        <f>HYPERLINK("https://cao.dolgi.msk.ru/account/1011427098/", 1011427098)</f>
        <v>1011427098</v>
      </c>
      <c r="D17038">
        <v>11496.05</v>
      </c>
    </row>
    <row r="17039" spans="1:4" hidden="1" x14ac:dyDescent="0.3">
      <c r="A17039" t="s">
        <v>998</v>
      </c>
      <c r="B17039" t="s">
        <v>174</v>
      </c>
      <c r="C17039" s="1">
        <f>HYPERLINK("https://cao.dolgi.msk.ru/account/1011426917/", 1011426917)</f>
        <v>1011426917</v>
      </c>
      <c r="D17039">
        <v>-60979.91</v>
      </c>
    </row>
    <row r="17040" spans="1:4" hidden="1" x14ac:dyDescent="0.3">
      <c r="A17040" t="s">
        <v>998</v>
      </c>
      <c r="B17040" t="s">
        <v>175</v>
      </c>
      <c r="C17040" s="1">
        <f>HYPERLINK("https://cao.dolgi.msk.ru/account/1011427178/", 1011427178)</f>
        <v>1011427178</v>
      </c>
      <c r="D17040">
        <v>-114.59</v>
      </c>
    </row>
    <row r="17041" spans="1:4" hidden="1" x14ac:dyDescent="0.3">
      <c r="A17041" t="s">
        <v>998</v>
      </c>
      <c r="B17041" t="s">
        <v>176</v>
      </c>
      <c r="C17041" s="1">
        <f>HYPERLINK("https://cao.dolgi.msk.ru/account/1011508066/", 1011508066)</f>
        <v>1011508066</v>
      </c>
      <c r="D17041">
        <v>-0.32</v>
      </c>
    </row>
    <row r="17042" spans="1:4" hidden="1" x14ac:dyDescent="0.3">
      <c r="A17042" t="s">
        <v>998</v>
      </c>
      <c r="B17042" t="s">
        <v>177</v>
      </c>
      <c r="C17042" s="1">
        <f>HYPERLINK("https://cao.dolgi.msk.ru/account/1011510182/", 1011510182)</f>
        <v>1011510182</v>
      </c>
      <c r="D17042">
        <v>0</v>
      </c>
    </row>
    <row r="17043" spans="1:4" hidden="1" x14ac:dyDescent="0.3">
      <c r="A17043" t="s">
        <v>998</v>
      </c>
      <c r="B17043" t="s">
        <v>178</v>
      </c>
      <c r="C17043" s="1">
        <f>HYPERLINK("https://cao.dolgi.msk.ru/account/1011426298/", 1011426298)</f>
        <v>1011426298</v>
      </c>
      <c r="D17043">
        <v>-63192.77</v>
      </c>
    </row>
    <row r="17044" spans="1:4" x14ac:dyDescent="0.3">
      <c r="A17044" t="s">
        <v>998</v>
      </c>
      <c r="B17044" t="s">
        <v>179</v>
      </c>
      <c r="C17044" s="1">
        <f>HYPERLINK("https://cao.dolgi.msk.ru/account/1011530781/", 1011530781)</f>
        <v>1011530781</v>
      </c>
      <c r="D17044">
        <v>20331.599999999999</v>
      </c>
    </row>
    <row r="17045" spans="1:4" x14ac:dyDescent="0.3">
      <c r="A17045" t="s">
        <v>998</v>
      </c>
      <c r="B17045" t="s">
        <v>273</v>
      </c>
      <c r="C17045" s="1">
        <f>HYPERLINK("https://cao.dolgi.msk.ru/account/1011427514/", 1011427514)</f>
        <v>1011427514</v>
      </c>
      <c r="D17045">
        <v>4978.3999999999996</v>
      </c>
    </row>
    <row r="17046" spans="1:4" hidden="1" x14ac:dyDescent="0.3">
      <c r="A17046" t="s">
        <v>998</v>
      </c>
      <c r="B17046" t="s">
        <v>180</v>
      </c>
      <c r="C17046" s="1">
        <f>HYPERLINK("https://cao.dolgi.msk.ru/account/1011510481/", 1011510481)</f>
        <v>1011510481</v>
      </c>
      <c r="D17046">
        <v>-129.9</v>
      </c>
    </row>
    <row r="17047" spans="1:4" hidden="1" x14ac:dyDescent="0.3">
      <c r="A17047" t="s">
        <v>999</v>
      </c>
      <c r="B17047" t="s">
        <v>6</v>
      </c>
      <c r="C17047" s="1">
        <f>HYPERLINK("https://cao.dolgi.msk.ru/account/1011443135/", 1011443135)</f>
        <v>1011443135</v>
      </c>
      <c r="D17047">
        <v>0</v>
      </c>
    </row>
    <row r="17048" spans="1:4" x14ac:dyDescent="0.3">
      <c r="A17048" t="s">
        <v>999</v>
      </c>
      <c r="B17048" t="s">
        <v>28</v>
      </c>
      <c r="C17048" s="1">
        <f>HYPERLINK("https://cao.dolgi.msk.ru/account/1011443805/", 1011443805)</f>
        <v>1011443805</v>
      </c>
      <c r="D17048">
        <v>50887.35</v>
      </c>
    </row>
    <row r="17049" spans="1:4" x14ac:dyDescent="0.3">
      <c r="A17049" t="s">
        <v>999</v>
      </c>
      <c r="B17049" t="s">
        <v>35</v>
      </c>
      <c r="C17049" s="1">
        <f>HYPERLINK("https://cao.dolgi.msk.ru/account/1011442714/", 1011442714)</f>
        <v>1011442714</v>
      </c>
      <c r="D17049">
        <v>604521.93000000005</v>
      </c>
    </row>
    <row r="17050" spans="1:4" x14ac:dyDescent="0.3">
      <c r="A17050" t="s">
        <v>999</v>
      </c>
      <c r="B17050" t="s">
        <v>35</v>
      </c>
      <c r="C17050" s="1">
        <f>HYPERLINK("https://cao.dolgi.msk.ru/account/1011442917/", 1011442917)</f>
        <v>1011442917</v>
      </c>
      <c r="D17050">
        <v>104137.94</v>
      </c>
    </row>
    <row r="17051" spans="1:4" x14ac:dyDescent="0.3">
      <c r="A17051" t="s">
        <v>999</v>
      </c>
      <c r="B17051" t="s">
        <v>5</v>
      </c>
      <c r="C17051" s="1">
        <f>HYPERLINK("https://cao.dolgi.msk.ru/account/1011444031/", 1011444031)</f>
        <v>1011444031</v>
      </c>
      <c r="D17051">
        <v>5746.18</v>
      </c>
    </row>
    <row r="17052" spans="1:4" hidden="1" x14ac:dyDescent="0.3">
      <c r="A17052" t="s">
        <v>999</v>
      </c>
      <c r="B17052" t="s">
        <v>7</v>
      </c>
      <c r="C17052" s="1">
        <f>HYPERLINK("https://cao.dolgi.msk.ru/account/1011442888/", 1011442888)</f>
        <v>1011442888</v>
      </c>
      <c r="D17052">
        <v>0</v>
      </c>
    </row>
    <row r="17053" spans="1:4" hidden="1" x14ac:dyDescent="0.3">
      <c r="A17053" t="s">
        <v>999</v>
      </c>
      <c r="B17053" t="s">
        <v>8</v>
      </c>
      <c r="C17053" s="1">
        <f>HYPERLINK("https://cao.dolgi.msk.ru/account/1011444007/", 1011444007)</f>
        <v>1011444007</v>
      </c>
      <c r="D17053">
        <v>0</v>
      </c>
    </row>
    <row r="17054" spans="1:4" hidden="1" x14ac:dyDescent="0.3">
      <c r="A17054" t="s">
        <v>999</v>
      </c>
      <c r="B17054" t="s">
        <v>31</v>
      </c>
      <c r="C17054" s="1">
        <f>HYPERLINK("https://cao.dolgi.msk.ru/account/1011442634/", 1011442634)</f>
        <v>1011442634</v>
      </c>
      <c r="D17054">
        <v>-840.27</v>
      </c>
    </row>
    <row r="17055" spans="1:4" hidden="1" x14ac:dyDescent="0.3">
      <c r="A17055" t="s">
        <v>999</v>
      </c>
      <c r="B17055" t="s">
        <v>9</v>
      </c>
      <c r="C17055" s="1">
        <f>HYPERLINK("https://cao.dolgi.msk.ru/account/1011444146/", 1011444146)</f>
        <v>1011444146</v>
      </c>
      <c r="D17055">
        <v>-14784.81</v>
      </c>
    </row>
    <row r="17056" spans="1:4" x14ac:dyDescent="0.3">
      <c r="A17056" t="s">
        <v>999</v>
      </c>
      <c r="B17056" t="s">
        <v>16</v>
      </c>
      <c r="C17056" s="1">
        <f>HYPERLINK("https://cao.dolgi.msk.ru/account/1011442829/", 1011442829)</f>
        <v>1011442829</v>
      </c>
      <c r="D17056">
        <v>3943.09</v>
      </c>
    </row>
    <row r="17057" spans="1:4" hidden="1" x14ac:dyDescent="0.3">
      <c r="A17057" t="s">
        <v>999</v>
      </c>
      <c r="B17057" t="s">
        <v>16</v>
      </c>
      <c r="C17057" s="1">
        <f>HYPERLINK("https://cao.dolgi.msk.ru/account/1011442925/", 1011442925)</f>
        <v>1011442925</v>
      </c>
      <c r="D17057">
        <v>-405.07</v>
      </c>
    </row>
    <row r="17058" spans="1:4" hidden="1" x14ac:dyDescent="0.3">
      <c r="A17058" t="s">
        <v>999</v>
      </c>
      <c r="B17058" t="s">
        <v>16</v>
      </c>
      <c r="C17058" s="1">
        <f>HYPERLINK("https://cao.dolgi.msk.ru/account/1011443223/", 1011443223)</f>
        <v>1011443223</v>
      </c>
      <c r="D17058">
        <v>-1340.1</v>
      </c>
    </row>
    <row r="17059" spans="1:4" hidden="1" x14ac:dyDescent="0.3">
      <c r="A17059" t="s">
        <v>999</v>
      </c>
      <c r="B17059" t="s">
        <v>16</v>
      </c>
      <c r="C17059" s="1">
        <f>HYPERLINK("https://cao.dolgi.msk.ru/account/1011443311/", 1011443311)</f>
        <v>1011443311</v>
      </c>
      <c r="D17059">
        <v>-2364.5100000000002</v>
      </c>
    </row>
    <row r="17060" spans="1:4" hidden="1" x14ac:dyDescent="0.3">
      <c r="A17060" t="s">
        <v>999</v>
      </c>
      <c r="B17060" t="s">
        <v>16</v>
      </c>
      <c r="C17060" s="1">
        <f>HYPERLINK("https://cao.dolgi.msk.ru/account/1011443565/", 1011443565)</f>
        <v>1011443565</v>
      </c>
      <c r="D17060">
        <v>0</v>
      </c>
    </row>
    <row r="17061" spans="1:4" hidden="1" x14ac:dyDescent="0.3">
      <c r="A17061" t="s">
        <v>999</v>
      </c>
      <c r="B17061" t="s">
        <v>17</v>
      </c>
      <c r="C17061" s="1">
        <f>HYPERLINK("https://cao.dolgi.msk.ru/account/1011442562/", 1011442562)</f>
        <v>1011442562</v>
      </c>
      <c r="D17061">
        <v>-5514.35</v>
      </c>
    </row>
    <row r="17062" spans="1:4" hidden="1" x14ac:dyDescent="0.3">
      <c r="A17062" t="s">
        <v>999</v>
      </c>
      <c r="B17062" t="s">
        <v>17</v>
      </c>
      <c r="C17062" s="1">
        <f>HYPERLINK("https://cao.dolgi.msk.ru/account/1011442626/", 1011442626)</f>
        <v>1011442626</v>
      </c>
      <c r="D17062">
        <v>0</v>
      </c>
    </row>
    <row r="17063" spans="1:4" hidden="1" x14ac:dyDescent="0.3">
      <c r="A17063" t="s">
        <v>999</v>
      </c>
      <c r="B17063" t="s">
        <v>17</v>
      </c>
      <c r="C17063" s="1">
        <f>HYPERLINK("https://cao.dolgi.msk.ru/account/1011442773/", 1011442773)</f>
        <v>1011442773</v>
      </c>
      <c r="D17063">
        <v>-1056.67</v>
      </c>
    </row>
    <row r="17064" spans="1:4" x14ac:dyDescent="0.3">
      <c r="A17064" t="s">
        <v>999</v>
      </c>
      <c r="B17064" t="s">
        <v>17</v>
      </c>
      <c r="C17064" s="1">
        <f>HYPERLINK("https://cao.dolgi.msk.ru/account/1011442992/", 1011442992)</f>
        <v>1011442992</v>
      </c>
      <c r="D17064">
        <v>3049.31</v>
      </c>
    </row>
    <row r="17065" spans="1:4" hidden="1" x14ac:dyDescent="0.3">
      <c r="A17065" t="s">
        <v>999</v>
      </c>
      <c r="B17065" t="s">
        <v>17</v>
      </c>
      <c r="C17065" s="1">
        <f>HYPERLINK("https://cao.dolgi.msk.ru/account/1011443012/", 1011443012)</f>
        <v>1011443012</v>
      </c>
      <c r="D17065">
        <v>0</v>
      </c>
    </row>
    <row r="17066" spans="1:4" x14ac:dyDescent="0.3">
      <c r="A17066" t="s">
        <v>999</v>
      </c>
      <c r="B17066" t="s">
        <v>17</v>
      </c>
      <c r="C17066" s="1">
        <f>HYPERLINK("https://cao.dolgi.msk.ru/account/1011443178/", 1011443178)</f>
        <v>1011443178</v>
      </c>
      <c r="D17066">
        <v>200583.12</v>
      </c>
    </row>
    <row r="17067" spans="1:4" hidden="1" x14ac:dyDescent="0.3">
      <c r="A17067" t="s">
        <v>999</v>
      </c>
      <c r="B17067" t="s">
        <v>17</v>
      </c>
      <c r="C17067" s="1">
        <f>HYPERLINK("https://cao.dolgi.msk.ru/account/1011444082/", 1011444082)</f>
        <v>1011444082</v>
      </c>
      <c r="D17067">
        <v>-2198.8000000000002</v>
      </c>
    </row>
    <row r="17068" spans="1:4" x14ac:dyDescent="0.3">
      <c r="A17068" t="s">
        <v>999</v>
      </c>
      <c r="B17068" t="s">
        <v>17</v>
      </c>
      <c r="C17068" s="1">
        <f>HYPERLINK("https://cao.dolgi.msk.ru/account/1011444103/", 1011444103)</f>
        <v>1011444103</v>
      </c>
      <c r="D17068">
        <v>399794.16</v>
      </c>
    </row>
    <row r="17069" spans="1:4" hidden="1" x14ac:dyDescent="0.3">
      <c r="A17069" t="s">
        <v>999</v>
      </c>
      <c r="B17069" t="s">
        <v>18</v>
      </c>
      <c r="C17069" s="1">
        <f>HYPERLINK("https://cao.dolgi.msk.ru/account/1011442677/", 1011442677)</f>
        <v>1011442677</v>
      </c>
      <c r="D17069">
        <v>0</v>
      </c>
    </row>
    <row r="17070" spans="1:4" x14ac:dyDescent="0.3">
      <c r="A17070" t="s">
        <v>999</v>
      </c>
      <c r="B17070" t="s">
        <v>19</v>
      </c>
      <c r="C17070" s="1">
        <f>HYPERLINK("https://cao.dolgi.msk.ru/account/1011443856/", 1011443856)</f>
        <v>1011443856</v>
      </c>
      <c r="D17070">
        <v>282294.68</v>
      </c>
    </row>
    <row r="17071" spans="1:4" hidden="1" x14ac:dyDescent="0.3">
      <c r="A17071" t="s">
        <v>999</v>
      </c>
      <c r="B17071" t="s">
        <v>20</v>
      </c>
      <c r="C17071" s="1">
        <f>HYPERLINK("https://cao.dolgi.msk.ru/account/1011443119/", 1011443119)</f>
        <v>1011443119</v>
      </c>
      <c r="D17071">
        <v>0</v>
      </c>
    </row>
    <row r="17072" spans="1:4" hidden="1" x14ac:dyDescent="0.3">
      <c r="A17072" t="s">
        <v>999</v>
      </c>
      <c r="B17072" t="s">
        <v>20</v>
      </c>
      <c r="C17072" s="1">
        <f>HYPERLINK("https://cao.dolgi.msk.ru/account/1011443696/", 1011443696)</f>
        <v>1011443696</v>
      </c>
      <c r="D17072">
        <v>0</v>
      </c>
    </row>
    <row r="17073" spans="1:4" hidden="1" x14ac:dyDescent="0.3">
      <c r="A17073" t="s">
        <v>999</v>
      </c>
      <c r="B17073" t="s">
        <v>20</v>
      </c>
      <c r="C17073" s="1">
        <f>HYPERLINK("https://cao.dolgi.msk.ru/account/1011443709/", 1011443709)</f>
        <v>1011443709</v>
      </c>
      <c r="D17073">
        <v>-1841.51</v>
      </c>
    </row>
    <row r="17074" spans="1:4" hidden="1" x14ac:dyDescent="0.3">
      <c r="A17074" t="s">
        <v>999</v>
      </c>
      <c r="B17074" t="s">
        <v>20</v>
      </c>
      <c r="C17074" s="1">
        <f>HYPERLINK("https://cao.dolgi.msk.ru/account/1011443768/", 1011443768)</f>
        <v>1011443768</v>
      </c>
      <c r="D17074">
        <v>0</v>
      </c>
    </row>
    <row r="17075" spans="1:4" hidden="1" x14ac:dyDescent="0.3">
      <c r="A17075" t="s">
        <v>999</v>
      </c>
      <c r="B17075" t="s">
        <v>21</v>
      </c>
      <c r="C17075" s="1">
        <f>HYPERLINK("https://cao.dolgi.msk.ru/account/1011442669/", 1011442669)</f>
        <v>1011442669</v>
      </c>
      <c r="D17075">
        <v>-2799.89</v>
      </c>
    </row>
    <row r="17076" spans="1:4" hidden="1" x14ac:dyDescent="0.3">
      <c r="A17076" t="s">
        <v>999</v>
      </c>
      <c r="B17076" t="s">
        <v>21</v>
      </c>
      <c r="C17076" s="1">
        <f>HYPERLINK("https://cao.dolgi.msk.ru/account/1011443004/", 1011443004)</f>
        <v>1011443004</v>
      </c>
      <c r="D17076">
        <v>-2782.32</v>
      </c>
    </row>
    <row r="17077" spans="1:4" x14ac:dyDescent="0.3">
      <c r="A17077" t="s">
        <v>999</v>
      </c>
      <c r="B17077" t="s">
        <v>21</v>
      </c>
      <c r="C17077" s="1">
        <f>HYPERLINK("https://cao.dolgi.msk.ru/account/1011443231/", 1011443231)</f>
        <v>1011443231</v>
      </c>
      <c r="D17077">
        <v>65898.22</v>
      </c>
    </row>
    <row r="17078" spans="1:4" hidden="1" x14ac:dyDescent="0.3">
      <c r="A17078" t="s">
        <v>999</v>
      </c>
      <c r="B17078" t="s">
        <v>21</v>
      </c>
      <c r="C17078" s="1">
        <f>HYPERLINK("https://cao.dolgi.msk.ru/account/1011443354/", 1011443354)</f>
        <v>1011443354</v>
      </c>
      <c r="D17078">
        <v>0</v>
      </c>
    </row>
    <row r="17079" spans="1:4" hidden="1" x14ac:dyDescent="0.3">
      <c r="A17079" t="s">
        <v>999</v>
      </c>
      <c r="B17079" t="s">
        <v>21</v>
      </c>
      <c r="C17079" s="1">
        <f>HYPERLINK("https://cao.dolgi.msk.ru/account/1011443688/", 1011443688)</f>
        <v>1011443688</v>
      </c>
      <c r="D17079">
        <v>0</v>
      </c>
    </row>
    <row r="17080" spans="1:4" hidden="1" x14ac:dyDescent="0.3">
      <c r="A17080" t="s">
        <v>999</v>
      </c>
      <c r="B17080" t="s">
        <v>21</v>
      </c>
      <c r="C17080" s="1">
        <f>HYPERLINK("https://cao.dolgi.msk.ru/account/1011443776/", 1011443776)</f>
        <v>1011443776</v>
      </c>
      <c r="D17080">
        <v>0</v>
      </c>
    </row>
    <row r="17081" spans="1:4" hidden="1" x14ac:dyDescent="0.3">
      <c r="A17081" t="s">
        <v>999</v>
      </c>
      <c r="B17081" t="s">
        <v>21</v>
      </c>
      <c r="C17081" s="1">
        <f>HYPERLINK("https://cao.dolgi.msk.ru/account/1011443872/", 1011443872)</f>
        <v>1011443872</v>
      </c>
      <c r="D17081">
        <v>0</v>
      </c>
    </row>
    <row r="17082" spans="1:4" hidden="1" x14ac:dyDescent="0.3">
      <c r="A17082" t="s">
        <v>999</v>
      </c>
      <c r="B17082" t="s">
        <v>25</v>
      </c>
      <c r="C17082" s="1">
        <f>HYPERLINK("https://cao.dolgi.msk.ru/account/1011443899/", 1011443899)</f>
        <v>1011443899</v>
      </c>
      <c r="D17082">
        <v>0</v>
      </c>
    </row>
    <row r="17083" spans="1:4" hidden="1" x14ac:dyDescent="0.3">
      <c r="A17083" t="s">
        <v>999</v>
      </c>
      <c r="B17083" t="s">
        <v>37</v>
      </c>
      <c r="C17083" s="1">
        <f>HYPERLINK("https://cao.dolgi.msk.ru/account/1011442685/", 1011442685)</f>
        <v>1011442685</v>
      </c>
      <c r="D17083">
        <v>0</v>
      </c>
    </row>
    <row r="17084" spans="1:4" hidden="1" x14ac:dyDescent="0.3">
      <c r="A17084" t="s">
        <v>999</v>
      </c>
      <c r="B17084" t="s">
        <v>27</v>
      </c>
      <c r="C17084" s="1">
        <f>HYPERLINK("https://cao.dolgi.msk.ru/account/1011442642/", 1011442642)</f>
        <v>1011442642</v>
      </c>
      <c r="D17084">
        <v>0</v>
      </c>
    </row>
    <row r="17085" spans="1:4" hidden="1" x14ac:dyDescent="0.3">
      <c r="A17085" t="s">
        <v>999</v>
      </c>
      <c r="B17085" t="s">
        <v>27</v>
      </c>
      <c r="C17085" s="1">
        <f>HYPERLINK("https://cao.dolgi.msk.ru/account/1011442757/", 1011442757)</f>
        <v>1011442757</v>
      </c>
      <c r="D17085">
        <v>-1774.22</v>
      </c>
    </row>
    <row r="17086" spans="1:4" hidden="1" x14ac:dyDescent="0.3">
      <c r="A17086" t="s">
        <v>999</v>
      </c>
      <c r="B17086" t="s">
        <v>27</v>
      </c>
      <c r="C17086" s="1">
        <f>HYPERLINK("https://cao.dolgi.msk.ru/account/1011443493/", 1011443493)</f>
        <v>1011443493</v>
      </c>
      <c r="D17086">
        <v>-144.1</v>
      </c>
    </row>
    <row r="17087" spans="1:4" hidden="1" x14ac:dyDescent="0.3">
      <c r="A17087" t="s">
        <v>999</v>
      </c>
      <c r="B17087" t="s">
        <v>27</v>
      </c>
      <c r="C17087" s="1">
        <f>HYPERLINK("https://cao.dolgi.msk.ru/account/1011443557/", 1011443557)</f>
        <v>1011443557</v>
      </c>
      <c r="D17087">
        <v>-654.83000000000004</v>
      </c>
    </row>
    <row r="17088" spans="1:4" hidden="1" x14ac:dyDescent="0.3">
      <c r="A17088" t="s">
        <v>999</v>
      </c>
      <c r="B17088" t="s">
        <v>27</v>
      </c>
      <c r="C17088" s="1">
        <f>HYPERLINK("https://cao.dolgi.msk.ru/account/1011443792/", 1011443792)</f>
        <v>1011443792</v>
      </c>
      <c r="D17088">
        <v>0</v>
      </c>
    </row>
    <row r="17089" spans="1:4" hidden="1" x14ac:dyDescent="0.3">
      <c r="A17089" t="s">
        <v>999</v>
      </c>
      <c r="B17089" t="s">
        <v>27</v>
      </c>
      <c r="C17089" s="1">
        <f>HYPERLINK("https://cao.dolgi.msk.ru/account/1011443848/", 1011443848)</f>
        <v>1011443848</v>
      </c>
      <c r="D17089">
        <v>0</v>
      </c>
    </row>
    <row r="17090" spans="1:4" hidden="1" x14ac:dyDescent="0.3">
      <c r="A17090" t="s">
        <v>999</v>
      </c>
      <c r="B17090" t="s">
        <v>27</v>
      </c>
      <c r="C17090" s="1">
        <f>HYPERLINK("https://cao.dolgi.msk.ru/account/1011526061/", 1011526061)</f>
        <v>1011526061</v>
      </c>
      <c r="D17090">
        <v>0</v>
      </c>
    </row>
    <row r="17091" spans="1:4" hidden="1" x14ac:dyDescent="0.3">
      <c r="A17091" t="s">
        <v>999</v>
      </c>
      <c r="B17091" t="s">
        <v>29</v>
      </c>
      <c r="C17091" s="1">
        <f>HYPERLINK("https://cao.dolgi.msk.ru/account/1011443071/", 1011443071)</f>
        <v>1011443071</v>
      </c>
      <c r="D17091">
        <v>-21473.24</v>
      </c>
    </row>
    <row r="17092" spans="1:4" x14ac:dyDescent="0.3">
      <c r="A17092" t="s">
        <v>999</v>
      </c>
      <c r="B17092" t="s">
        <v>38</v>
      </c>
      <c r="C17092" s="1">
        <f>HYPERLINK("https://cao.dolgi.msk.ru/account/1011444138/", 1011444138)</f>
        <v>1011444138</v>
      </c>
      <c r="D17092">
        <v>292647.36</v>
      </c>
    </row>
    <row r="17093" spans="1:4" hidden="1" x14ac:dyDescent="0.3">
      <c r="A17093" t="s">
        <v>999</v>
      </c>
      <c r="B17093" t="s">
        <v>39</v>
      </c>
      <c r="C17093" s="1">
        <f>HYPERLINK("https://cao.dolgi.msk.ru/account/1011443063/", 1011443063)</f>
        <v>1011443063</v>
      </c>
      <c r="D17093">
        <v>0</v>
      </c>
    </row>
    <row r="17094" spans="1:4" hidden="1" x14ac:dyDescent="0.3">
      <c r="A17094" t="s">
        <v>999</v>
      </c>
      <c r="B17094" t="s">
        <v>40</v>
      </c>
      <c r="C17094" s="1">
        <f>HYPERLINK("https://cao.dolgi.msk.ru/account/1011443397/", 1011443397)</f>
        <v>1011443397</v>
      </c>
      <c r="D17094">
        <v>0</v>
      </c>
    </row>
    <row r="17095" spans="1:4" hidden="1" x14ac:dyDescent="0.3">
      <c r="A17095" t="s">
        <v>999</v>
      </c>
      <c r="B17095" t="s">
        <v>41</v>
      </c>
      <c r="C17095" s="1">
        <f>HYPERLINK("https://cao.dolgi.msk.ru/account/1011443645/", 1011443645)</f>
        <v>1011443645</v>
      </c>
      <c r="D17095">
        <v>0</v>
      </c>
    </row>
    <row r="17096" spans="1:4" hidden="1" x14ac:dyDescent="0.3">
      <c r="A17096" t="s">
        <v>999</v>
      </c>
      <c r="B17096" t="s">
        <v>51</v>
      </c>
      <c r="C17096" s="1">
        <f>HYPERLINK("https://cao.dolgi.msk.ru/account/1011442693/", 1011442693)</f>
        <v>1011442693</v>
      </c>
      <c r="D17096">
        <v>-13068.24</v>
      </c>
    </row>
    <row r="17097" spans="1:4" x14ac:dyDescent="0.3">
      <c r="A17097" t="s">
        <v>999</v>
      </c>
      <c r="B17097" t="s">
        <v>52</v>
      </c>
      <c r="C17097" s="1">
        <f>HYPERLINK("https://cao.dolgi.msk.ru/account/1011443194/", 1011443194)</f>
        <v>1011443194</v>
      </c>
      <c r="D17097">
        <v>2269.2600000000002</v>
      </c>
    </row>
    <row r="17098" spans="1:4" x14ac:dyDescent="0.3">
      <c r="A17098" t="s">
        <v>999</v>
      </c>
      <c r="B17098" t="s">
        <v>52</v>
      </c>
      <c r="C17098" s="1">
        <f>HYPERLINK("https://cao.dolgi.msk.ru/account/1011443362/", 1011443362)</f>
        <v>1011443362</v>
      </c>
      <c r="D17098">
        <v>9943.4</v>
      </c>
    </row>
    <row r="17099" spans="1:4" x14ac:dyDescent="0.3">
      <c r="A17099" t="s">
        <v>999</v>
      </c>
      <c r="B17099" t="s">
        <v>52</v>
      </c>
      <c r="C17099" s="1">
        <f>HYPERLINK("https://cao.dolgi.msk.ru/account/1011443944/", 1011443944)</f>
        <v>1011443944</v>
      </c>
      <c r="D17099">
        <v>1492.8</v>
      </c>
    </row>
    <row r="17100" spans="1:4" hidden="1" x14ac:dyDescent="0.3">
      <c r="A17100" t="s">
        <v>999</v>
      </c>
      <c r="B17100" t="s">
        <v>55</v>
      </c>
      <c r="C17100" s="1">
        <f>HYPERLINK("https://cao.dolgi.msk.ru/account/1011443258/", 1011443258)</f>
        <v>1011443258</v>
      </c>
      <c r="D17100">
        <v>0</v>
      </c>
    </row>
    <row r="17101" spans="1:4" hidden="1" x14ac:dyDescent="0.3">
      <c r="A17101" t="s">
        <v>999</v>
      </c>
      <c r="B17101" t="s">
        <v>56</v>
      </c>
      <c r="C17101" s="1">
        <f>HYPERLINK("https://cao.dolgi.msk.ru/account/1011444074/", 1011444074)</f>
        <v>1011444074</v>
      </c>
      <c r="D17101">
        <v>-7945.23</v>
      </c>
    </row>
    <row r="17102" spans="1:4" x14ac:dyDescent="0.3">
      <c r="A17102" t="s">
        <v>999</v>
      </c>
      <c r="B17102" t="s">
        <v>87</v>
      </c>
      <c r="C17102" s="1">
        <f>HYPERLINK("https://cao.dolgi.msk.ru/account/1011443653/", 1011443653)</f>
        <v>1011443653</v>
      </c>
      <c r="D17102">
        <v>21345.22</v>
      </c>
    </row>
    <row r="17103" spans="1:4" hidden="1" x14ac:dyDescent="0.3">
      <c r="A17103" t="s">
        <v>999</v>
      </c>
      <c r="B17103" t="s">
        <v>87</v>
      </c>
      <c r="C17103" s="1">
        <f>HYPERLINK("https://cao.dolgi.msk.ru/account/1011541237/", 1011541237)</f>
        <v>1011541237</v>
      </c>
      <c r="D17103">
        <v>0</v>
      </c>
    </row>
    <row r="17104" spans="1:4" hidden="1" x14ac:dyDescent="0.3">
      <c r="A17104" t="s">
        <v>999</v>
      </c>
      <c r="B17104" t="s">
        <v>88</v>
      </c>
      <c r="C17104" s="1">
        <f>HYPERLINK("https://cao.dolgi.msk.ru/account/1011442837/", 1011442837)</f>
        <v>1011442837</v>
      </c>
      <c r="D17104">
        <v>0</v>
      </c>
    </row>
    <row r="17105" spans="1:4" hidden="1" x14ac:dyDescent="0.3">
      <c r="A17105" t="s">
        <v>999</v>
      </c>
      <c r="B17105" t="s">
        <v>89</v>
      </c>
      <c r="C17105" s="1">
        <f>HYPERLINK("https://cao.dolgi.msk.ru/account/1011443442/", 1011443442)</f>
        <v>1011443442</v>
      </c>
      <c r="D17105">
        <v>-7436.05</v>
      </c>
    </row>
    <row r="17106" spans="1:4" x14ac:dyDescent="0.3">
      <c r="A17106" t="s">
        <v>999</v>
      </c>
      <c r="B17106" t="s">
        <v>90</v>
      </c>
      <c r="C17106" s="1">
        <f>HYPERLINK("https://cao.dolgi.msk.ru/account/1011443266/", 1011443266)</f>
        <v>1011443266</v>
      </c>
      <c r="D17106">
        <v>3684.62</v>
      </c>
    </row>
    <row r="17107" spans="1:4" hidden="1" x14ac:dyDescent="0.3">
      <c r="A17107" t="s">
        <v>999</v>
      </c>
      <c r="B17107" t="s">
        <v>90</v>
      </c>
      <c r="C17107" s="1">
        <f>HYPERLINK("https://cao.dolgi.msk.ru/account/1011444111/", 1011444111)</f>
        <v>1011444111</v>
      </c>
      <c r="D17107">
        <v>-9067.3799999999992</v>
      </c>
    </row>
    <row r="17108" spans="1:4" x14ac:dyDescent="0.3">
      <c r="A17108" t="s">
        <v>999</v>
      </c>
      <c r="B17108" t="s">
        <v>90</v>
      </c>
      <c r="C17108" s="1">
        <f>HYPERLINK("https://cao.dolgi.msk.ru/account/1011538951/", 1011538951)</f>
        <v>1011538951</v>
      </c>
      <c r="D17108">
        <v>15276.25</v>
      </c>
    </row>
    <row r="17109" spans="1:4" hidden="1" x14ac:dyDescent="0.3">
      <c r="A17109" t="s">
        <v>999</v>
      </c>
      <c r="B17109" t="s">
        <v>90</v>
      </c>
      <c r="C17109" s="1">
        <f>HYPERLINK("https://cao.dolgi.msk.ru/account/1011539911/", 1011539911)</f>
        <v>1011539911</v>
      </c>
      <c r="D17109">
        <v>-1505.19</v>
      </c>
    </row>
    <row r="17110" spans="1:4" hidden="1" x14ac:dyDescent="0.3">
      <c r="A17110" t="s">
        <v>999</v>
      </c>
      <c r="B17110" t="s">
        <v>96</v>
      </c>
      <c r="C17110" s="1">
        <f>HYPERLINK("https://cao.dolgi.msk.ru/account/1011442722/", 1011442722)</f>
        <v>1011442722</v>
      </c>
      <c r="D17110">
        <v>0</v>
      </c>
    </row>
    <row r="17111" spans="1:4" hidden="1" x14ac:dyDescent="0.3">
      <c r="A17111" t="s">
        <v>999</v>
      </c>
      <c r="B17111" t="s">
        <v>96</v>
      </c>
      <c r="C17111" s="1">
        <f>HYPERLINK("https://cao.dolgi.msk.ru/account/1011443207/", 1011443207)</f>
        <v>1011443207</v>
      </c>
      <c r="D17111">
        <v>0</v>
      </c>
    </row>
    <row r="17112" spans="1:4" hidden="1" x14ac:dyDescent="0.3">
      <c r="A17112" t="s">
        <v>999</v>
      </c>
      <c r="B17112" t="s">
        <v>96</v>
      </c>
      <c r="C17112" s="1">
        <f>HYPERLINK("https://cao.dolgi.msk.ru/account/1011507717/", 1011507717)</f>
        <v>1011507717</v>
      </c>
      <c r="D17112">
        <v>0</v>
      </c>
    </row>
    <row r="17113" spans="1:4" hidden="1" x14ac:dyDescent="0.3">
      <c r="A17113" t="s">
        <v>999</v>
      </c>
      <c r="B17113" t="s">
        <v>97</v>
      </c>
      <c r="C17113" s="1">
        <f>HYPERLINK("https://cao.dolgi.msk.ru/account/1011443506/", 1011443506)</f>
        <v>1011443506</v>
      </c>
      <c r="D17113">
        <v>-15296.34</v>
      </c>
    </row>
    <row r="17114" spans="1:4" hidden="1" x14ac:dyDescent="0.3">
      <c r="A17114" t="s">
        <v>999</v>
      </c>
      <c r="B17114" t="s">
        <v>98</v>
      </c>
      <c r="C17114" s="1">
        <f>HYPERLINK("https://cao.dolgi.msk.ru/account/1011442597/", 1011442597)</f>
        <v>1011442597</v>
      </c>
      <c r="D17114">
        <v>-341.16</v>
      </c>
    </row>
    <row r="17115" spans="1:4" hidden="1" x14ac:dyDescent="0.3">
      <c r="A17115" t="s">
        <v>999</v>
      </c>
      <c r="B17115" t="s">
        <v>58</v>
      </c>
      <c r="C17115" s="1">
        <f>HYPERLINK("https://cao.dolgi.msk.ru/account/1011442781/", 1011442781)</f>
        <v>1011442781</v>
      </c>
      <c r="D17115">
        <v>-11562.22</v>
      </c>
    </row>
    <row r="17116" spans="1:4" hidden="1" x14ac:dyDescent="0.3">
      <c r="A17116" t="s">
        <v>999</v>
      </c>
      <c r="B17116" t="s">
        <v>62</v>
      </c>
      <c r="C17116" s="1">
        <f>HYPERLINK("https://cao.dolgi.msk.ru/account/1011443039/", 1011443039)</f>
        <v>1011443039</v>
      </c>
      <c r="D17116">
        <v>-12384.31</v>
      </c>
    </row>
    <row r="17117" spans="1:4" hidden="1" x14ac:dyDescent="0.3">
      <c r="A17117" t="s">
        <v>999</v>
      </c>
      <c r="B17117" t="s">
        <v>63</v>
      </c>
      <c r="C17117" s="1">
        <f>HYPERLINK("https://cao.dolgi.msk.ru/account/1011443338/", 1011443338)</f>
        <v>1011443338</v>
      </c>
      <c r="D17117">
        <v>0</v>
      </c>
    </row>
    <row r="17118" spans="1:4" hidden="1" x14ac:dyDescent="0.3">
      <c r="A17118" t="s">
        <v>999</v>
      </c>
      <c r="B17118" t="s">
        <v>64</v>
      </c>
      <c r="C17118" s="1">
        <f>HYPERLINK("https://cao.dolgi.msk.ru/account/1011443952/", 1011443952)</f>
        <v>1011443952</v>
      </c>
      <c r="D17118">
        <v>0</v>
      </c>
    </row>
    <row r="17119" spans="1:4" x14ac:dyDescent="0.3">
      <c r="A17119" t="s">
        <v>999</v>
      </c>
      <c r="B17119" t="s">
        <v>65</v>
      </c>
      <c r="C17119" s="1">
        <f>HYPERLINK("https://cao.dolgi.msk.ru/account/1011443186/", 1011443186)</f>
        <v>1011443186</v>
      </c>
      <c r="D17119">
        <v>0.03</v>
      </c>
    </row>
    <row r="17120" spans="1:4" hidden="1" x14ac:dyDescent="0.3">
      <c r="A17120" t="s">
        <v>999</v>
      </c>
      <c r="B17120" t="s">
        <v>66</v>
      </c>
      <c r="C17120" s="1">
        <f>HYPERLINK("https://cao.dolgi.msk.ru/account/1011443274/", 1011443274)</f>
        <v>1011443274</v>
      </c>
      <c r="D17120">
        <v>-6939.76</v>
      </c>
    </row>
    <row r="17121" spans="1:4" hidden="1" x14ac:dyDescent="0.3">
      <c r="A17121" t="s">
        <v>999</v>
      </c>
      <c r="B17121" t="s">
        <v>67</v>
      </c>
      <c r="C17121" s="1">
        <f>HYPERLINK("https://cao.dolgi.msk.ru/account/1011443784/", 1011443784)</f>
        <v>1011443784</v>
      </c>
      <c r="D17121">
        <v>-11264.8</v>
      </c>
    </row>
    <row r="17122" spans="1:4" hidden="1" x14ac:dyDescent="0.3">
      <c r="A17122" t="s">
        <v>999</v>
      </c>
      <c r="B17122" t="s">
        <v>68</v>
      </c>
      <c r="C17122" s="1">
        <f>HYPERLINK("https://cao.dolgi.msk.ru/account/1011443346/", 1011443346)</f>
        <v>1011443346</v>
      </c>
      <c r="D17122">
        <v>-10979.32</v>
      </c>
    </row>
    <row r="17123" spans="1:4" x14ac:dyDescent="0.3">
      <c r="A17123" t="s">
        <v>999</v>
      </c>
      <c r="B17123" t="s">
        <v>69</v>
      </c>
      <c r="C17123" s="1">
        <f>HYPERLINK("https://cao.dolgi.msk.ru/account/1011443979/", 1011443979)</f>
        <v>1011443979</v>
      </c>
      <c r="D17123">
        <v>8397.23</v>
      </c>
    </row>
    <row r="17124" spans="1:4" hidden="1" x14ac:dyDescent="0.3">
      <c r="A17124" t="s">
        <v>999</v>
      </c>
      <c r="B17124" t="s">
        <v>70</v>
      </c>
      <c r="C17124" s="1">
        <f>HYPERLINK("https://cao.dolgi.msk.ru/account/1011444066/", 1011444066)</f>
        <v>1011444066</v>
      </c>
      <c r="D17124">
        <v>0</v>
      </c>
    </row>
    <row r="17125" spans="1:4" hidden="1" x14ac:dyDescent="0.3">
      <c r="A17125" t="s">
        <v>999</v>
      </c>
      <c r="B17125" t="s">
        <v>259</v>
      </c>
      <c r="C17125" s="1">
        <f>HYPERLINK("https://cao.dolgi.msk.ru/account/1011443987/", 1011443987)</f>
        <v>1011443987</v>
      </c>
      <c r="D17125">
        <v>0</v>
      </c>
    </row>
    <row r="17126" spans="1:4" hidden="1" x14ac:dyDescent="0.3">
      <c r="A17126" t="s">
        <v>999</v>
      </c>
      <c r="B17126" t="s">
        <v>100</v>
      </c>
      <c r="C17126" s="1">
        <f>HYPERLINK("https://cao.dolgi.msk.ru/account/1011443725/", 1011443725)</f>
        <v>1011443725</v>
      </c>
      <c r="D17126">
        <v>0</v>
      </c>
    </row>
    <row r="17127" spans="1:4" hidden="1" x14ac:dyDescent="0.3">
      <c r="A17127" t="s">
        <v>999</v>
      </c>
      <c r="B17127" t="s">
        <v>72</v>
      </c>
      <c r="C17127" s="1">
        <f>HYPERLINK("https://cao.dolgi.msk.ru/account/1011443661/", 1011443661)</f>
        <v>1011443661</v>
      </c>
      <c r="D17127">
        <v>0</v>
      </c>
    </row>
    <row r="17128" spans="1:4" hidden="1" x14ac:dyDescent="0.3">
      <c r="A17128" t="s">
        <v>999</v>
      </c>
      <c r="B17128" t="s">
        <v>73</v>
      </c>
      <c r="C17128" s="1">
        <f>HYPERLINK("https://cao.dolgi.msk.ru/account/1011442909/", 1011442909)</f>
        <v>1011442909</v>
      </c>
      <c r="D17128">
        <v>0</v>
      </c>
    </row>
    <row r="17129" spans="1:4" hidden="1" x14ac:dyDescent="0.3">
      <c r="A17129" t="s">
        <v>999</v>
      </c>
      <c r="B17129" t="s">
        <v>74</v>
      </c>
      <c r="C17129" s="1">
        <f>HYPERLINK("https://cao.dolgi.msk.ru/account/1011443434/", 1011443434)</f>
        <v>1011443434</v>
      </c>
      <c r="D17129">
        <v>0</v>
      </c>
    </row>
    <row r="17130" spans="1:4" hidden="1" x14ac:dyDescent="0.3">
      <c r="A17130" t="s">
        <v>999</v>
      </c>
      <c r="B17130" t="s">
        <v>75</v>
      </c>
      <c r="C17130" s="1">
        <f>HYPERLINK("https://cao.dolgi.msk.ru/account/1011442618/", 1011442618)</f>
        <v>1011442618</v>
      </c>
      <c r="D17130">
        <v>0</v>
      </c>
    </row>
    <row r="17131" spans="1:4" x14ac:dyDescent="0.3">
      <c r="A17131" t="s">
        <v>999</v>
      </c>
      <c r="B17131" t="s">
        <v>76</v>
      </c>
      <c r="C17131" s="1">
        <f>HYPERLINK("https://cao.dolgi.msk.ru/account/1011442765/", 1011442765)</f>
        <v>1011442765</v>
      </c>
      <c r="D17131">
        <v>69824.45</v>
      </c>
    </row>
    <row r="17132" spans="1:4" hidden="1" x14ac:dyDescent="0.3">
      <c r="A17132" t="s">
        <v>999</v>
      </c>
      <c r="B17132" t="s">
        <v>76</v>
      </c>
      <c r="C17132" s="1">
        <f>HYPERLINK("https://cao.dolgi.msk.ru/account/1011442853/", 1011442853)</f>
        <v>1011442853</v>
      </c>
      <c r="D17132">
        <v>0</v>
      </c>
    </row>
    <row r="17133" spans="1:4" hidden="1" x14ac:dyDescent="0.3">
      <c r="A17133" t="s">
        <v>999</v>
      </c>
      <c r="B17133" t="s">
        <v>77</v>
      </c>
      <c r="C17133" s="1">
        <f>HYPERLINK("https://cao.dolgi.msk.ru/account/1011443602/", 1011443602)</f>
        <v>1011443602</v>
      </c>
      <c r="D17133">
        <v>-518.65</v>
      </c>
    </row>
    <row r="17134" spans="1:4" hidden="1" x14ac:dyDescent="0.3">
      <c r="A17134" t="s">
        <v>999</v>
      </c>
      <c r="B17134" t="s">
        <v>78</v>
      </c>
      <c r="C17134" s="1">
        <f>HYPERLINK("https://cao.dolgi.msk.ru/account/1011442933/", 1011442933)</f>
        <v>1011442933</v>
      </c>
      <c r="D17134">
        <v>-13741.91</v>
      </c>
    </row>
    <row r="17135" spans="1:4" hidden="1" x14ac:dyDescent="0.3">
      <c r="A17135" t="s">
        <v>999</v>
      </c>
      <c r="B17135" t="s">
        <v>79</v>
      </c>
      <c r="C17135" s="1">
        <f>HYPERLINK("https://cao.dolgi.msk.ru/account/1011443901/", 1011443901)</f>
        <v>1011443901</v>
      </c>
      <c r="D17135">
        <v>0</v>
      </c>
    </row>
    <row r="17136" spans="1:4" hidden="1" x14ac:dyDescent="0.3">
      <c r="A17136" t="s">
        <v>999</v>
      </c>
      <c r="B17136" t="s">
        <v>82</v>
      </c>
      <c r="C17136" s="1">
        <f>HYPERLINK("https://cao.dolgi.msk.ru/account/1011443514/", 1011443514)</f>
        <v>1011443514</v>
      </c>
      <c r="D17136">
        <v>0</v>
      </c>
    </row>
    <row r="17137" spans="1:4" x14ac:dyDescent="0.3">
      <c r="A17137" t="s">
        <v>999</v>
      </c>
      <c r="B17137" t="s">
        <v>83</v>
      </c>
      <c r="C17137" s="1">
        <f>HYPERLINK("https://cao.dolgi.msk.ru/account/1011443522/", 1011443522)</f>
        <v>1011443522</v>
      </c>
      <c r="D17137">
        <v>7508.3</v>
      </c>
    </row>
    <row r="17138" spans="1:4" x14ac:dyDescent="0.3">
      <c r="A17138" t="s">
        <v>999</v>
      </c>
      <c r="B17138" t="s">
        <v>83</v>
      </c>
      <c r="C17138" s="1">
        <f>HYPERLINK("https://cao.dolgi.msk.ru/account/1011443928/", 1011443928)</f>
        <v>1011443928</v>
      </c>
      <c r="D17138">
        <v>2279.3000000000002</v>
      </c>
    </row>
    <row r="17139" spans="1:4" hidden="1" x14ac:dyDescent="0.3">
      <c r="A17139" t="s">
        <v>999</v>
      </c>
      <c r="B17139" t="s">
        <v>84</v>
      </c>
      <c r="C17139" s="1">
        <f>HYPERLINK("https://cao.dolgi.msk.ru/account/1011443282/", 1011443282)</f>
        <v>1011443282</v>
      </c>
      <c r="D17139">
        <v>0</v>
      </c>
    </row>
    <row r="17140" spans="1:4" x14ac:dyDescent="0.3">
      <c r="A17140" t="s">
        <v>999</v>
      </c>
      <c r="B17140" t="s">
        <v>85</v>
      </c>
      <c r="C17140" s="1">
        <f>HYPERLINK("https://cao.dolgi.msk.ru/account/1011442896/", 1011442896)</f>
        <v>1011442896</v>
      </c>
      <c r="D17140">
        <v>67089.03</v>
      </c>
    </row>
    <row r="17141" spans="1:4" hidden="1" x14ac:dyDescent="0.3">
      <c r="A17141" t="s">
        <v>999</v>
      </c>
      <c r="B17141" t="s">
        <v>102</v>
      </c>
      <c r="C17141" s="1">
        <f>HYPERLINK("https://cao.dolgi.msk.ru/account/1011442749/", 1011442749)</f>
        <v>1011442749</v>
      </c>
      <c r="D17141">
        <v>-3258.49</v>
      </c>
    </row>
    <row r="17142" spans="1:4" x14ac:dyDescent="0.3">
      <c r="A17142" t="s">
        <v>999</v>
      </c>
      <c r="B17142" t="s">
        <v>102</v>
      </c>
      <c r="C17142" s="1">
        <f>HYPERLINK("https://cao.dolgi.msk.ru/account/1011443469/", 1011443469)</f>
        <v>1011443469</v>
      </c>
      <c r="D17142">
        <v>11869.2</v>
      </c>
    </row>
    <row r="17143" spans="1:4" hidden="1" x14ac:dyDescent="0.3">
      <c r="A17143" t="s">
        <v>999</v>
      </c>
      <c r="B17143" t="s">
        <v>102</v>
      </c>
      <c r="C17143" s="1">
        <f>HYPERLINK("https://cao.dolgi.msk.ru/account/1011444015/", 1011444015)</f>
        <v>1011444015</v>
      </c>
      <c r="D17143">
        <v>0</v>
      </c>
    </row>
    <row r="17144" spans="1:4" x14ac:dyDescent="0.3">
      <c r="A17144" t="s">
        <v>999</v>
      </c>
      <c r="B17144" t="s">
        <v>103</v>
      </c>
      <c r="C17144" s="1">
        <f>HYPERLINK("https://cao.dolgi.msk.ru/account/1011442589/", 1011442589)</f>
        <v>1011442589</v>
      </c>
      <c r="D17144">
        <v>2432.61</v>
      </c>
    </row>
    <row r="17145" spans="1:4" hidden="1" x14ac:dyDescent="0.3">
      <c r="A17145" t="s">
        <v>999</v>
      </c>
      <c r="B17145" t="s">
        <v>103</v>
      </c>
      <c r="C17145" s="1">
        <f>HYPERLINK("https://cao.dolgi.msk.ru/account/1011442845/", 1011442845)</f>
        <v>1011442845</v>
      </c>
      <c r="D17145">
        <v>0</v>
      </c>
    </row>
    <row r="17146" spans="1:4" x14ac:dyDescent="0.3">
      <c r="A17146" t="s">
        <v>999</v>
      </c>
      <c r="B17146" t="s">
        <v>104</v>
      </c>
      <c r="C17146" s="1">
        <f>HYPERLINK("https://cao.dolgi.msk.ru/account/1011442706/", 1011442706)</f>
        <v>1011442706</v>
      </c>
      <c r="D17146">
        <v>25199.58</v>
      </c>
    </row>
    <row r="17147" spans="1:4" hidden="1" x14ac:dyDescent="0.3">
      <c r="A17147" t="s">
        <v>999</v>
      </c>
      <c r="B17147" t="s">
        <v>104</v>
      </c>
      <c r="C17147" s="1">
        <f>HYPERLINK("https://cao.dolgi.msk.ru/account/1011442861/", 1011442861)</f>
        <v>1011442861</v>
      </c>
      <c r="D17147">
        <v>0</v>
      </c>
    </row>
    <row r="17148" spans="1:4" hidden="1" x14ac:dyDescent="0.3">
      <c r="A17148" t="s">
        <v>999</v>
      </c>
      <c r="B17148" t="s">
        <v>104</v>
      </c>
      <c r="C17148" s="1">
        <f>HYPERLINK("https://cao.dolgi.msk.ru/account/1011442941/", 1011442941)</f>
        <v>1011442941</v>
      </c>
      <c r="D17148">
        <v>0</v>
      </c>
    </row>
    <row r="17149" spans="1:4" x14ac:dyDescent="0.3">
      <c r="A17149" t="s">
        <v>999</v>
      </c>
      <c r="B17149" t="s">
        <v>104</v>
      </c>
      <c r="C17149" s="1">
        <f>HYPERLINK("https://cao.dolgi.msk.ru/account/1011443389/", 1011443389)</f>
        <v>1011443389</v>
      </c>
      <c r="D17149">
        <v>1701.81</v>
      </c>
    </row>
    <row r="17150" spans="1:4" hidden="1" x14ac:dyDescent="0.3">
      <c r="A17150" t="s">
        <v>999</v>
      </c>
      <c r="B17150" t="s">
        <v>105</v>
      </c>
      <c r="C17150" s="1">
        <f>HYPERLINK("https://cao.dolgi.msk.ru/account/1011443098/", 1011443098)</f>
        <v>1011443098</v>
      </c>
      <c r="D17150">
        <v>0</v>
      </c>
    </row>
    <row r="17151" spans="1:4" x14ac:dyDescent="0.3">
      <c r="A17151" t="s">
        <v>999</v>
      </c>
      <c r="B17151" t="s">
        <v>106</v>
      </c>
      <c r="C17151" s="1">
        <f>HYPERLINK("https://cao.dolgi.msk.ru/account/1011443629/", 1011443629)</f>
        <v>1011443629</v>
      </c>
      <c r="D17151">
        <v>4842.07</v>
      </c>
    </row>
    <row r="17152" spans="1:4" x14ac:dyDescent="0.3">
      <c r="A17152" t="s">
        <v>999</v>
      </c>
      <c r="B17152" t="s">
        <v>106</v>
      </c>
      <c r="C17152" s="1">
        <f>HYPERLINK("https://cao.dolgi.msk.ru/account/1011443717/", 1011443717)</f>
        <v>1011443717</v>
      </c>
      <c r="D17152">
        <v>15717.83</v>
      </c>
    </row>
    <row r="17153" spans="1:4" hidden="1" x14ac:dyDescent="0.3">
      <c r="A17153" t="s">
        <v>999</v>
      </c>
      <c r="B17153" t="s">
        <v>107</v>
      </c>
      <c r="C17153" s="1">
        <f>HYPERLINK("https://cao.dolgi.msk.ru/account/1011443047/", 1011443047)</f>
        <v>1011443047</v>
      </c>
      <c r="D17153">
        <v>0</v>
      </c>
    </row>
    <row r="17154" spans="1:4" hidden="1" x14ac:dyDescent="0.3">
      <c r="A17154" t="s">
        <v>999</v>
      </c>
      <c r="B17154" t="s">
        <v>108</v>
      </c>
      <c r="C17154" s="1">
        <f>HYPERLINK("https://cao.dolgi.msk.ru/account/1011443418/", 1011443418)</f>
        <v>1011443418</v>
      </c>
      <c r="D17154">
        <v>-2059.9299999999998</v>
      </c>
    </row>
    <row r="17155" spans="1:4" hidden="1" x14ac:dyDescent="0.3">
      <c r="A17155" t="s">
        <v>999</v>
      </c>
      <c r="B17155" t="s">
        <v>109</v>
      </c>
      <c r="C17155" s="1">
        <f>HYPERLINK("https://cao.dolgi.msk.ru/account/1011443813/", 1011443813)</f>
        <v>1011443813</v>
      </c>
      <c r="D17155">
        <v>-4690.3</v>
      </c>
    </row>
    <row r="17156" spans="1:4" x14ac:dyDescent="0.3">
      <c r="A17156" t="s">
        <v>999</v>
      </c>
      <c r="B17156" t="s">
        <v>110</v>
      </c>
      <c r="C17156" s="1">
        <f>HYPERLINK("https://cao.dolgi.msk.ru/account/1011443143/", 1011443143)</f>
        <v>1011443143</v>
      </c>
      <c r="D17156">
        <v>7911.86</v>
      </c>
    </row>
    <row r="17157" spans="1:4" hidden="1" x14ac:dyDescent="0.3">
      <c r="A17157" t="s">
        <v>999</v>
      </c>
      <c r="B17157" t="s">
        <v>111</v>
      </c>
      <c r="C17157" s="1">
        <f>HYPERLINK("https://cao.dolgi.msk.ru/account/1011443741/", 1011443741)</f>
        <v>1011443741</v>
      </c>
      <c r="D17157">
        <v>-10584.63</v>
      </c>
    </row>
    <row r="17158" spans="1:4" hidden="1" x14ac:dyDescent="0.3">
      <c r="A17158" t="s">
        <v>999</v>
      </c>
      <c r="B17158" t="s">
        <v>112</v>
      </c>
      <c r="C17158" s="1">
        <f>HYPERLINK("https://cao.dolgi.msk.ru/account/1011442802/", 1011442802)</f>
        <v>1011442802</v>
      </c>
      <c r="D17158">
        <v>-5293.57</v>
      </c>
    </row>
    <row r="17159" spans="1:4" hidden="1" x14ac:dyDescent="0.3">
      <c r="A17159" t="s">
        <v>999</v>
      </c>
      <c r="B17159" t="s">
        <v>113</v>
      </c>
      <c r="C17159" s="1">
        <f>HYPERLINK("https://cao.dolgi.msk.ru/account/1011444023/", 1011444023)</f>
        <v>1011444023</v>
      </c>
      <c r="D17159">
        <v>0</v>
      </c>
    </row>
    <row r="17160" spans="1:4" hidden="1" x14ac:dyDescent="0.3">
      <c r="A17160" t="s">
        <v>999</v>
      </c>
      <c r="B17160" t="s">
        <v>114</v>
      </c>
      <c r="C17160" s="1">
        <f>HYPERLINK("https://cao.dolgi.msk.ru/account/1011443864/", 1011443864)</f>
        <v>1011443864</v>
      </c>
      <c r="D17160">
        <v>0</v>
      </c>
    </row>
    <row r="17161" spans="1:4" hidden="1" x14ac:dyDescent="0.3">
      <c r="A17161" t="s">
        <v>999</v>
      </c>
      <c r="B17161" t="s">
        <v>115</v>
      </c>
      <c r="C17161" s="1">
        <f>HYPERLINK("https://cao.dolgi.msk.ru/account/1011443995/", 1011443995)</f>
        <v>1011443995</v>
      </c>
      <c r="D17161">
        <v>0</v>
      </c>
    </row>
    <row r="17162" spans="1:4" x14ac:dyDescent="0.3">
      <c r="A17162" t="s">
        <v>999</v>
      </c>
      <c r="B17162" t="s">
        <v>116</v>
      </c>
      <c r="C17162" s="1">
        <f>HYPERLINK("https://cao.dolgi.msk.ru/account/1011442984/", 1011442984)</f>
        <v>1011442984</v>
      </c>
      <c r="D17162">
        <v>14429.52</v>
      </c>
    </row>
    <row r="17163" spans="1:4" hidden="1" x14ac:dyDescent="0.3">
      <c r="A17163" t="s">
        <v>999</v>
      </c>
      <c r="B17163" t="s">
        <v>266</v>
      </c>
      <c r="C17163" s="1">
        <f>HYPERLINK("https://cao.dolgi.msk.ru/account/1011443821/", 1011443821)</f>
        <v>1011443821</v>
      </c>
      <c r="D17163">
        <v>-12493.75</v>
      </c>
    </row>
    <row r="17164" spans="1:4" hidden="1" x14ac:dyDescent="0.3">
      <c r="A17164" t="s">
        <v>999</v>
      </c>
      <c r="B17164" t="s">
        <v>117</v>
      </c>
      <c r="C17164" s="1">
        <f>HYPERLINK("https://cao.dolgi.msk.ru/account/1011443426/", 1011443426)</f>
        <v>1011443426</v>
      </c>
      <c r="D17164">
        <v>0</v>
      </c>
    </row>
    <row r="17165" spans="1:4" x14ac:dyDescent="0.3">
      <c r="A17165" t="s">
        <v>999</v>
      </c>
      <c r="B17165" t="s">
        <v>118</v>
      </c>
      <c r="C17165" s="1">
        <f>HYPERLINK("https://cao.dolgi.msk.ru/account/1011443303/", 1011443303)</f>
        <v>1011443303</v>
      </c>
      <c r="D17165">
        <v>90971.49</v>
      </c>
    </row>
    <row r="17166" spans="1:4" hidden="1" x14ac:dyDescent="0.3">
      <c r="A17166" t="s">
        <v>999</v>
      </c>
      <c r="B17166" t="s">
        <v>119</v>
      </c>
      <c r="C17166" s="1">
        <f>HYPERLINK("https://cao.dolgi.msk.ru/account/1011443477/", 1011443477)</f>
        <v>1011443477</v>
      </c>
      <c r="D17166">
        <v>-3628.47</v>
      </c>
    </row>
    <row r="17167" spans="1:4" x14ac:dyDescent="0.3">
      <c r="A17167" t="s">
        <v>999</v>
      </c>
      <c r="B17167" t="s">
        <v>120</v>
      </c>
      <c r="C17167" s="1">
        <f>HYPERLINK("https://cao.dolgi.msk.ru/account/1011443637/", 1011443637)</f>
        <v>1011443637</v>
      </c>
      <c r="D17167">
        <v>24217.22</v>
      </c>
    </row>
    <row r="17168" spans="1:4" hidden="1" x14ac:dyDescent="0.3">
      <c r="A17168" t="s">
        <v>999</v>
      </c>
      <c r="B17168" t="s">
        <v>122</v>
      </c>
      <c r="C17168" s="1">
        <f>HYPERLINK("https://cao.dolgi.msk.ru/account/1011443573/", 1011443573)</f>
        <v>1011443573</v>
      </c>
      <c r="D17168">
        <v>-8832.17</v>
      </c>
    </row>
    <row r="17169" spans="1:4" hidden="1" x14ac:dyDescent="0.3">
      <c r="A17169" t="s">
        <v>999</v>
      </c>
      <c r="B17169" t="s">
        <v>123</v>
      </c>
      <c r="C17169" s="1">
        <f>HYPERLINK("https://cao.dolgi.msk.ru/account/1011442968/", 1011442968)</f>
        <v>1011442968</v>
      </c>
      <c r="D17169">
        <v>0</v>
      </c>
    </row>
    <row r="17170" spans="1:4" hidden="1" x14ac:dyDescent="0.3">
      <c r="A17170" t="s">
        <v>999</v>
      </c>
      <c r="B17170" t="s">
        <v>124</v>
      </c>
      <c r="C17170" s="1">
        <f>HYPERLINK("https://cao.dolgi.msk.ru/account/1011443151/", 1011443151)</f>
        <v>1011443151</v>
      </c>
      <c r="D17170">
        <v>0</v>
      </c>
    </row>
    <row r="17171" spans="1:4" hidden="1" x14ac:dyDescent="0.3">
      <c r="A17171" t="s">
        <v>999</v>
      </c>
      <c r="B17171" t="s">
        <v>125</v>
      </c>
      <c r="C17171" s="1">
        <f>HYPERLINK("https://cao.dolgi.msk.ru/account/1011443055/", 1011443055)</f>
        <v>1011443055</v>
      </c>
      <c r="D17171">
        <v>0</v>
      </c>
    </row>
    <row r="17172" spans="1:4" hidden="1" x14ac:dyDescent="0.3">
      <c r="A17172" t="s">
        <v>999</v>
      </c>
      <c r="B17172" t="s">
        <v>125</v>
      </c>
      <c r="C17172" s="1">
        <f>HYPERLINK("https://cao.dolgi.msk.ru/account/1011443215/", 1011443215)</f>
        <v>1011443215</v>
      </c>
      <c r="D17172">
        <v>0</v>
      </c>
    </row>
    <row r="17173" spans="1:4" hidden="1" x14ac:dyDescent="0.3">
      <c r="A17173" t="s">
        <v>999</v>
      </c>
      <c r="B17173" t="s">
        <v>125</v>
      </c>
      <c r="C17173" s="1">
        <f>HYPERLINK("https://cao.dolgi.msk.ru/account/1011507768/", 1011507768)</f>
        <v>1011507768</v>
      </c>
      <c r="D17173">
        <v>0</v>
      </c>
    </row>
    <row r="17174" spans="1:4" x14ac:dyDescent="0.3">
      <c r="A17174" t="s">
        <v>999</v>
      </c>
      <c r="B17174" t="s">
        <v>126</v>
      </c>
      <c r="C17174" s="1">
        <f>HYPERLINK("https://cao.dolgi.msk.ru/account/1011442976/", 1011442976)</f>
        <v>1011442976</v>
      </c>
      <c r="D17174">
        <v>8910.1299999999992</v>
      </c>
    </row>
    <row r="17175" spans="1:4" x14ac:dyDescent="0.3">
      <c r="A17175" t="s">
        <v>999</v>
      </c>
      <c r="B17175" t="s">
        <v>262</v>
      </c>
      <c r="C17175" s="1">
        <f>HYPERLINK("https://cao.dolgi.msk.ru/account/1011443936/", 1011443936)</f>
        <v>1011443936</v>
      </c>
      <c r="D17175">
        <v>34040.43</v>
      </c>
    </row>
    <row r="17176" spans="1:4" hidden="1" x14ac:dyDescent="0.3">
      <c r="A17176" t="s">
        <v>999</v>
      </c>
      <c r="B17176" t="s">
        <v>128</v>
      </c>
      <c r="C17176" s="1">
        <f>HYPERLINK("https://cao.dolgi.msk.ru/account/1011443581/", 1011443581)</f>
        <v>1011443581</v>
      </c>
      <c r="D17176">
        <v>0</v>
      </c>
    </row>
    <row r="17177" spans="1:4" hidden="1" x14ac:dyDescent="0.3">
      <c r="A17177" t="s">
        <v>1000</v>
      </c>
      <c r="B17177" t="s">
        <v>6</v>
      </c>
      <c r="C17177" s="1">
        <f>HYPERLINK("https://cao.dolgi.msk.ru/account/1011428162/", 1011428162)</f>
        <v>1011428162</v>
      </c>
      <c r="D17177">
        <v>-17195.64</v>
      </c>
    </row>
    <row r="17178" spans="1:4" hidden="1" x14ac:dyDescent="0.3">
      <c r="A17178" t="s">
        <v>1000</v>
      </c>
      <c r="B17178" t="s">
        <v>28</v>
      </c>
      <c r="C17178" s="1">
        <f>HYPERLINK("https://cao.dolgi.msk.ru/account/1011428429/", 1011428429)</f>
        <v>1011428429</v>
      </c>
      <c r="D17178">
        <v>-6829.02</v>
      </c>
    </row>
    <row r="17179" spans="1:4" hidden="1" x14ac:dyDescent="0.3">
      <c r="A17179" t="s">
        <v>1000</v>
      </c>
      <c r="B17179" t="s">
        <v>35</v>
      </c>
      <c r="C17179" s="1">
        <f>HYPERLINK("https://cao.dolgi.msk.ru/account/1011428728/", 1011428728)</f>
        <v>1011428728</v>
      </c>
      <c r="D17179">
        <v>-9004.3700000000008</v>
      </c>
    </row>
    <row r="17180" spans="1:4" hidden="1" x14ac:dyDescent="0.3">
      <c r="A17180" t="s">
        <v>1000</v>
      </c>
      <c r="B17180" t="s">
        <v>5</v>
      </c>
      <c r="C17180" s="1">
        <f>HYPERLINK("https://cao.dolgi.msk.ru/account/1011428576/", 1011428576)</f>
        <v>1011428576</v>
      </c>
      <c r="D17180">
        <v>-6054.82</v>
      </c>
    </row>
    <row r="17181" spans="1:4" hidden="1" x14ac:dyDescent="0.3">
      <c r="A17181" t="s">
        <v>1000</v>
      </c>
      <c r="B17181" t="s">
        <v>7</v>
      </c>
      <c r="C17181" s="1">
        <f>HYPERLINK("https://cao.dolgi.msk.ru/account/1011427987/", 1011427987)</f>
        <v>1011427987</v>
      </c>
      <c r="D17181">
        <v>0</v>
      </c>
    </row>
    <row r="17182" spans="1:4" hidden="1" x14ac:dyDescent="0.3">
      <c r="A17182" t="s">
        <v>1000</v>
      </c>
      <c r="B17182" t="s">
        <v>8</v>
      </c>
      <c r="C17182" s="1">
        <f>HYPERLINK("https://cao.dolgi.msk.ru/account/1011429042/", 1011429042)</f>
        <v>1011429042</v>
      </c>
      <c r="D17182">
        <v>-1114.18</v>
      </c>
    </row>
    <row r="17183" spans="1:4" hidden="1" x14ac:dyDescent="0.3">
      <c r="A17183" t="s">
        <v>1000</v>
      </c>
      <c r="B17183" t="s">
        <v>31</v>
      </c>
      <c r="C17183" s="1">
        <f>HYPERLINK("https://cao.dolgi.msk.ru/account/1011428007/", 1011428007)</f>
        <v>1011428007</v>
      </c>
      <c r="D17183">
        <v>-47.29</v>
      </c>
    </row>
    <row r="17184" spans="1:4" hidden="1" x14ac:dyDescent="0.3">
      <c r="A17184" t="s">
        <v>1000</v>
      </c>
      <c r="B17184" t="s">
        <v>9</v>
      </c>
      <c r="C17184" s="1">
        <f>HYPERLINK("https://cao.dolgi.msk.ru/account/1011428656/", 1011428656)</f>
        <v>1011428656</v>
      </c>
      <c r="D17184">
        <v>-526.4</v>
      </c>
    </row>
    <row r="17185" spans="1:4" hidden="1" x14ac:dyDescent="0.3">
      <c r="A17185" t="s">
        <v>1000</v>
      </c>
      <c r="B17185" t="s">
        <v>10</v>
      </c>
      <c r="C17185" s="1">
        <f>HYPERLINK("https://cao.dolgi.msk.ru/account/1011428226/", 1011428226)</f>
        <v>1011428226</v>
      </c>
      <c r="D17185">
        <v>0</v>
      </c>
    </row>
    <row r="17186" spans="1:4" x14ac:dyDescent="0.3">
      <c r="A17186" t="s">
        <v>1000</v>
      </c>
      <c r="B17186" t="s">
        <v>11</v>
      </c>
      <c r="C17186" s="1">
        <f>HYPERLINK("https://cao.dolgi.msk.ru/account/1011429034/", 1011429034)</f>
        <v>1011429034</v>
      </c>
      <c r="D17186">
        <v>7574.27</v>
      </c>
    </row>
    <row r="17187" spans="1:4" hidden="1" x14ac:dyDescent="0.3">
      <c r="A17187" t="s">
        <v>1000</v>
      </c>
      <c r="B17187" t="s">
        <v>12</v>
      </c>
      <c r="C17187" s="1">
        <f>HYPERLINK("https://cao.dolgi.msk.ru/account/1011428533/", 1011428533)</f>
        <v>1011428533</v>
      </c>
      <c r="D17187">
        <v>0</v>
      </c>
    </row>
    <row r="17188" spans="1:4" x14ac:dyDescent="0.3">
      <c r="A17188" t="s">
        <v>1000</v>
      </c>
      <c r="B17188" t="s">
        <v>23</v>
      </c>
      <c r="C17188" s="1">
        <f>HYPERLINK("https://cao.dolgi.msk.ru/account/1011428875/", 1011428875)</f>
        <v>1011428875</v>
      </c>
      <c r="D17188">
        <v>7289.76</v>
      </c>
    </row>
    <row r="17189" spans="1:4" hidden="1" x14ac:dyDescent="0.3">
      <c r="A17189" t="s">
        <v>1000</v>
      </c>
      <c r="B17189" t="s">
        <v>13</v>
      </c>
      <c r="C17189" s="1">
        <f>HYPERLINK("https://cao.dolgi.msk.ru/account/1011427872/", 1011427872)</f>
        <v>1011427872</v>
      </c>
      <c r="D17189">
        <v>-7535.24</v>
      </c>
    </row>
    <row r="17190" spans="1:4" hidden="1" x14ac:dyDescent="0.3">
      <c r="A17190" t="s">
        <v>1000</v>
      </c>
      <c r="B17190" t="s">
        <v>14</v>
      </c>
      <c r="C17190" s="1">
        <f>HYPERLINK("https://cao.dolgi.msk.ru/account/1011428891/", 1011428891)</f>
        <v>1011428891</v>
      </c>
      <c r="D17190">
        <v>0</v>
      </c>
    </row>
    <row r="17191" spans="1:4" hidden="1" x14ac:dyDescent="0.3">
      <c r="A17191" t="s">
        <v>1000</v>
      </c>
      <c r="B17191" t="s">
        <v>16</v>
      </c>
      <c r="C17191" s="1">
        <f>HYPERLINK("https://cao.dolgi.msk.ru/account/1011428787/", 1011428787)</f>
        <v>1011428787</v>
      </c>
      <c r="D17191">
        <v>0</v>
      </c>
    </row>
    <row r="17192" spans="1:4" hidden="1" x14ac:dyDescent="0.3">
      <c r="A17192" t="s">
        <v>1000</v>
      </c>
      <c r="B17192" t="s">
        <v>17</v>
      </c>
      <c r="C17192" s="1">
        <f>HYPERLINK("https://cao.dolgi.msk.ru/account/1011428496/", 1011428496)</f>
        <v>1011428496</v>
      </c>
      <c r="D17192">
        <v>-5954.09</v>
      </c>
    </row>
    <row r="17193" spans="1:4" hidden="1" x14ac:dyDescent="0.3">
      <c r="A17193" t="s">
        <v>1000</v>
      </c>
      <c r="B17193" t="s">
        <v>18</v>
      </c>
      <c r="C17193" s="1">
        <f>HYPERLINK("https://cao.dolgi.msk.ru/account/1011428015/", 1011428015)</f>
        <v>1011428015</v>
      </c>
      <c r="D17193">
        <v>-8663.9699999999993</v>
      </c>
    </row>
    <row r="17194" spans="1:4" hidden="1" x14ac:dyDescent="0.3">
      <c r="A17194" t="s">
        <v>1000</v>
      </c>
      <c r="B17194" t="s">
        <v>19</v>
      </c>
      <c r="C17194" s="1">
        <f>HYPERLINK("https://cao.dolgi.msk.ru/account/1011427995/", 1011427995)</f>
        <v>1011427995</v>
      </c>
      <c r="D17194">
        <v>0</v>
      </c>
    </row>
    <row r="17195" spans="1:4" hidden="1" x14ac:dyDescent="0.3">
      <c r="A17195" t="s">
        <v>1000</v>
      </c>
      <c r="B17195" t="s">
        <v>20</v>
      </c>
      <c r="C17195" s="1">
        <f>HYPERLINK("https://cao.dolgi.msk.ru/account/1011428832/", 1011428832)</f>
        <v>1011428832</v>
      </c>
      <c r="D17195">
        <v>-7085.32</v>
      </c>
    </row>
    <row r="17196" spans="1:4" hidden="1" x14ac:dyDescent="0.3">
      <c r="A17196" t="s">
        <v>1000</v>
      </c>
      <c r="B17196" t="s">
        <v>21</v>
      </c>
      <c r="C17196" s="1">
        <f>HYPERLINK("https://cao.dolgi.msk.ru/account/1011428963/", 1011428963)</f>
        <v>1011428963</v>
      </c>
      <c r="D17196">
        <v>0</v>
      </c>
    </row>
    <row r="17197" spans="1:4" hidden="1" x14ac:dyDescent="0.3">
      <c r="A17197" t="s">
        <v>1000</v>
      </c>
      <c r="B17197" t="s">
        <v>22</v>
      </c>
      <c r="C17197" s="1">
        <f>HYPERLINK("https://cao.dolgi.msk.ru/account/1011429165/", 1011429165)</f>
        <v>1011429165</v>
      </c>
      <c r="D17197">
        <v>0</v>
      </c>
    </row>
    <row r="17198" spans="1:4" hidden="1" x14ac:dyDescent="0.3">
      <c r="A17198" t="s">
        <v>1000</v>
      </c>
      <c r="B17198" t="s">
        <v>24</v>
      </c>
      <c r="C17198" s="1">
        <f>HYPERLINK("https://cao.dolgi.msk.ru/account/1011428621/", 1011428621)</f>
        <v>1011428621</v>
      </c>
      <c r="D17198">
        <v>0</v>
      </c>
    </row>
    <row r="17199" spans="1:4" hidden="1" x14ac:dyDescent="0.3">
      <c r="A17199" t="s">
        <v>1000</v>
      </c>
      <c r="B17199" t="s">
        <v>25</v>
      </c>
      <c r="C17199" s="1">
        <f>HYPERLINK("https://cao.dolgi.msk.ru/account/1011428189/", 1011428189)</f>
        <v>1011428189</v>
      </c>
      <c r="D17199">
        <v>0</v>
      </c>
    </row>
    <row r="17200" spans="1:4" hidden="1" x14ac:dyDescent="0.3">
      <c r="A17200" t="s">
        <v>1000</v>
      </c>
      <c r="B17200" t="s">
        <v>26</v>
      </c>
      <c r="C17200" s="1">
        <f>HYPERLINK("https://cao.dolgi.msk.ru/account/1011428031/", 1011428031)</f>
        <v>1011428031</v>
      </c>
      <c r="D17200">
        <v>-5422.23</v>
      </c>
    </row>
    <row r="17201" spans="1:4" hidden="1" x14ac:dyDescent="0.3">
      <c r="A17201" t="s">
        <v>1000</v>
      </c>
      <c r="B17201" t="s">
        <v>27</v>
      </c>
      <c r="C17201" s="1">
        <f>HYPERLINK("https://cao.dolgi.msk.ru/account/1011428146/", 1011428146)</f>
        <v>1011428146</v>
      </c>
      <c r="D17201">
        <v>0</v>
      </c>
    </row>
    <row r="17202" spans="1:4" hidden="1" x14ac:dyDescent="0.3">
      <c r="A17202" t="s">
        <v>1000</v>
      </c>
      <c r="B17202" t="s">
        <v>29</v>
      </c>
      <c r="C17202" s="1">
        <f>HYPERLINK("https://cao.dolgi.msk.ru/account/1011428672/", 1011428672)</f>
        <v>1011428672</v>
      </c>
      <c r="D17202">
        <v>-661.24</v>
      </c>
    </row>
    <row r="17203" spans="1:4" hidden="1" x14ac:dyDescent="0.3">
      <c r="A17203" t="s">
        <v>1000</v>
      </c>
      <c r="B17203" t="s">
        <v>38</v>
      </c>
      <c r="C17203" s="1">
        <f>HYPERLINK("https://cao.dolgi.msk.ru/account/1011428971/", 1011428971)</f>
        <v>1011428971</v>
      </c>
      <c r="D17203">
        <v>-28955.52</v>
      </c>
    </row>
    <row r="17204" spans="1:4" hidden="1" x14ac:dyDescent="0.3">
      <c r="A17204" t="s">
        <v>1000</v>
      </c>
      <c r="B17204" t="s">
        <v>39</v>
      </c>
      <c r="C17204" s="1">
        <f>HYPERLINK("https://cao.dolgi.msk.ru/account/1011427864/", 1011427864)</f>
        <v>1011427864</v>
      </c>
      <c r="D17204">
        <v>-1215.8399999999999</v>
      </c>
    </row>
    <row r="17205" spans="1:4" hidden="1" x14ac:dyDescent="0.3">
      <c r="A17205" t="s">
        <v>1000</v>
      </c>
      <c r="B17205" t="s">
        <v>40</v>
      </c>
      <c r="C17205" s="1">
        <f>HYPERLINK("https://cao.dolgi.msk.ru/account/1011427979/", 1011427979)</f>
        <v>1011427979</v>
      </c>
      <c r="D17205">
        <v>0</v>
      </c>
    </row>
    <row r="17206" spans="1:4" hidden="1" x14ac:dyDescent="0.3">
      <c r="A17206" t="s">
        <v>1000</v>
      </c>
      <c r="B17206" t="s">
        <v>41</v>
      </c>
      <c r="C17206" s="1">
        <f>HYPERLINK("https://cao.dolgi.msk.ru/account/1011428592/", 1011428592)</f>
        <v>1011428592</v>
      </c>
      <c r="D17206">
        <v>0</v>
      </c>
    </row>
    <row r="17207" spans="1:4" hidden="1" x14ac:dyDescent="0.3">
      <c r="A17207" t="s">
        <v>1000</v>
      </c>
      <c r="B17207" t="s">
        <v>51</v>
      </c>
      <c r="C17207" s="1">
        <f>HYPERLINK("https://cao.dolgi.msk.ru/account/1011428525/", 1011428525)</f>
        <v>1011428525</v>
      </c>
      <c r="D17207">
        <v>-253.09</v>
      </c>
    </row>
    <row r="17208" spans="1:4" hidden="1" x14ac:dyDescent="0.3">
      <c r="A17208" t="s">
        <v>1000</v>
      </c>
      <c r="B17208" t="s">
        <v>52</v>
      </c>
      <c r="C17208" s="1">
        <f>HYPERLINK("https://cao.dolgi.msk.ru/account/1011429122/", 1011429122)</f>
        <v>1011429122</v>
      </c>
      <c r="D17208">
        <v>0</v>
      </c>
    </row>
    <row r="17209" spans="1:4" hidden="1" x14ac:dyDescent="0.3">
      <c r="A17209" t="s">
        <v>1000</v>
      </c>
      <c r="B17209" t="s">
        <v>53</v>
      </c>
      <c r="C17209" s="1">
        <f>HYPERLINK("https://cao.dolgi.msk.ru/account/1011428808/", 1011428808)</f>
        <v>1011428808</v>
      </c>
      <c r="D17209">
        <v>-6593.53</v>
      </c>
    </row>
    <row r="17210" spans="1:4" x14ac:dyDescent="0.3">
      <c r="A17210" t="s">
        <v>1000</v>
      </c>
      <c r="B17210" t="s">
        <v>54</v>
      </c>
      <c r="C17210" s="1">
        <f>HYPERLINK("https://cao.dolgi.msk.ru/account/1011428816/", 1011428816)</f>
        <v>1011428816</v>
      </c>
      <c r="D17210">
        <v>45859.14</v>
      </c>
    </row>
    <row r="17211" spans="1:4" hidden="1" x14ac:dyDescent="0.3">
      <c r="A17211" t="s">
        <v>1000</v>
      </c>
      <c r="B17211" t="s">
        <v>55</v>
      </c>
      <c r="C17211" s="1">
        <f>HYPERLINK("https://cao.dolgi.msk.ru/account/1011429069/", 1011429069)</f>
        <v>1011429069</v>
      </c>
      <c r="D17211">
        <v>-5137.6899999999996</v>
      </c>
    </row>
    <row r="17212" spans="1:4" hidden="1" x14ac:dyDescent="0.3">
      <c r="A17212" t="s">
        <v>1000</v>
      </c>
      <c r="B17212" t="s">
        <v>56</v>
      </c>
      <c r="C17212" s="1">
        <f>HYPERLINK("https://cao.dolgi.msk.ru/account/1011428736/", 1011428736)</f>
        <v>1011428736</v>
      </c>
      <c r="D17212">
        <v>-1238.48</v>
      </c>
    </row>
    <row r="17213" spans="1:4" hidden="1" x14ac:dyDescent="0.3">
      <c r="A17213" t="s">
        <v>1000</v>
      </c>
      <c r="B17213" t="s">
        <v>87</v>
      </c>
      <c r="C17213" s="1">
        <f>HYPERLINK("https://cao.dolgi.msk.ru/account/1011428664/", 1011428664)</f>
        <v>1011428664</v>
      </c>
      <c r="D17213">
        <v>0</v>
      </c>
    </row>
    <row r="17214" spans="1:4" hidden="1" x14ac:dyDescent="0.3">
      <c r="A17214" t="s">
        <v>1000</v>
      </c>
      <c r="B17214" t="s">
        <v>88</v>
      </c>
      <c r="C17214" s="1">
        <f>HYPERLINK("https://cao.dolgi.msk.ru/account/1011429106/", 1011429106)</f>
        <v>1011429106</v>
      </c>
      <c r="D17214">
        <v>-6918.59</v>
      </c>
    </row>
    <row r="17215" spans="1:4" hidden="1" x14ac:dyDescent="0.3">
      <c r="A17215" t="s">
        <v>1000</v>
      </c>
      <c r="B17215" t="s">
        <v>89</v>
      </c>
      <c r="C17215" s="1">
        <f>HYPERLINK("https://cao.dolgi.msk.ru/account/1011428103/", 1011428103)</f>
        <v>1011428103</v>
      </c>
      <c r="D17215">
        <v>-677.68</v>
      </c>
    </row>
    <row r="17216" spans="1:4" hidden="1" x14ac:dyDescent="0.3">
      <c r="A17216" t="s">
        <v>1000</v>
      </c>
      <c r="B17216" t="s">
        <v>90</v>
      </c>
      <c r="C17216" s="1">
        <f>HYPERLINK("https://cao.dolgi.msk.ru/account/1011428349/", 1011428349)</f>
        <v>1011428349</v>
      </c>
      <c r="D17216">
        <v>0</v>
      </c>
    </row>
    <row r="17217" spans="1:4" x14ac:dyDescent="0.3">
      <c r="A17217" t="s">
        <v>1000</v>
      </c>
      <c r="B17217" t="s">
        <v>96</v>
      </c>
      <c r="C17217" s="1">
        <f>HYPERLINK("https://cao.dolgi.msk.ru/account/1011428648/", 1011428648)</f>
        <v>1011428648</v>
      </c>
      <c r="D17217">
        <v>51566.14</v>
      </c>
    </row>
    <row r="17218" spans="1:4" x14ac:dyDescent="0.3">
      <c r="A17218" t="s">
        <v>1000</v>
      </c>
      <c r="B17218" t="s">
        <v>97</v>
      </c>
      <c r="C17218" s="1">
        <f>HYPERLINK("https://cao.dolgi.msk.ru/account/1011428058/", 1011428058)</f>
        <v>1011428058</v>
      </c>
      <c r="D17218">
        <v>7286.94</v>
      </c>
    </row>
    <row r="17219" spans="1:4" hidden="1" x14ac:dyDescent="0.3">
      <c r="A17219" t="s">
        <v>1000</v>
      </c>
      <c r="B17219" t="s">
        <v>98</v>
      </c>
      <c r="C17219" s="1">
        <f>HYPERLINK("https://cao.dolgi.msk.ru/account/1011428568/", 1011428568)</f>
        <v>1011428568</v>
      </c>
      <c r="D17219">
        <v>0</v>
      </c>
    </row>
    <row r="17220" spans="1:4" hidden="1" x14ac:dyDescent="0.3">
      <c r="A17220" t="s">
        <v>1000</v>
      </c>
      <c r="B17220" t="s">
        <v>58</v>
      </c>
      <c r="C17220" s="1">
        <f>HYPERLINK("https://cao.dolgi.msk.ru/account/1011428859/", 1011428859)</f>
        <v>1011428859</v>
      </c>
      <c r="D17220">
        <v>-7926.2</v>
      </c>
    </row>
    <row r="17221" spans="1:4" x14ac:dyDescent="0.3">
      <c r="A17221" t="s">
        <v>1000</v>
      </c>
      <c r="B17221" t="s">
        <v>59</v>
      </c>
      <c r="C17221" s="1">
        <f>HYPERLINK("https://cao.dolgi.msk.ru/account/1011428314/", 1011428314)</f>
        <v>1011428314</v>
      </c>
      <c r="D17221">
        <v>5061.7</v>
      </c>
    </row>
    <row r="17222" spans="1:4" hidden="1" x14ac:dyDescent="0.3">
      <c r="A17222" t="s">
        <v>1000</v>
      </c>
      <c r="B17222" t="s">
        <v>60</v>
      </c>
      <c r="C17222" s="1">
        <f>HYPERLINK("https://cao.dolgi.msk.ru/account/1011427899/", 1011427899)</f>
        <v>1011427899</v>
      </c>
      <c r="D17222">
        <v>-1557.2</v>
      </c>
    </row>
    <row r="17223" spans="1:4" hidden="1" x14ac:dyDescent="0.3">
      <c r="A17223" t="s">
        <v>1000</v>
      </c>
      <c r="B17223" t="s">
        <v>61</v>
      </c>
      <c r="C17223" s="1">
        <f>HYPERLINK("https://cao.dolgi.msk.ru/account/1011428605/", 1011428605)</f>
        <v>1011428605</v>
      </c>
      <c r="D17223">
        <v>-507.03</v>
      </c>
    </row>
    <row r="17224" spans="1:4" hidden="1" x14ac:dyDescent="0.3">
      <c r="A17224" t="s">
        <v>1000</v>
      </c>
      <c r="B17224" t="s">
        <v>62</v>
      </c>
      <c r="C17224" s="1">
        <f>HYPERLINK("https://cao.dolgi.msk.ru/account/1011428437/", 1011428437)</f>
        <v>1011428437</v>
      </c>
      <c r="D17224">
        <v>0</v>
      </c>
    </row>
    <row r="17225" spans="1:4" hidden="1" x14ac:dyDescent="0.3">
      <c r="A17225" t="s">
        <v>1000</v>
      </c>
      <c r="B17225" t="s">
        <v>63</v>
      </c>
      <c r="C17225" s="1">
        <f>HYPERLINK("https://cao.dolgi.msk.ru/account/1011428998/", 1011428998)</f>
        <v>1011428998</v>
      </c>
      <c r="D17225">
        <v>0</v>
      </c>
    </row>
    <row r="17226" spans="1:4" hidden="1" x14ac:dyDescent="0.3">
      <c r="A17226" t="s">
        <v>1000</v>
      </c>
      <c r="B17226" t="s">
        <v>64</v>
      </c>
      <c r="C17226" s="1">
        <f>HYPERLINK("https://cao.dolgi.msk.ru/account/1011428154/", 1011428154)</f>
        <v>1011428154</v>
      </c>
      <c r="D17226">
        <v>-8813.89</v>
      </c>
    </row>
    <row r="17227" spans="1:4" hidden="1" x14ac:dyDescent="0.3">
      <c r="A17227" t="s">
        <v>1000</v>
      </c>
      <c r="B17227" t="s">
        <v>65</v>
      </c>
      <c r="C17227" s="1">
        <f>HYPERLINK("https://cao.dolgi.msk.ru/account/1011429114/", 1011429114)</f>
        <v>1011429114</v>
      </c>
      <c r="D17227">
        <v>0</v>
      </c>
    </row>
    <row r="17228" spans="1:4" hidden="1" x14ac:dyDescent="0.3">
      <c r="A17228" t="s">
        <v>1000</v>
      </c>
      <c r="B17228" t="s">
        <v>66</v>
      </c>
      <c r="C17228" s="1">
        <f>HYPERLINK("https://cao.dolgi.msk.ru/account/1011429173/", 1011429173)</f>
        <v>1011429173</v>
      </c>
      <c r="D17228">
        <v>-11739.09</v>
      </c>
    </row>
    <row r="17229" spans="1:4" hidden="1" x14ac:dyDescent="0.3">
      <c r="A17229" t="s">
        <v>1000</v>
      </c>
      <c r="B17229" t="s">
        <v>67</v>
      </c>
      <c r="C17229" s="1">
        <f>HYPERLINK("https://cao.dolgi.msk.ru/account/1011429245/", 1011429245)</f>
        <v>1011429245</v>
      </c>
      <c r="D17229">
        <v>-341.92</v>
      </c>
    </row>
    <row r="17230" spans="1:4" hidden="1" x14ac:dyDescent="0.3">
      <c r="A17230" t="s">
        <v>1000</v>
      </c>
      <c r="B17230" t="s">
        <v>68</v>
      </c>
      <c r="C17230" s="1">
        <f>HYPERLINK("https://cao.dolgi.msk.ru/account/1011427901/", 1011427901)</f>
        <v>1011427901</v>
      </c>
      <c r="D17230">
        <v>-888.12</v>
      </c>
    </row>
    <row r="17231" spans="1:4" x14ac:dyDescent="0.3">
      <c r="A17231" t="s">
        <v>1000</v>
      </c>
      <c r="B17231" t="s">
        <v>69</v>
      </c>
      <c r="C17231" s="1">
        <f>HYPERLINK("https://cao.dolgi.msk.ru/account/1011429149/", 1011429149)</f>
        <v>1011429149</v>
      </c>
      <c r="D17231">
        <v>2195.7600000000002</v>
      </c>
    </row>
    <row r="17232" spans="1:4" x14ac:dyDescent="0.3">
      <c r="A17232" t="s">
        <v>1000</v>
      </c>
      <c r="B17232" t="s">
        <v>69</v>
      </c>
      <c r="C17232" s="1">
        <f>HYPERLINK("https://cao.dolgi.msk.ru/account/1011429229/", 1011429229)</f>
        <v>1011429229</v>
      </c>
      <c r="D17232">
        <v>5851.6</v>
      </c>
    </row>
    <row r="17233" spans="1:4" hidden="1" x14ac:dyDescent="0.3">
      <c r="A17233" t="s">
        <v>1000</v>
      </c>
      <c r="B17233" t="s">
        <v>70</v>
      </c>
      <c r="C17233" s="1">
        <f>HYPERLINK("https://cao.dolgi.msk.ru/account/1011428066/", 1011428066)</f>
        <v>1011428066</v>
      </c>
      <c r="D17233">
        <v>-5943.88</v>
      </c>
    </row>
    <row r="17234" spans="1:4" hidden="1" x14ac:dyDescent="0.3">
      <c r="A17234" t="s">
        <v>1000</v>
      </c>
      <c r="B17234" t="s">
        <v>259</v>
      </c>
      <c r="C17234" s="1">
        <f>HYPERLINK("https://cao.dolgi.msk.ru/account/1011428242/", 1011428242)</f>
        <v>1011428242</v>
      </c>
      <c r="D17234">
        <v>0</v>
      </c>
    </row>
    <row r="17235" spans="1:4" hidden="1" x14ac:dyDescent="0.3">
      <c r="A17235" t="s">
        <v>1000</v>
      </c>
      <c r="B17235" t="s">
        <v>100</v>
      </c>
      <c r="C17235" s="1">
        <f>HYPERLINK("https://cao.dolgi.msk.ru/account/1011427856/", 1011427856)</f>
        <v>1011427856</v>
      </c>
      <c r="D17235">
        <v>-5888.77</v>
      </c>
    </row>
    <row r="17236" spans="1:4" hidden="1" x14ac:dyDescent="0.3">
      <c r="A17236" t="s">
        <v>1000</v>
      </c>
      <c r="B17236" t="s">
        <v>72</v>
      </c>
      <c r="C17236" s="1">
        <f>HYPERLINK("https://cao.dolgi.msk.ru/account/1011428269/", 1011428269)</f>
        <v>1011428269</v>
      </c>
      <c r="D17236">
        <v>-834.8</v>
      </c>
    </row>
    <row r="17237" spans="1:4" hidden="1" x14ac:dyDescent="0.3">
      <c r="A17237" t="s">
        <v>1000</v>
      </c>
      <c r="B17237" t="s">
        <v>73</v>
      </c>
      <c r="C17237" s="1">
        <f>HYPERLINK("https://cao.dolgi.msk.ru/account/1011428947/", 1011428947)</f>
        <v>1011428947</v>
      </c>
      <c r="D17237">
        <v>-7177.15</v>
      </c>
    </row>
    <row r="17238" spans="1:4" hidden="1" x14ac:dyDescent="0.3">
      <c r="A17238" t="s">
        <v>1000</v>
      </c>
      <c r="B17238" t="s">
        <v>74</v>
      </c>
      <c r="C17238" s="1">
        <f>HYPERLINK("https://cao.dolgi.msk.ru/account/1011428402/", 1011428402)</f>
        <v>1011428402</v>
      </c>
      <c r="D17238">
        <v>0</v>
      </c>
    </row>
    <row r="17239" spans="1:4" hidden="1" x14ac:dyDescent="0.3">
      <c r="A17239" t="s">
        <v>1000</v>
      </c>
      <c r="B17239" t="s">
        <v>75</v>
      </c>
      <c r="C17239" s="1">
        <f>HYPERLINK("https://cao.dolgi.msk.ru/account/1011429288/", 1011429288)</f>
        <v>1011429288</v>
      </c>
      <c r="D17239">
        <v>0</v>
      </c>
    </row>
    <row r="17240" spans="1:4" hidden="1" x14ac:dyDescent="0.3">
      <c r="A17240" t="s">
        <v>1000</v>
      </c>
      <c r="B17240" t="s">
        <v>76</v>
      </c>
      <c r="C17240" s="1">
        <f>HYPERLINK("https://cao.dolgi.msk.ru/account/1011428285/", 1011428285)</f>
        <v>1011428285</v>
      </c>
      <c r="D17240">
        <v>0</v>
      </c>
    </row>
    <row r="17241" spans="1:4" hidden="1" x14ac:dyDescent="0.3">
      <c r="A17241" t="s">
        <v>1000</v>
      </c>
      <c r="B17241" t="s">
        <v>76</v>
      </c>
      <c r="C17241" s="1">
        <f>HYPERLINK("https://cao.dolgi.msk.ru/account/1011428701/", 1011428701)</f>
        <v>1011428701</v>
      </c>
      <c r="D17241">
        <v>0</v>
      </c>
    </row>
    <row r="17242" spans="1:4" x14ac:dyDescent="0.3">
      <c r="A17242" t="s">
        <v>1000</v>
      </c>
      <c r="B17242" t="s">
        <v>77</v>
      </c>
      <c r="C17242" s="1">
        <f>HYPERLINK("https://cao.dolgi.msk.ru/account/1011428357/", 1011428357)</f>
        <v>1011428357</v>
      </c>
      <c r="D17242">
        <v>36868.050000000003</v>
      </c>
    </row>
    <row r="17243" spans="1:4" hidden="1" x14ac:dyDescent="0.3">
      <c r="A17243" t="s">
        <v>1000</v>
      </c>
      <c r="B17243" t="s">
        <v>78</v>
      </c>
      <c r="C17243" s="1">
        <f>HYPERLINK("https://cao.dolgi.msk.ru/account/1011429077/", 1011429077)</f>
        <v>1011429077</v>
      </c>
      <c r="D17243">
        <v>-2286.98</v>
      </c>
    </row>
    <row r="17244" spans="1:4" hidden="1" x14ac:dyDescent="0.3">
      <c r="A17244" t="s">
        <v>1000</v>
      </c>
      <c r="B17244" t="s">
        <v>79</v>
      </c>
      <c r="C17244" s="1">
        <f>HYPERLINK("https://cao.dolgi.msk.ru/account/1011428955/", 1011428955)</f>
        <v>1011428955</v>
      </c>
      <c r="D17244">
        <v>0</v>
      </c>
    </row>
    <row r="17245" spans="1:4" x14ac:dyDescent="0.3">
      <c r="A17245" t="s">
        <v>1000</v>
      </c>
      <c r="B17245" t="s">
        <v>80</v>
      </c>
      <c r="C17245" s="1">
        <f>HYPERLINK("https://cao.dolgi.msk.ru/account/1011428365/", 1011428365)</f>
        <v>1011428365</v>
      </c>
      <c r="D17245">
        <v>9679.19</v>
      </c>
    </row>
    <row r="17246" spans="1:4" hidden="1" x14ac:dyDescent="0.3">
      <c r="A17246" t="s">
        <v>1000</v>
      </c>
      <c r="B17246" t="s">
        <v>81</v>
      </c>
      <c r="C17246" s="1">
        <f>HYPERLINK("https://cao.dolgi.msk.ru/account/1011429018/", 1011429018)</f>
        <v>1011429018</v>
      </c>
      <c r="D17246">
        <v>-5297.61</v>
      </c>
    </row>
    <row r="17247" spans="1:4" hidden="1" x14ac:dyDescent="0.3">
      <c r="A17247" t="s">
        <v>1000</v>
      </c>
      <c r="B17247" t="s">
        <v>101</v>
      </c>
      <c r="C17247" s="1">
        <f>HYPERLINK("https://cao.dolgi.msk.ru/account/1011428509/", 1011428509)</f>
        <v>1011428509</v>
      </c>
      <c r="D17247">
        <v>0</v>
      </c>
    </row>
    <row r="17248" spans="1:4" x14ac:dyDescent="0.3">
      <c r="A17248" t="s">
        <v>1000</v>
      </c>
      <c r="B17248" t="s">
        <v>82</v>
      </c>
      <c r="C17248" s="1">
        <f>HYPERLINK("https://cao.dolgi.msk.ru/account/1011427944/", 1011427944)</f>
        <v>1011427944</v>
      </c>
      <c r="D17248">
        <v>27190.74</v>
      </c>
    </row>
    <row r="17249" spans="1:4" hidden="1" x14ac:dyDescent="0.3">
      <c r="A17249" t="s">
        <v>1000</v>
      </c>
      <c r="B17249" t="s">
        <v>83</v>
      </c>
      <c r="C17249" s="1">
        <f>HYPERLINK("https://cao.dolgi.msk.ru/account/1011428306/", 1011428306)</f>
        <v>1011428306</v>
      </c>
      <c r="D17249">
        <v>0</v>
      </c>
    </row>
    <row r="17250" spans="1:4" hidden="1" x14ac:dyDescent="0.3">
      <c r="A17250" t="s">
        <v>1000</v>
      </c>
      <c r="B17250" t="s">
        <v>84</v>
      </c>
      <c r="C17250" s="1">
        <f>HYPERLINK("https://cao.dolgi.msk.ru/account/1011507813/", 1011507813)</f>
        <v>1011507813</v>
      </c>
      <c r="D17250">
        <v>-5561.76</v>
      </c>
    </row>
    <row r="17251" spans="1:4" hidden="1" x14ac:dyDescent="0.3">
      <c r="A17251" t="s">
        <v>1000</v>
      </c>
      <c r="B17251" t="s">
        <v>85</v>
      </c>
      <c r="C17251" s="1">
        <f>HYPERLINK("https://cao.dolgi.msk.ru/account/1011428322/", 1011428322)</f>
        <v>1011428322</v>
      </c>
      <c r="D17251">
        <v>0</v>
      </c>
    </row>
    <row r="17252" spans="1:4" hidden="1" x14ac:dyDescent="0.3">
      <c r="A17252" t="s">
        <v>1000</v>
      </c>
      <c r="B17252" t="s">
        <v>102</v>
      </c>
      <c r="C17252" s="1">
        <f>HYPERLINK("https://cao.dolgi.msk.ru/account/1011429026/", 1011429026)</f>
        <v>1011429026</v>
      </c>
      <c r="D17252">
        <v>-28970.080000000002</v>
      </c>
    </row>
    <row r="17253" spans="1:4" x14ac:dyDescent="0.3">
      <c r="A17253" t="s">
        <v>1000</v>
      </c>
      <c r="B17253" t="s">
        <v>103</v>
      </c>
      <c r="C17253" s="1">
        <f>HYPERLINK("https://cao.dolgi.msk.ru/account/1011429261/", 1011429261)</f>
        <v>1011429261</v>
      </c>
      <c r="D17253">
        <v>6498.38</v>
      </c>
    </row>
    <row r="17254" spans="1:4" hidden="1" x14ac:dyDescent="0.3">
      <c r="A17254" t="s">
        <v>1000</v>
      </c>
      <c r="B17254" t="s">
        <v>104</v>
      </c>
      <c r="C17254" s="1">
        <f>HYPERLINK("https://cao.dolgi.msk.ru/account/1011428584/", 1011428584)</f>
        <v>1011428584</v>
      </c>
      <c r="D17254">
        <v>-7998.84</v>
      </c>
    </row>
    <row r="17255" spans="1:4" hidden="1" x14ac:dyDescent="0.3">
      <c r="A17255" t="s">
        <v>1000</v>
      </c>
      <c r="B17255" t="s">
        <v>105</v>
      </c>
      <c r="C17255" s="1">
        <f>HYPERLINK("https://cao.dolgi.msk.ru/account/1011429253/", 1011429253)</f>
        <v>1011429253</v>
      </c>
      <c r="D17255">
        <v>-12534.66</v>
      </c>
    </row>
    <row r="17256" spans="1:4" hidden="1" x14ac:dyDescent="0.3">
      <c r="A17256" t="s">
        <v>1000</v>
      </c>
      <c r="B17256" t="s">
        <v>106</v>
      </c>
      <c r="C17256" s="1">
        <f>HYPERLINK("https://cao.dolgi.msk.ru/account/1011428904/", 1011428904)</f>
        <v>1011428904</v>
      </c>
      <c r="D17256">
        <v>-11603.49</v>
      </c>
    </row>
    <row r="17257" spans="1:4" hidden="1" x14ac:dyDescent="0.3">
      <c r="A17257" t="s">
        <v>1000</v>
      </c>
      <c r="B17257" t="s">
        <v>107</v>
      </c>
      <c r="C17257" s="1">
        <f>HYPERLINK("https://cao.dolgi.msk.ru/account/1011428744/", 1011428744)</f>
        <v>1011428744</v>
      </c>
      <c r="D17257">
        <v>0</v>
      </c>
    </row>
    <row r="17258" spans="1:4" hidden="1" x14ac:dyDescent="0.3">
      <c r="A17258" t="s">
        <v>1000</v>
      </c>
      <c r="B17258" t="s">
        <v>108</v>
      </c>
      <c r="C17258" s="1">
        <f>HYPERLINK("https://cao.dolgi.msk.ru/account/1011428074/", 1011428074)</f>
        <v>1011428074</v>
      </c>
      <c r="D17258">
        <v>0</v>
      </c>
    </row>
    <row r="17259" spans="1:4" x14ac:dyDescent="0.3">
      <c r="A17259" t="s">
        <v>1000</v>
      </c>
      <c r="B17259" t="s">
        <v>109</v>
      </c>
      <c r="C17259" s="1">
        <f>HYPERLINK("https://cao.dolgi.msk.ru/account/1011428023/", 1011428023)</f>
        <v>1011428023</v>
      </c>
      <c r="D17259">
        <v>6634.57</v>
      </c>
    </row>
    <row r="17260" spans="1:4" hidden="1" x14ac:dyDescent="0.3">
      <c r="A17260" t="s">
        <v>1000</v>
      </c>
      <c r="B17260" t="s">
        <v>110</v>
      </c>
      <c r="C17260" s="1">
        <f>HYPERLINK("https://cao.dolgi.msk.ru/account/1011429085/", 1011429085)</f>
        <v>1011429085</v>
      </c>
      <c r="D17260">
        <v>-14233.4</v>
      </c>
    </row>
    <row r="17261" spans="1:4" hidden="1" x14ac:dyDescent="0.3">
      <c r="A17261" t="s">
        <v>1000</v>
      </c>
      <c r="B17261" t="s">
        <v>111</v>
      </c>
      <c r="C17261" s="1">
        <f>HYPERLINK("https://cao.dolgi.msk.ru/account/1011428699/", 1011428699)</f>
        <v>1011428699</v>
      </c>
      <c r="D17261">
        <v>0</v>
      </c>
    </row>
    <row r="17262" spans="1:4" x14ac:dyDescent="0.3">
      <c r="A17262" t="s">
        <v>1000</v>
      </c>
      <c r="B17262" t="s">
        <v>112</v>
      </c>
      <c r="C17262" s="1">
        <f>HYPERLINK("https://cao.dolgi.msk.ru/account/1011428234/", 1011428234)</f>
        <v>1011428234</v>
      </c>
      <c r="D17262">
        <v>5157.43</v>
      </c>
    </row>
    <row r="17263" spans="1:4" hidden="1" x14ac:dyDescent="0.3">
      <c r="A17263" t="s">
        <v>1000</v>
      </c>
      <c r="B17263" t="s">
        <v>113</v>
      </c>
      <c r="C17263" s="1">
        <f>HYPERLINK("https://cao.dolgi.msk.ru/account/1011428111/", 1011428111)</f>
        <v>1011428111</v>
      </c>
      <c r="D17263">
        <v>-162.1</v>
      </c>
    </row>
    <row r="17264" spans="1:4" hidden="1" x14ac:dyDescent="0.3">
      <c r="A17264" t="s">
        <v>1000</v>
      </c>
      <c r="B17264" t="s">
        <v>113</v>
      </c>
      <c r="C17264" s="1">
        <f>HYPERLINK("https://cao.dolgi.msk.ru/account/1011428517/", 1011428517)</f>
        <v>1011428517</v>
      </c>
      <c r="D17264">
        <v>-40.53</v>
      </c>
    </row>
    <row r="17265" spans="1:4" hidden="1" x14ac:dyDescent="0.3">
      <c r="A17265" t="s">
        <v>1000</v>
      </c>
      <c r="B17265" t="s">
        <v>114</v>
      </c>
      <c r="C17265" s="1">
        <f>HYPERLINK("https://cao.dolgi.msk.ru/account/1011427952/", 1011427952)</f>
        <v>1011427952</v>
      </c>
      <c r="D17265">
        <v>0</v>
      </c>
    </row>
    <row r="17266" spans="1:4" hidden="1" x14ac:dyDescent="0.3">
      <c r="A17266" t="s">
        <v>1000</v>
      </c>
      <c r="B17266" t="s">
        <v>115</v>
      </c>
      <c r="C17266" s="1">
        <f>HYPERLINK("https://cao.dolgi.msk.ru/account/1011428752/", 1011428752)</f>
        <v>1011428752</v>
      </c>
      <c r="D17266">
        <v>0</v>
      </c>
    </row>
    <row r="17267" spans="1:4" hidden="1" x14ac:dyDescent="0.3">
      <c r="A17267" t="s">
        <v>1000</v>
      </c>
      <c r="B17267" t="s">
        <v>116</v>
      </c>
      <c r="C17267" s="1">
        <f>HYPERLINK("https://cao.dolgi.msk.ru/account/1011428779/", 1011428779)</f>
        <v>1011428779</v>
      </c>
      <c r="D17267">
        <v>-10630.83</v>
      </c>
    </row>
    <row r="17268" spans="1:4" x14ac:dyDescent="0.3">
      <c r="A17268" t="s">
        <v>1000</v>
      </c>
      <c r="B17268" t="s">
        <v>266</v>
      </c>
      <c r="C17268" s="1">
        <f>HYPERLINK("https://cao.dolgi.msk.ru/account/1011429181/", 1011429181)</f>
        <v>1011429181</v>
      </c>
      <c r="D17268">
        <v>18216.669999999998</v>
      </c>
    </row>
    <row r="17269" spans="1:4" hidden="1" x14ac:dyDescent="0.3">
      <c r="A17269" t="s">
        <v>1000</v>
      </c>
      <c r="B17269" t="s">
        <v>117</v>
      </c>
      <c r="C17269" s="1">
        <f>HYPERLINK("https://cao.dolgi.msk.ru/account/1011428445/", 1011428445)</f>
        <v>1011428445</v>
      </c>
      <c r="D17269">
        <v>-5907.86</v>
      </c>
    </row>
    <row r="17270" spans="1:4" hidden="1" x14ac:dyDescent="0.3">
      <c r="A17270" t="s">
        <v>1000</v>
      </c>
      <c r="B17270" t="s">
        <v>118</v>
      </c>
      <c r="C17270" s="1">
        <f>HYPERLINK("https://cao.dolgi.msk.ru/account/1011429157/", 1011429157)</f>
        <v>1011429157</v>
      </c>
      <c r="D17270">
        <v>0</v>
      </c>
    </row>
    <row r="17271" spans="1:4" hidden="1" x14ac:dyDescent="0.3">
      <c r="A17271" t="s">
        <v>1000</v>
      </c>
      <c r="B17271" t="s">
        <v>119</v>
      </c>
      <c r="C17271" s="1">
        <f>HYPERLINK("https://cao.dolgi.msk.ru/account/1011427928/", 1011427928)</f>
        <v>1011427928</v>
      </c>
      <c r="D17271">
        <v>-6049.55</v>
      </c>
    </row>
    <row r="17272" spans="1:4" hidden="1" x14ac:dyDescent="0.3">
      <c r="A17272" t="s">
        <v>1000</v>
      </c>
      <c r="B17272" t="s">
        <v>119</v>
      </c>
      <c r="C17272" s="1">
        <f>HYPERLINK("https://cao.dolgi.msk.ru/account/1011428381/", 1011428381)</f>
        <v>1011428381</v>
      </c>
      <c r="D17272">
        <v>-9281.08</v>
      </c>
    </row>
    <row r="17273" spans="1:4" hidden="1" x14ac:dyDescent="0.3">
      <c r="A17273" t="s">
        <v>1000</v>
      </c>
      <c r="B17273" t="s">
        <v>120</v>
      </c>
      <c r="C17273" s="1">
        <f>HYPERLINK("https://cao.dolgi.msk.ru/account/1011428912/", 1011428912)</f>
        <v>1011428912</v>
      </c>
      <c r="D17273">
        <v>-6272.09</v>
      </c>
    </row>
    <row r="17274" spans="1:4" hidden="1" x14ac:dyDescent="0.3">
      <c r="A17274" t="s">
        <v>1000</v>
      </c>
      <c r="B17274" t="s">
        <v>121</v>
      </c>
      <c r="C17274" s="1">
        <f>HYPERLINK("https://cao.dolgi.msk.ru/account/1011428453/", 1011428453)</f>
        <v>1011428453</v>
      </c>
      <c r="D17274">
        <v>0</v>
      </c>
    </row>
    <row r="17275" spans="1:4" hidden="1" x14ac:dyDescent="0.3">
      <c r="A17275" t="s">
        <v>1000</v>
      </c>
      <c r="B17275" t="s">
        <v>122</v>
      </c>
      <c r="C17275" s="1">
        <f>HYPERLINK("https://cao.dolgi.msk.ru/account/1011428293/", 1011428293)</f>
        <v>1011428293</v>
      </c>
      <c r="D17275">
        <v>0</v>
      </c>
    </row>
    <row r="17276" spans="1:4" hidden="1" x14ac:dyDescent="0.3">
      <c r="A17276" t="s">
        <v>1000</v>
      </c>
      <c r="B17276" t="s">
        <v>123</v>
      </c>
      <c r="C17276" s="1">
        <f>HYPERLINK("https://cao.dolgi.msk.ru/account/1011428939/", 1011428939)</f>
        <v>1011428939</v>
      </c>
      <c r="D17276">
        <v>0</v>
      </c>
    </row>
    <row r="17277" spans="1:4" hidden="1" x14ac:dyDescent="0.3">
      <c r="A17277" t="s">
        <v>1000</v>
      </c>
      <c r="B17277" t="s">
        <v>124</v>
      </c>
      <c r="C17277" s="1">
        <f>HYPERLINK("https://cao.dolgi.msk.ru/account/1011428883/", 1011428883)</f>
        <v>1011428883</v>
      </c>
      <c r="D17277">
        <v>-579.67999999999995</v>
      </c>
    </row>
    <row r="17278" spans="1:4" x14ac:dyDescent="0.3">
      <c r="A17278" t="s">
        <v>1000</v>
      </c>
      <c r="B17278" t="s">
        <v>125</v>
      </c>
      <c r="C17278" s="1">
        <f>HYPERLINK("https://cao.dolgi.msk.ru/account/1011428461/", 1011428461)</f>
        <v>1011428461</v>
      </c>
      <c r="D17278">
        <v>21749.32</v>
      </c>
    </row>
    <row r="17279" spans="1:4" hidden="1" x14ac:dyDescent="0.3">
      <c r="A17279" t="s">
        <v>1000</v>
      </c>
      <c r="B17279" t="s">
        <v>125</v>
      </c>
      <c r="C17279" s="1">
        <f>HYPERLINK("https://cao.dolgi.msk.ru/account/1011429202/", 1011429202)</f>
        <v>1011429202</v>
      </c>
      <c r="D17279">
        <v>-9575.66</v>
      </c>
    </row>
    <row r="17280" spans="1:4" hidden="1" x14ac:dyDescent="0.3">
      <c r="A17280" t="s">
        <v>1000</v>
      </c>
      <c r="B17280" t="s">
        <v>126</v>
      </c>
      <c r="C17280" s="1">
        <f>HYPERLINK("https://cao.dolgi.msk.ru/account/1011428138/", 1011428138)</f>
        <v>1011428138</v>
      </c>
      <c r="D17280">
        <v>-817.06</v>
      </c>
    </row>
    <row r="17281" spans="1:4" hidden="1" x14ac:dyDescent="0.3">
      <c r="A17281" t="s">
        <v>1000</v>
      </c>
      <c r="B17281" t="s">
        <v>127</v>
      </c>
      <c r="C17281" s="1">
        <f>HYPERLINK("https://cao.dolgi.msk.ru/account/1011429093/", 1011429093)</f>
        <v>1011429093</v>
      </c>
      <c r="D17281">
        <v>0</v>
      </c>
    </row>
    <row r="17282" spans="1:4" hidden="1" x14ac:dyDescent="0.3">
      <c r="A17282" t="s">
        <v>1000</v>
      </c>
      <c r="B17282" t="s">
        <v>262</v>
      </c>
      <c r="C17282" s="1">
        <f>HYPERLINK("https://cao.dolgi.msk.ru/account/1011428541/", 1011428541)</f>
        <v>1011428541</v>
      </c>
      <c r="D17282">
        <v>0</v>
      </c>
    </row>
    <row r="17283" spans="1:4" hidden="1" x14ac:dyDescent="0.3">
      <c r="A17283" t="s">
        <v>1000</v>
      </c>
      <c r="B17283" t="s">
        <v>128</v>
      </c>
      <c r="C17283" s="1">
        <f>HYPERLINK("https://cao.dolgi.msk.ru/account/1011428197/", 1011428197)</f>
        <v>1011428197</v>
      </c>
      <c r="D17283">
        <v>-7424.97</v>
      </c>
    </row>
    <row r="17284" spans="1:4" hidden="1" x14ac:dyDescent="0.3">
      <c r="A17284" t="s">
        <v>1000</v>
      </c>
      <c r="B17284" t="s">
        <v>129</v>
      </c>
      <c r="C17284" s="1">
        <f>HYPERLINK("https://cao.dolgi.msk.ru/account/1011428082/", 1011428082)</f>
        <v>1011428082</v>
      </c>
      <c r="D17284">
        <v>-6522.51</v>
      </c>
    </row>
    <row r="17285" spans="1:4" hidden="1" x14ac:dyDescent="0.3">
      <c r="A17285" t="s">
        <v>1000</v>
      </c>
      <c r="B17285" t="s">
        <v>130</v>
      </c>
      <c r="C17285" s="1">
        <f>HYPERLINK("https://cao.dolgi.msk.ru/account/1011429237/", 1011429237)</f>
        <v>1011429237</v>
      </c>
      <c r="D17285">
        <v>0</v>
      </c>
    </row>
    <row r="17286" spans="1:4" hidden="1" x14ac:dyDescent="0.3">
      <c r="A17286" t="s">
        <v>1000</v>
      </c>
      <c r="B17286" t="s">
        <v>131</v>
      </c>
      <c r="C17286" s="1">
        <f>HYPERLINK("https://cao.dolgi.msk.ru/account/1011427936/", 1011427936)</f>
        <v>1011427936</v>
      </c>
      <c r="D17286">
        <v>0</v>
      </c>
    </row>
    <row r="17287" spans="1:4" hidden="1" x14ac:dyDescent="0.3">
      <c r="A17287" t="s">
        <v>1000</v>
      </c>
      <c r="B17287" t="s">
        <v>132</v>
      </c>
      <c r="C17287" s="1">
        <f>HYPERLINK("https://cao.dolgi.msk.ru/account/1011428867/", 1011428867)</f>
        <v>1011428867</v>
      </c>
      <c r="D17287">
        <v>0</v>
      </c>
    </row>
    <row r="17288" spans="1:4" hidden="1" x14ac:dyDescent="0.3">
      <c r="A17288" t="s">
        <v>1000</v>
      </c>
      <c r="B17288" t="s">
        <v>133</v>
      </c>
      <c r="C17288" s="1">
        <f>HYPERLINK("https://cao.dolgi.msk.ru/account/1011428824/", 1011428824)</f>
        <v>1011428824</v>
      </c>
      <c r="D17288">
        <v>0</v>
      </c>
    </row>
    <row r="17289" spans="1:4" x14ac:dyDescent="0.3">
      <c r="A17289" t="s">
        <v>1000</v>
      </c>
      <c r="B17289" t="s">
        <v>134</v>
      </c>
      <c r="C17289" s="1">
        <f>HYPERLINK("https://cao.dolgi.msk.ru/account/1011428218/", 1011428218)</f>
        <v>1011428218</v>
      </c>
      <c r="D17289">
        <v>373.95</v>
      </c>
    </row>
    <row r="17290" spans="1:4" hidden="1" x14ac:dyDescent="0.3">
      <c r="A17290" t="s">
        <v>1000</v>
      </c>
      <c r="B17290" t="s">
        <v>135</v>
      </c>
      <c r="C17290" s="1">
        <f>HYPERLINK("https://cao.dolgi.msk.ru/account/1011428488/", 1011428488)</f>
        <v>1011428488</v>
      </c>
      <c r="D17290">
        <v>0</v>
      </c>
    </row>
    <row r="17291" spans="1:4" hidden="1" x14ac:dyDescent="0.3">
      <c r="A17291" t="s">
        <v>1000</v>
      </c>
      <c r="B17291" t="s">
        <v>135</v>
      </c>
      <c r="C17291" s="1">
        <f>HYPERLINK("https://cao.dolgi.msk.ru/account/1011428795/", 1011428795)</f>
        <v>1011428795</v>
      </c>
      <c r="D17291">
        <v>-1363.85</v>
      </c>
    </row>
    <row r="17292" spans="1:4" hidden="1" x14ac:dyDescent="0.3">
      <c r="A17292" t="s">
        <v>1000</v>
      </c>
      <c r="B17292" t="s">
        <v>264</v>
      </c>
      <c r="C17292" s="1">
        <f>HYPERLINK("https://cao.dolgi.msk.ru/account/1011428373/", 1011428373)</f>
        <v>1011428373</v>
      </c>
      <c r="D17292">
        <v>0</v>
      </c>
    </row>
    <row r="17293" spans="1:4" hidden="1" x14ac:dyDescent="0.3">
      <c r="A17293" t="s">
        <v>1000</v>
      </c>
      <c r="B17293" t="s">
        <v>136</v>
      </c>
      <c r="C17293" s="1">
        <f>HYPERLINK("https://cao.dolgi.msk.ru/account/1011428277/", 1011428277)</f>
        <v>1011428277</v>
      </c>
      <c r="D17293">
        <v>-1123.8399999999999</v>
      </c>
    </row>
    <row r="17294" spans="1:4" hidden="1" x14ac:dyDescent="0.3">
      <c r="A17294" t="s">
        <v>1001</v>
      </c>
      <c r="B17294" t="s">
        <v>6</v>
      </c>
      <c r="C17294" s="1">
        <f>HYPERLINK("https://cao.dolgi.msk.ru/account/1011370925/", 1011370925)</f>
        <v>1011370925</v>
      </c>
      <c r="D17294">
        <v>0</v>
      </c>
    </row>
    <row r="17295" spans="1:4" x14ac:dyDescent="0.3">
      <c r="A17295" t="s">
        <v>1001</v>
      </c>
      <c r="B17295" t="s">
        <v>28</v>
      </c>
      <c r="C17295" s="1">
        <f>HYPERLINK("https://cao.dolgi.msk.ru/account/1011370693/", 1011370693)</f>
        <v>1011370693</v>
      </c>
      <c r="D17295">
        <v>616.75</v>
      </c>
    </row>
    <row r="17296" spans="1:4" hidden="1" x14ac:dyDescent="0.3">
      <c r="A17296" t="s">
        <v>1001</v>
      </c>
      <c r="B17296" t="s">
        <v>35</v>
      </c>
      <c r="C17296" s="1">
        <f>HYPERLINK("https://cao.dolgi.msk.ru/account/1011370984/", 1011370984)</f>
        <v>1011370984</v>
      </c>
      <c r="D17296">
        <v>0</v>
      </c>
    </row>
    <row r="17297" spans="1:4" hidden="1" x14ac:dyDescent="0.3">
      <c r="A17297" t="s">
        <v>1001</v>
      </c>
      <c r="B17297" t="s">
        <v>5</v>
      </c>
      <c r="C17297" s="1">
        <f>HYPERLINK("https://cao.dolgi.msk.ru/account/1011371223/", 1011371223)</f>
        <v>1011371223</v>
      </c>
      <c r="D17297">
        <v>-13049.99</v>
      </c>
    </row>
    <row r="17298" spans="1:4" hidden="1" x14ac:dyDescent="0.3">
      <c r="A17298" t="s">
        <v>1001</v>
      </c>
      <c r="B17298" t="s">
        <v>7</v>
      </c>
      <c r="C17298" s="1">
        <f>HYPERLINK("https://cao.dolgi.msk.ru/account/1011370706/", 1011370706)</f>
        <v>1011370706</v>
      </c>
      <c r="D17298">
        <v>0</v>
      </c>
    </row>
    <row r="17299" spans="1:4" hidden="1" x14ac:dyDescent="0.3">
      <c r="A17299" t="s">
        <v>1001</v>
      </c>
      <c r="B17299" t="s">
        <v>8</v>
      </c>
      <c r="C17299" s="1">
        <f>HYPERLINK("https://cao.dolgi.msk.ru/account/1011371418/", 1011371418)</f>
        <v>1011371418</v>
      </c>
      <c r="D17299">
        <v>-215.44</v>
      </c>
    </row>
    <row r="17300" spans="1:4" hidden="1" x14ac:dyDescent="0.3">
      <c r="A17300" t="s">
        <v>1001</v>
      </c>
      <c r="B17300" t="s">
        <v>31</v>
      </c>
      <c r="C17300" s="1">
        <f>HYPERLINK("https://cao.dolgi.msk.ru/account/1011370677/", 1011370677)</f>
        <v>1011370677</v>
      </c>
      <c r="D17300">
        <v>0</v>
      </c>
    </row>
    <row r="17301" spans="1:4" hidden="1" x14ac:dyDescent="0.3">
      <c r="A17301" t="s">
        <v>1001</v>
      </c>
      <c r="B17301" t="s">
        <v>9</v>
      </c>
      <c r="C17301" s="1">
        <f>HYPERLINK("https://cao.dolgi.msk.ru/account/1011370992/", 1011370992)</f>
        <v>1011370992</v>
      </c>
      <c r="D17301">
        <v>-23754.85</v>
      </c>
    </row>
    <row r="17302" spans="1:4" hidden="1" x14ac:dyDescent="0.3">
      <c r="A17302" t="s">
        <v>1001</v>
      </c>
      <c r="B17302" t="s">
        <v>10</v>
      </c>
      <c r="C17302" s="1">
        <f>HYPERLINK("https://cao.dolgi.msk.ru/account/1011371442/", 1011371442)</f>
        <v>1011371442</v>
      </c>
      <c r="D17302">
        <v>-9562.7199999999993</v>
      </c>
    </row>
    <row r="17303" spans="1:4" x14ac:dyDescent="0.3">
      <c r="A17303" t="s">
        <v>1001</v>
      </c>
      <c r="B17303" t="s">
        <v>11</v>
      </c>
      <c r="C17303" s="1">
        <f>HYPERLINK("https://cao.dolgi.msk.ru/account/1011371274/", 1011371274)</f>
        <v>1011371274</v>
      </c>
      <c r="D17303">
        <v>26352.49</v>
      </c>
    </row>
    <row r="17304" spans="1:4" x14ac:dyDescent="0.3">
      <c r="A17304" t="s">
        <v>1001</v>
      </c>
      <c r="B17304" t="s">
        <v>12</v>
      </c>
      <c r="C17304" s="1">
        <f>HYPERLINK("https://cao.dolgi.msk.ru/account/1011371303/", 1011371303)</f>
        <v>1011371303</v>
      </c>
      <c r="D17304">
        <v>16763.849999999999</v>
      </c>
    </row>
    <row r="17305" spans="1:4" x14ac:dyDescent="0.3">
      <c r="A17305" t="s">
        <v>1001</v>
      </c>
      <c r="B17305" t="s">
        <v>23</v>
      </c>
      <c r="C17305" s="1">
        <f>HYPERLINK("https://cao.dolgi.msk.ru/account/1011371194/", 1011371194)</f>
        <v>1011371194</v>
      </c>
      <c r="D17305">
        <v>114219.92</v>
      </c>
    </row>
    <row r="17306" spans="1:4" hidden="1" x14ac:dyDescent="0.3">
      <c r="A17306" t="s">
        <v>1001</v>
      </c>
      <c r="B17306" t="s">
        <v>13</v>
      </c>
      <c r="C17306" s="1">
        <f>HYPERLINK("https://cao.dolgi.msk.ru/account/1011371215/", 1011371215)</f>
        <v>1011371215</v>
      </c>
      <c r="D17306">
        <v>-109.3</v>
      </c>
    </row>
    <row r="17307" spans="1:4" hidden="1" x14ac:dyDescent="0.3">
      <c r="A17307" t="s">
        <v>1001</v>
      </c>
      <c r="B17307" t="s">
        <v>14</v>
      </c>
      <c r="C17307" s="1">
        <f>HYPERLINK("https://cao.dolgi.msk.ru/account/1011370765/", 1011370765)</f>
        <v>1011370765</v>
      </c>
      <c r="D17307">
        <v>0</v>
      </c>
    </row>
    <row r="17308" spans="1:4" hidden="1" x14ac:dyDescent="0.3">
      <c r="A17308" t="s">
        <v>1001</v>
      </c>
      <c r="B17308" t="s">
        <v>14</v>
      </c>
      <c r="C17308" s="1">
        <f>HYPERLINK("https://cao.dolgi.msk.ru/account/1011371127/", 1011371127)</f>
        <v>1011371127</v>
      </c>
      <c r="D17308">
        <v>0</v>
      </c>
    </row>
    <row r="17309" spans="1:4" hidden="1" x14ac:dyDescent="0.3">
      <c r="A17309" t="s">
        <v>1001</v>
      </c>
      <c r="B17309" t="s">
        <v>16</v>
      </c>
      <c r="C17309" s="1">
        <f>HYPERLINK("https://cao.dolgi.msk.ru/account/1011371469/", 1011371469)</f>
        <v>1011371469</v>
      </c>
      <c r="D17309">
        <v>-10136.14</v>
      </c>
    </row>
    <row r="17310" spans="1:4" hidden="1" x14ac:dyDescent="0.3">
      <c r="A17310" t="s">
        <v>1001</v>
      </c>
      <c r="B17310" t="s">
        <v>17</v>
      </c>
      <c r="C17310" s="1">
        <f>HYPERLINK("https://cao.dolgi.msk.ru/account/1011371506/", 1011371506)</f>
        <v>1011371506</v>
      </c>
      <c r="D17310">
        <v>-11962.08</v>
      </c>
    </row>
    <row r="17311" spans="1:4" x14ac:dyDescent="0.3">
      <c r="A17311" t="s">
        <v>1001</v>
      </c>
      <c r="B17311" t="s">
        <v>18</v>
      </c>
      <c r="C17311" s="1">
        <f>HYPERLINK("https://cao.dolgi.msk.ru/account/1011371354/", 1011371354)</f>
        <v>1011371354</v>
      </c>
      <c r="D17311">
        <v>5802.67</v>
      </c>
    </row>
    <row r="17312" spans="1:4" hidden="1" x14ac:dyDescent="0.3">
      <c r="A17312" t="s">
        <v>1001</v>
      </c>
      <c r="B17312" t="s">
        <v>19</v>
      </c>
      <c r="C17312" s="1">
        <f>HYPERLINK("https://cao.dolgi.msk.ru/account/1011371311/", 1011371311)</f>
        <v>1011371311</v>
      </c>
      <c r="D17312">
        <v>0</v>
      </c>
    </row>
    <row r="17313" spans="1:4" hidden="1" x14ac:dyDescent="0.3">
      <c r="A17313" t="s">
        <v>1001</v>
      </c>
      <c r="B17313" t="s">
        <v>20</v>
      </c>
      <c r="C17313" s="1">
        <f>HYPERLINK("https://cao.dolgi.msk.ru/account/1011371135/", 1011371135)</f>
        <v>1011371135</v>
      </c>
      <c r="D17313">
        <v>-13671.62</v>
      </c>
    </row>
    <row r="17314" spans="1:4" hidden="1" x14ac:dyDescent="0.3">
      <c r="A17314" t="s">
        <v>1001</v>
      </c>
      <c r="B17314" t="s">
        <v>21</v>
      </c>
      <c r="C17314" s="1">
        <f>HYPERLINK("https://cao.dolgi.msk.ru/account/1011370941/", 1011370941)</f>
        <v>1011370941</v>
      </c>
      <c r="D17314">
        <v>-3995.82</v>
      </c>
    </row>
    <row r="17315" spans="1:4" hidden="1" x14ac:dyDescent="0.3">
      <c r="A17315" t="s">
        <v>1001</v>
      </c>
      <c r="B17315" t="s">
        <v>21</v>
      </c>
      <c r="C17315" s="1">
        <f>HYPERLINK("https://cao.dolgi.msk.ru/account/1011371477/", 1011371477)</f>
        <v>1011371477</v>
      </c>
      <c r="D17315">
        <v>0</v>
      </c>
    </row>
    <row r="17316" spans="1:4" hidden="1" x14ac:dyDescent="0.3">
      <c r="A17316" t="s">
        <v>1001</v>
      </c>
      <c r="B17316" t="s">
        <v>22</v>
      </c>
      <c r="C17316" s="1">
        <f>HYPERLINK("https://cao.dolgi.msk.ru/account/1011370642/", 1011370642)</f>
        <v>1011370642</v>
      </c>
      <c r="D17316">
        <v>0</v>
      </c>
    </row>
    <row r="17317" spans="1:4" x14ac:dyDescent="0.3">
      <c r="A17317" t="s">
        <v>1001</v>
      </c>
      <c r="B17317" t="s">
        <v>24</v>
      </c>
      <c r="C17317" s="1">
        <f>HYPERLINK("https://cao.dolgi.msk.ru/account/1011370669/", 1011370669)</f>
        <v>1011370669</v>
      </c>
      <c r="D17317">
        <v>23316.639999999999</v>
      </c>
    </row>
    <row r="17318" spans="1:4" hidden="1" x14ac:dyDescent="0.3">
      <c r="A17318" t="s">
        <v>1001</v>
      </c>
      <c r="B17318" t="s">
        <v>25</v>
      </c>
      <c r="C17318" s="1">
        <f>HYPERLINK("https://cao.dolgi.msk.ru/account/1011370837/", 1011370837)</f>
        <v>1011370837</v>
      </c>
      <c r="D17318">
        <v>-907.55</v>
      </c>
    </row>
    <row r="17319" spans="1:4" hidden="1" x14ac:dyDescent="0.3">
      <c r="A17319" t="s">
        <v>1001</v>
      </c>
      <c r="B17319" t="s">
        <v>26</v>
      </c>
      <c r="C17319" s="1">
        <f>HYPERLINK("https://cao.dolgi.msk.ru/account/1011370896/", 1011370896)</f>
        <v>1011370896</v>
      </c>
      <c r="D17319">
        <v>-13992</v>
      </c>
    </row>
    <row r="17320" spans="1:4" hidden="1" x14ac:dyDescent="0.3">
      <c r="A17320" t="s">
        <v>1001</v>
      </c>
      <c r="B17320" t="s">
        <v>27</v>
      </c>
      <c r="C17320" s="1">
        <f>HYPERLINK("https://cao.dolgi.msk.ru/account/1011371151/", 1011371151)</f>
        <v>1011371151</v>
      </c>
      <c r="D17320">
        <v>0</v>
      </c>
    </row>
    <row r="17321" spans="1:4" hidden="1" x14ac:dyDescent="0.3">
      <c r="A17321" t="s">
        <v>1001</v>
      </c>
      <c r="B17321" t="s">
        <v>29</v>
      </c>
      <c r="C17321" s="1">
        <f>HYPERLINK("https://cao.dolgi.msk.ru/account/1011371426/", 1011371426)</f>
        <v>1011371426</v>
      </c>
      <c r="D17321">
        <v>0</v>
      </c>
    </row>
    <row r="17322" spans="1:4" hidden="1" x14ac:dyDescent="0.3">
      <c r="A17322" t="s">
        <v>1001</v>
      </c>
      <c r="B17322" t="s">
        <v>38</v>
      </c>
      <c r="C17322" s="1">
        <f>HYPERLINK("https://cao.dolgi.msk.ru/account/1011371389/", 1011371389)</f>
        <v>1011371389</v>
      </c>
      <c r="D17322">
        <v>0</v>
      </c>
    </row>
    <row r="17323" spans="1:4" hidden="1" x14ac:dyDescent="0.3">
      <c r="A17323" t="s">
        <v>1001</v>
      </c>
      <c r="B17323" t="s">
        <v>39</v>
      </c>
      <c r="C17323" s="1">
        <f>HYPERLINK("https://cao.dolgi.msk.ru/account/1011371047/", 1011371047)</f>
        <v>1011371047</v>
      </c>
      <c r="D17323">
        <v>-14881.44</v>
      </c>
    </row>
    <row r="17324" spans="1:4" hidden="1" x14ac:dyDescent="0.3">
      <c r="A17324" t="s">
        <v>1001</v>
      </c>
      <c r="B17324" t="s">
        <v>40</v>
      </c>
      <c r="C17324" s="1">
        <f>HYPERLINK("https://cao.dolgi.msk.ru/account/1011371231/", 1011371231)</f>
        <v>1011371231</v>
      </c>
      <c r="D17324">
        <v>0</v>
      </c>
    </row>
    <row r="17325" spans="1:4" hidden="1" x14ac:dyDescent="0.3">
      <c r="A17325" t="s">
        <v>1001</v>
      </c>
      <c r="B17325" t="s">
        <v>41</v>
      </c>
      <c r="C17325" s="1">
        <f>HYPERLINK("https://cao.dolgi.msk.ru/account/1011370685/", 1011370685)</f>
        <v>1011370685</v>
      </c>
      <c r="D17325">
        <v>-129.9</v>
      </c>
    </row>
    <row r="17326" spans="1:4" hidden="1" x14ac:dyDescent="0.3">
      <c r="A17326" t="s">
        <v>1001</v>
      </c>
      <c r="B17326" t="s">
        <v>51</v>
      </c>
      <c r="C17326" s="1">
        <f>HYPERLINK("https://cao.dolgi.msk.ru/account/1011370917/", 1011370917)</f>
        <v>1011370917</v>
      </c>
      <c r="D17326">
        <v>-12122.32</v>
      </c>
    </row>
    <row r="17327" spans="1:4" hidden="1" x14ac:dyDescent="0.3">
      <c r="A17327" t="s">
        <v>1001</v>
      </c>
      <c r="B17327" t="s">
        <v>52</v>
      </c>
      <c r="C17327" s="1">
        <f>HYPERLINK("https://cao.dolgi.msk.ru/account/1011371004/", 1011371004)</f>
        <v>1011371004</v>
      </c>
      <c r="D17327">
        <v>0</v>
      </c>
    </row>
    <row r="17328" spans="1:4" hidden="1" x14ac:dyDescent="0.3">
      <c r="A17328" t="s">
        <v>1001</v>
      </c>
      <c r="B17328" t="s">
        <v>53</v>
      </c>
      <c r="C17328" s="1">
        <f>HYPERLINK("https://cao.dolgi.msk.ru/account/1011371493/", 1011371493)</f>
        <v>1011371493</v>
      </c>
      <c r="D17328">
        <v>0</v>
      </c>
    </row>
    <row r="17329" spans="1:4" hidden="1" x14ac:dyDescent="0.3">
      <c r="A17329" t="s">
        <v>1001</v>
      </c>
      <c r="B17329" t="s">
        <v>54</v>
      </c>
      <c r="C17329" s="1">
        <f>HYPERLINK("https://cao.dolgi.msk.ru/account/1011371338/", 1011371338)</f>
        <v>1011371338</v>
      </c>
      <c r="D17329">
        <v>0</v>
      </c>
    </row>
    <row r="17330" spans="1:4" hidden="1" x14ac:dyDescent="0.3">
      <c r="A17330" t="s">
        <v>1001</v>
      </c>
      <c r="B17330" t="s">
        <v>55</v>
      </c>
      <c r="C17330" s="1">
        <f>HYPERLINK("https://cao.dolgi.msk.ru/account/1011370802/", 1011370802)</f>
        <v>1011370802</v>
      </c>
      <c r="D17330">
        <v>0</v>
      </c>
    </row>
    <row r="17331" spans="1:4" hidden="1" x14ac:dyDescent="0.3">
      <c r="A17331" t="s">
        <v>1001</v>
      </c>
      <c r="B17331" t="s">
        <v>56</v>
      </c>
      <c r="C17331" s="1">
        <f>HYPERLINK("https://cao.dolgi.msk.ru/account/1011371012/", 1011371012)</f>
        <v>1011371012</v>
      </c>
      <c r="D17331">
        <v>0</v>
      </c>
    </row>
    <row r="17332" spans="1:4" hidden="1" x14ac:dyDescent="0.3">
      <c r="A17332" t="s">
        <v>1001</v>
      </c>
      <c r="B17332" t="s">
        <v>87</v>
      </c>
      <c r="C17332" s="1">
        <f>HYPERLINK("https://cao.dolgi.msk.ru/account/1011371143/", 1011371143)</f>
        <v>1011371143</v>
      </c>
      <c r="D17332">
        <v>-6483.71</v>
      </c>
    </row>
    <row r="17333" spans="1:4" hidden="1" x14ac:dyDescent="0.3">
      <c r="A17333" t="s">
        <v>1001</v>
      </c>
      <c r="B17333" t="s">
        <v>88</v>
      </c>
      <c r="C17333" s="1">
        <f>HYPERLINK("https://cao.dolgi.msk.ru/account/1011370618/", 1011370618)</f>
        <v>1011370618</v>
      </c>
      <c r="D17333">
        <v>-9146.5499999999993</v>
      </c>
    </row>
    <row r="17334" spans="1:4" hidden="1" x14ac:dyDescent="0.3">
      <c r="A17334" t="s">
        <v>1001</v>
      </c>
      <c r="B17334" t="s">
        <v>89</v>
      </c>
      <c r="C17334" s="1">
        <f>HYPERLINK("https://cao.dolgi.msk.ru/account/1011371039/", 1011371039)</f>
        <v>1011371039</v>
      </c>
      <c r="D17334">
        <v>0</v>
      </c>
    </row>
    <row r="17335" spans="1:4" hidden="1" x14ac:dyDescent="0.3">
      <c r="A17335" t="s">
        <v>1001</v>
      </c>
      <c r="B17335" t="s">
        <v>89</v>
      </c>
      <c r="C17335" s="1">
        <f>HYPERLINK("https://cao.dolgi.msk.ru/account/1011371071/", 1011371071)</f>
        <v>1011371071</v>
      </c>
      <c r="D17335">
        <v>0</v>
      </c>
    </row>
    <row r="17336" spans="1:4" hidden="1" x14ac:dyDescent="0.3">
      <c r="A17336" t="s">
        <v>1001</v>
      </c>
      <c r="B17336" t="s">
        <v>90</v>
      </c>
      <c r="C17336" s="1">
        <f>HYPERLINK("https://cao.dolgi.msk.ru/account/1011370634/", 1011370634)</f>
        <v>1011370634</v>
      </c>
      <c r="D17336">
        <v>-276.49</v>
      </c>
    </row>
    <row r="17337" spans="1:4" hidden="1" x14ac:dyDescent="0.3">
      <c r="A17337" t="s">
        <v>1001</v>
      </c>
      <c r="B17337" t="s">
        <v>96</v>
      </c>
      <c r="C17337" s="1">
        <f>HYPERLINK("https://cao.dolgi.msk.ru/account/1011371362/", 1011371362)</f>
        <v>1011371362</v>
      </c>
      <c r="D17337">
        <v>-5727</v>
      </c>
    </row>
    <row r="17338" spans="1:4" hidden="1" x14ac:dyDescent="0.3">
      <c r="A17338" t="s">
        <v>1001</v>
      </c>
      <c r="B17338" t="s">
        <v>97</v>
      </c>
      <c r="C17338" s="1">
        <f>HYPERLINK("https://cao.dolgi.msk.ru/account/1011371397/", 1011371397)</f>
        <v>1011371397</v>
      </c>
      <c r="D17338">
        <v>0</v>
      </c>
    </row>
    <row r="17339" spans="1:4" hidden="1" x14ac:dyDescent="0.3">
      <c r="A17339" t="s">
        <v>1001</v>
      </c>
      <c r="B17339" t="s">
        <v>98</v>
      </c>
      <c r="C17339" s="1">
        <f>HYPERLINK("https://cao.dolgi.msk.ru/account/1011370589/", 1011370589)</f>
        <v>1011370589</v>
      </c>
      <c r="D17339">
        <v>0</v>
      </c>
    </row>
    <row r="17340" spans="1:4" hidden="1" x14ac:dyDescent="0.3">
      <c r="A17340" t="s">
        <v>1001</v>
      </c>
      <c r="B17340" t="s">
        <v>58</v>
      </c>
      <c r="C17340" s="1">
        <f>HYPERLINK("https://cao.dolgi.msk.ru/account/1011371282/", 1011371282)</f>
        <v>1011371282</v>
      </c>
      <c r="D17340">
        <v>0</v>
      </c>
    </row>
    <row r="17341" spans="1:4" x14ac:dyDescent="0.3">
      <c r="A17341" t="s">
        <v>1001</v>
      </c>
      <c r="B17341" t="s">
        <v>59</v>
      </c>
      <c r="C17341" s="1">
        <f>HYPERLINK("https://cao.dolgi.msk.ru/account/1011370861/", 1011370861)</f>
        <v>1011370861</v>
      </c>
      <c r="D17341">
        <v>39137.550000000003</v>
      </c>
    </row>
    <row r="17342" spans="1:4" x14ac:dyDescent="0.3">
      <c r="A17342" t="s">
        <v>1001</v>
      </c>
      <c r="B17342" t="s">
        <v>60</v>
      </c>
      <c r="C17342" s="1">
        <f>HYPERLINK("https://cao.dolgi.msk.ru/account/1011370714/", 1011370714)</f>
        <v>1011370714</v>
      </c>
      <c r="D17342">
        <v>9704.41</v>
      </c>
    </row>
    <row r="17343" spans="1:4" hidden="1" x14ac:dyDescent="0.3">
      <c r="A17343" t="s">
        <v>1001</v>
      </c>
      <c r="B17343" t="s">
        <v>61</v>
      </c>
      <c r="C17343" s="1">
        <f>HYPERLINK("https://cao.dolgi.msk.ru/account/1011371346/", 1011371346)</f>
        <v>1011371346</v>
      </c>
      <c r="D17343">
        <v>0</v>
      </c>
    </row>
    <row r="17344" spans="1:4" x14ac:dyDescent="0.3">
      <c r="A17344" t="s">
        <v>1001</v>
      </c>
      <c r="B17344" t="s">
        <v>62</v>
      </c>
      <c r="C17344" s="1">
        <f>HYPERLINK("https://cao.dolgi.msk.ru/account/1011370845/", 1011370845)</f>
        <v>1011370845</v>
      </c>
      <c r="D17344">
        <v>4820.5600000000004</v>
      </c>
    </row>
    <row r="17345" spans="1:4" hidden="1" x14ac:dyDescent="0.3">
      <c r="A17345" t="s">
        <v>1001</v>
      </c>
      <c r="B17345" t="s">
        <v>63</v>
      </c>
      <c r="C17345" s="1">
        <f>HYPERLINK("https://cao.dolgi.msk.ru/account/1011371258/", 1011371258)</f>
        <v>1011371258</v>
      </c>
      <c r="D17345">
        <v>0</v>
      </c>
    </row>
    <row r="17346" spans="1:4" hidden="1" x14ac:dyDescent="0.3">
      <c r="A17346" t="s">
        <v>1001</v>
      </c>
      <c r="B17346" t="s">
        <v>64</v>
      </c>
      <c r="C17346" s="1">
        <f>HYPERLINK("https://cao.dolgi.msk.ru/account/1011370888/", 1011370888)</f>
        <v>1011370888</v>
      </c>
      <c r="D17346">
        <v>0</v>
      </c>
    </row>
    <row r="17347" spans="1:4" hidden="1" x14ac:dyDescent="0.3">
      <c r="A17347" t="s">
        <v>1001</v>
      </c>
      <c r="B17347" t="s">
        <v>65</v>
      </c>
      <c r="C17347" s="1">
        <f>HYPERLINK("https://cao.dolgi.msk.ru/account/1011370976/", 1011370976)</f>
        <v>1011370976</v>
      </c>
      <c r="D17347">
        <v>-138.96</v>
      </c>
    </row>
    <row r="17348" spans="1:4" x14ac:dyDescent="0.3">
      <c r="A17348" t="s">
        <v>1001</v>
      </c>
      <c r="B17348" t="s">
        <v>65</v>
      </c>
      <c r="C17348" s="1">
        <f>HYPERLINK("https://cao.dolgi.msk.ru/account/1011371266/", 1011371266)</f>
        <v>1011371266</v>
      </c>
      <c r="D17348">
        <v>4188.76</v>
      </c>
    </row>
    <row r="17349" spans="1:4" x14ac:dyDescent="0.3">
      <c r="A17349" t="s">
        <v>1001</v>
      </c>
      <c r="B17349" t="s">
        <v>66</v>
      </c>
      <c r="C17349" s="1">
        <f>HYPERLINK("https://cao.dolgi.msk.ru/account/1011371434/", 1011371434)</f>
        <v>1011371434</v>
      </c>
      <c r="D17349">
        <v>88341.79</v>
      </c>
    </row>
    <row r="17350" spans="1:4" hidden="1" x14ac:dyDescent="0.3">
      <c r="A17350" t="s">
        <v>1001</v>
      </c>
      <c r="B17350" t="s">
        <v>67</v>
      </c>
      <c r="C17350" s="1">
        <f>HYPERLINK("https://cao.dolgi.msk.ru/account/1011370909/", 1011370909)</f>
        <v>1011370909</v>
      </c>
      <c r="D17350">
        <v>0</v>
      </c>
    </row>
    <row r="17351" spans="1:4" hidden="1" x14ac:dyDescent="0.3">
      <c r="A17351" t="s">
        <v>1001</v>
      </c>
      <c r="B17351" t="s">
        <v>68</v>
      </c>
      <c r="C17351" s="1">
        <f>HYPERLINK("https://cao.dolgi.msk.ru/account/1011370722/", 1011370722)</f>
        <v>1011370722</v>
      </c>
      <c r="D17351">
        <v>-18.600000000000001</v>
      </c>
    </row>
    <row r="17352" spans="1:4" hidden="1" x14ac:dyDescent="0.3">
      <c r="A17352" t="s">
        <v>1001</v>
      </c>
      <c r="B17352" t="s">
        <v>69</v>
      </c>
      <c r="C17352" s="1">
        <f>HYPERLINK("https://cao.dolgi.msk.ru/account/1011370968/", 1011370968)</f>
        <v>1011370968</v>
      </c>
      <c r="D17352">
        <v>-6968.78</v>
      </c>
    </row>
    <row r="17353" spans="1:4" x14ac:dyDescent="0.3">
      <c r="A17353" t="s">
        <v>1001</v>
      </c>
      <c r="B17353" t="s">
        <v>70</v>
      </c>
      <c r="C17353" s="1">
        <f>HYPERLINK("https://cao.dolgi.msk.ru/account/1011371485/", 1011371485)</f>
        <v>1011371485</v>
      </c>
      <c r="D17353">
        <v>1185.98</v>
      </c>
    </row>
    <row r="17354" spans="1:4" hidden="1" x14ac:dyDescent="0.3">
      <c r="A17354" t="s">
        <v>1001</v>
      </c>
      <c r="B17354" t="s">
        <v>259</v>
      </c>
      <c r="C17354" s="1">
        <f>HYPERLINK("https://cao.dolgi.msk.ru/account/1011371063/", 1011371063)</f>
        <v>1011371063</v>
      </c>
      <c r="D17354">
        <v>0</v>
      </c>
    </row>
    <row r="17355" spans="1:4" x14ac:dyDescent="0.3">
      <c r="A17355" t="s">
        <v>1001</v>
      </c>
      <c r="B17355" t="s">
        <v>100</v>
      </c>
      <c r="C17355" s="1">
        <f>HYPERLINK("https://cao.dolgi.msk.ru/account/1011370626/", 1011370626)</f>
        <v>1011370626</v>
      </c>
      <c r="D17355">
        <v>93630.3</v>
      </c>
    </row>
    <row r="17356" spans="1:4" hidden="1" x14ac:dyDescent="0.3">
      <c r="A17356" t="s">
        <v>1001</v>
      </c>
      <c r="B17356" t="s">
        <v>72</v>
      </c>
      <c r="C17356" s="1">
        <f>HYPERLINK("https://cao.dolgi.msk.ru/account/1011370757/", 1011370757)</f>
        <v>1011370757</v>
      </c>
      <c r="D17356">
        <v>-0.02</v>
      </c>
    </row>
    <row r="17357" spans="1:4" x14ac:dyDescent="0.3">
      <c r="A17357" t="s">
        <v>1001</v>
      </c>
      <c r="B17357" t="s">
        <v>73</v>
      </c>
      <c r="C17357" s="1">
        <f>HYPERLINK("https://cao.dolgi.msk.ru/account/1011371178/", 1011371178)</f>
        <v>1011371178</v>
      </c>
      <c r="D17357">
        <v>371184.81</v>
      </c>
    </row>
    <row r="17358" spans="1:4" hidden="1" x14ac:dyDescent="0.3">
      <c r="A17358" t="s">
        <v>1001</v>
      </c>
      <c r="B17358" t="s">
        <v>74</v>
      </c>
      <c r="C17358" s="1">
        <f>HYPERLINK("https://cao.dolgi.msk.ru/account/1011371055/", 1011371055)</f>
        <v>1011371055</v>
      </c>
      <c r="D17358">
        <v>0</v>
      </c>
    </row>
    <row r="17359" spans="1:4" hidden="1" x14ac:dyDescent="0.3">
      <c r="A17359" t="s">
        <v>1001</v>
      </c>
      <c r="B17359" t="s">
        <v>75</v>
      </c>
      <c r="C17359" s="1">
        <f>HYPERLINK("https://cao.dolgi.msk.ru/account/1011371119/", 1011371119)</f>
        <v>1011371119</v>
      </c>
      <c r="D17359">
        <v>-7343.94</v>
      </c>
    </row>
    <row r="17360" spans="1:4" hidden="1" x14ac:dyDescent="0.3">
      <c r="A17360" t="s">
        <v>1001</v>
      </c>
      <c r="B17360" t="s">
        <v>76</v>
      </c>
      <c r="C17360" s="1">
        <f>HYPERLINK("https://cao.dolgi.msk.ru/account/1011370749/", 1011370749)</f>
        <v>1011370749</v>
      </c>
      <c r="D17360">
        <v>0</v>
      </c>
    </row>
    <row r="17361" spans="1:4" hidden="1" x14ac:dyDescent="0.3">
      <c r="A17361" t="s">
        <v>1001</v>
      </c>
      <c r="B17361" t="s">
        <v>77</v>
      </c>
      <c r="C17361" s="1">
        <f>HYPERLINK("https://cao.dolgi.msk.ru/account/1011371098/", 1011371098)</f>
        <v>1011371098</v>
      </c>
      <c r="D17361">
        <v>0</v>
      </c>
    </row>
    <row r="17362" spans="1:4" hidden="1" x14ac:dyDescent="0.3">
      <c r="A17362" t="s">
        <v>1001</v>
      </c>
      <c r="B17362" t="s">
        <v>78</v>
      </c>
      <c r="C17362" s="1">
        <f>HYPERLINK("https://cao.dolgi.msk.ru/account/1011370773/", 1011370773)</f>
        <v>1011370773</v>
      </c>
      <c r="D17362">
        <v>-4630.0200000000004</v>
      </c>
    </row>
    <row r="17363" spans="1:4" hidden="1" x14ac:dyDescent="0.3">
      <c r="A17363" t="s">
        <v>1001</v>
      </c>
      <c r="B17363" t="s">
        <v>79</v>
      </c>
      <c r="C17363" s="1">
        <f>HYPERLINK("https://cao.dolgi.msk.ru/account/1011370933/", 1011370933)</f>
        <v>1011370933</v>
      </c>
      <c r="D17363">
        <v>-6999.53</v>
      </c>
    </row>
    <row r="17364" spans="1:4" hidden="1" x14ac:dyDescent="0.3">
      <c r="A17364" t="s">
        <v>1001</v>
      </c>
      <c r="B17364" t="s">
        <v>80</v>
      </c>
      <c r="C17364" s="1">
        <f>HYPERLINK("https://cao.dolgi.msk.ru/account/1011370781/", 1011370781)</f>
        <v>1011370781</v>
      </c>
      <c r="D17364">
        <v>0</v>
      </c>
    </row>
    <row r="17365" spans="1:4" x14ac:dyDescent="0.3">
      <c r="A17365" t="s">
        <v>1001</v>
      </c>
      <c r="B17365" t="s">
        <v>81</v>
      </c>
      <c r="C17365" s="1">
        <f>HYPERLINK("https://cao.dolgi.msk.ru/account/1011371186/", 1011371186)</f>
        <v>1011371186</v>
      </c>
      <c r="D17365">
        <v>14228.86</v>
      </c>
    </row>
    <row r="17366" spans="1:4" hidden="1" x14ac:dyDescent="0.3">
      <c r="A17366" t="s">
        <v>1001</v>
      </c>
      <c r="B17366" t="s">
        <v>101</v>
      </c>
      <c r="C17366" s="1">
        <f>HYPERLINK("https://cao.dolgi.msk.ru/account/1011370853/", 1011370853)</f>
        <v>1011370853</v>
      </c>
      <c r="D17366">
        <v>0</v>
      </c>
    </row>
    <row r="17367" spans="1:4" hidden="1" x14ac:dyDescent="0.3">
      <c r="A17367" t="s">
        <v>1001</v>
      </c>
      <c r="B17367" t="s">
        <v>82</v>
      </c>
      <c r="C17367" s="1">
        <f>HYPERLINK("https://cao.dolgi.msk.ru/account/1011371207/", 1011371207)</f>
        <v>1011371207</v>
      </c>
      <c r="D17367">
        <v>-12917.03</v>
      </c>
    </row>
    <row r="17368" spans="1:4" hidden="1" x14ac:dyDescent="0.3">
      <c r="A17368" t="s">
        <v>1001</v>
      </c>
      <c r="B17368" t="s">
        <v>83</v>
      </c>
      <c r="C17368" s="1">
        <f>HYPERLINK("https://cao.dolgi.msk.ru/account/1011370829/", 1011370829)</f>
        <v>1011370829</v>
      </c>
      <c r="D17368">
        <v>0</v>
      </c>
    </row>
    <row r="17369" spans="1:4" hidden="1" x14ac:dyDescent="0.3">
      <c r="A17369" t="s">
        <v>1001</v>
      </c>
      <c r="B17369" t="s">
        <v>84</v>
      </c>
      <c r="C17369" s="1">
        <f>HYPERLINK("https://cao.dolgi.msk.ru/account/1011370597/", 1011370597)</f>
        <v>1011370597</v>
      </c>
      <c r="D17369">
        <v>0</v>
      </c>
    </row>
    <row r="17370" spans="1:4" hidden="1" x14ac:dyDescent="0.3">
      <c r="A17370" t="s">
        <v>1002</v>
      </c>
      <c r="B17370" t="s">
        <v>35</v>
      </c>
      <c r="C17370" s="1">
        <f>HYPERLINK("https://cao.dolgi.msk.ru/account/1011315977/", 1011315977)</f>
        <v>1011315977</v>
      </c>
      <c r="D17370">
        <v>0</v>
      </c>
    </row>
    <row r="17371" spans="1:4" hidden="1" x14ac:dyDescent="0.3">
      <c r="A17371" t="s">
        <v>1002</v>
      </c>
      <c r="B17371" t="s">
        <v>5</v>
      </c>
      <c r="C17371" s="1">
        <f>HYPERLINK("https://cao.dolgi.msk.ru/account/1011316662/", 1011316662)</f>
        <v>1011316662</v>
      </c>
      <c r="D17371">
        <v>-8123.9</v>
      </c>
    </row>
    <row r="17372" spans="1:4" x14ac:dyDescent="0.3">
      <c r="A17372" t="s">
        <v>1002</v>
      </c>
      <c r="B17372" t="s">
        <v>7</v>
      </c>
      <c r="C17372" s="1">
        <f>HYPERLINK("https://cao.dolgi.msk.ru/account/1011316259/", 1011316259)</f>
        <v>1011316259</v>
      </c>
      <c r="D17372">
        <v>14602.49</v>
      </c>
    </row>
    <row r="17373" spans="1:4" x14ac:dyDescent="0.3">
      <c r="A17373" t="s">
        <v>1002</v>
      </c>
      <c r="B17373" t="s">
        <v>8</v>
      </c>
      <c r="C17373" s="1">
        <f>HYPERLINK("https://cao.dolgi.msk.ru/account/1011317438/", 1011317438)</f>
        <v>1011317438</v>
      </c>
      <c r="D17373">
        <v>58560.05</v>
      </c>
    </row>
    <row r="17374" spans="1:4" hidden="1" x14ac:dyDescent="0.3">
      <c r="A17374" t="s">
        <v>1002</v>
      </c>
      <c r="B17374" t="s">
        <v>31</v>
      </c>
      <c r="C17374" s="1">
        <f>HYPERLINK("https://cao.dolgi.msk.ru/account/1011317753/", 1011317753)</f>
        <v>1011317753</v>
      </c>
      <c r="D17374">
        <v>0</v>
      </c>
    </row>
    <row r="17375" spans="1:4" hidden="1" x14ac:dyDescent="0.3">
      <c r="A17375" t="s">
        <v>1002</v>
      </c>
      <c r="B17375" t="s">
        <v>9</v>
      </c>
      <c r="C17375" s="1">
        <f>HYPERLINK("https://cao.dolgi.msk.ru/account/1011315985/", 1011315985)</f>
        <v>1011315985</v>
      </c>
      <c r="D17375">
        <v>0</v>
      </c>
    </row>
    <row r="17376" spans="1:4" hidden="1" x14ac:dyDescent="0.3">
      <c r="A17376" t="s">
        <v>1002</v>
      </c>
      <c r="B17376" t="s">
        <v>9</v>
      </c>
      <c r="C17376" s="1">
        <f>HYPERLINK("https://cao.dolgi.msk.ru/account/1011317841/", 1011317841)</f>
        <v>1011317841</v>
      </c>
      <c r="D17376">
        <v>0</v>
      </c>
    </row>
    <row r="17377" spans="1:4" hidden="1" x14ac:dyDescent="0.3">
      <c r="A17377" t="s">
        <v>1002</v>
      </c>
      <c r="B17377" t="s">
        <v>10</v>
      </c>
      <c r="C17377" s="1">
        <f>HYPERLINK("https://cao.dolgi.msk.ru/account/1011317278/", 1011317278)</f>
        <v>1011317278</v>
      </c>
      <c r="D17377">
        <v>0</v>
      </c>
    </row>
    <row r="17378" spans="1:4" hidden="1" x14ac:dyDescent="0.3">
      <c r="A17378" t="s">
        <v>1002</v>
      </c>
      <c r="B17378" t="s">
        <v>11</v>
      </c>
      <c r="C17378" s="1">
        <f>HYPERLINK("https://cao.dolgi.msk.ru/account/1011317446/", 1011317446)</f>
        <v>1011317446</v>
      </c>
      <c r="D17378">
        <v>0</v>
      </c>
    </row>
    <row r="17379" spans="1:4" hidden="1" x14ac:dyDescent="0.3">
      <c r="A17379" t="s">
        <v>1002</v>
      </c>
      <c r="B17379" t="s">
        <v>12</v>
      </c>
      <c r="C17379" s="1">
        <f>HYPERLINK("https://cao.dolgi.msk.ru/account/1011317454/", 1011317454)</f>
        <v>1011317454</v>
      </c>
      <c r="D17379">
        <v>0</v>
      </c>
    </row>
    <row r="17380" spans="1:4" hidden="1" x14ac:dyDescent="0.3">
      <c r="A17380" t="s">
        <v>1002</v>
      </c>
      <c r="B17380" t="s">
        <v>23</v>
      </c>
      <c r="C17380" s="1">
        <f>HYPERLINK("https://cao.dolgi.msk.ru/account/1011317614/", 1011317614)</f>
        <v>1011317614</v>
      </c>
      <c r="D17380">
        <v>-11811.5</v>
      </c>
    </row>
    <row r="17381" spans="1:4" hidden="1" x14ac:dyDescent="0.3">
      <c r="A17381" t="s">
        <v>1002</v>
      </c>
      <c r="B17381" t="s">
        <v>13</v>
      </c>
      <c r="C17381" s="1">
        <f>HYPERLINK("https://cao.dolgi.msk.ru/account/1011316582/", 1011316582)</f>
        <v>1011316582</v>
      </c>
      <c r="D17381">
        <v>-385</v>
      </c>
    </row>
    <row r="17382" spans="1:4" hidden="1" x14ac:dyDescent="0.3">
      <c r="A17382" t="s">
        <v>1002</v>
      </c>
      <c r="B17382" t="s">
        <v>14</v>
      </c>
      <c r="C17382" s="1">
        <f>HYPERLINK("https://cao.dolgi.msk.ru/account/1011317163/", 1011317163)</f>
        <v>1011317163</v>
      </c>
      <c r="D17382">
        <v>-10237.17</v>
      </c>
    </row>
    <row r="17383" spans="1:4" hidden="1" x14ac:dyDescent="0.3">
      <c r="A17383" t="s">
        <v>1002</v>
      </c>
      <c r="B17383" t="s">
        <v>16</v>
      </c>
      <c r="C17383" s="1">
        <f>HYPERLINK("https://cao.dolgi.msk.ru/account/1011317884/", 1011317884)</f>
        <v>1011317884</v>
      </c>
      <c r="D17383">
        <v>0</v>
      </c>
    </row>
    <row r="17384" spans="1:4" hidden="1" x14ac:dyDescent="0.3">
      <c r="A17384" t="s">
        <v>1002</v>
      </c>
      <c r="B17384" t="s">
        <v>17</v>
      </c>
      <c r="C17384" s="1">
        <f>HYPERLINK("https://cao.dolgi.msk.ru/account/1011316283/", 1011316283)</f>
        <v>1011316283</v>
      </c>
      <c r="D17384">
        <v>0</v>
      </c>
    </row>
    <row r="17385" spans="1:4" x14ac:dyDescent="0.3">
      <c r="A17385" t="s">
        <v>1002</v>
      </c>
      <c r="B17385" t="s">
        <v>18</v>
      </c>
      <c r="C17385" s="1">
        <f>HYPERLINK("https://cao.dolgi.msk.ru/account/1011317091/", 1011317091)</f>
        <v>1011317091</v>
      </c>
      <c r="D17385">
        <v>6948.91</v>
      </c>
    </row>
    <row r="17386" spans="1:4" hidden="1" x14ac:dyDescent="0.3">
      <c r="A17386" t="s">
        <v>1002</v>
      </c>
      <c r="B17386" t="s">
        <v>19</v>
      </c>
      <c r="C17386" s="1">
        <f>HYPERLINK("https://cao.dolgi.msk.ru/account/1011316654/", 1011316654)</f>
        <v>1011316654</v>
      </c>
      <c r="D17386">
        <v>-6007.88</v>
      </c>
    </row>
    <row r="17387" spans="1:4" hidden="1" x14ac:dyDescent="0.3">
      <c r="A17387" t="s">
        <v>1002</v>
      </c>
      <c r="B17387" t="s">
        <v>20</v>
      </c>
      <c r="C17387" s="1">
        <f>HYPERLINK("https://cao.dolgi.msk.ru/account/1011317518/", 1011317518)</f>
        <v>1011317518</v>
      </c>
      <c r="D17387">
        <v>0</v>
      </c>
    </row>
    <row r="17388" spans="1:4" hidden="1" x14ac:dyDescent="0.3">
      <c r="A17388" t="s">
        <v>1002</v>
      </c>
      <c r="B17388" t="s">
        <v>21</v>
      </c>
      <c r="C17388" s="1">
        <f>HYPERLINK("https://cao.dolgi.msk.ru/account/1011317067/", 1011317067)</f>
        <v>1011317067</v>
      </c>
      <c r="D17388">
        <v>0</v>
      </c>
    </row>
    <row r="17389" spans="1:4" hidden="1" x14ac:dyDescent="0.3">
      <c r="A17389" t="s">
        <v>1002</v>
      </c>
      <c r="B17389" t="s">
        <v>22</v>
      </c>
      <c r="C17389" s="1">
        <f>HYPERLINK("https://cao.dolgi.msk.ru/account/1011317251/", 1011317251)</f>
        <v>1011317251</v>
      </c>
      <c r="D17389">
        <v>0</v>
      </c>
    </row>
    <row r="17390" spans="1:4" hidden="1" x14ac:dyDescent="0.3">
      <c r="A17390" t="s">
        <v>1002</v>
      </c>
      <c r="B17390" t="s">
        <v>24</v>
      </c>
      <c r="C17390" s="1">
        <f>HYPERLINK("https://cao.dolgi.msk.ru/account/1011317817/", 1011317817)</f>
        <v>1011317817</v>
      </c>
      <c r="D17390">
        <v>0</v>
      </c>
    </row>
    <row r="17391" spans="1:4" hidden="1" x14ac:dyDescent="0.3">
      <c r="A17391" t="s">
        <v>1002</v>
      </c>
      <c r="B17391" t="s">
        <v>25</v>
      </c>
      <c r="C17391" s="1">
        <f>HYPERLINK("https://cao.dolgi.msk.ru/account/1011316371/", 1011316371)</f>
        <v>1011316371</v>
      </c>
      <c r="D17391">
        <v>0</v>
      </c>
    </row>
    <row r="17392" spans="1:4" hidden="1" x14ac:dyDescent="0.3">
      <c r="A17392" t="s">
        <v>1002</v>
      </c>
      <c r="B17392" t="s">
        <v>26</v>
      </c>
      <c r="C17392" s="1">
        <f>HYPERLINK("https://cao.dolgi.msk.ru/account/1011317729/", 1011317729)</f>
        <v>1011317729</v>
      </c>
      <c r="D17392">
        <v>0</v>
      </c>
    </row>
    <row r="17393" spans="1:4" hidden="1" x14ac:dyDescent="0.3">
      <c r="A17393" t="s">
        <v>1002</v>
      </c>
      <c r="B17393" t="s">
        <v>27</v>
      </c>
      <c r="C17393" s="1">
        <f>HYPERLINK("https://cao.dolgi.msk.ru/account/1011316726/", 1011316726)</f>
        <v>1011316726</v>
      </c>
      <c r="D17393">
        <v>0</v>
      </c>
    </row>
    <row r="17394" spans="1:4" hidden="1" x14ac:dyDescent="0.3">
      <c r="A17394" t="s">
        <v>1002</v>
      </c>
      <c r="B17394" t="s">
        <v>29</v>
      </c>
      <c r="C17394" s="1">
        <f>HYPERLINK("https://cao.dolgi.msk.ru/account/1011317665/", 1011317665)</f>
        <v>1011317665</v>
      </c>
      <c r="D17394">
        <v>0</v>
      </c>
    </row>
    <row r="17395" spans="1:4" hidden="1" x14ac:dyDescent="0.3">
      <c r="A17395" t="s">
        <v>1002</v>
      </c>
      <c r="B17395" t="s">
        <v>38</v>
      </c>
      <c r="C17395" s="1">
        <f>HYPERLINK("https://cao.dolgi.msk.ru/account/1011316339/", 1011316339)</f>
        <v>1011316339</v>
      </c>
      <c r="D17395">
        <v>-3198.49</v>
      </c>
    </row>
    <row r="17396" spans="1:4" hidden="1" x14ac:dyDescent="0.3">
      <c r="A17396" t="s">
        <v>1002</v>
      </c>
      <c r="B17396" t="s">
        <v>39</v>
      </c>
      <c r="C17396" s="1">
        <f>HYPERLINK("https://cao.dolgi.msk.ru/account/1011316953/", 1011316953)</f>
        <v>1011316953</v>
      </c>
      <c r="D17396">
        <v>-7261.77</v>
      </c>
    </row>
    <row r="17397" spans="1:4" hidden="1" x14ac:dyDescent="0.3">
      <c r="A17397" t="s">
        <v>1002</v>
      </c>
      <c r="B17397" t="s">
        <v>40</v>
      </c>
      <c r="C17397" s="1">
        <f>HYPERLINK("https://cao.dolgi.msk.ru/account/1011316929/", 1011316929)</f>
        <v>1011316929</v>
      </c>
      <c r="D17397">
        <v>-5497.13</v>
      </c>
    </row>
    <row r="17398" spans="1:4" hidden="1" x14ac:dyDescent="0.3">
      <c r="A17398" t="s">
        <v>1002</v>
      </c>
      <c r="B17398" t="s">
        <v>41</v>
      </c>
      <c r="C17398" s="1">
        <f>HYPERLINK("https://cao.dolgi.msk.ru/account/1011317825/", 1011317825)</f>
        <v>1011317825</v>
      </c>
      <c r="D17398">
        <v>-11843.21</v>
      </c>
    </row>
    <row r="17399" spans="1:4" hidden="1" x14ac:dyDescent="0.3">
      <c r="A17399" t="s">
        <v>1002</v>
      </c>
      <c r="B17399" t="s">
        <v>51</v>
      </c>
      <c r="C17399" s="1">
        <f>HYPERLINK("https://cao.dolgi.msk.ru/account/1011317921/", 1011317921)</f>
        <v>1011317921</v>
      </c>
      <c r="D17399">
        <v>-8540.7999999999993</v>
      </c>
    </row>
    <row r="17400" spans="1:4" hidden="1" x14ac:dyDescent="0.3">
      <c r="A17400" t="s">
        <v>1002</v>
      </c>
      <c r="B17400" t="s">
        <v>52</v>
      </c>
      <c r="C17400" s="1">
        <f>HYPERLINK("https://cao.dolgi.msk.ru/account/1011317892/", 1011317892)</f>
        <v>1011317892</v>
      </c>
      <c r="D17400">
        <v>-59.25</v>
      </c>
    </row>
    <row r="17401" spans="1:4" hidden="1" x14ac:dyDescent="0.3">
      <c r="A17401" t="s">
        <v>1002</v>
      </c>
      <c r="B17401" t="s">
        <v>53</v>
      </c>
      <c r="C17401" s="1">
        <f>HYPERLINK("https://cao.dolgi.msk.ru/account/1011318051/", 1011318051)</f>
        <v>1011318051</v>
      </c>
      <c r="D17401">
        <v>-13616.57</v>
      </c>
    </row>
    <row r="17402" spans="1:4" hidden="1" x14ac:dyDescent="0.3">
      <c r="A17402" t="s">
        <v>1002</v>
      </c>
      <c r="B17402" t="s">
        <v>54</v>
      </c>
      <c r="C17402" s="1">
        <f>HYPERLINK("https://cao.dolgi.msk.ru/account/1011316937/", 1011316937)</f>
        <v>1011316937</v>
      </c>
      <c r="D17402">
        <v>0</v>
      </c>
    </row>
    <row r="17403" spans="1:4" hidden="1" x14ac:dyDescent="0.3">
      <c r="A17403" t="s">
        <v>1002</v>
      </c>
      <c r="B17403" t="s">
        <v>55</v>
      </c>
      <c r="C17403" s="1">
        <f>HYPERLINK("https://cao.dolgi.msk.ru/account/1011316267/", 1011316267)</f>
        <v>1011316267</v>
      </c>
      <c r="D17403">
        <v>-11287.48</v>
      </c>
    </row>
    <row r="17404" spans="1:4" hidden="1" x14ac:dyDescent="0.3">
      <c r="A17404" t="s">
        <v>1002</v>
      </c>
      <c r="B17404" t="s">
        <v>56</v>
      </c>
      <c r="C17404" s="1">
        <f>HYPERLINK("https://cao.dolgi.msk.ru/account/1011316873/", 1011316873)</f>
        <v>1011316873</v>
      </c>
      <c r="D17404">
        <v>0</v>
      </c>
    </row>
    <row r="17405" spans="1:4" hidden="1" x14ac:dyDescent="0.3">
      <c r="A17405" t="s">
        <v>1002</v>
      </c>
      <c r="B17405" t="s">
        <v>87</v>
      </c>
      <c r="C17405" s="1">
        <f>HYPERLINK("https://cao.dolgi.msk.ru/account/1011316208/", 1011316208)</f>
        <v>1011316208</v>
      </c>
      <c r="D17405">
        <v>-11955.32</v>
      </c>
    </row>
    <row r="17406" spans="1:4" hidden="1" x14ac:dyDescent="0.3">
      <c r="A17406" t="s">
        <v>1002</v>
      </c>
      <c r="B17406" t="s">
        <v>88</v>
      </c>
      <c r="C17406" s="1">
        <f>HYPERLINK("https://cao.dolgi.msk.ru/account/1011317286/", 1011317286)</f>
        <v>1011317286</v>
      </c>
      <c r="D17406">
        <v>0</v>
      </c>
    </row>
    <row r="17407" spans="1:4" hidden="1" x14ac:dyDescent="0.3">
      <c r="A17407" t="s">
        <v>1002</v>
      </c>
      <c r="B17407" t="s">
        <v>89</v>
      </c>
      <c r="C17407" s="1">
        <f>HYPERLINK("https://cao.dolgi.msk.ru/account/1011316056/", 1011316056)</f>
        <v>1011316056</v>
      </c>
      <c r="D17407">
        <v>0</v>
      </c>
    </row>
    <row r="17408" spans="1:4" x14ac:dyDescent="0.3">
      <c r="A17408" t="s">
        <v>1002</v>
      </c>
      <c r="B17408" t="s">
        <v>90</v>
      </c>
      <c r="C17408" s="1">
        <f>HYPERLINK("https://cao.dolgi.msk.ru/account/1011317526/", 1011317526)</f>
        <v>1011317526</v>
      </c>
      <c r="D17408">
        <v>2582.09</v>
      </c>
    </row>
    <row r="17409" spans="1:4" hidden="1" x14ac:dyDescent="0.3">
      <c r="A17409" t="s">
        <v>1002</v>
      </c>
      <c r="B17409" t="s">
        <v>96</v>
      </c>
      <c r="C17409" s="1">
        <f>HYPERLINK("https://cao.dolgi.msk.ru/account/1011317622/", 1011317622)</f>
        <v>1011317622</v>
      </c>
      <c r="D17409">
        <v>0</v>
      </c>
    </row>
    <row r="17410" spans="1:4" hidden="1" x14ac:dyDescent="0.3">
      <c r="A17410" t="s">
        <v>1002</v>
      </c>
      <c r="B17410" t="s">
        <v>97</v>
      </c>
      <c r="C17410" s="1">
        <f>HYPERLINK("https://cao.dolgi.msk.ru/account/1011316291/", 1011316291)</f>
        <v>1011316291</v>
      </c>
      <c r="D17410">
        <v>0</v>
      </c>
    </row>
    <row r="17411" spans="1:4" hidden="1" x14ac:dyDescent="0.3">
      <c r="A17411" t="s">
        <v>1002</v>
      </c>
      <c r="B17411" t="s">
        <v>98</v>
      </c>
      <c r="C17411" s="1">
        <f>HYPERLINK("https://cao.dolgi.msk.ru/account/1011317761/", 1011317761)</f>
        <v>1011317761</v>
      </c>
      <c r="D17411">
        <v>-15121.41</v>
      </c>
    </row>
    <row r="17412" spans="1:4" hidden="1" x14ac:dyDescent="0.3">
      <c r="A17412" t="s">
        <v>1002</v>
      </c>
      <c r="B17412" t="s">
        <v>58</v>
      </c>
      <c r="C17412" s="1">
        <f>HYPERLINK("https://cao.dolgi.msk.ru/account/1011317948/", 1011317948)</f>
        <v>1011317948</v>
      </c>
      <c r="D17412">
        <v>-9878.65</v>
      </c>
    </row>
    <row r="17413" spans="1:4" hidden="1" x14ac:dyDescent="0.3">
      <c r="A17413" t="s">
        <v>1002</v>
      </c>
      <c r="B17413" t="s">
        <v>59</v>
      </c>
      <c r="C17413" s="1">
        <f>HYPERLINK("https://cao.dolgi.msk.ru/account/1011317323/", 1011317323)</f>
        <v>1011317323</v>
      </c>
      <c r="D17413">
        <v>-0.01</v>
      </c>
    </row>
    <row r="17414" spans="1:4" hidden="1" x14ac:dyDescent="0.3">
      <c r="A17414" t="s">
        <v>1002</v>
      </c>
      <c r="B17414" t="s">
        <v>60</v>
      </c>
      <c r="C17414" s="1">
        <f>HYPERLINK("https://cao.dolgi.msk.ru/account/1011317171/", 1011317171)</f>
        <v>1011317171</v>
      </c>
      <c r="D17414">
        <v>-330.51</v>
      </c>
    </row>
    <row r="17415" spans="1:4" hidden="1" x14ac:dyDescent="0.3">
      <c r="A17415" t="s">
        <v>1002</v>
      </c>
      <c r="B17415" t="s">
        <v>60</v>
      </c>
      <c r="C17415" s="1">
        <f>HYPERLINK("https://cao.dolgi.msk.ru/account/1011317235/", 1011317235)</f>
        <v>1011317235</v>
      </c>
      <c r="D17415">
        <v>0</v>
      </c>
    </row>
    <row r="17416" spans="1:4" x14ac:dyDescent="0.3">
      <c r="A17416" t="s">
        <v>1002</v>
      </c>
      <c r="B17416" t="s">
        <v>61</v>
      </c>
      <c r="C17416" s="1">
        <f>HYPERLINK("https://cao.dolgi.msk.ru/account/1011316785/", 1011316785)</f>
        <v>1011316785</v>
      </c>
      <c r="D17416">
        <v>18388.580000000002</v>
      </c>
    </row>
    <row r="17417" spans="1:4" hidden="1" x14ac:dyDescent="0.3">
      <c r="A17417" t="s">
        <v>1002</v>
      </c>
      <c r="B17417" t="s">
        <v>62</v>
      </c>
      <c r="C17417" s="1">
        <f>HYPERLINK("https://cao.dolgi.msk.ru/account/1011316689/", 1011316689)</f>
        <v>1011316689</v>
      </c>
      <c r="D17417">
        <v>-6371.68</v>
      </c>
    </row>
    <row r="17418" spans="1:4" hidden="1" x14ac:dyDescent="0.3">
      <c r="A17418" t="s">
        <v>1002</v>
      </c>
      <c r="B17418" t="s">
        <v>63</v>
      </c>
      <c r="C17418" s="1">
        <f>HYPERLINK("https://cao.dolgi.msk.ru/account/1011316304/", 1011316304)</f>
        <v>1011316304</v>
      </c>
      <c r="D17418">
        <v>-3270.16</v>
      </c>
    </row>
    <row r="17419" spans="1:4" hidden="1" x14ac:dyDescent="0.3">
      <c r="A17419" t="s">
        <v>1002</v>
      </c>
      <c r="B17419" t="s">
        <v>64</v>
      </c>
      <c r="C17419" s="1">
        <f>HYPERLINK("https://cao.dolgi.msk.ru/account/1011316232/", 1011316232)</f>
        <v>1011316232</v>
      </c>
      <c r="D17419">
        <v>0</v>
      </c>
    </row>
    <row r="17420" spans="1:4" hidden="1" x14ac:dyDescent="0.3">
      <c r="A17420" t="s">
        <v>1002</v>
      </c>
      <c r="B17420" t="s">
        <v>65</v>
      </c>
      <c r="C17420" s="1">
        <f>HYPERLINK("https://cao.dolgi.msk.ru/account/1011316515/", 1011316515)</f>
        <v>1011316515</v>
      </c>
      <c r="D17420">
        <v>0</v>
      </c>
    </row>
    <row r="17421" spans="1:4" hidden="1" x14ac:dyDescent="0.3">
      <c r="A17421" t="s">
        <v>1002</v>
      </c>
      <c r="B17421" t="s">
        <v>66</v>
      </c>
      <c r="C17421" s="1">
        <f>HYPERLINK("https://cao.dolgi.msk.ru/account/1011316013/", 1011316013)</f>
        <v>1011316013</v>
      </c>
      <c r="D17421">
        <v>-11737.26</v>
      </c>
    </row>
    <row r="17422" spans="1:4" hidden="1" x14ac:dyDescent="0.3">
      <c r="A17422" t="s">
        <v>1002</v>
      </c>
      <c r="B17422" t="s">
        <v>67</v>
      </c>
      <c r="C17422" s="1">
        <f>HYPERLINK("https://cao.dolgi.msk.ru/account/1011316021/", 1011316021)</f>
        <v>1011316021</v>
      </c>
      <c r="D17422">
        <v>0</v>
      </c>
    </row>
    <row r="17423" spans="1:4" hidden="1" x14ac:dyDescent="0.3">
      <c r="A17423" t="s">
        <v>1002</v>
      </c>
      <c r="B17423" t="s">
        <v>68</v>
      </c>
      <c r="C17423" s="1">
        <f>HYPERLINK("https://cao.dolgi.msk.ru/account/1011316697/", 1011316697)</f>
        <v>1011316697</v>
      </c>
      <c r="D17423">
        <v>-338.46</v>
      </c>
    </row>
    <row r="17424" spans="1:4" hidden="1" x14ac:dyDescent="0.3">
      <c r="A17424" t="s">
        <v>1002</v>
      </c>
      <c r="B17424" t="s">
        <v>69</v>
      </c>
      <c r="C17424" s="1">
        <f>HYPERLINK("https://cao.dolgi.msk.ru/account/1011316451/", 1011316451)</f>
        <v>1011316451</v>
      </c>
      <c r="D17424">
        <v>0</v>
      </c>
    </row>
    <row r="17425" spans="1:4" hidden="1" x14ac:dyDescent="0.3">
      <c r="A17425" t="s">
        <v>1002</v>
      </c>
      <c r="B17425" t="s">
        <v>70</v>
      </c>
      <c r="C17425" s="1">
        <f>HYPERLINK("https://cao.dolgi.msk.ru/account/1011317198/", 1011317198)</f>
        <v>1011317198</v>
      </c>
      <c r="D17425">
        <v>0</v>
      </c>
    </row>
    <row r="17426" spans="1:4" hidden="1" x14ac:dyDescent="0.3">
      <c r="A17426" t="s">
        <v>1002</v>
      </c>
      <c r="B17426" t="s">
        <v>259</v>
      </c>
      <c r="C17426" s="1">
        <f>HYPERLINK("https://cao.dolgi.msk.ru/account/1011318182/", 1011318182)</f>
        <v>1011318182</v>
      </c>
      <c r="D17426">
        <v>0</v>
      </c>
    </row>
    <row r="17427" spans="1:4" hidden="1" x14ac:dyDescent="0.3">
      <c r="A17427" t="s">
        <v>1002</v>
      </c>
      <c r="B17427" t="s">
        <v>100</v>
      </c>
      <c r="C17427" s="1">
        <f>HYPERLINK("https://cao.dolgi.msk.ru/account/1011316523/", 1011316523)</f>
        <v>1011316523</v>
      </c>
      <c r="D17427">
        <v>-7048.74</v>
      </c>
    </row>
    <row r="17428" spans="1:4" hidden="1" x14ac:dyDescent="0.3">
      <c r="A17428" t="s">
        <v>1002</v>
      </c>
      <c r="B17428" t="s">
        <v>72</v>
      </c>
      <c r="C17428" s="1">
        <f>HYPERLINK("https://cao.dolgi.msk.ru/account/1011318131/", 1011318131)</f>
        <v>1011318131</v>
      </c>
      <c r="D17428">
        <v>-9868.5499999999993</v>
      </c>
    </row>
    <row r="17429" spans="1:4" hidden="1" x14ac:dyDescent="0.3">
      <c r="A17429" t="s">
        <v>1002</v>
      </c>
      <c r="B17429" t="s">
        <v>73</v>
      </c>
      <c r="C17429" s="1">
        <f>HYPERLINK("https://cao.dolgi.msk.ru/account/1011541579/", 1011541579)</f>
        <v>1011541579</v>
      </c>
      <c r="D17429">
        <v>0</v>
      </c>
    </row>
    <row r="17430" spans="1:4" hidden="1" x14ac:dyDescent="0.3">
      <c r="A17430" t="s">
        <v>1002</v>
      </c>
      <c r="B17430" t="s">
        <v>74</v>
      </c>
      <c r="C17430" s="1">
        <f>HYPERLINK("https://cao.dolgi.msk.ru/account/1011317905/", 1011317905)</f>
        <v>1011317905</v>
      </c>
      <c r="D17430">
        <v>-9088.02</v>
      </c>
    </row>
    <row r="17431" spans="1:4" hidden="1" x14ac:dyDescent="0.3">
      <c r="A17431" t="s">
        <v>1002</v>
      </c>
      <c r="B17431" t="s">
        <v>75</v>
      </c>
      <c r="C17431" s="1">
        <f>HYPERLINK("https://cao.dolgi.msk.ru/account/1011316793/", 1011316793)</f>
        <v>1011316793</v>
      </c>
      <c r="D17431">
        <v>0</v>
      </c>
    </row>
    <row r="17432" spans="1:4" hidden="1" x14ac:dyDescent="0.3">
      <c r="A17432" t="s">
        <v>1002</v>
      </c>
      <c r="B17432" t="s">
        <v>76</v>
      </c>
      <c r="C17432" s="1">
        <f>HYPERLINK("https://cao.dolgi.msk.ru/account/1011315918/", 1011315918)</f>
        <v>1011315918</v>
      </c>
      <c r="D17432">
        <v>0</v>
      </c>
    </row>
    <row r="17433" spans="1:4" hidden="1" x14ac:dyDescent="0.3">
      <c r="A17433" t="s">
        <v>1002</v>
      </c>
      <c r="B17433" t="s">
        <v>77</v>
      </c>
      <c r="C17433" s="1">
        <f>HYPERLINK("https://cao.dolgi.msk.ru/account/1011317999/", 1011317999)</f>
        <v>1011317999</v>
      </c>
      <c r="D17433">
        <v>-7841.07</v>
      </c>
    </row>
    <row r="17434" spans="1:4" hidden="1" x14ac:dyDescent="0.3">
      <c r="A17434" t="s">
        <v>1002</v>
      </c>
      <c r="B17434" t="s">
        <v>78</v>
      </c>
      <c r="C17434" s="1">
        <f>HYPERLINK("https://cao.dolgi.msk.ru/account/1011318078/", 1011318078)</f>
        <v>1011318078</v>
      </c>
      <c r="D17434">
        <v>0</v>
      </c>
    </row>
    <row r="17435" spans="1:4" hidden="1" x14ac:dyDescent="0.3">
      <c r="A17435" t="s">
        <v>1002</v>
      </c>
      <c r="B17435" t="s">
        <v>79</v>
      </c>
      <c r="C17435" s="1">
        <f>HYPERLINK("https://cao.dolgi.msk.ru/account/1011317673/", 1011317673)</f>
        <v>1011317673</v>
      </c>
      <c r="D17435">
        <v>-5213.6499999999996</v>
      </c>
    </row>
    <row r="17436" spans="1:4" hidden="1" x14ac:dyDescent="0.3">
      <c r="A17436" t="s">
        <v>1002</v>
      </c>
      <c r="B17436" t="s">
        <v>80</v>
      </c>
      <c r="C17436" s="1">
        <f>HYPERLINK("https://cao.dolgi.msk.ru/account/1011316347/", 1011316347)</f>
        <v>1011316347</v>
      </c>
      <c r="D17436">
        <v>-423.39</v>
      </c>
    </row>
    <row r="17437" spans="1:4" hidden="1" x14ac:dyDescent="0.3">
      <c r="A17437" t="s">
        <v>1002</v>
      </c>
      <c r="B17437" t="s">
        <v>81</v>
      </c>
      <c r="C17437" s="1">
        <f>HYPERLINK("https://cao.dolgi.msk.ru/account/1011317462/", 1011317462)</f>
        <v>1011317462</v>
      </c>
      <c r="D17437">
        <v>0</v>
      </c>
    </row>
    <row r="17438" spans="1:4" hidden="1" x14ac:dyDescent="0.3">
      <c r="A17438" t="s">
        <v>1002</v>
      </c>
      <c r="B17438" t="s">
        <v>101</v>
      </c>
      <c r="C17438" s="1">
        <f>HYPERLINK("https://cao.dolgi.msk.ru/account/1011317681/", 1011317681)</f>
        <v>1011317681</v>
      </c>
      <c r="D17438">
        <v>0</v>
      </c>
    </row>
    <row r="17439" spans="1:4" x14ac:dyDescent="0.3">
      <c r="A17439" t="s">
        <v>1002</v>
      </c>
      <c r="B17439" t="s">
        <v>82</v>
      </c>
      <c r="C17439" s="1">
        <f>HYPERLINK("https://cao.dolgi.msk.ru/account/1011318094/", 1011318094)</f>
        <v>1011318094</v>
      </c>
      <c r="D17439">
        <v>17249.79</v>
      </c>
    </row>
    <row r="17440" spans="1:4" hidden="1" x14ac:dyDescent="0.3">
      <c r="A17440" t="s">
        <v>1002</v>
      </c>
      <c r="B17440" t="s">
        <v>83</v>
      </c>
      <c r="C17440" s="1">
        <f>HYPERLINK("https://cao.dolgi.msk.ru/account/1011316427/", 1011316427)</f>
        <v>1011316427</v>
      </c>
      <c r="D17440">
        <v>0</v>
      </c>
    </row>
    <row r="17441" spans="1:4" hidden="1" x14ac:dyDescent="0.3">
      <c r="A17441" t="s">
        <v>1002</v>
      </c>
      <c r="B17441" t="s">
        <v>84</v>
      </c>
      <c r="C17441" s="1">
        <f>HYPERLINK("https://cao.dolgi.msk.ru/account/1011316996/", 1011316996)</f>
        <v>1011316996</v>
      </c>
      <c r="D17441">
        <v>-5849.55</v>
      </c>
    </row>
    <row r="17442" spans="1:4" hidden="1" x14ac:dyDescent="0.3">
      <c r="A17442" t="s">
        <v>1002</v>
      </c>
      <c r="B17442" t="s">
        <v>85</v>
      </c>
      <c r="C17442" s="1">
        <f>HYPERLINK("https://cao.dolgi.msk.ru/account/1011316144/", 1011316144)</f>
        <v>1011316144</v>
      </c>
      <c r="D17442">
        <v>-5578.81</v>
      </c>
    </row>
    <row r="17443" spans="1:4" hidden="1" x14ac:dyDescent="0.3">
      <c r="A17443" t="s">
        <v>1002</v>
      </c>
      <c r="B17443" t="s">
        <v>102</v>
      </c>
      <c r="C17443" s="1">
        <f>HYPERLINK("https://cao.dolgi.msk.ru/account/1011317702/", 1011317702)</f>
        <v>1011317702</v>
      </c>
      <c r="D17443">
        <v>0</v>
      </c>
    </row>
    <row r="17444" spans="1:4" x14ac:dyDescent="0.3">
      <c r="A17444" t="s">
        <v>1002</v>
      </c>
      <c r="B17444" t="s">
        <v>103</v>
      </c>
      <c r="C17444" s="1">
        <f>HYPERLINK("https://cao.dolgi.msk.ru/account/1011318246/", 1011318246)</f>
        <v>1011318246</v>
      </c>
      <c r="D17444">
        <v>8509.68</v>
      </c>
    </row>
    <row r="17445" spans="1:4" hidden="1" x14ac:dyDescent="0.3">
      <c r="A17445" t="s">
        <v>1002</v>
      </c>
      <c r="B17445" t="s">
        <v>104</v>
      </c>
      <c r="C17445" s="1">
        <f>HYPERLINK("https://cao.dolgi.msk.ru/account/1011316806/", 1011316806)</f>
        <v>1011316806</v>
      </c>
      <c r="D17445">
        <v>0</v>
      </c>
    </row>
    <row r="17446" spans="1:4" hidden="1" x14ac:dyDescent="0.3">
      <c r="A17446" t="s">
        <v>1002</v>
      </c>
      <c r="B17446" t="s">
        <v>105</v>
      </c>
      <c r="C17446" s="1">
        <f>HYPERLINK("https://cao.dolgi.msk.ru/account/1011317577/", 1011317577)</f>
        <v>1011317577</v>
      </c>
      <c r="D17446">
        <v>0</v>
      </c>
    </row>
    <row r="17447" spans="1:4" hidden="1" x14ac:dyDescent="0.3">
      <c r="A17447" t="s">
        <v>1002</v>
      </c>
      <c r="B17447" t="s">
        <v>106</v>
      </c>
      <c r="C17447" s="1">
        <f>HYPERLINK("https://cao.dolgi.msk.ru/account/1011317956/", 1011317956)</f>
        <v>1011317956</v>
      </c>
      <c r="D17447">
        <v>0</v>
      </c>
    </row>
    <row r="17448" spans="1:4" hidden="1" x14ac:dyDescent="0.3">
      <c r="A17448" t="s">
        <v>1002</v>
      </c>
      <c r="B17448" t="s">
        <v>107</v>
      </c>
      <c r="C17448" s="1">
        <f>HYPERLINK("https://cao.dolgi.msk.ru/account/1011317331/", 1011317331)</f>
        <v>1011317331</v>
      </c>
      <c r="D17448">
        <v>0</v>
      </c>
    </row>
    <row r="17449" spans="1:4" hidden="1" x14ac:dyDescent="0.3">
      <c r="A17449" t="s">
        <v>1002</v>
      </c>
      <c r="B17449" t="s">
        <v>108</v>
      </c>
      <c r="C17449" s="1">
        <f>HYPERLINK("https://cao.dolgi.msk.ru/account/1011316216/", 1011316216)</f>
        <v>1011316216</v>
      </c>
      <c r="D17449">
        <v>0</v>
      </c>
    </row>
    <row r="17450" spans="1:4" hidden="1" x14ac:dyDescent="0.3">
      <c r="A17450" t="s">
        <v>1002</v>
      </c>
      <c r="B17450" t="s">
        <v>109</v>
      </c>
      <c r="C17450" s="1">
        <f>HYPERLINK("https://cao.dolgi.msk.ru/account/1011317104/", 1011317104)</f>
        <v>1011317104</v>
      </c>
      <c r="D17450">
        <v>0</v>
      </c>
    </row>
    <row r="17451" spans="1:4" hidden="1" x14ac:dyDescent="0.3">
      <c r="A17451" t="s">
        <v>1002</v>
      </c>
      <c r="B17451" t="s">
        <v>110</v>
      </c>
      <c r="C17451" s="1">
        <f>HYPERLINK("https://cao.dolgi.msk.ru/account/1011317788/", 1011317788)</f>
        <v>1011317788</v>
      </c>
      <c r="D17451">
        <v>0</v>
      </c>
    </row>
    <row r="17452" spans="1:4" hidden="1" x14ac:dyDescent="0.3">
      <c r="A17452" t="s">
        <v>1002</v>
      </c>
      <c r="B17452" t="s">
        <v>111</v>
      </c>
      <c r="C17452" s="1">
        <f>HYPERLINK("https://cao.dolgi.msk.ru/account/1011317008/", 1011317008)</f>
        <v>1011317008</v>
      </c>
      <c r="D17452">
        <v>-6864.34</v>
      </c>
    </row>
    <row r="17453" spans="1:4" hidden="1" x14ac:dyDescent="0.3">
      <c r="A17453" t="s">
        <v>1002</v>
      </c>
      <c r="B17453" t="s">
        <v>112</v>
      </c>
      <c r="C17453" s="1">
        <f>HYPERLINK("https://cao.dolgi.msk.ru/account/1011315926/", 1011315926)</f>
        <v>1011315926</v>
      </c>
      <c r="D17453">
        <v>-597.37</v>
      </c>
    </row>
    <row r="17454" spans="1:4" hidden="1" x14ac:dyDescent="0.3">
      <c r="A17454" t="s">
        <v>1002</v>
      </c>
      <c r="B17454" t="s">
        <v>113</v>
      </c>
      <c r="C17454" s="1">
        <f>HYPERLINK("https://cao.dolgi.msk.ru/account/1011317016/", 1011317016)</f>
        <v>1011317016</v>
      </c>
      <c r="D17454">
        <v>-6370.08</v>
      </c>
    </row>
    <row r="17455" spans="1:4" hidden="1" x14ac:dyDescent="0.3">
      <c r="A17455" t="s">
        <v>1002</v>
      </c>
      <c r="B17455" t="s">
        <v>114</v>
      </c>
      <c r="C17455" s="1">
        <f>HYPERLINK("https://cao.dolgi.msk.ru/account/1011317112/", 1011317112)</f>
        <v>1011317112</v>
      </c>
      <c r="D17455">
        <v>0</v>
      </c>
    </row>
    <row r="17456" spans="1:4" hidden="1" x14ac:dyDescent="0.3">
      <c r="A17456" t="s">
        <v>1002</v>
      </c>
      <c r="B17456" t="s">
        <v>114</v>
      </c>
      <c r="C17456" s="1">
        <f>HYPERLINK("https://cao.dolgi.msk.ru/account/1011317489/", 1011317489)</f>
        <v>1011317489</v>
      </c>
      <c r="D17456">
        <v>0</v>
      </c>
    </row>
    <row r="17457" spans="1:4" hidden="1" x14ac:dyDescent="0.3">
      <c r="A17457" t="s">
        <v>1002</v>
      </c>
      <c r="B17457" t="s">
        <v>115</v>
      </c>
      <c r="C17457" s="1">
        <f>HYPERLINK("https://cao.dolgi.msk.ru/account/1011318254/", 1011318254)</f>
        <v>1011318254</v>
      </c>
      <c r="D17457">
        <v>0</v>
      </c>
    </row>
    <row r="17458" spans="1:4" hidden="1" x14ac:dyDescent="0.3">
      <c r="A17458" t="s">
        <v>1002</v>
      </c>
      <c r="B17458" t="s">
        <v>116</v>
      </c>
      <c r="C17458" s="1">
        <f>HYPERLINK("https://cao.dolgi.msk.ru/account/1011316478/", 1011316478)</f>
        <v>1011316478</v>
      </c>
      <c r="D17458">
        <v>-99.7</v>
      </c>
    </row>
    <row r="17459" spans="1:4" x14ac:dyDescent="0.3">
      <c r="A17459" t="s">
        <v>1002</v>
      </c>
      <c r="B17459" t="s">
        <v>266</v>
      </c>
      <c r="C17459" s="1">
        <f>HYPERLINK("https://cao.dolgi.msk.ru/account/1011316005/", 1011316005)</f>
        <v>1011316005</v>
      </c>
      <c r="D17459">
        <v>4497.7299999999996</v>
      </c>
    </row>
    <row r="17460" spans="1:4" hidden="1" x14ac:dyDescent="0.3">
      <c r="A17460" t="s">
        <v>1002</v>
      </c>
      <c r="B17460" t="s">
        <v>266</v>
      </c>
      <c r="C17460" s="1">
        <f>HYPERLINK("https://cao.dolgi.msk.ru/account/1011316814/", 1011316814)</f>
        <v>1011316814</v>
      </c>
      <c r="D17460">
        <v>0</v>
      </c>
    </row>
    <row r="17461" spans="1:4" hidden="1" x14ac:dyDescent="0.3">
      <c r="A17461" t="s">
        <v>1002</v>
      </c>
      <c r="B17461" t="s">
        <v>266</v>
      </c>
      <c r="C17461" s="1">
        <f>HYPERLINK("https://cao.dolgi.msk.ru/account/1011318203/", 1011318203)</f>
        <v>1011318203</v>
      </c>
      <c r="D17461">
        <v>-74.930000000000007</v>
      </c>
    </row>
    <row r="17462" spans="1:4" hidden="1" x14ac:dyDescent="0.3">
      <c r="A17462" t="s">
        <v>1002</v>
      </c>
      <c r="B17462" t="s">
        <v>117</v>
      </c>
      <c r="C17462" s="1">
        <f>HYPERLINK("https://cao.dolgi.msk.ru/account/1011317075/", 1011317075)</f>
        <v>1011317075</v>
      </c>
      <c r="D17462">
        <v>0</v>
      </c>
    </row>
    <row r="17463" spans="1:4" hidden="1" x14ac:dyDescent="0.3">
      <c r="A17463" t="s">
        <v>1002</v>
      </c>
      <c r="B17463" t="s">
        <v>118</v>
      </c>
      <c r="C17463" s="1">
        <f>HYPERLINK("https://cao.dolgi.msk.ru/account/1011317139/", 1011317139)</f>
        <v>1011317139</v>
      </c>
      <c r="D17463">
        <v>-2915.04</v>
      </c>
    </row>
    <row r="17464" spans="1:4" hidden="1" x14ac:dyDescent="0.3">
      <c r="A17464" t="s">
        <v>1002</v>
      </c>
      <c r="B17464" t="s">
        <v>119</v>
      </c>
      <c r="C17464" s="1">
        <f>HYPERLINK("https://cao.dolgi.msk.ru/account/1011316945/", 1011316945)</f>
        <v>1011316945</v>
      </c>
      <c r="D17464">
        <v>-240.72</v>
      </c>
    </row>
    <row r="17465" spans="1:4" x14ac:dyDescent="0.3">
      <c r="A17465" t="s">
        <v>1002</v>
      </c>
      <c r="B17465" t="s">
        <v>120</v>
      </c>
      <c r="C17465" s="1">
        <f>HYPERLINK("https://cao.dolgi.msk.ru/account/1011317358/", 1011317358)</f>
        <v>1011317358</v>
      </c>
      <c r="D17465">
        <v>8140.31</v>
      </c>
    </row>
    <row r="17466" spans="1:4" hidden="1" x14ac:dyDescent="0.3">
      <c r="A17466" t="s">
        <v>1002</v>
      </c>
      <c r="B17466" t="s">
        <v>121</v>
      </c>
      <c r="C17466" s="1">
        <f>HYPERLINK("https://cao.dolgi.msk.ru/account/1011316822/", 1011316822)</f>
        <v>1011316822</v>
      </c>
      <c r="D17466">
        <v>0</v>
      </c>
    </row>
    <row r="17467" spans="1:4" hidden="1" x14ac:dyDescent="0.3">
      <c r="A17467" t="s">
        <v>1002</v>
      </c>
      <c r="B17467" t="s">
        <v>122</v>
      </c>
      <c r="C17467" s="1">
        <f>HYPERLINK("https://cao.dolgi.msk.ru/account/1011317315/", 1011317315)</f>
        <v>1011317315</v>
      </c>
      <c r="D17467">
        <v>0</v>
      </c>
    </row>
    <row r="17468" spans="1:4" hidden="1" x14ac:dyDescent="0.3">
      <c r="A17468" t="s">
        <v>1002</v>
      </c>
      <c r="B17468" t="s">
        <v>122</v>
      </c>
      <c r="C17468" s="1">
        <f>HYPERLINK("https://cao.dolgi.msk.ru/account/1011317737/", 1011317737)</f>
        <v>1011317737</v>
      </c>
      <c r="D17468">
        <v>0</v>
      </c>
    </row>
    <row r="17469" spans="1:4" hidden="1" x14ac:dyDescent="0.3">
      <c r="A17469" t="s">
        <v>1002</v>
      </c>
      <c r="B17469" t="s">
        <v>123</v>
      </c>
      <c r="C17469" s="1">
        <f>HYPERLINK("https://cao.dolgi.msk.ru/account/1011316531/", 1011316531)</f>
        <v>1011316531</v>
      </c>
      <c r="D17469">
        <v>0</v>
      </c>
    </row>
    <row r="17470" spans="1:4" hidden="1" x14ac:dyDescent="0.3">
      <c r="A17470" t="s">
        <v>1002</v>
      </c>
      <c r="B17470" t="s">
        <v>124</v>
      </c>
      <c r="C17470" s="1">
        <f>HYPERLINK("https://cao.dolgi.msk.ru/account/1011317534/", 1011317534)</f>
        <v>1011317534</v>
      </c>
      <c r="D17470">
        <v>0</v>
      </c>
    </row>
    <row r="17471" spans="1:4" hidden="1" x14ac:dyDescent="0.3">
      <c r="A17471" t="s">
        <v>1002</v>
      </c>
      <c r="B17471" t="s">
        <v>125</v>
      </c>
      <c r="C17471" s="1">
        <f>HYPERLINK("https://cao.dolgi.msk.ru/account/1011317227/", 1011317227)</f>
        <v>1011317227</v>
      </c>
      <c r="D17471">
        <v>0</v>
      </c>
    </row>
    <row r="17472" spans="1:4" hidden="1" x14ac:dyDescent="0.3">
      <c r="A17472" t="s">
        <v>1002</v>
      </c>
      <c r="B17472" t="s">
        <v>125</v>
      </c>
      <c r="C17472" s="1">
        <f>HYPERLINK("https://cao.dolgi.msk.ru/account/1011318262/", 1011318262)</f>
        <v>1011318262</v>
      </c>
      <c r="D17472">
        <v>-32992.28</v>
      </c>
    </row>
    <row r="17473" spans="1:4" hidden="1" x14ac:dyDescent="0.3">
      <c r="A17473" t="s">
        <v>1002</v>
      </c>
      <c r="B17473" t="s">
        <v>126</v>
      </c>
      <c r="C17473" s="1">
        <f>HYPERLINK("https://cao.dolgi.msk.ru/account/1011316734/", 1011316734)</f>
        <v>1011316734</v>
      </c>
      <c r="D17473">
        <v>0</v>
      </c>
    </row>
    <row r="17474" spans="1:4" hidden="1" x14ac:dyDescent="0.3">
      <c r="A17474" t="s">
        <v>1002</v>
      </c>
      <c r="B17474" t="s">
        <v>127</v>
      </c>
      <c r="C17474" s="1">
        <f>HYPERLINK("https://cao.dolgi.msk.ru/account/1011316355/", 1011316355)</f>
        <v>1011316355</v>
      </c>
      <c r="D17474">
        <v>0</v>
      </c>
    </row>
    <row r="17475" spans="1:4" hidden="1" x14ac:dyDescent="0.3">
      <c r="A17475" t="s">
        <v>1002</v>
      </c>
      <c r="B17475" t="s">
        <v>262</v>
      </c>
      <c r="C17475" s="1">
        <f>HYPERLINK("https://cao.dolgi.msk.ru/account/1011316558/", 1011316558)</f>
        <v>1011316558</v>
      </c>
      <c r="D17475">
        <v>0</v>
      </c>
    </row>
    <row r="17476" spans="1:4" hidden="1" x14ac:dyDescent="0.3">
      <c r="A17476" t="s">
        <v>1002</v>
      </c>
      <c r="B17476" t="s">
        <v>129</v>
      </c>
      <c r="C17476" s="1">
        <f>HYPERLINK("https://cao.dolgi.msk.ru/account/1011317294/", 1011317294)</f>
        <v>1011317294</v>
      </c>
      <c r="D17476">
        <v>0</v>
      </c>
    </row>
    <row r="17477" spans="1:4" hidden="1" x14ac:dyDescent="0.3">
      <c r="A17477" t="s">
        <v>1002</v>
      </c>
      <c r="B17477" t="s">
        <v>130</v>
      </c>
      <c r="C17477" s="1">
        <f>HYPERLINK("https://cao.dolgi.msk.ru/account/1011315934/", 1011315934)</f>
        <v>1011315934</v>
      </c>
      <c r="D17477">
        <v>-2407.9499999999998</v>
      </c>
    </row>
    <row r="17478" spans="1:4" hidden="1" x14ac:dyDescent="0.3">
      <c r="A17478" t="s">
        <v>1002</v>
      </c>
      <c r="B17478" t="s">
        <v>131</v>
      </c>
      <c r="C17478" s="1">
        <f>HYPERLINK("https://cao.dolgi.msk.ru/account/1011316064/", 1011316064)</f>
        <v>1011316064</v>
      </c>
      <c r="D17478">
        <v>-262.38</v>
      </c>
    </row>
    <row r="17479" spans="1:4" hidden="1" x14ac:dyDescent="0.3">
      <c r="A17479" t="s">
        <v>1002</v>
      </c>
      <c r="B17479" t="s">
        <v>132</v>
      </c>
      <c r="C17479" s="1">
        <f>HYPERLINK("https://cao.dolgi.msk.ru/account/1011316849/", 1011316849)</f>
        <v>1011316849</v>
      </c>
      <c r="D17479">
        <v>0</v>
      </c>
    </row>
    <row r="17480" spans="1:4" hidden="1" x14ac:dyDescent="0.3">
      <c r="A17480" t="s">
        <v>1002</v>
      </c>
      <c r="B17480" t="s">
        <v>133</v>
      </c>
      <c r="C17480" s="1">
        <f>HYPERLINK("https://cao.dolgi.msk.ru/account/1011316718/", 1011316718)</f>
        <v>1011316718</v>
      </c>
      <c r="D17480">
        <v>-8054.56</v>
      </c>
    </row>
    <row r="17481" spans="1:4" hidden="1" x14ac:dyDescent="0.3">
      <c r="A17481" t="s">
        <v>1002</v>
      </c>
      <c r="B17481" t="s">
        <v>134</v>
      </c>
      <c r="C17481" s="1">
        <f>HYPERLINK("https://cao.dolgi.msk.ru/account/1011316152/", 1011316152)</f>
        <v>1011316152</v>
      </c>
      <c r="D17481">
        <v>0</v>
      </c>
    </row>
    <row r="17482" spans="1:4" hidden="1" x14ac:dyDescent="0.3">
      <c r="A17482" t="s">
        <v>1002</v>
      </c>
      <c r="B17482" t="s">
        <v>135</v>
      </c>
      <c r="C17482" s="1">
        <f>HYPERLINK("https://cao.dolgi.msk.ru/account/1011317083/", 1011317083)</f>
        <v>1011317083</v>
      </c>
      <c r="D17482">
        <v>-5880.27</v>
      </c>
    </row>
    <row r="17483" spans="1:4" hidden="1" x14ac:dyDescent="0.3">
      <c r="A17483" t="s">
        <v>1002</v>
      </c>
      <c r="B17483" t="s">
        <v>264</v>
      </c>
      <c r="C17483" s="1">
        <f>HYPERLINK("https://cao.dolgi.msk.ru/account/1011317219/", 1011317219)</f>
        <v>1011317219</v>
      </c>
      <c r="D17483">
        <v>0</v>
      </c>
    </row>
    <row r="17484" spans="1:4" hidden="1" x14ac:dyDescent="0.3">
      <c r="A17484" t="s">
        <v>1002</v>
      </c>
      <c r="B17484" t="s">
        <v>136</v>
      </c>
      <c r="C17484" s="1">
        <f>HYPERLINK("https://cao.dolgi.msk.ru/account/1011317366/", 1011317366)</f>
        <v>1011317366</v>
      </c>
      <c r="D17484">
        <v>0</v>
      </c>
    </row>
    <row r="17485" spans="1:4" hidden="1" x14ac:dyDescent="0.3">
      <c r="A17485" t="s">
        <v>1002</v>
      </c>
      <c r="B17485" t="s">
        <v>137</v>
      </c>
      <c r="C17485" s="1">
        <f>HYPERLINK("https://cao.dolgi.msk.ru/account/1011316574/", 1011316574)</f>
        <v>1011316574</v>
      </c>
      <c r="D17485">
        <v>0</v>
      </c>
    </row>
    <row r="17486" spans="1:4" hidden="1" x14ac:dyDescent="0.3">
      <c r="A17486" t="s">
        <v>1002</v>
      </c>
      <c r="B17486" t="s">
        <v>138</v>
      </c>
      <c r="C17486" s="1">
        <f>HYPERLINK("https://cao.dolgi.msk.ru/account/1011317374/", 1011317374)</f>
        <v>1011317374</v>
      </c>
      <c r="D17486">
        <v>0</v>
      </c>
    </row>
    <row r="17487" spans="1:4" hidden="1" x14ac:dyDescent="0.3">
      <c r="A17487" t="s">
        <v>1002</v>
      </c>
      <c r="B17487" t="s">
        <v>139</v>
      </c>
      <c r="C17487" s="1">
        <f>HYPERLINK("https://cao.dolgi.msk.ru/account/1011316611/", 1011316611)</f>
        <v>1011316611</v>
      </c>
      <c r="D17487">
        <v>-13059.01</v>
      </c>
    </row>
    <row r="17488" spans="1:4" hidden="1" x14ac:dyDescent="0.3">
      <c r="A17488" t="s">
        <v>1002</v>
      </c>
      <c r="B17488" t="s">
        <v>140</v>
      </c>
      <c r="C17488" s="1">
        <f>HYPERLINK("https://cao.dolgi.msk.ru/account/1011317964/", 1011317964)</f>
        <v>1011317964</v>
      </c>
      <c r="D17488">
        <v>-5423.79</v>
      </c>
    </row>
    <row r="17489" spans="1:4" hidden="1" x14ac:dyDescent="0.3">
      <c r="A17489" t="s">
        <v>1002</v>
      </c>
      <c r="B17489" t="s">
        <v>141</v>
      </c>
      <c r="C17489" s="1">
        <f>HYPERLINK("https://cao.dolgi.msk.ru/account/1011316486/", 1011316486)</f>
        <v>1011316486</v>
      </c>
      <c r="D17489">
        <v>-1368.57</v>
      </c>
    </row>
    <row r="17490" spans="1:4" hidden="1" x14ac:dyDescent="0.3">
      <c r="A17490" t="s">
        <v>1002</v>
      </c>
      <c r="B17490" t="s">
        <v>142</v>
      </c>
      <c r="C17490" s="1">
        <f>HYPERLINK("https://cao.dolgi.msk.ru/account/1011316072/", 1011316072)</f>
        <v>1011316072</v>
      </c>
      <c r="D17490">
        <v>-25450</v>
      </c>
    </row>
    <row r="17491" spans="1:4" hidden="1" x14ac:dyDescent="0.3">
      <c r="A17491" t="s">
        <v>1002</v>
      </c>
      <c r="B17491" t="s">
        <v>143</v>
      </c>
      <c r="C17491" s="1">
        <f>HYPERLINK("https://cao.dolgi.msk.ru/account/1011316881/", 1011316881)</f>
        <v>1011316881</v>
      </c>
      <c r="D17491">
        <v>-9676.1299999999992</v>
      </c>
    </row>
    <row r="17492" spans="1:4" hidden="1" x14ac:dyDescent="0.3">
      <c r="A17492" t="s">
        <v>1002</v>
      </c>
      <c r="B17492" t="s">
        <v>144</v>
      </c>
      <c r="C17492" s="1">
        <f>HYPERLINK("https://cao.dolgi.msk.ru/account/1011315993/", 1011315993)</f>
        <v>1011315993</v>
      </c>
      <c r="D17492">
        <v>-104.35</v>
      </c>
    </row>
    <row r="17493" spans="1:4" x14ac:dyDescent="0.3">
      <c r="A17493" t="s">
        <v>1002</v>
      </c>
      <c r="B17493" t="s">
        <v>145</v>
      </c>
      <c r="C17493" s="1">
        <f>HYPERLINK("https://cao.dolgi.msk.ru/account/1011316435/", 1011316435)</f>
        <v>1011316435</v>
      </c>
      <c r="D17493">
        <v>9065.25</v>
      </c>
    </row>
    <row r="17494" spans="1:4" x14ac:dyDescent="0.3">
      <c r="A17494" t="s">
        <v>1002</v>
      </c>
      <c r="B17494" t="s">
        <v>145</v>
      </c>
      <c r="C17494" s="1">
        <f>HYPERLINK("https://cao.dolgi.msk.ru/account/1011317876/", 1011317876)</f>
        <v>1011317876</v>
      </c>
      <c r="D17494">
        <v>4020.16</v>
      </c>
    </row>
    <row r="17495" spans="1:4" hidden="1" x14ac:dyDescent="0.3">
      <c r="A17495" t="s">
        <v>1002</v>
      </c>
      <c r="B17495" t="s">
        <v>147</v>
      </c>
      <c r="C17495" s="1">
        <f>HYPERLINK("https://cao.dolgi.msk.ru/account/1011315942/", 1011315942)</f>
        <v>1011315942</v>
      </c>
      <c r="D17495">
        <v>-9585.35</v>
      </c>
    </row>
    <row r="17496" spans="1:4" hidden="1" x14ac:dyDescent="0.3">
      <c r="A17496" t="s">
        <v>1002</v>
      </c>
      <c r="B17496" t="s">
        <v>148</v>
      </c>
      <c r="C17496" s="1">
        <f>HYPERLINK("https://cao.dolgi.msk.ru/account/1011318158/", 1011318158)</f>
        <v>1011318158</v>
      </c>
      <c r="D17496">
        <v>0</v>
      </c>
    </row>
    <row r="17497" spans="1:4" hidden="1" x14ac:dyDescent="0.3">
      <c r="A17497" t="s">
        <v>1002</v>
      </c>
      <c r="B17497" t="s">
        <v>149</v>
      </c>
      <c r="C17497" s="1">
        <f>HYPERLINK("https://cao.dolgi.msk.ru/account/1011316443/", 1011316443)</f>
        <v>1011316443</v>
      </c>
      <c r="D17497">
        <v>0</v>
      </c>
    </row>
    <row r="17498" spans="1:4" hidden="1" x14ac:dyDescent="0.3">
      <c r="A17498" t="s">
        <v>1002</v>
      </c>
      <c r="B17498" t="s">
        <v>150</v>
      </c>
      <c r="C17498" s="1">
        <f>HYPERLINK("https://cao.dolgi.msk.ru/account/1011316769/", 1011316769)</f>
        <v>1011316769</v>
      </c>
      <c r="D17498">
        <v>0</v>
      </c>
    </row>
    <row r="17499" spans="1:4" hidden="1" x14ac:dyDescent="0.3">
      <c r="A17499" t="s">
        <v>1002</v>
      </c>
      <c r="B17499" t="s">
        <v>151</v>
      </c>
      <c r="C17499" s="1">
        <f>HYPERLINK("https://cao.dolgi.msk.ru/account/1011317833/", 1011317833)</f>
        <v>1011317833</v>
      </c>
      <c r="D17499">
        <v>-6555.87</v>
      </c>
    </row>
    <row r="17500" spans="1:4" x14ac:dyDescent="0.3">
      <c r="A17500" t="s">
        <v>1002</v>
      </c>
      <c r="B17500" t="s">
        <v>152</v>
      </c>
      <c r="C17500" s="1">
        <f>HYPERLINK("https://cao.dolgi.msk.ru/account/1011316857/", 1011316857)</f>
        <v>1011316857</v>
      </c>
      <c r="D17500">
        <v>35948.620000000003</v>
      </c>
    </row>
    <row r="17501" spans="1:4" hidden="1" x14ac:dyDescent="0.3">
      <c r="A17501" t="s">
        <v>1002</v>
      </c>
      <c r="B17501" t="s">
        <v>153</v>
      </c>
      <c r="C17501" s="1">
        <f>HYPERLINK("https://cao.dolgi.msk.ru/account/1011316398/", 1011316398)</f>
        <v>1011316398</v>
      </c>
      <c r="D17501">
        <v>0</v>
      </c>
    </row>
    <row r="17502" spans="1:4" x14ac:dyDescent="0.3">
      <c r="A17502" t="s">
        <v>1002</v>
      </c>
      <c r="B17502" t="s">
        <v>154</v>
      </c>
      <c r="C17502" s="1">
        <f>HYPERLINK("https://cao.dolgi.msk.ru/account/1011318211/", 1011318211)</f>
        <v>1011318211</v>
      </c>
      <c r="D17502">
        <v>12080.11</v>
      </c>
    </row>
    <row r="17503" spans="1:4" x14ac:dyDescent="0.3">
      <c r="A17503" t="s">
        <v>1002</v>
      </c>
      <c r="B17503" t="s">
        <v>155</v>
      </c>
      <c r="C17503" s="1">
        <f>HYPERLINK("https://cao.dolgi.msk.ru/account/1011317913/", 1011317913)</f>
        <v>1011317913</v>
      </c>
      <c r="D17503">
        <v>13197.51</v>
      </c>
    </row>
    <row r="17504" spans="1:4" hidden="1" x14ac:dyDescent="0.3">
      <c r="A17504" t="s">
        <v>1002</v>
      </c>
      <c r="B17504" t="s">
        <v>156</v>
      </c>
      <c r="C17504" s="1">
        <f>HYPERLINK("https://cao.dolgi.msk.ru/account/1011315969/", 1011315969)</f>
        <v>1011315969</v>
      </c>
      <c r="D17504">
        <v>0</v>
      </c>
    </row>
    <row r="17505" spans="1:4" hidden="1" x14ac:dyDescent="0.3">
      <c r="A17505" t="s">
        <v>1002</v>
      </c>
      <c r="B17505" t="s">
        <v>157</v>
      </c>
      <c r="C17505" s="1">
        <f>HYPERLINK("https://cao.dolgi.msk.ru/account/1011316603/", 1011316603)</f>
        <v>1011316603</v>
      </c>
      <c r="D17505">
        <v>-13831.11</v>
      </c>
    </row>
    <row r="17506" spans="1:4" hidden="1" x14ac:dyDescent="0.3">
      <c r="A17506" t="s">
        <v>1002</v>
      </c>
      <c r="B17506" t="s">
        <v>158</v>
      </c>
      <c r="C17506" s="1">
        <f>HYPERLINK("https://cao.dolgi.msk.ru/account/1011317585/", 1011317585)</f>
        <v>1011317585</v>
      </c>
      <c r="D17506">
        <v>-12697.02</v>
      </c>
    </row>
    <row r="17507" spans="1:4" hidden="1" x14ac:dyDescent="0.3">
      <c r="A17507" t="s">
        <v>1002</v>
      </c>
      <c r="B17507" t="s">
        <v>159</v>
      </c>
      <c r="C17507" s="1">
        <f>HYPERLINK("https://cao.dolgi.msk.ru/account/1011317745/", 1011317745)</f>
        <v>1011317745</v>
      </c>
      <c r="D17507">
        <v>0</v>
      </c>
    </row>
    <row r="17508" spans="1:4" hidden="1" x14ac:dyDescent="0.3">
      <c r="A17508" t="s">
        <v>1002</v>
      </c>
      <c r="B17508" t="s">
        <v>160</v>
      </c>
      <c r="C17508" s="1">
        <f>HYPERLINK("https://cao.dolgi.msk.ru/account/1011318043/", 1011318043)</f>
        <v>1011318043</v>
      </c>
      <c r="D17508">
        <v>-7105.33</v>
      </c>
    </row>
    <row r="17509" spans="1:4" hidden="1" x14ac:dyDescent="0.3">
      <c r="A17509" t="s">
        <v>1002</v>
      </c>
      <c r="B17509" t="s">
        <v>161</v>
      </c>
      <c r="C17509" s="1">
        <f>HYPERLINK("https://cao.dolgi.msk.ru/account/1011317024/", 1011317024)</f>
        <v>1011317024</v>
      </c>
      <c r="D17509">
        <v>0</v>
      </c>
    </row>
    <row r="17510" spans="1:4" x14ac:dyDescent="0.3">
      <c r="A17510" t="s">
        <v>1002</v>
      </c>
      <c r="B17510" t="s">
        <v>162</v>
      </c>
      <c r="C17510" s="1">
        <f>HYPERLINK("https://cao.dolgi.msk.ru/account/1011518029/", 1011518029)</f>
        <v>1011518029</v>
      </c>
      <c r="D17510">
        <v>6514.8</v>
      </c>
    </row>
    <row r="17511" spans="1:4" hidden="1" x14ac:dyDescent="0.3">
      <c r="A17511" t="s">
        <v>1002</v>
      </c>
      <c r="B17511" t="s">
        <v>163</v>
      </c>
      <c r="C17511" s="1">
        <f>HYPERLINK("https://cao.dolgi.msk.ru/account/1011316902/", 1011316902)</f>
        <v>1011316902</v>
      </c>
      <c r="D17511">
        <v>0</v>
      </c>
    </row>
    <row r="17512" spans="1:4" hidden="1" x14ac:dyDescent="0.3">
      <c r="A17512" t="s">
        <v>1002</v>
      </c>
      <c r="B17512" t="s">
        <v>164</v>
      </c>
      <c r="C17512" s="1">
        <f>HYPERLINK("https://cao.dolgi.msk.ru/account/1011317542/", 1011317542)</f>
        <v>1011317542</v>
      </c>
      <c r="D17512">
        <v>0</v>
      </c>
    </row>
    <row r="17513" spans="1:4" hidden="1" x14ac:dyDescent="0.3">
      <c r="A17513" t="s">
        <v>1002</v>
      </c>
      <c r="B17513" t="s">
        <v>165</v>
      </c>
      <c r="C17513" s="1">
        <f>HYPERLINK("https://cao.dolgi.msk.ru/account/1011317809/", 1011317809)</f>
        <v>1011317809</v>
      </c>
      <c r="D17513">
        <v>0</v>
      </c>
    </row>
    <row r="17514" spans="1:4" hidden="1" x14ac:dyDescent="0.3">
      <c r="A17514" t="s">
        <v>1002</v>
      </c>
      <c r="B17514" t="s">
        <v>166</v>
      </c>
      <c r="C17514" s="1">
        <f>HYPERLINK("https://cao.dolgi.msk.ru/account/1011317382/", 1011317382)</f>
        <v>1011317382</v>
      </c>
      <c r="D17514">
        <v>0</v>
      </c>
    </row>
    <row r="17515" spans="1:4" hidden="1" x14ac:dyDescent="0.3">
      <c r="A17515" t="s">
        <v>1002</v>
      </c>
      <c r="B17515" t="s">
        <v>167</v>
      </c>
      <c r="C17515" s="1">
        <f>HYPERLINK("https://cao.dolgi.msk.ru/account/1011317403/", 1011317403)</f>
        <v>1011317403</v>
      </c>
      <c r="D17515">
        <v>0</v>
      </c>
    </row>
    <row r="17516" spans="1:4" hidden="1" x14ac:dyDescent="0.3">
      <c r="A17516" t="s">
        <v>1002</v>
      </c>
      <c r="B17516" t="s">
        <v>168</v>
      </c>
      <c r="C17516" s="1">
        <f>HYPERLINK("https://cao.dolgi.msk.ru/account/1011317147/", 1011317147)</f>
        <v>1011317147</v>
      </c>
      <c r="D17516">
        <v>0</v>
      </c>
    </row>
    <row r="17517" spans="1:4" hidden="1" x14ac:dyDescent="0.3">
      <c r="A17517" t="s">
        <v>1002</v>
      </c>
      <c r="B17517" t="s">
        <v>169</v>
      </c>
      <c r="C17517" s="1">
        <f>HYPERLINK("https://cao.dolgi.msk.ru/account/1011317649/", 1011317649)</f>
        <v>1011317649</v>
      </c>
      <c r="D17517">
        <v>0</v>
      </c>
    </row>
    <row r="17518" spans="1:4" hidden="1" x14ac:dyDescent="0.3">
      <c r="A17518" t="s">
        <v>1002</v>
      </c>
      <c r="B17518" t="s">
        <v>170</v>
      </c>
      <c r="C17518" s="1">
        <f>HYPERLINK("https://cao.dolgi.msk.ru/account/1011316179/", 1011316179)</f>
        <v>1011316179</v>
      </c>
      <c r="D17518">
        <v>-106687.3</v>
      </c>
    </row>
    <row r="17519" spans="1:4" hidden="1" x14ac:dyDescent="0.3">
      <c r="A17519" t="s">
        <v>1002</v>
      </c>
      <c r="B17519" t="s">
        <v>171</v>
      </c>
      <c r="C17519" s="1">
        <f>HYPERLINK("https://cao.dolgi.msk.ru/account/1011316494/", 1011316494)</f>
        <v>1011316494</v>
      </c>
      <c r="D17519">
        <v>0</v>
      </c>
    </row>
    <row r="17520" spans="1:4" hidden="1" x14ac:dyDescent="0.3">
      <c r="A17520" t="s">
        <v>1002</v>
      </c>
      <c r="B17520" t="s">
        <v>172</v>
      </c>
      <c r="C17520" s="1">
        <f>HYPERLINK("https://cao.dolgi.msk.ru/account/1011316566/", 1011316566)</f>
        <v>1011316566</v>
      </c>
      <c r="D17520">
        <v>0</v>
      </c>
    </row>
    <row r="17521" spans="1:4" hidden="1" x14ac:dyDescent="0.3">
      <c r="A17521" t="s">
        <v>1002</v>
      </c>
      <c r="B17521" t="s">
        <v>173</v>
      </c>
      <c r="C17521" s="1">
        <f>HYPERLINK("https://cao.dolgi.msk.ru/account/1011316961/", 1011316961)</f>
        <v>1011316961</v>
      </c>
      <c r="D17521">
        <v>0</v>
      </c>
    </row>
    <row r="17522" spans="1:4" hidden="1" x14ac:dyDescent="0.3">
      <c r="A17522" t="s">
        <v>1002</v>
      </c>
      <c r="B17522" t="s">
        <v>174</v>
      </c>
      <c r="C17522" s="1">
        <f>HYPERLINK("https://cao.dolgi.msk.ru/account/1011317155/", 1011317155)</f>
        <v>1011317155</v>
      </c>
      <c r="D17522">
        <v>-11606.49</v>
      </c>
    </row>
    <row r="17523" spans="1:4" hidden="1" x14ac:dyDescent="0.3">
      <c r="A17523" t="s">
        <v>1002</v>
      </c>
      <c r="B17523" t="s">
        <v>175</v>
      </c>
      <c r="C17523" s="1">
        <f>HYPERLINK("https://cao.dolgi.msk.ru/account/1011316419/", 1011316419)</f>
        <v>1011316419</v>
      </c>
      <c r="D17523">
        <v>-8624.99</v>
      </c>
    </row>
    <row r="17524" spans="1:4" hidden="1" x14ac:dyDescent="0.3">
      <c r="A17524" t="s">
        <v>1002</v>
      </c>
      <c r="B17524" t="s">
        <v>176</v>
      </c>
      <c r="C17524" s="1">
        <f>HYPERLINK("https://cao.dolgi.msk.ru/account/1011317032/", 1011317032)</f>
        <v>1011317032</v>
      </c>
      <c r="D17524">
        <v>0</v>
      </c>
    </row>
    <row r="17525" spans="1:4" hidden="1" x14ac:dyDescent="0.3">
      <c r="A17525" t="s">
        <v>1002</v>
      </c>
      <c r="B17525" t="s">
        <v>177</v>
      </c>
      <c r="C17525" s="1">
        <f>HYPERLINK("https://cao.dolgi.msk.ru/account/1011316312/", 1011316312)</f>
        <v>1011316312</v>
      </c>
      <c r="D17525">
        <v>0</v>
      </c>
    </row>
    <row r="17526" spans="1:4" hidden="1" x14ac:dyDescent="0.3">
      <c r="A17526" t="s">
        <v>1002</v>
      </c>
      <c r="B17526" t="s">
        <v>178</v>
      </c>
      <c r="C17526" s="1">
        <f>HYPERLINK("https://cao.dolgi.msk.ru/account/1011317059/", 1011317059)</f>
        <v>1011317059</v>
      </c>
      <c r="D17526">
        <v>-5164.8100000000004</v>
      </c>
    </row>
    <row r="17527" spans="1:4" hidden="1" x14ac:dyDescent="0.3">
      <c r="A17527" t="s">
        <v>1002</v>
      </c>
      <c r="B17527" t="s">
        <v>179</v>
      </c>
      <c r="C17527" s="1">
        <f>HYPERLINK("https://cao.dolgi.msk.ru/account/1011316777/", 1011316777)</f>
        <v>1011316777</v>
      </c>
      <c r="D17527">
        <v>-13677.44</v>
      </c>
    </row>
    <row r="17528" spans="1:4" hidden="1" x14ac:dyDescent="0.3">
      <c r="A17528" t="s">
        <v>1002</v>
      </c>
      <c r="B17528" t="s">
        <v>273</v>
      </c>
      <c r="C17528" s="1">
        <f>HYPERLINK("https://cao.dolgi.msk.ru/account/1011317307/", 1011317307)</f>
        <v>1011317307</v>
      </c>
      <c r="D17528">
        <v>-11021.1</v>
      </c>
    </row>
    <row r="17529" spans="1:4" hidden="1" x14ac:dyDescent="0.3">
      <c r="A17529" t="s">
        <v>1002</v>
      </c>
      <c r="B17529" t="s">
        <v>180</v>
      </c>
      <c r="C17529" s="1">
        <f>HYPERLINK("https://cao.dolgi.msk.ru/account/1011317972/", 1011317972)</f>
        <v>1011317972</v>
      </c>
      <c r="D17529">
        <v>0</v>
      </c>
    </row>
    <row r="17530" spans="1:4" hidden="1" x14ac:dyDescent="0.3">
      <c r="A17530" t="s">
        <v>1002</v>
      </c>
      <c r="B17530" t="s">
        <v>181</v>
      </c>
      <c r="C17530" s="1">
        <f>HYPERLINK("https://cao.dolgi.msk.ru/account/1011318107/", 1011318107)</f>
        <v>1011318107</v>
      </c>
      <c r="D17530">
        <v>0</v>
      </c>
    </row>
    <row r="17531" spans="1:4" hidden="1" x14ac:dyDescent="0.3">
      <c r="A17531" t="s">
        <v>1002</v>
      </c>
      <c r="B17531" t="s">
        <v>182</v>
      </c>
      <c r="C17531" s="1">
        <f>HYPERLINK("https://cao.dolgi.msk.ru/account/1011316048/", 1011316048)</f>
        <v>1011316048</v>
      </c>
      <c r="D17531">
        <v>0</v>
      </c>
    </row>
    <row r="17532" spans="1:4" hidden="1" x14ac:dyDescent="0.3">
      <c r="A17532" t="s">
        <v>1002</v>
      </c>
      <c r="B17532" t="s">
        <v>183</v>
      </c>
      <c r="C17532" s="1">
        <f>HYPERLINK("https://cao.dolgi.msk.ru/account/1011317606/", 1011317606)</f>
        <v>1011317606</v>
      </c>
      <c r="D17532">
        <v>-8446.2800000000007</v>
      </c>
    </row>
    <row r="17533" spans="1:4" hidden="1" x14ac:dyDescent="0.3">
      <c r="A17533" t="s">
        <v>1002</v>
      </c>
      <c r="B17533" t="s">
        <v>184</v>
      </c>
      <c r="C17533" s="1">
        <f>HYPERLINK("https://cao.dolgi.msk.ru/account/1011317497/", 1011317497)</f>
        <v>1011317497</v>
      </c>
      <c r="D17533">
        <v>-0.6</v>
      </c>
    </row>
    <row r="17534" spans="1:4" x14ac:dyDescent="0.3">
      <c r="A17534" t="s">
        <v>1002</v>
      </c>
      <c r="B17534" t="s">
        <v>185</v>
      </c>
      <c r="C17534" s="1">
        <f>HYPERLINK("https://cao.dolgi.msk.ru/account/1011316187/", 1011316187)</f>
        <v>1011316187</v>
      </c>
      <c r="D17534">
        <v>1271.48</v>
      </c>
    </row>
    <row r="17535" spans="1:4" hidden="1" x14ac:dyDescent="0.3">
      <c r="A17535" t="s">
        <v>1002</v>
      </c>
      <c r="B17535" t="s">
        <v>274</v>
      </c>
      <c r="C17535" s="1">
        <f>HYPERLINK("https://cao.dolgi.msk.ru/account/1011318027/", 1011318027)</f>
        <v>1011318027</v>
      </c>
      <c r="D17535">
        <v>0</v>
      </c>
    </row>
    <row r="17536" spans="1:4" hidden="1" x14ac:dyDescent="0.3">
      <c r="A17536" t="s">
        <v>1002</v>
      </c>
      <c r="B17536" t="s">
        <v>186</v>
      </c>
      <c r="C17536" s="1">
        <f>HYPERLINK("https://cao.dolgi.msk.ru/account/1011316099/", 1011316099)</f>
        <v>1011316099</v>
      </c>
      <c r="D17536">
        <v>0</v>
      </c>
    </row>
    <row r="17537" spans="1:4" hidden="1" x14ac:dyDescent="0.3">
      <c r="A17537" t="s">
        <v>1002</v>
      </c>
      <c r="B17537" t="s">
        <v>187</v>
      </c>
      <c r="C17537" s="1">
        <f>HYPERLINK("https://cao.dolgi.msk.ru/account/1011318035/", 1011318035)</f>
        <v>1011318035</v>
      </c>
      <c r="D17537">
        <v>0</v>
      </c>
    </row>
    <row r="17538" spans="1:4" hidden="1" x14ac:dyDescent="0.3">
      <c r="A17538" t="s">
        <v>1002</v>
      </c>
      <c r="B17538" t="s">
        <v>188</v>
      </c>
      <c r="C17538" s="1">
        <f>HYPERLINK("https://cao.dolgi.msk.ru/account/1011316275/", 1011316275)</f>
        <v>1011316275</v>
      </c>
      <c r="D17538">
        <v>0</v>
      </c>
    </row>
    <row r="17539" spans="1:4" hidden="1" x14ac:dyDescent="0.3">
      <c r="A17539" t="s">
        <v>1002</v>
      </c>
      <c r="B17539" t="s">
        <v>189</v>
      </c>
      <c r="C17539" s="1">
        <f>HYPERLINK("https://cao.dolgi.msk.ru/account/1011316865/", 1011316865)</f>
        <v>1011316865</v>
      </c>
      <c r="D17539">
        <v>-1291.1199999999999</v>
      </c>
    </row>
    <row r="17540" spans="1:4" hidden="1" x14ac:dyDescent="0.3">
      <c r="A17540" t="s">
        <v>1002</v>
      </c>
      <c r="B17540" t="s">
        <v>190</v>
      </c>
      <c r="C17540" s="1">
        <f>HYPERLINK("https://cao.dolgi.msk.ru/account/1011316224/", 1011316224)</f>
        <v>1011316224</v>
      </c>
      <c r="D17540">
        <v>0</v>
      </c>
    </row>
    <row r="17541" spans="1:4" x14ac:dyDescent="0.3">
      <c r="A17541" t="s">
        <v>1002</v>
      </c>
      <c r="B17541" t="s">
        <v>191</v>
      </c>
      <c r="C17541" s="1">
        <f>HYPERLINK("https://cao.dolgi.msk.ru/account/1011316638/", 1011316638)</f>
        <v>1011316638</v>
      </c>
      <c r="D17541">
        <v>772475.59</v>
      </c>
    </row>
    <row r="17542" spans="1:4" hidden="1" x14ac:dyDescent="0.3">
      <c r="A17542" t="s">
        <v>1002</v>
      </c>
      <c r="B17542" t="s">
        <v>191</v>
      </c>
      <c r="C17542" s="1">
        <f>HYPERLINK("https://cao.dolgi.msk.ru/account/1011317657/", 1011317657)</f>
        <v>1011317657</v>
      </c>
      <c r="D17542">
        <v>-5416.94</v>
      </c>
    </row>
    <row r="17543" spans="1:4" x14ac:dyDescent="0.3">
      <c r="A17543" t="s">
        <v>1002</v>
      </c>
      <c r="B17543" t="s">
        <v>191</v>
      </c>
      <c r="C17543" s="1">
        <f>HYPERLINK("https://cao.dolgi.msk.ru/account/1011318115/", 1011318115)</f>
        <v>1011318115</v>
      </c>
      <c r="D17543">
        <v>230597.9</v>
      </c>
    </row>
    <row r="17544" spans="1:4" x14ac:dyDescent="0.3">
      <c r="A17544" t="s">
        <v>1002</v>
      </c>
      <c r="B17544" t="s">
        <v>191</v>
      </c>
      <c r="C17544" s="1">
        <f>HYPERLINK("https://cao.dolgi.msk.ru/account/1011318166/", 1011318166)</f>
        <v>1011318166</v>
      </c>
      <c r="D17544">
        <v>205897.49</v>
      </c>
    </row>
    <row r="17545" spans="1:4" hidden="1" x14ac:dyDescent="0.3">
      <c r="A17545" t="s">
        <v>1002</v>
      </c>
      <c r="B17545" t="s">
        <v>192</v>
      </c>
      <c r="C17545" s="1">
        <f>HYPERLINK("https://cao.dolgi.msk.ru/account/1011317569/", 1011317569)</f>
        <v>1011317569</v>
      </c>
      <c r="D17545">
        <v>0</v>
      </c>
    </row>
    <row r="17546" spans="1:4" hidden="1" x14ac:dyDescent="0.3">
      <c r="A17546" t="s">
        <v>1002</v>
      </c>
      <c r="B17546" t="s">
        <v>325</v>
      </c>
      <c r="C17546" s="1">
        <f>HYPERLINK("https://cao.dolgi.msk.ru/account/1011316195/", 1011316195)</f>
        <v>1011316195</v>
      </c>
      <c r="D17546">
        <v>0</v>
      </c>
    </row>
    <row r="17547" spans="1:4" x14ac:dyDescent="0.3">
      <c r="A17547" t="s">
        <v>1002</v>
      </c>
      <c r="B17547" t="s">
        <v>193</v>
      </c>
      <c r="C17547" s="1">
        <f>HYPERLINK("https://cao.dolgi.msk.ru/account/1011316101/", 1011316101)</f>
        <v>1011316101</v>
      </c>
      <c r="D17547">
        <v>21596.92</v>
      </c>
    </row>
    <row r="17548" spans="1:4" hidden="1" x14ac:dyDescent="0.3">
      <c r="A17548" t="s">
        <v>1002</v>
      </c>
      <c r="B17548" t="s">
        <v>194</v>
      </c>
      <c r="C17548" s="1">
        <f>HYPERLINK("https://cao.dolgi.msk.ru/account/1011316988/", 1011316988)</f>
        <v>1011316988</v>
      </c>
      <c r="D17548">
        <v>-528.53</v>
      </c>
    </row>
    <row r="17549" spans="1:4" x14ac:dyDescent="0.3">
      <c r="A17549" t="s">
        <v>1002</v>
      </c>
      <c r="B17549" t="s">
        <v>195</v>
      </c>
      <c r="C17549" s="1">
        <f>HYPERLINK("https://cao.dolgi.msk.ru/account/1011317411/", 1011317411)</f>
        <v>1011317411</v>
      </c>
      <c r="D17549">
        <v>6038.03</v>
      </c>
    </row>
    <row r="17550" spans="1:4" hidden="1" x14ac:dyDescent="0.3">
      <c r="A17550" t="s">
        <v>1002</v>
      </c>
      <c r="B17550" t="s">
        <v>196</v>
      </c>
      <c r="C17550" s="1">
        <f>HYPERLINK("https://cao.dolgi.msk.ru/account/1011316646/", 1011316646)</f>
        <v>1011316646</v>
      </c>
      <c r="D17550">
        <v>0</v>
      </c>
    </row>
    <row r="17551" spans="1:4" hidden="1" x14ac:dyDescent="0.3">
      <c r="A17551" t="s">
        <v>1002</v>
      </c>
      <c r="B17551" t="s">
        <v>196</v>
      </c>
      <c r="C17551" s="1">
        <f>HYPERLINK("https://cao.dolgi.msk.ru/account/1011317243/", 1011317243)</f>
        <v>1011317243</v>
      </c>
      <c r="D17551">
        <v>-5779.76</v>
      </c>
    </row>
    <row r="17552" spans="1:4" hidden="1" x14ac:dyDescent="0.3">
      <c r="A17552" t="s">
        <v>1002</v>
      </c>
      <c r="B17552" t="s">
        <v>196</v>
      </c>
      <c r="C17552" s="1">
        <f>HYPERLINK("https://cao.dolgi.msk.ru/account/1011318174/", 1011318174)</f>
        <v>1011318174</v>
      </c>
      <c r="D17552">
        <v>0</v>
      </c>
    </row>
    <row r="17553" spans="1:4" hidden="1" x14ac:dyDescent="0.3">
      <c r="A17553" t="s">
        <v>1002</v>
      </c>
      <c r="B17553" t="s">
        <v>197</v>
      </c>
      <c r="C17553" s="1">
        <f>HYPERLINK("https://cao.dolgi.msk.ru/account/1011316507/", 1011316507)</f>
        <v>1011316507</v>
      </c>
      <c r="D17553">
        <v>-29634.75</v>
      </c>
    </row>
    <row r="17554" spans="1:4" x14ac:dyDescent="0.3">
      <c r="A17554" t="s">
        <v>1002</v>
      </c>
      <c r="B17554" t="s">
        <v>198</v>
      </c>
      <c r="C17554" s="1">
        <f>HYPERLINK("https://cao.dolgi.msk.ru/account/1011317593/", 1011317593)</f>
        <v>1011317593</v>
      </c>
      <c r="D17554">
        <v>43420.81</v>
      </c>
    </row>
    <row r="17555" spans="1:4" hidden="1" x14ac:dyDescent="0.3">
      <c r="A17555" t="s">
        <v>1002</v>
      </c>
      <c r="B17555" t="s">
        <v>199</v>
      </c>
      <c r="C17555" s="1">
        <f>HYPERLINK("https://cao.dolgi.msk.ru/account/1011318123/", 1011318123)</f>
        <v>1011318123</v>
      </c>
      <c r="D17555">
        <v>0</v>
      </c>
    </row>
    <row r="17556" spans="1:4" hidden="1" x14ac:dyDescent="0.3">
      <c r="A17556" t="s">
        <v>1002</v>
      </c>
      <c r="B17556" t="s">
        <v>200</v>
      </c>
      <c r="C17556" s="1">
        <f>HYPERLINK("https://cao.dolgi.msk.ru/account/1011317868/", 1011317868)</f>
        <v>1011317868</v>
      </c>
      <c r="D17556">
        <v>0</v>
      </c>
    </row>
    <row r="17557" spans="1:4" hidden="1" x14ac:dyDescent="0.3">
      <c r="A17557" t="s">
        <v>1002</v>
      </c>
      <c r="B17557" t="s">
        <v>201</v>
      </c>
      <c r="C17557" s="1">
        <f>HYPERLINK("https://cao.dolgi.msk.ru/account/1011316128/", 1011316128)</f>
        <v>1011316128</v>
      </c>
      <c r="D17557">
        <v>-3048.51</v>
      </c>
    </row>
    <row r="17558" spans="1:4" hidden="1" x14ac:dyDescent="0.3">
      <c r="A17558" t="s">
        <v>1002</v>
      </c>
      <c r="B17558" t="s">
        <v>202</v>
      </c>
      <c r="C17558" s="1">
        <f>HYPERLINK("https://cao.dolgi.msk.ru/account/1011318289/", 1011318289)</f>
        <v>1011318289</v>
      </c>
      <c r="D17558">
        <v>0</v>
      </c>
    </row>
    <row r="17559" spans="1:4" hidden="1" x14ac:dyDescent="0.3">
      <c r="A17559" t="s">
        <v>1002</v>
      </c>
      <c r="B17559" t="s">
        <v>203</v>
      </c>
      <c r="C17559" s="1">
        <f>HYPERLINK("https://cao.dolgi.msk.ru/account/1011316363/", 1011316363)</f>
        <v>1011316363</v>
      </c>
      <c r="D17559">
        <v>0</v>
      </c>
    </row>
    <row r="17560" spans="1:4" hidden="1" x14ac:dyDescent="0.3">
      <c r="A17560" t="s">
        <v>1003</v>
      </c>
      <c r="B17560" t="s">
        <v>6</v>
      </c>
      <c r="C17560" s="1">
        <f>HYPERLINK("https://cao.dolgi.msk.ru/account/1011480817/", 1011480817)</f>
        <v>1011480817</v>
      </c>
      <c r="D17560">
        <v>-4440.8999999999996</v>
      </c>
    </row>
    <row r="17561" spans="1:4" x14ac:dyDescent="0.3">
      <c r="A17561" t="s">
        <v>1003</v>
      </c>
      <c r="B17561" t="s">
        <v>28</v>
      </c>
      <c r="C17561" s="1">
        <f>HYPERLINK("https://cao.dolgi.msk.ru/account/1011480569/", 1011480569)</f>
        <v>1011480569</v>
      </c>
      <c r="D17561">
        <v>17481.32</v>
      </c>
    </row>
    <row r="17562" spans="1:4" hidden="1" x14ac:dyDescent="0.3">
      <c r="A17562" t="s">
        <v>1003</v>
      </c>
      <c r="B17562" t="s">
        <v>5</v>
      </c>
      <c r="C17562" s="1">
        <f>HYPERLINK("https://cao.dolgi.msk.ru/account/1011482185/", 1011482185)</f>
        <v>1011482185</v>
      </c>
      <c r="D17562">
        <v>-16716.689999999999</v>
      </c>
    </row>
    <row r="17563" spans="1:4" hidden="1" x14ac:dyDescent="0.3">
      <c r="A17563" t="s">
        <v>1003</v>
      </c>
      <c r="B17563" t="s">
        <v>8</v>
      </c>
      <c r="C17563" s="1">
        <f>HYPERLINK("https://cao.dolgi.msk.ru/account/1011481561/", 1011481561)</f>
        <v>1011481561</v>
      </c>
      <c r="D17563">
        <v>-4893.17</v>
      </c>
    </row>
    <row r="17564" spans="1:4" hidden="1" x14ac:dyDescent="0.3">
      <c r="A17564" t="s">
        <v>1003</v>
      </c>
      <c r="B17564" t="s">
        <v>9</v>
      </c>
      <c r="C17564" s="1">
        <f>HYPERLINK("https://cao.dolgi.msk.ru/account/1011480577/", 1011480577)</f>
        <v>1011480577</v>
      </c>
      <c r="D17564">
        <v>-11986.74</v>
      </c>
    </row>
    <row r="17565" spans="1:4" hidden="1" x14ac:dyDescent="0.3">
      <c r="A17565" t="s">
        <v>1003</v>
      </c>
      <c r="B17565" t="s">
        <v>10</v>
      </c>
      <c r="C17565" s="1">
        <f>HYPERLINK("https://cao.dolgi.msk.ru/account/1011480585/", 1011480585)</f>
        <v>1011480585</v>
      </c>
      <c r="D17565">
        <v>-4329.01</v>
      </c>
    </row>
    <row r="17566" spans="1:4" hidden="1" x14ac:dyDescent="0.3">
      <c r="A17566" t="s">
        <v>1003</v>
      </c>
      <c r="B17566" t="s">
        <v>11</v>
      </c>
      <c r="C17566" s="1">
        <f>HYPERLINK("https://cao.dolgi.msk.ru/account/1011480999/", 1011480999)</f>
        <v>1011480999</v>
      </c>
      <c r="D17566">
        <v>-5522.89</v>
      </c>
    </row>
    <row r="17567" spans="1:4" hidden="1" x14ac:dyDescent="0.3">
      <c r="A17567" t="s">
        <v>1003</v>
      </c>
      <c r="B17567" t="s">
        <v>12</v>
      </c>
      <c r="C17567" s="1">
        <f>HYPERLINK("https://cao.dolgi.msk.ru/account/1011481596/", 1011481596)</f>
        <v>1011481596</v>
      </c>
      <c r="D17567">
        <v>0</v>
      </c>
    </row>
    <row r="17568" spans="1:4" hidden="1" x14ac:dyDescent="0.3">
      <c r="A17568" t="s">
        <v>1003</v>
      </c>
      <c r="B17568" t="s">
        <v>23</v>
      </c>
      <c r="C17568" s="1">
        <f>HYPERLINK("https://cao.dolgi.msk.ru/account/1011481924/", 1011481924)</f>
        <v>1011481924</v>
      </c>
      <c r="D17568">
        <v>-6632.92</v>
      </c>
    </row>
    <row r="17569" spans="1:4" hidden="1" x14ac:dyDescent="0.3">
      <c r="A17569" t="s">
        <v>1003</v>
      </c>
      <c r="B17569" t="s">
        <v>13</v>
      </c>
      <c r="C17569" s="1">
        <f>HYPERLINK("https://cao.dolgi.msk.ru/account/1011480825/", 1011480825)</f>
        <v>1011480825</v>
      </c>
      <c r="D17569">
        <v>0</v>
      </c>
    </row>
    <row r="17570" spans="1:4" hidden="1" x14ac:dyDescent="0.3">
      <c r="A17570" t="s">
        <v>1003</v>
      </c>
      <c r="B17570" t="s">
        <v>16</v>
      </c>
      <c r="C17570" s="1">
        <f>HYPERLINK("https://cao.dolgi.msk.ru/account/1011481932/", 1011481932)</f>
        <v>1011481932</v>
      </c>
      <c r="D17570">
        <v>-112.32</v>
      </c>
    </row>
    <row r="17571" spans="1:4" hidden="1" x14ac:dyDescent="0.3">
      <c r="A17571" t="s">
        <v>1003</v>
      </c>
      <c r="B17571" t="s">
        <v>17</v>
      </c>
      <c r="C17571" s="1">
        <f>HYPERLINK("https://cao.dolgi.msk.ru/account/1011480833/", 1011480833)</f>
        <v>1011480833</v>
      </c>
      <c r="D17571">
        <v>-1249.69</v>
      </c>
    </row>
    <row r="17572" spans="1:4" x14ac:dyDescent="0.3">
      <c r="A17572" t="s">
        <v>1003</v>
      </c>
      <c r="B17572" t="s">
        <v>18</v>
      </c>
      <c r="C17572" s="1">
        <f>HYPERLINK("https://cao.dolgi.msk.ru/account/1011481246/", 1011481246)</f>
        <v>1011481246</v>
      </c>
      <c r="D17572">
        <v>14980.68</v>
      </c>
    </row>
    <row r="17573" spans="1:4" hidden="1" x14ac:dyDescent="0.3">
      <c r="A17573" t="s">
        <v>1003</v>
      </c>
      <c r="B17573" t="s">
        <v>19</v>
      </c>
      <c r="C17573" s="1">
        <f>HYPERLINK("https://cao.dolgi.msk.ru/account/1011481019/", 1011481019)</f>
        <v>1011481019</v>
      </c>
      <c r="D17573">
        <v>0</v>
      </c>
    </row>
    <row r="17574" spans="1:4" hidden="1" x14ac:dyDescent="0.3">
      <c r="A17574" t="s">
        <v>1003</v>
      </c>
      <c r="B17574" t="s">
        <v>20</v>
      </c>
      <c r="C17574" s="1">
        <f>HYPERLINK("https://cao.dolgi.msk.ru/account/1011480366/", 1011480366)</f>
        <v>1011480366</v>
      </c>
      <c r="D17574">
        <v>0</v>
      </c>
    </row>
    <row r="17575" spans="1:4" hidden="1" x14ac:dyDescent="0.3">
      <c r="A17575" t="s">
        <v>1003</v>
      </c>
      <c r="B17575" t="s">
        <v>21</v>
      </c>
      <c r="C17575" s="1">
        <f>HYPERLINK("https://cao.dolgi.msk.ru/account/1011481609/", 1011481609)</f>
        <v>1011481609</v>
      </c>
      <c r="D17575">
        <v>0</v>
      </c>
    </row>
    <row r="17576" spans="1:4" hidden="1" x14ac:dyDescent="0.3">
      <c r="A17576" t="s">
        <v>1003</v>
      </c>
      <c r="B17576" t="s">
        <v>22</v>
      </c>
      <c r="C17576" s="1">
        <f>HYPERLINK("https://cao.dolgi.msk.ru/account/1011481027/", 1011481027)</f>
        <v>1011481027</v>
      </c>
      <c r="D17576">
        <v>-527.12</v>
      </c>
    </row>
    <row r="17577" spans="1:4" hidden="1" x14ac:dyDescent="0.3">
      <c r="A17577" t="s">
        <v>1003</v>
      </c>
      <c r="B17577" t="s">
        <v>24</v>
      </c>
      <c r="C17577" s="1">
        <f>HYPERLINK("https://cao.dolgi.msk.ru/account/1011481035/", 1011481035)</f>
        <v>1011481035</v>
      </c>
      <c r="D17577">
        <v>0</v>
      </c>
    </row>
    <row r="17578" spans="1:4" hidden="1" x14ac:dyDescent="0.3">
      <c r="A17578" t="s">
        <v>1003</v>
      </c>
      <c r="B17578" t="s">
        <v>25</v>
      </c>
      <c r="C17578" s="1">
        <f>HYPERLINK("https://cao.dolgi.msk.ru/account/1011481617/", 1011481617)</f>
        <v>1011481617</v>
      </c>
      <c r="D17578">
        <v>0</v>
      </c>
    </row>
    <row r="17579" spans="1:4" hidden="1" x14ac:dyDescent="0.3">
      <c r="A17579" t="s">
        <v>1003</v>
      </c>
      <c r="B17579" t="s">
        <v>26</v>
      </c>
      <c r="C17579" s="1">
        <f>HYPERLINK("https://cao.dolgi.msk.ru/account/1011481625/", 1011481625)</f>
        <v>1011481625</v>
      </c>
      <c r="D17579">
        <v>0</v>
      </c>
    </row>
    <row r="17580" spans="1:4" x14ac:dyDescent="0.3">
      <c r="A17580" t="s">
        <v>1003</v>
      </c>
      <c r="B17580" t="s">
        <v>27</v>
      </c>
      <c r="C17580" s="1">
        <f>HYPERLINK("https://cao.dolgi.msk.ru/account/1011481262/", 1011481262)</f>
        <v>1011481262</v>
      </c>
      <c r="D17580">
        <v>8597.2199999999993</v>
      </c>
    </row>
    <row r="17581" spans="1:4" hidden="1" x14ac:dyDescent="0.3">
      <c r="A17581" t="s">
        <v>1003</v>
      </c>
      <c r="B17581" t="s">
        <v>29</v>
      </c>
      <c r="C17581" s="1">
        <f>HYPERLINK("https://cao.dolgi.msk.ru/account/1011481289/", 1011481289)</f>
        <v>1011481289</v>
      </c>
      <c r="D17581">
        <v>-3754.5</v>
      </c>
    </row>
    <row r="17582" spans="1:4" hidden="1" x14ac:dyDescent="0.3">
      <c r="A17582" t="s">
        <v>1003</v>
      </c>
      <c r="B17582" t="s">
        <v>38</v>
      </c>
      <c r="C17582" s="1">
        <f>HYPERLINK("https://cao.dolgi.msk.ru/account/1011481959/", 1011481959)</f>
        <v>1011481959</v>
      </c>
      <c r="D17582">
        <v>0</v>
      </c>
    </row>
    <row r="17583" spans="1:4" x14ac:dyDescent="0.3">
      <c r="A17583" t="s">
        <v>1003</v>
      </c>
      <c r="B17583" t="s">
        <v>39</v>
      </c>
      <c r="C17583" s="1">
        <f>HYPERLINK("https://cao.dolgi.msk.ru/account/1011481297/", 1011481297)</f>
        <v>1011481297</v>
      </c>
      <c r="D17583">
        <v>52080.95</v>
      </c>
    </row>
    <row r="17584" spans="1:4" hidden="1" x14ac:dyDescent="0.3">
      <c r="A17584" t="s">
        <v>1003</v>
      </c>
      <c r="B17584" t="s">
        <v>40</v>
      </c>
      <c r="C17584" s="1">
        <f>HYPERLINK("https://cao.dolgi.msk.ru/account/1011480841/", 1011480841)</f>
        <v>1011480841</v>
      </c>
      <c r="D17584">
        <v>-13245.84</v>
      </c>
    </row>
    <row r="17585" spans="1:4" hidden="1" x14ac:dyDescent="0.3">
      <c r="A17585" t="s">
        <v>1003</v>
      </c>
      <c r="B17585" t="s">
        <v>41</v>
      </c>
      <c r="C17585" s="1">
        <f>HYPERLINK("https://cao.dolgi.msk.ru/account/1011480374/", 1011480374)</f>
        <v>1011480374</v>
      </c>
      <c r="D17585">
        <v>0</v>
      </c>
    </row>
    <row r="17586" spans="1:4" x14ac:dyDescent="0.3">
      <c r="A17586" t="s">
        <v>1003</v>
      </c>
      <c r="B17586" t="s">
        <v>51</v>
      </c>
      <c r="C17586" s="1">
        <f>HYPERLINK("https://cao.dolgi.msk.ru/account/1011481633/", 1011481633)</f>
        <v>1011481633</v>
      </c>
      <c r="D17586">
        <v>8031.28</v>
      </c>
    </row>
    <row r="17587" spans="1:4" hidden="1" x14ac:dyDescent="0.3">
      <c r="A17587" t="s">
        <v>1003</v>
      </c>
      <c r="B17587" t="s">
        <v>52</v>
      </c>
      <c r="C17587" s="1">
        <f>HYPERLINK("https://cao.dolgi.msk.ru/account/1011481641/", 1011481641)</f>
        <v>1011481641</v>
      </c>
      <c r="D17587">
        <v>0</v>
      </c>
    </row>
    <row r="17588" spans="1:4" hidden="1" x14ac:dyDescent="0.3">
      <c r="A17588" t="s">
        <v>1003</v>
      </c>
      <c r="B17588" t="s">
        <v>53</v>
      </c>
      <c r="C17588" s="1">
        <f>HYPERLINK("https://cao.dolgi.msk.ru/account/1011481967/", 1011481967)</f>
        <v>1011481967</v>
      </c>
      <c r="D17588">
        <v>0</v>
      </c>
    </row>
    <row r="17589" spans="1:4" hidden="1" x14ac:dyDescent="0.3">
      <c r="A17589" t="s">
        <v>1003</v>
      </c>
      <c r="B17589" t="s">
        <v>54</v>
      </c>
      <c r="C17589" s="1">
        <f>HYPERLINK("https://cao.dolgi.msk.ru/account/1011480593/", 1011480593)</f>
        <v>1011480593</v>
      </c>
      <c r="D17589">
        <v>0</v>
      </c>
    </row>
    <row r="17590" spans="1:4" hidden="1" x14ac:dyDescent="0.3">
      <c r="A17590" t="s">
        <v>1003</v>
      </c>
      <c r="B17590" t="s">
        <v>55</v>
      </c>
      <c r="C17590" s="1">
        <f>HYPERLINK("https://cao.dolgi.msk.ru/account/1011481318/", 1011481318)</f>
        <v>1011481318</v>
      </c>
      <c r="D17590">
        <v>0</v>
      </c>
    </row>
    <row r="17591" spans="1:4" x14ac:dyDescent="0.3">
      <c r="A17591" t="s">
        <v>1003</v>
      </c>
      <c r="B17591" t="s">
        <v>56</v>
      </c>
      <c r="C17591" s="1">
        <f>HYPERLINK("https://cao.dolgi.msk.ru/account/1011480606/", 1011480606)</f>
        <v>1011480606</v>
      </c>
      <c r="D17591">
        <v>8251.36</v>
      </c>
    </row>
    <row r="17592" spans="1:4" hidden="1" x14ac:dyDescent="0.3">
      <c r="A17592" t="s">
        <v>1003</v>
      </c>
      <c r="B17592" t="s">
        <v>87</v>
      </c>
      <c r="C17592" s="1">
        <f>HYPERLINK("https://cao.dolgi.msk.ru/account/1011481326/", 1011481326)</f>
        <v>1011481326</v>
      </c>
      <c r="D17592">
        <v>0</v>
      </c>
    </row>
    <row r="17593" spans="1:4" hidden="1" x14ac:dyDescent="0.3">
      <c r="A17593" t="s">
        <v>1003</v>
      </c>
      <c r="B17593" t="s">
        <v>87</v>
      </c>
      <c r="C17593" s="1">
        <f>HYPERLINK("https://cao.dolgi.msk.ru/account/1011481916/", 1011481916)</f>
        <v>1011481916</v>
      </c>
      <c r="D17593">
        <v>0</v>
      </c>
    </row>
    <row r="17594" spans="1:4" hidden="1" x14ac:dyDescent="0.3">
      <c r="A17594" t="s">
        <v>1003</v>
      </c>
      <c r="B17594" t="s">
        <v>88</v>
      </c>
      <c r="C17594" s="1">
        <f>HYPERLINK("https://cao.dolgi.msk.ru/account/1011481334/", 1011481334)</f>
        <v>1011481334</v>
      </c>
      <c r="D17594">
        <v>-13501.9</v>
      </c>
    </row>
    <row r="17595" spans="1:4" hidden="1" x14ac:dyDescent="0.3">
      <c r="A17595" t="s">
        <v>1003</v>
      </c>
      <c r="B17595" t="s">
        <v>89</v>
      </c>
      <c r="C17595" s="1">
        <f>HYPERLINK("https://cao.dolgi.msk.ru/account/1011480614/", 1011480614)</f>
        <v>1011480614</v>
      </c>
      <c r="D17595">
        <v>0</v>
      </c>
    </row>
    <row r="17596" spans="1:4" x14ac:dyDescent="0.3">
      <c r="A17596" t="s">
        <v>1003</v>
      </c>
      <c r="B17596" t="s">
        <v>90</v>
      </c>
      <c r="C17596" s="1">
        <f>HYPERLINK("https://cao.dolgi.msk.ru/account/1011481342/", 1011481342)</f>
        <v>1011481342</v>
      </c>
      <c r="D17596">
        <v>4156.9799999999996</v>
      </c>
    </row>
    <row r="17597" spans="1:4" hidden="1" x14ac:dyDescent="0.3">
      <c r="A17597" t="s">
        <v>1003</v>
      </c>
      <c r="B17597" t="s">
        <v>96</v>
      </c>
      <c r="C17597" s="1">
        <f>HYPERLINK("https://cao.dolgi.msk.ru/account/1011481254/", 1011481254)</f>
        <v>1011481254</v>
      </c>
      <c r="D17597">
        <v>0</v>
      </c>
    </row>
    <row r="17598" spans="1:4" hidden="1" x14ac:dyDescent="0.3">
      <c r="A17598" t="s">
        <v>1003</v>
      </c>
      <c r="B17598" t="s">
        <v>97</v>
      </c>
      <c r="C17598" s="1">
        <f>HYPERLINK("https://cao.dolgi.msk.ru/account/1011480622/", 1011480622)</f>
        <v>1011480622</v>
      </c>
      <c r="D17598">
        <v>-8599.92</v>
      </c>
    </row>
    <row r="17599" spans="1:4" hidden="1" x14ac:dyDescent="0.3">
      <c r="A17599" t="s">
        <v>1003</v>
      </c>
      <c r="B17599" t="s">
        <v>98</v>
      </c>
      <c r="C17599" s="1">
        <f>HYPERLINK("https://cao.dolgi.msk.ru/account/1011481887/", 1011481887)</f>
        <v>1011481887</v>
      </c>
      <c r="D17599">
        <v>-51.6</v>
      </c>
    </row>
    <row r="17600" spans="1:4" x14ac:dyDescent="0.3">
      <c r="A17600" t="s">
        <v>1003</v>
      </c>
      <c r="B17600" t="s">
        <v>58</v>
      </c>
      <c r="C17600" s="1">
        <f>HYPERLINK("https://cao.dolgi.msk.ru/account/1011481369/", 1011481369)</f>
        <v>1011481369</v>
      </c>
      <c r="D17600">
        <v>12103.05</v>
      </c>
    </row>
    <row r="17601" spans="1:4" hidden="1" x14ac:dyDescent="0.3">
      <c r="A17601" t="s">
        <v>1003</v>
      </c>
      <c r="B17601" t="s">
        <v>59</v>
      </c>
      <c r="C17601" s="1">
        <f>HYPERLINK("https://cao.dolgi.msk.ru/account/1011481668/", 1011481668)</f>
        <v>1011481668</v>
      </c>
      <c r="D17601">
        <v>-5210.45</v>
      </c>
    </row>
    <row r="17602" spans="1:4" hidden="1" x14ac:dyDescent="0.3">
      <c r="A17602" t="s">
        <v>1003</v>
      </c>
      <c r="B17602" t="s">
        <v>60</v>
      </c>
      <c r="C17602" s="1">
        <f>HYPERLINK("https://cao.dolgi.msk.ru/account/1011481975/", 1011481975)</f>
        <v>1011481975</v>
      </c>
      <c r="D17602">
        <v>-7607.79</v>
      </c>
    </row>
    <row r="17603" spans="1:4" hidden="1" x14ac:dyDescent="0.3">
      <c r="A17603" t="s">
        <v>1003</v>
      </c>
      <c r="B17603" t="s">
        <v>61</v>
      </c>
      <c r="C17603" s="1">
        <f>HYPERLINK("https://cao.dolgi.msk.ru/account/1011481983/", 1011481983)</f>
        <v>1011481983</v>
      </c>
      <c r="D17603">
        <v>-40476.11</v>
      </c>
    </row>
    <row r="17604" spans="1:4" hidden="1" x14ac:dyDescent="0.3">
      <c r="A17604" t="s">
        <v>1003</v>
      </c>
      <c r="B17604" t="s">
        <v>62</v>
      </c>
      <c r="C17604" s="1">
        <f>HYPERLINK("https://cao.dolgi.msk.ru/account/1011481377/", 1011481377)</f>
        <v>1011481377</v>
      </c>
      <c r="D17604">
        <v>-108</v>
      </c>
    </row>
    <row r="17605" spans="1:4" hidden="1" x14ac:dyDescent="0.3">
      <c r="A17605" t="s">
        <v>1003</v>
      </c>
      <c r="B17605" t="s">
        <v>63</v>
      </c>
      <c r="C17605" s="1">
        <f>HYPERLINK("https://cao.dolgi.msk.ru/account/1011481385/", 1011481385)</f>
        <v>1011481385</v>
      </c>
      <c r="D17605">
        <v>-2671.51</v>
      </c>
    </row>
    <row r="17606" spans="1:4" hidden="1" x14ac:dyDescent="0.3">
      <c r="A17606" t="s">
        <v>1003</v>
      </c>
      <c r="B17606" t="s">
        <v>64</v>
      </c>
      <c r="C17606" s="1">
        <f>HYPERLINK("https://cao.dolgi.msk.ru/account/1011481991/", 1011481991)</f>
        <v>1011481991</v>
      </c>
      <c r="D17606">
        <v>-108</v>
      </c>
    </row>
    <row r="17607" spans="1:4" hidden="1" x14ac:dyDescent="0.3">
      <c r="A17607" t="s">
        <v>1003</v>
      </c>
      <c r="B17607" t="s">
        <v>65</v>
      </c>
      <c r="C17607" s="1">
        <f>HYPERLINK("https://cao.dolgi.msk.ru/account/1011482193/", 1011482193)</f>
        <v>1011482193</v>
      </c>
      <c r="D17607">
        <v>-8917.15</v>
      </c>
    </row>
    <row r="17608" spans="1:4" hidden="1" x14ac:dyDescent="0.3">
      <c r="A17608" t="s">
        <v>1003</v>
      </c>
      <c r="B17608" t="s">
        <v>66</v>
      </c>
      <c r="C17608" s="1">
        <f>HYPERLINK("https://cao.dolgi.msk.ru/account/1011480868/", 1011480868)</f>
        <v>1011480868</v>
      </c>
      <c r="D17608">
        <v>-108</v>
      </c>
    </row>
    <row r="17609" spans="1:4" hidden="1" x14ac:dyDescent="0.3">
      <c r="A17609" t="s">
        <v>1003</v>
      </c>
      <c r="B17609" t="s">
        <v>67</v>
      </c>
      <c r="C17609" s="1">
        <f>HYPERLINK("https://cao.dolgi.msk.ru/account/1011481043/", 1011481043)</f>
        <v>1011481043</v>
      </c>
      <c r="D17609">
        <v>-3379.9</v>
      </c>
    </row>
    <row r="17610" spans="1:4" x14ac:dyDescent="0.3">
      <c r="A17610" t="s">
        <v>1003</v>
      </c>
      <c r="B17610" t="s">
        <v>67</v>
      </c>
      <c r="C17610" s="1">
        <f>HYPERLINK("https://cao.dolgi.msk.ru/account/1011481545/", 1011481545)</f>
        <v>1011481545</v>
      </c>
      <c r="D17610">
        <v>26530.42</v>
      </c>
    </row>
    <row r="17611" spans="1:4" hidden="1" x14ac:dyDescent="0.3">
      <c r="A17611" t="s">
        <v>1003</v>
      </c>
      <c r="B17611" t="s">
        <v>68</v>
      </c>
      <c r="C17611" s="1">
        <f>HYPERLINK("https://cao.dolgi.msk.ru/account/1011481676/", 1011481676)</f>
        <v>1011481676</v>
      </c>
      <c r="D17611">
        <v>-52</v>
      </c>
    </row>
    <row r="17612" spans="1:4" hidden="1" x14ac:dyDescent="0.3">
      <c r="A17612" t="s">
        <v>1003</v>
      </c>
      <c r="B17612" t="s">
        <v>69</v>
      </c>
      <c r="C17612" s="1">
        <f>HYPERLINK("https://cao.dolgi.msk.ru/account/1011481684/", 1011481684)</f>
        <v>1011481684</v>
      </c>
      <c r="D17612">
        <v>-8976.2199999999993</v>
      </c>
    </row>
    <row r="17613" spans="1:4" hidden="1" x14ac:dyDescent="0.3">
      <c r="A17613" t="s">
        <v>1003</v>
      </c>
      <c r="B17613" t="s">
        <v>70</v>
      </c>
      <c r="C17613" s="1">
        <f>HYPERLINK("https://cao.dolgi.msk.ru/account/1011481051/", 1011481051)</f>
        <v>1011481051</v>
      </c>
      <c r="D17613">
        <v>-107.4</v>
      </c>
    </row>
    <row r="17614" spans="1:4" hidden="1" x14ac:dyDescent="0.3">
      <c r="A17614" t="s">
        <v>1003</v>
      </c>
      <c r="B17614" t="s">
        <v>259</v>
      </c>
      <c r="C17614" s="1">
        <f>HYPERLINK("https://cao.dolgi.msk.ru/account/1011482206/", 1011482206)</f>
        <v>1011482206</v>
      </c>
      <c r="D17614">
        <v>-88.17</v>
      </c>
    </row>
    <row r="17615" spans="1:4" x14ac:dyDescent="0.3">
      <c r="A17615" t="s">
        <v>1003</v>
      </c>
      <c r="B17615" t="s">
        <v>100</v>
      </c>
      <c r="C17615" s="1">
        <f>HYPERLINK("https://cao.dolgi.msk.ru/account/1011480382/", 1011480382)</f>
        <v>1011480382</v>
      </c>
      <c r="D17615">
        <v>139008.12</v>
      </c>
    </row>
    <row r="17616" spans="1:4" hidden="1" x14ac:dyDescent="0.3">
      <c r="A17616" t="s">
        <v>1003</v>
      </c>
      <c r="B17616" t="s">
        <v>72</v>
      </c>
      <c r="C17616" s="1">
        <f>HYPERLINK("https://cao.dolgi.msk.ru/account/1011480649/", 1011480649)</f>
        <v>1011480649</v>
      </c>
      <c r="D17616">
        <v>-30</v>
      </c>
    </row>
    <row r="17617" spans="1:4" hidden="1" x14ac:dyDescent="0.3">
      <c r="A17617" t="s">
        <v>1003</v>
      </c>
      <c r="B17617" t="s">
        <v>73</v>
      </c>
      <c r="C17617" s="1">
        <f>HYPERLINK("https://cao.dolgi.msk.ru/account/1011481393/", 1011481393)</f>
        <v>1011481393</v>
      </c>
      <c r="D17617">
        <v>-2771.62</v>
      </c>
    </row>
    <row r="17618" spans="1:4" hidden="1" x14ac:dyDescent="0.3">
      <c r="A17618" t="s">
        <v>1003</v>
      </c>
      <c r="B17618" t="s">
        <v>73</v>
      </c>
      <c r="C17618" s="1">
        <f>HYPERLINK("https://cao.dolgi.msk.ru/account/1011481553/", 1011481553)</f>
        <v>1011481553</v>
      </c>
      <c r="D17618">
        <v>-3133.92</v>
      </c>
    </row>
    <row r="17619" spans="1:4" hidden="1" x14ac:dyDescent="0.3">
      <c r="A17619" t="s">
        <v>1003</v>
      </c>
      <c r="B17619" t="s">
        <v>74</v>
      </c>
      <c r="C17619" s="1">
        <f>HYPERLINK("https://cao.dolgi.msk.ru/account/1011481692/", 1011481692)</f>
        <v>1011481692</v>
      </c>
      <c r="D17619">
        <v>-587.95000000000005</v>
      </c>
    </row>
    <row r="17620" spans="1:4" hidden="1" x14ac:dyDescent="0.3">
      <c r="A17620" t="s">
        <v>1003</v>
      </c>
      <c r="B17620" t="s">
        <v>75</v>
      </c>
      <c r="C17620" s="1">
        <f>HYPERLINK("https://cao.dolgi.msk.ru/account/1011481588/", 1011481588)</f>
        <v>1011481588</v>
      </c>
      <c r="D17620">
        <v>-222.73</v>
      </c>
    </row>
    <row r="17621" spans="1:4" hidden="1" x14ac:dyDescent="0.3">
      <c r="A17621" t="s">
        <v>1003</v>
      </c>
      <c r="B17621" t="s">
        <v>76</v>
      </c>
      <c r="C17621" s="1">
        <f>HYPERLINK("https://cao.dolgi.msk.ru/account/1011481406/", 1011481406)</f>
        <v>1011481406</v>
      </c>
      <c r="D17621">
        <v>-14083.61</v>
      </c>
    </row>
    <row r="17622" spans="1:4" hidden="1" x14ac:dyDescent="0.3">
      <c r="A17622" t="s">
        <v>1003</v>
      </c>
      <c r="B17622" t="s">
        <v>77</v>
      </c>
      <c r="C17622" s="1">
        <f>HYPERLINK("https://cao.dolgi.msk.ru/account/1011480403/", 1011480403)</f>
        <v>1011480403</v>
      </c>
      <c r="D17622">
        <v>-5645.25</v>
      </c>
    </row>
    <row r="17623" spans="1:4" x14ac:dyDescent="0.3">
      <c r="A17623" t="s">
        <v>1003</v>
      </c>
      <c r="B17623" t="s">
        <v>78</v>
      </c>
      <c r="C17623" s="1">
        <f>HYPERLINK("https://cao.dolgi.msk.ru/account/1011480657/", 1011480657)</f>
        <v>1011480657</v>
      </c>
      <c r="D17623">
        <v>76.930000000000007</v>
      </c>
    </row>
    <row r="17624" spans="1:4" x14ac:dyDescent="0.3">
      <c r="A17624" t="s">
        <v>1003</v>
      </c>
      <c r="B17624" t="s">
        <v>79</v>
      </c>
      <c r="C17624" s="1">
        <f>HYPERLINK("https://cao.dolgi.msk.ru/account/1011480411/", 1011480411)</f>
        <v>1011480411</v>
      </c>
      <c r="D17624">
        <v>140961.04</v>
      </c>
    </row>
    <row r="17625" spans="1:4" hidden="1" x14ac:dyDescent="0.3">
      <c r="A17625" t="s">
        <v>1003</v>
      </c>
      <c r="B17625" t="s">
        <v>80</v>
      </c>
      <c r="C17625" s="1">
        <f>HYPERLINK("https://cao.dolgi.msk.ru/account/1011480665/", 1011480665)</f>
        <v>1011480665</v>
      </c>
      <c r="D17625">
        <v>-90.4</v>
      </c>
    </row>
    <row r="17626" spans="1:4" hidden="1" x14ac:dyDescent="0.3">
      <c r="A17626" t="s">
        <v>1003</v>
      </c>
      <c r="B17626" t="s">
        <v>81</v>
      </c>
      <c r="C17626" s="1">
        <f>HYPERLINK("https://cao.dolgi.msk.ru/account/1011480876/", 1011480876)</f>
        <v>1011480876</v>
      </c>
      <c r="D17626">
        <v>-6991.2</v>
      </c>
    </row>
    <row r="17627" spans="1:4" hidden="1" x14ac:dyDescent="0.3">
      <c r="A17627" t="s">
        <v>1003</v>
      </c>
      <c r="B17627" t="s">
        <v>101</v>
      </c>
      <c r="C17627" s="1">
        <f>HYPERLINK("https://cao.dolgi.msk.ru/account/1011482003/", 1011482003)</f>
        <v>1011482003</v>
      </c>
      <c r="D17627">
        <v>-50564.21</v>
      </c>
    </row>
    <row r="17628" spans="1:4" x14ac:dyDescent="0.3">
      <c r="A17628" t="s">
        <v>1003</v>
      </c>
      <c r="B17628" t="s">
        <v>82</v>
      </c>
      <c r="C17628" s="1">
        <f>HYPERLINK("https://cao.dolgi.msk.ru/account/1011481414/", 1011481414)</f>
        <v>1011481414</v>
      </c>
      <c r="D17628">
        <v>8327.94</v>
      </c>
    </row>
    <row r="17629" spans="1:4" x14ac:dyDescent="0.3">
      <c r="A17629" t="s">
        <v>1003</v>
      </c>
      <c r="B17629" t="s">
        <v>85</v>
      </c>
      <c r="C17629" s="1">
        <f>HYPERLINK("https://cao.dolgi.msk.ru/account/1011481422/", 1011481422)</f>
        <v>1011481422</v>
      </c>
      <c r="D17629">
        <v>12311.43</v>
      </c>
    </row>
    <row r="17630" spans="1:4" hidden="1" x14ac:dyDescent="0.3">
      <c r="A17630" t="s">
        <v>1003</v>
      </c>
      <c r="B17630" t="s">
        <v>102</v>
      </c>
      <c r="C17630" s="1">
        <f>HYPERLINK("https://cao.dolgi.msk.ru/account/1011482214/", 1011482214)</f>
        <v>1011482214</v>
      </c>
      <c r="D17630">
        <v>0</v>
      </c>
    </row>
    <row r="17631" spans="1:4" x14ac:dyDescent="0.3">
      <c r="A17631" t="s">
        <v>1003</v>
      </c>
      <c r="B17631" t="s">
        <v>103</v>
      </c>
      <c r="C17631" s="1">
        <f>HYPERLINK("https://cao.dolgi.msk.ru/account/1011482011/", 1011482011)</f>
        <v>1011482011</v>
      </c>
      <c r="D17631">
        <v>13384.54</v>
      </c>
    </row>
    <row r="17632" spans="1:4" hidden="1" x14ac:dyDescent="0.3">
      <c r="A17632" t="s">
        <v>1003</v>
      </c>
      <c r="B17632" t="s">
        <v>104</v>
      </c>
      <c r="C17632" s="1">
        <f>HYPERLINK("https://cao.dolgi.msk.ru/account/1011482038/", 1011482038)</f>
        <v>1011482038</v>
      </c>
      <c r="D17632">
        <v>0</v>
      </c>
    </row>
    <row r="17633" spans="1:4" hidden="1" x14ac:dyDescent="0.3">
      <c r="A17633" t="s">
        <v>1003</v>
      </c>
      <c r="B17633" t="s">
        <v>105</v>
      </c>
      <c r="C17633" s="1">
        <f>HYPERLINK("https://cao.dolgi.msk.ru/account/1011482046/", 1011482046)</f>
        <v>1011482046</v>
      </c>
      <c r="D17633">
        <v>0</v>
      </c>
    </row>
    <row r="17634" spans="1:4" x14ac:dyDescent="0.3">
      <c r="A17634" t="s">
        <v>1003</v>
      </c>
      <c r="B17634" t="s">
        <v>106</v>
      </c>
      <c r="C17634" s="1">
        <f>HYPERLINK("https://cao.dolgi.msk.ru/account/1011480438/", 1011480438)</f>
        <v>1011480438</v>
      </c>
      <c r="D17634">
        <v>4300.96</v>
      </c>
    </row>
    <row r="17635" spans="1:4" hidden="1" x14ac:dyDescent="0.3">
      <c r="A17635" t="s">
        <v>1003</v>
      </c>
      <c r="B17635" t="s">
        <v>107</v>
      </c>
      <c r="C17635" s="1">
        <f>HYPERLINK("https://cao.dolgi.msk.ru/account/1011482222/", 1011482222)</f>
        <v>1011482222</v>
      </c>
      <c r="D17635">
        <v>0</v>
      </c>
    </row>
    <row r="17636" spans="1:4" hidden="1" x14ac:dyDescent="0.3">
      <c r="A17636" t="s">
        <v>1003</v>
      </c>
      <c r="B17636" t="s">
        <v>108</v>
      </c>
      <c r="C17636" s="1">
        <f>HYPERLINK("https://cao.dolgi.msk.ru/account/1011480446/", 1011480446)</f>
        <v>1011480446</v>
      </c>
      <c r="D17636">
        <v>0</v>
      </c>
    </row>
    <row r="17637" spans="1:4" hidden="1" x14ac:dyDescent="0.3">
      <c r="A17637" t="s">
        <v>1003</v>
      </c>
      <c r="B17637" t="s">
        <v>109</v>
      </c>
      <c r="C17637" s="1">
        <f>HYPERLINK("https://cao.dolgi.msk.ru/account/1011482177/", 1011482177)</f>
        <v>1011482177</v>
      </c>
      <c r="D17637">
        <v>0</v>
      </c>
    </row>
    <row r="17638" spans="1:4" x14ac:dyDescent="0.3">
      <c r="A17638" t="s">
        <v>1003</v>
      </c>
      <c r="B17638" t="s">
        <v>110</v>
      </c>
      <c r="C17638" s="1">
        <f>HYPERLINK("https://cao.dolgi.msk.ru/account/1011480673/", 1011480673)</f>
        <v>1011480673</v>
      </c>
      <c r="D17638">
        <v>37932.15</v>
      </c>
    </row>
    <row r="17639" spans="1:4" hidden="1" x14ac:dyDescent="0.3">
      <c r="A17639" t="s">
        <v>1003</v>
      </c>
      <c r="B17639" t="s">
        <v>111</v>
      </c>
      <c r="C17639" s="1">
        <f>HYPERLINK("https://cao.dolgi.msk.ru/account/1011481238/", 1011481238)</f>
        <v>1011481238</v>
      </c>
      <c r="D17639">
        <v>0</v>
      </c>
    </row>
    <row r="17640" spans="1:4" hidden="1" x14ac:dyDescent="0.3">
      <c r="A17640" t="s">
        <v>1003</v>
      </c>
      <c r="B17640" t="s">
        <v>112</v>
      </c>
      <c r="C17640" s="1">
        <f>HYPERLINK("https://cao.dolgi.msk.ru/account/1011482249/", 1011482249)</f>
        <v>1011482249</v>
      </c>
      <c r="D17640">
        <v>0</v>
      </c>
    </row>
    <row r="17641" spans="1:4" hidden="1" x14ac:dyDescent="0.3">
      <c r="A17641" t="s">
        <v>1003</v>
      </c>
      <c r="B17641" t="s">
        <v>113</v>
      </c>
      <c r="C17641" s="1">
        <f>HYPERLINK("https://cao.dolgi.msk.ru/account/1011480681/", 1011480681)</f>
        <v>1011480681</v>
      </c>
      <c r="D17641">
        <v>0</v>
      </c>
    </row>
    <row r="17642" spans="1:4" hidden="1" x14ac:dyDescent="0.3">
      <c r="A17642" t="s">
        <v>1003</v>
      </c>
      <c r="B17642" t="s">
        <v>114</v>
      </c>
      <c r="C17642" s="1">
        <f>HYPERLINK("https://cao.dolgi.msk.ru/account/1011481705/", 1011481705)</f>
        <v>1011481705</v>
      </c>
      <c r="D17642">
        <v>-8362.83</v>
      </c>
    </row>
    <row r="17643" spans="1:4" x14ac:dyDescent="0.3">
      <c r="A17643" t="s">
        <v>1003</v>
      </c>
      <c r="B17643" t="s">
        <v>115</v>
      </c>
      <c r="C17643" s="1">
        <f>HYPERLINK("https://cao.dolgi.msk.ru/account/1011480702/", 1011480702)</f>
        <v>1011480702</v>
      </c>
      <c r="D17643">
        <v>10111.799999999999</v>
      </c>
    </row>
    <row r="17644" spans="1:4" hidden="1" x14ac:dyDescent="0.3">
      <c r="A17644" t="s">
        <v>1003</v>
      </c>
      <c r="B17644" t="s">
        <v>116</v>
      </c>
      <c r="C17644" s="1">
        <f>HYPERLINK("https://cao.dolgi.msk.ru/account/1011481713/", 1011481713)</f>
        <v>1011481713</v>
      </c>
      <c r="D17644">
        <v>0</v>
      </c>
    </row>
    <row r="17645" spans="1:4" hidden="1" x14ac:dyDescent="0.3">
      <c r="A17645" t="s">
        <v>1003</v>
      </c>
      <c r="B17645" t="s">
        <v>266</v>
      </c>
      <c r="C17645" s="1">
        <f>HYPERLINK("https://cao.dolgi.msk.ru/account/1011482257/", 1011482257)</f>
        <v>1011482257</v>
      </c>
      <c r="D17645">
        <v>-77.819999999999993</v>
      </c>
    </row>
    <row r="17646" spans="1:4" hidden="1" x14ac:dyDescent="0.3">
      <c r="A17646" t="s">
        <v>1003</v>
      </c>
      <c r="B17646" t="s">
        <v>117</v>
      </c>
      <c r="C17646" s="1">
        <f>HYPERLINK("https://cao.dolgi.msk.ru/account/1011481721/", 1011481721)</f>
        <v>1011481721</v>
      </c>
      <c r="D17646">
        <v>-11113.46</v>
      </c>
    </row>
    <row r="17647" spans="1:4" x14ac:dyDescent="0.3">
      <c r="A17647" t="s">
        <v>1003</v>
      </c>
      <c r="B17647" t="s">
        <v>118</v>
      </c>
      <c r="C17647" s="1">
        <f>HYPERLINK("https://cao.dolgi.msk.ru/account/1011481748/", 1011481748)</f>
        <v>1011481748</v>
      </c>
      <c r="D17647">
        <v>5720.83</v>
      </c>
    </row>
    <row r="17648" spans="1:4" x14ac:dyDescent="0.3">
      <c r="A17648" t="s">
        <v>1003</v>
      </c>
      <c r="B17648" t="s">
        <v>119</v>
      </c>
      <c r="C17648" s="1">
        <f>HYPERLINK("https://cao.dolgi.msk.ru/account/1011481086/", 1011481086)</f>
        <v>1011481086</v>
      </c>
      <c r="D17648">
        <v>68.12</v>
      </c>
    </row>
    <row r="17649" spans="1:4" hidden="1" x14ac:dyDescent="0.3">
      <c r="A17649" t="s">
        <v>1003</v>
      </c>
      <c r="B17649" t="s">
        <v>120</v>
      </c>
      <c r="C17649" s="1">
        <f>HYPERLINK("https://cao.dolgi.msk.ru/account/1011481094/", 1011481094)</f>
        <v>1011481094</v>
      </c>
      <c r="D17649">
        <v>0</v>
      </c>
    </row>
    <row r="17650" spans="1:4" hidden="1" x14ac:dyDescent="0.3">
      <c r="A17650" t="s">
        <v>1003</v>
      </c>
      <c r="B17650" t="s">
        <v>121</v>
      </c>
      <c r="C17650" s="1">
        <f>HYPERLINK("https://cao.dolgi.msk.ru/account/1011481756/", 1011481756)</f>
        <v>1011481756</v>
      </c>
      <c r="D17650">
        <v>-9176.73</v>
      </c>
    </row>
    <row r="17651" spans="1:4" hidden="1" x14ac:dyDescent="0.3">
      <c r="A17651" t="s">
        <v>1003</v>
      </c>
      <c r="B17651" t="s">
        <v>122</v>
      </c>
      <c r="C17651" s="1">
        <f>HYPERLINK("https://cao.dolgi.msk.ru/account/1011482054/", 1011482054)</f>
        <v>1011482054</v>
      </c>
      <c r="D17651">
        <v>0</v>
      </c>
    </row>
    <row r="17652" spans="1:4" x14ac:dyDescent="0.3">
      <c r="A17652" t="s">
        <v>1003</v>
      </c>
      <c r="B17652" t="s">
        <v>124</v>
      </c>
      <c r="C17652" s="1">
        <f>HYPERLINK("https://cao.dolgi.msk.ru/account/1011481107/", 1011481107)</f>
        <v>1011481107</v>
      </c>
      <c r="D17652">
        <v>6151.92</v>
      </c>
    </row>
    <row r="17653" spans="1:4" hidden="1" x14ac:dyDescent="0.3">
      <c r="A17653" t="s">
        <v>1003</v>
      </c>
      <c r="B17653" t="s">
        <v>125</v>
      </c>
      <c r="C17653" s="1">
        <f>HYPERLINK("https://cao.dolgi.msk.ru/account/1011481078/", 1011481078)</f>
        <v>1011481078</v>
      </c>
      <c r="D17653">
        <v>0</v>
      </c>
    </row>
    <row r="17654" spans="1:4" hidden="1" x14ac:dyDescent="0.3">
      <c r="A17654" t="s">
        <v>1003</v>
      </c>
      <c r="B17654" t="s">
        <v>126</v>
      </c>
      <c r="C17654" s="1">
        <f>HYPERLINK("https://cao.dolgi.msk.ru/account/1011480884/", 1011480884)</f>
        <v>1011480884</v>
      </c>
      <c r="D17654">
        <v>0</v>
      </c>
    </row>
    <row r="17655" spans="1:4" hidden="1" x14ac:dyDescent="0.3">
      <c r="A17655" t="s">
        <v>1003</v>
      </c>
      <c r="B17655" t="s">
        <v>127</v>
      </c>
      <c r="C17655" s="1">
        <f>HYPERLINK("https://cao.dolgi.msk.ru/account/1011481115/", 1011481115)</f>
        <v>1011481115</v>
      </c>
      <c r="D17655">
        <v>-6223.72</v>
      </c>
    </row>
    <row r="17656" spans="1:4" hidden="1" x14ac:dyDescent="0.3">
      <c r="A17656" t="s">
        <v>1003</v>
      </c>
      <c r="B17656" t="s">
        <v>1004</v>
      </c>
      <c r="C17656" s="1">
        <f>HYPERLINK("https://cao.dolgi.msk.ru/account/1011481764/", 1011481764)</f>
        <v>1011481764</v>
      </c>
      <c r="D17656">
        <v>0</v>
      </c>
    </row>
    <row r="17657" spans="1:4" x14ac:dyDescent="0.3">
      <c r="A17657" t="s">
        <v>1003</v>
      </c>
      <c r="B17657" t="s">
        <v>1005</v>
      </c>
      <c r="C17657" s="1">
        <f>HYPERLINK("https://cao.dolgi.msk.ru/account/1011482273/", 1011482273)</f>
        <v>1011482273</v>
      </c>
      <c r="D17657">
        <v>33804.06</v>
      </c>
    </row>
    <row r="17658" spans="1:4" hidden="1" x14ac:dyDescent="0.3">
      <c r="A17658" t="s">
        <v>1003</v>
      </c>
      <c r="B17658" t="s">
        <v>1006</v>
      </c>
      <c r="C17658" s="1">
        <f>HYPERLINK("https://cao.dolgi.msk.ru/account/1011482265/", 1011482265)</f>
        <v>1011482265</v>
      </c>
      <c r="D17658">
        <v>-2585.4</v>
      </c>
    </row>
    <row r="17659" spans="1:4" hidden="1" x14ac:dyDescent="0.3">
      <c r="A17659" t="s">
        <v>1003</v>
      </c>
      <c r="B17659" t="s">
        <v>1007</v>
      </c>
      <c r="C17659" s="1">
        <f>HYPERLINK("https://cao.dolgi.msk.ru/account/1011481123/", 1011481123)</f>
        <v>1011481123</v>
      </c>
      <c r="D17659">
        <v>0</v>
      </c>
    </row>
    <row r="17660" spans="1:4" x14ac:dyDescent="0.3">
      <c r="A17660" t="s">
        <v>1003</v>
      </c>
      <c r="B17660" t="s">
        <v>1008</v>
      </c>
      <c r="C17660" s="1">
        <f>HYPERLINK("https://cao.dolgi.msk.ru/account/1011481449/", 1011481449)</f>
        <v>1011481449</v>
      </c>
      <c r="D17660">
        <v>39831.279999999999</v>
      </c>
    </row>
    <row r="17661" spans="1:4" x14ac:dyDescent="0.3">
      <c r="A17661" t="s">
        <v>1003</v>
      </c>
      <c r="B17661" t="s">
        <v>1009</v>
      </c>
      <c r="C17661" s="1">
        <f>HYPERLINK("https://cao.dolgi.msk.ru/account/1011515506/", 1011515506)</f>
        <v>1011515506</v>
      </c>
      <c r="D17661">
        <v>96604.45</v>
      </c>
    </row>
    <row r="17662" spans="1:4" hidden="1" x14ac:dyDescent="0.3">
      <c r="A17662" t="s">
        <v>1003</v>
      </c>
      <c r="B17662" t="s">
        <v>1010</v>
      </c>
      <c r="C17662" s="1">
        <f>HYPERLINK("https://cao.dolgi.msk.ru/account/1011482169/", 1011482169)</f>
        <v>1011482169</v>
      </c>
      <c r="D17662">
        <v>0</v>
      </c>
    </row>
    <row r="17663" spans="1:4" hidden="1" x14ac:dyDescent="0.3">
      <c r="A17663" t="s">
        <v>1003</v>
      </c>
      <c r="B17663" t="s">
        <v>1011</v>
      </c>
      <c r="C17663" s="1">
        <f>HYPERLINK("https://cao.dolgi.msk.ru/account/1011480534/", 1011480534)</f>
        <v>1011480534</v>
      </c>
      <c r="D17663">
        <v>0</v>
      </c>
    </row>
    <row r="17664" spans="1:4" x14ac:dyDescent="0.3">
      <c r="A17664" t="s">
        <v>1003</v>
      </c>
      <c r="B17664" t="s">
        <v>1012</v>
      </c>
      <c r="C17664" s="1">
        <f>HYPERLINK("https://cao.dolgi.msk.ru/account/1011481537/", 1011481537)</f>
        <v>1011481537</v>
      </c>
      <c r="D17664">
        <v>2407.11</v>
      </c>
    </row>
    <row r="17665" spans="1:4" hidden="1" x14ac:dyDescent="0.3">
      <c r="A17665" t="s">
        <v>1003</v>
      </c>
      <c r="B17665" t="s">
        <v>1013</v>
      </c>
      <c r="C17665" s="1">
        <f>HYPERLINK("https://cao.dolgi.msk.ru/account/1011480796/", 1011480796)</f>
        <v>1011480796</v>
      </c>
      <c r="D17665">
        <v>-6028.9</v>
      </c>
    </row>
    <row r="17666" spans="1:4" hidden="1" x14ac:dyDescent="0.3">
      <c r="A17666" t="s">
        <v>1003</v>
      </c>
      <c r="B17666" t="s">
        <v>1014</v>
      </c>
      <c r="C17666" s="1">
        <f>HYPERLINK("https://cao.dolgi.msk.ru/account/1011480972/", 1011480972)</f>
        <v>1011480972</v>
      </c>
      <c r="D17666">
        <v>0</v>
      </c>
    </row>
    <row r="17667" spans="1:4" hidden="1" x14ac:dyDescent="0.3">
      <c r="A17667" t="s">
        <v>1003</v>
      </c>
      <c r="B17667" t="s">
        <v>1015</v>
      </c>
      <c r="C17667" s="1">
        <f>HYPERLINK("https://cao.dolgi.msk.ru/account/1011481465/", 1011481465)</f>
        <v>1011481465</v>
      </c>
      <c r="D17667">
        <v>-5641.44</v>
      </c>
    </row>
    <row r="17668" spans="1:4" x14ac:dyDescent="0.3">
      <c r="A17668" t="s">
        <v>1003</v>
      </c>
      <c r="B17668" t="s">
        <v>1016</v>
      </c>
      <c r="C17668" s="1">
        <f>HYPERLINK("https://cao.dolgi.msk.ru/account/1011481166/", 1011481166)</f>
        <v>1011481166</v>
      </c>
      <c r="D17668">
        <v>9058.9699999999993</v>
      </c>
    </row>
    <row r="17669" spans="1:4" hidden="1" x14ac:dyDescent="0.3">
      <c r="A17669" t="s">
        <v>1003</v>
      </c>
      <c r="B17669" t="s">
        <v>1017</v>
      </c>
      <c r="C17669" s="1">
        <f>HYPERLINK("https://cao.dolgi.msk.ru/account/1011482281/", 1011482281)</f>
        <v>1011482281</v>
      </c>
      <c r="D17669">
        <v>0</v>
      </c>
    </row>
    <row r="17670" spans="1:4" hidden="1" x14ac:dyDescent="0.3">
      <c r="A17670" t="s">
        <v>1003</v>
      </c>
      <c r="B17670" t="s">
        <v>1018</v>
      </c>
      <c r="C17670" s="1">
        <f>HYPERLINK("https://cao.dolgi.msk.ru/account/1011481158/", 1011481158)</f>
        <v>1011481158</v>
      </c>
      <c r="D17670">
        <v>-6410.19</v>
      </c>
    </row>
    <row r="17671" spans="1:4" hidden="1" x14ac:dyDescent="0.3">
      <c r="A17671" t="s">
        <v>1003</v>
      </c>
      <c r="B17671" t="s">
        <v>1019</v>
      </c>
      <c r="C17671" s="1">
        <f>HYPERLINK("https://cao.dolgi.msk.ru/account/1011481131/", 1011481131)</f>
        <v>1011481131</v>
      </c>
      <c r="D17671">
        <v>-245</v>
      </c>
    </row>
    <row r="17672" spans="1:4" x14ac:dyDescent="0.3">
      <c r="A17672" t="s">
        <v>1003</v>
      </c>
      <c r="B17672" t="s">
        <v>1020</v>
      </c>
      <c r="C17672" s="1">
        <f>HYPERLINK("https://cao.dolgi.msk.ru/account/1011481457/", 1011481457)</f>
        <v>1011481457</v>
      </c>
      <c r="D17672">
        <v>9054.6299999999992</v>
      </c>
    </row>
    <row r="17673" spans="1:4" hidden="1" x14ac:dyDescent="0.3">
      <c r="A17673" t="s">
        <v>1003</v>
      </c>
      <c r="B17673" t="s">
        <v>1021</v>
      </c>
      <c r="C17673" s="1">
        <f>HYPERLINK("https://cao.dolgi.msk.ru/account/1011481772/", 1011481772)</f>
        <v>1011481772</v>
      </c>
      <c r="D17673">
        <v>0</v>
      </c>
    </row>
    <row r="17674" spans="1:4" hidden="1" x14ac:dyDescent="0.3">
      <c r="A17674" t="s">
        <v>1003</v>
      </c>
      <c r="B17674" t="s">
        <v>1022</v>
      </c>
      <c r="C17674" s="1">
        <f>HYPERLINK("https://cao.dolgi.msk.ru/account/1011482062/", 1011482062)</f>
        <v>1011482062</v>
      </c>
      <c r="D17674">
        <v>-0.56000000000000005</v>
      </c>
    </row>
    <row r="17675" spans="1:4" hidden="1" x14ac:dyDescent="0.3">
      <c r="A17675" t="s">
        <v>1003</v>
      </c>
      <c r="B17675" t="s">
        <v>1023</v>
      </c>
      <c r="C17675" s="1">
        <f>HYPERLINK("https://cao.dolgi.msk.ru/account/1011482089/", 1011482089)</f>
        <v>1011482089</v>
      </c>
      <c r="D17675">
        <v>0</v>
      </c>
    </row>
    <row r="17676" spans="1:4" hidden="1" x14ac:dyDescent="0.3">
      <c r="A17676" t="s">
        <v>1003</v>
      </c>
      <c r="B17676" t="s">
        <v>1024</v>
      </c>
      <c r="C17676" s="1">
        <f>HYPERLINK("https://cao.dolgi.msk.ru/account/1011481895/", 1011481895)</f>
        <v>1011481895</v>
      </c>
      <c r="D17676">
        <v>0</v>
      </c>
    </row>
    <row r="17677" spans="1:4" hidden="1" x14ac:dyDescent="0.3">
      <c r="A17677" t="s">
        <v>1003</v>
      </c>
      <c r="B17677" t="s">
        <v>1025</v>
      </c>
      <c r="C17677" s="1">
        <f>HYPERLINK("https://cao.dolgi.msk.ru/account/1011481174/", 1011481174)</f>
        <v>1011481174</v>
      </c>
      <c r="D17677">
        <v>0</v>
      </c>
    </row>
    <row r="17678" spans="1:4" x14ac:dyDescent="0.3">
      <c r="A17678" t="s">
        <v>1003</v>
      </c>
      <c r="B17678" t="s">
        <v>1026</v>
      </c>
      <c r="C17678" s="1">
        <f>HYPERLINK("https://cao.dolgi.msk.ru/account/1011480892/", 1011480892)</f>
        <v>1011480892</v>
      </c>
      <c r="D17678">
        <v>13751.25</v>
      </c>
    </row>
    <row r="17679" spans="1:4" hidden="1" x14ac:dyDescent="0.3">
      <c r="A17679" t="s">
        <v>1003</v>
      </c>
      <c r="B17679" t="s">
        <v>132</v>
      </c>
      <c r="C17679" s="1">
        <f>HYPERLINK("https://cao.dolgi.msk.ru/account/1011481799/", 1011481799)</f>
        <v>1011481799</v>
      </c>
      <c r="D17679">
        <v>-6156.7</v>
      </c>
    </row>
    <row r="17680" spans="1:4" hidden="1" x14ac:dyDescent="0.3">
      <c r="A17680" t="s">
        <v>1003</v>
      </c>
      <c r="B17680" t="s">
        <v>1027</v>
      </c>
      <c r="C17680" s="1">
        <f>HYPERLINK("https://cao.dolgi.msk.ru/account/1011481473/", 1011481473)</f>
        <v>1011481473</v>
      </c>
      <c r="D17680">
        <v>0</v>
      </c>
    </row>
    <row r="17681" spans="1:4" hidden="1" x14ac:dyDescent="0.3">
      <c r="A17681" t="s">
        <v>1003</v>
      </c>
      <c r="B17681" t="s">
        <v>1028</v>
      </c>
      <c r="C17681" s="1">
        <f>HYPERLINK("https://cao.dolgi.msk.ru/account/1011481801/", 1011481801)</f>
        <v>1011481801</v>
      </c>
      <c r="D17681">
        <v>-6329.67</v>
      </c>
    </row>
    <row r="17682" spans="1:4" hidden="1" x14ac:dyDescent="0.3">
      <c r="A17682" t="s">
        <v>1003</v>
      </c>
      <c r="B17682" t="s">
        <v>1029</v>
      </c>
      <c r="C17682" s="1">
        <f>HYPERLINK("https://cao.dolgi.msk.ru/account/1011481828/", 1011481828)</f>
        <v>1011481828</v>
      </c>
      <c r="D17682">
        <v>0</v>
      </c>
    </row>
    <row r="17683" spans="1:4" hidden="1" x14ac:dyDescent="0.3">
      <c r="A17683" t="s">
        <v>1003</v>
      </c>
      <c r="B17683" t="s">
        <v>1030</v>
      </c>
      <c r="C17683" s="1">
        <f>HYPERLINK("https://cao.dolgi.msk.ru/account/1011481481/", 1011481481)</f>
        <v>1011481481</v>
      </c>
      <c r="D17683">
        <v>0</v>
      </c>
    </row>
    <row r="17684" spans="1:4" hidden="1" x14ac:dyDescent="0.3">
      <c r="A17684" t="s">
        <v>1003</v>
      </c>
      <c r="B17684" t="s">
        <v>1031</v>
      </c>
      <c r="C17684" s="1">
        <f>HYPERLINK("https://cao.dolgi.msk.ru/account/1011480542/", 1011480542)</f>
        <v>1011480542</v>
      </c>
      <c r="D17684">
        <v>0</v>
      </c>
    </row>
    <row r="17685" spans="1:4" x14ac:dyDescent="0.3">
      <c r="A17685" t="s">
        <v>1003</v>
      </c>
      <c r="B17685" t="s">
        <v>1031</v>
      </c>
      <c r="C17685" s="1">
        <f>HYPERLINK("https://cao.dolgi.msk.ru/account/1011482302/", 1011482302)</f>
        <v>1011482302</v>
      </c>
      <c r="D17685">
        <v>16596.29</v>
      </c>
    </row>
    <row r="17686" spans="1:4" x14ac:dyDescent="0.3">
      <c r="A17686" t="s">
        <v>1003</v>
      </c>
      <c r="B17686" t="s">
        <v>1032</v>
      </c>
      <c r="C17686" s="1">
        <f>HYPERLINK("https://cao.dolgi.msk.ru/account/1011482097/", 1011482097)</f>
        <v>1011482097</v>
      </c>
      <c r="D17686">
        <v>2470.4299999999998</v>
      </c>
    </row>
    <row r="17687" spans="1:4" hidden="1" x14ac:dyDescent="0.3">
      <c r="A17687" t="s">
        <v>1003</v>
      </c>
      <c r="B17687" t="s">
        <v>1033</v>
      </c>
      <c r="C17687" s="1">
        <f>HYPERLINK("https://cao.dolgi.msk.ru/account/1011481836/", 1011481836)</f>
        <v>1011481836</v>
      </c>
      <c r="D17687">
        <v>-336.97</v>
      </c>
    </row>
    <row r="17688" spans="1:4" x14ac:dyDescent="0.3">
      <c r="A17688" t="s">
        <v>1003</v>
      </c>
      <c r="B17688" t="s">
        <v>1034</v>
      </c>
      <c r="C17688" s="1">
        <f>HYPERLINK("https://cao.dolgi.msk.ru/account/1011482337/", 1011482337)</f>
        <v>1011482337</v>
      </c>
      <c r="D17688">
        <v>3916</v>
      </c>
    </row>
    <row r="17689" spans="1:4" hidden="1" x14ac:dyDescent="0.3">
      <c r="A17689" t="s">
        <v>1003</v>
      </c>
      <c r="B17689" t="s">
        <v>1035</v>
      </c>
      <c r="C17689" s="1">
        <f>HYPERLINK("https://cao.dolgi.msk.ru/account/1011482329/", 1011482329)</f>
        <v>1011482329</v>
      </c>
      <c r="D17689">
        <v>-803.07</v>
      </c>
    </row>
    <row r="17690" spans="1:4" hidden="1" x14ac:dyDescent="0.3">
      <c r="A17690" t="s">
        <v>1003</v>
      </c>
      <c r="B17690" t="s">
        <v>1036</v>
      </c>
      <c r="C17690" s="1">
        <f>HYPERLINK("https://cao.dolgi.msk.ru/account/1011480729/", 1011480729)</f>
        <v>1011480729</v>
      </c>
      <c r="D17690">
        <v>0</v>
      </c>
    </row>
    <row r="17691" spans="1:4" hidden="1" x14ac:dyDescent="0.3">
      <c r="A17691" t="s">
        <v>1003</v>
      </c>
      <c r="B17691" t="s">
        <v>1037</v>
      </c>
      <c r="C17691" s="1">
        <f>HYPERLINK("https://cao.dolgi.msk.ru/account/1011480905/", 1011480905)</f>
        <v>1011480905</v>
      </c>
      <c r="D17691">
        <v>0</v>
      </c>
    </row>
    <row r="17692" spans="1:4" x14ac:dyDescent="0.3">
      <c r="A17692" t="s">
        <v>1003</v>
      </c>
      <c r="B17692" t="s">
        <v>1038</v>
      </c>
      <c r="C17692" s="1">
        <f>HYPERLINK("https://cao.dolgi.msk.ru/account/1011482118/", 1011482118)</f>
        <v>1011482118</v>
      </c>
      <c r="D17692">
        <v>5247.13</v>
      </c>
    </row>
    <row r="17693" spans="1:4" hidden="1" x14ac:dyDescent="0.3">
      <c r="A17693" t="s">
        <v>1003</v>
      </c>
      <c r="B17693" t="s">
        <v>1039</v>
      </c>
      <c r="C17693" s="1">
        <f>HYPERLINK("https://cao.dolgi.msk.ru/account/1011481844/", 1011481844)</f>
        <v>1011481844</v>
      </c>
      <c r="D17693">
        <v>0</v>
      </c>
    </row>
    <row r="17694" spans="1:4" x14ac:dyDescent="0.3">
      <c r="A17694" t="s">
        <v>1003</v>
      </c>
      <c r="B17694" t="s">
        <v>1040</v>
      </c>
      <c r="C17694" s="1">
        <f>HYPERLINK("https://cao.dolgi.msk.ru/account/1011480737/", 1011480737)</f>
        <v>1011480737</v>
      </c>
      <c r="D17694">
        <v>8000.48</v>
      </c>
    </row>
    <row r="17695" spans="1:4" hidden="1" x14ac:dyDescent="0.3">
      <c r="A17695" t="s">
        <v>1003</v>
      </c>
      <c r="B17695" t="s">
        <v>1041</v>
      </c>
      <c r="C17695" s="1">
        <f>HYPERLINK("https://cao.dolgi.msk.ru/account/1011481182/", 1011481182)</f>
        <v>1011481182</v>
      </c>
      <c r="D17695">
        <v>0</v>
      </c>
    </row>
    <row r="17696" spans="1:4" hidden="1" x14ac:dyDescent="0.3">
      <c r="A17696" t="s">
        <v>1003</v>
      </c>
      <c r="B17696" t="s">
        <v>1042</v>
      </c>
      <c r="C17696" s="1">
        <f>HYPERLINK("https://cao.dolgi.msk.ru/account/1011480454/", 1011480454)</f>
        <v>1011480454</v>
      </c>
      <c r="D17696">
        <v>-7775.08</v>
      </c>
    </row>
    <row r="17697" spans="1:4" hidden="1" x14ac:dyDescent="0.3">
      <c r="A17697" t="s">
        <v>1003</v>
      </c>
      <c r="B17697" t="s">
        <v>1043</v>
      </c>
      <c r="C17697" s="1">
        <f>HYPERLINK("https://cao.dolgi.msk.ru/account/1011480913/", 1011480913)</f>
        <v>1011480913</v>
      </c>
      <c r="D17697">
        <v>0</v>
      </c>
    </row>
    <row r="17698" spans="1:4" hidden="1" x14ac:dyDescent="0.3">
      <c r="A17698" t="s">
        <v>1003</v>
      </c>
      <c r="B17698" t="s">
        <v>135</v>
      </c>
      <c r="C17698" s="1">
        <f>HYPERLINK("https://cao.dolgi.msk.ru/account/1011481211/", 1011481211)</f>
        <v>1011481211</v>
      </c>
      <c r="D17698">
        <v>-16104.11</v>
      </c>
    </row>
    <row r="17699" spans="1:4" x14ac:dyDescent="0.3">
      <c r="A17699" t="s">
        <v>1003</v>
      </c>
      <c r="B17699" t="s">
        <v>264</v>
      </c>
      <c r="C17699" s="1">
        <f>HYPERLINK("https://cao.dolgi.msk.ru/account/1011480462/", 1011480462)</f>
        <v>1011480462</v>
      </c>
      <c r="D17699">
        <v>11866.23</v>
      </c>
    </row>
    <row r="17700" spans="1:4" x14ac:dyDescent="0.3">
      <c r="A17700" t="s">
        <v>1003</v>
      </c>
      <c r="B17700" t="s">
        <v>136</v>
      </c>
      <c r="C17700" s="1">
        <f>HYPERLINK("https://cao.dolgi.msk.ru/account/1011480745/", 1011480745)</f>
        <v>1011480745</v>
      </c>
      <c r="D17700">
        <v>128</v>
      </c>
    </row>
    <row r="17701" spans="1:4" hidden="1" x14ac:dyDescent="0.3">
      <c r="A17701" t="s">
        <v>1003</v>
      </c>
      <c r="B17701" t="s">
        <v>137</v>
      </c>
      <c r="C17701" s="1">
        <f>HYPERLINK("https://cao.dolgi.msk.ru/account/1011480753/", 1011480753)</f>
        <v>1011480753</v>
      </c>
      <c r="D17701">
        <v>-76.39</v>
      </c>
    </row>
    <row r="17702" spans="1:4" hidden="1" x14ac:dyDescent="0.3">
      <c r="A17702" t="s">
        <v>1003</v>
      </c>
      <c r="B17702" t="s">
        <v>138</v>
      </c>
      <c r="C17702" s="1">
        <f>HYPERLINK("https://cao.dolgi.msk.ru/account/1011482345/", 1011482345)</f>
        <v>1011482345</v>
      </c>
      <c r="D17702">
        <v>-955.95</v>
      </c>
    </row>
    <row r="17703" spans="1:4" hidden="1" x14ac:dyDescent="0.3">
      <c r="A17703" t="s">
        <v>1003</v>
      </c>
      <c r="B17703" t="s">
        <v>139</v>
      </c>
      <c r="C17703" s="1">
        <f>HYPERLINK("https://cao.dolgi.msk.ru/account/1011482126/", 1011482126)</f>
        <v>1011482126</v>
      </c>
      <c r="D17703">
        <v>0</v>
      </c>
    </row>
    <row r="17704" spans="1:4" x14ac:dyDescent="0.3">
      <c r="A17704" t="s">
        <v>1003</v>
      </c>
      <c r="B17704" t="s">
        <v>140</v>
      </c>
      <c r="C17704" s="1">
        <f>HYPERLINK("https://cao.dolgi.msk.ru/account/1011480921/", 1011480921)</f>
        <v>1011480921</v>
      </c>
      <c r="D17704">
        <v>64</v>
      </c>
    </row>
    <row r="17705" spans="1:4" x14ac:dyDescent="0.3">
      <c r="A17705" t="s">
        <v>1003</v>
      </c>
      <c r="B17705" t="s">
        <v>141</v>
      </c>
      <c r="C17705" s="1">
        <f>HYPERLINK("https://cao.dolgi.msk.ru/account/1011482134/", 1011482134)</f>
        <v>1011482134</v>
      </c>
      <c r="D17705">
        <v>192</v>
      </c>
    </row>
    <row r="17706" spans="1:4" hidden="1" x14ac:dyDescent="0.3">
      <c r="A17706" t="s">
        <v>1003</v>
      </c>
      <c r="B17706" t="s">
        <v>142</v>
      </c>
      <c r="C17706" s="1">
        <f>HYPERLINK("https://cao.dolgi.msk.ru/account/1011480489/", 1011480489)</f>
        <v>1011480489</v>
      </c>
      <c r="D17706">
        <v>0</v>
      </c>
    </row>
    <row r="17707" spans="1:4" hidden="1" x14ac:dyDescent="0.3">
      <c r="A17707" t="s">
        <v>1003</v>
      </c>
      <c r="B17707" t="s">
        <v>143</v>
      </c>
      <c r="C17707" s="1">
        <f>HYPERLINK("https://cao.dolgi.msk.ru/account/1011480497/", 1011480497)</f>
        <v>1011480497</v>
      </c>
      <c r="D17707">
        <v>0</v>
      </c>
    </row>
    <row r="17708" spans="1:4" hidden="1" x14ac:dyDescent="0.3">
      <c r="A17708" t="s">
        <v>1003</v>
      </c>
      <c r="B17708" t="s">
        <v>144</v>
      </c>
      <c r="C17708" s="1">
        <f>HYPERLINK("https://cao.dolgi.msk.ru/account/1011482353/", 1011482353)</f>
        <v>1011482353</v>
      </c>
      <c r="D17708">
        <v>-14389.34</v>
      </c>
    </row>
    <row r="17709" spans="1:4" hidden="1" x14ac:dyDescent="0.3">
      <c r="A17709" t="s">
        <v>1003</v>
      </c>
      <c r="B17709" t="s">
        <v>145</v>
      </c>
      <c r="C17709" s="1">
        <f>HYPERLINK("https://cao.dolgi.msk.ru/account/1011482361/", 1011482361)</f>
        <v>1011482361</v>
      </c>
      <c r="D17709">
        <v>0</v>
      </c>
    </row>
    <row r="17710" spans="1:4" hidden="1" x14ac:dyDescent="0.3">
      <c r="A17710" t="s">
        <v>1003</v>
      </c>
      <c r="B17710" t="s">
        <v>146</v>
      </c>
      <c r="C17710" s="1">
        <f>HYPERLINK("https://cao.dolgi.msk.ru/account/1011482142/", 1011482142)</f>
        <v>1011482142</v>
      </c>
      <c r="D17710">
        <v>-412.34</v>
      </c>
    </row>
    <row r="17711" spans="1:4" hidden="1" x14ac:dyDescent="0.3">
      <c r="A17711" t="s">
        <v>1003</v>
      </c>
      <c r="B17711" t="s">
        <v>147</v>
      </c>
      <c r="C17711" s="1">
        <f>HYPERLINK("https://cao.dolgi.msk.ru/account/1011480518/", 1011480518)</f>
        <v>1011480518</v>
      </c>
      <c r="D17711">
        <v>0</v>
      </c>
    </row>
    <row r="17712" spans="1:4" hidden="1" x14ac:dyDescent="0.3">
      <c r="A17712" t="s">
        <v>1003</v>
      </c>
      <c r="B17712" t="s">
        <v>148</v>
      </c>
      <c r="C17712" s="1">
        <f>HYPERLINK("https://cao.dolgi.msk.ru/account/1011481852/", 1011481852)</f>
        <v>1011481852</v>
      </c>
      <c r="D17712">
        <v>-5652.6</v>
      </c>
    </row>
    <row r="17713" spans="1:4" hidden="1" x14ac:dyDescent="0.3">
      <c r="A17713" t="s">
        <v>1003</v>
      </c>
      <c r="B17713" t="s">
        <v>149</v>
      </c>
      <c r="C17713" s="1">
        <f>HYPERLINK("https://cao.dolgi.msk.ru/account/1011480761/", 1011480761)</f>
        <v>1011480761</v>
      </c>
      <c r="D17713">
        <v>0</v>
      </c>
    </row>
    <row r="17714" spans="1:4" x14ac:dyDescent="0.3">
      <c r="A17714" t="s">
        <v>1003</v>
      </c>
      <c r="B17714" t="s">
        <v>150</v>
      </c>
      <c r="C17714" s="1">
        <f>HYPERLINK("https://cao.dolgi.msk.ru/account/1011481529/", 1011481529)</f>
        <v>1011481529</v>
      </c>
      <c r="D17714">
        <v>3988.44</v>
      </c>
    </row>
    <row r="17715" spans="1:4" x14ac:dyDescent="0.3">
      <c r="A17715" t="s">
        <v>1003</v>
      </c>
      <c r="B17715" t="s">
        <v>150</v>
      </c>
      <c r="C17715" s="1">
        <f>HYPERLINK("https://cao.dolgi.msk.ru/account/1011481908/", 1011481908)</f>
        <v>1011481908</v>
      </c>
      <c r="D17715">
        <v>106891.28</v>
      </c>
    </row>
    <row r="17716" spans="1:4" x14ac:dyDescent="0.3">
      <c r="A17716" t="s">
        <v>1003</v>
      </c>
      <c r="B17716" t="s">
        <v>151</v>
      </c>
      <c r="C17716" s="1">
        <f>HYPERLINK("https://cao.dolgi.msk.ru/account/1011480526/", 1011480526)</f>
        <v>1011480526</v>
      </c>
      <c r="D17716">
        <v>498.35</v>
      </c>
    </row>
    <row r="17717" spans="1:4" hidden="1" x14ac:dyDescent="0.3">
      <c r="A17717" t="s">
        <v>1003</v>
      </c>
      <c r="B17717" t="s">
        <v>152</v>
      </c>
      <c r="C17717" s="1">
        <f>HYPERLINK("https://cao.dolgi.msk.ru/account/1011481203/", 1011481203)</f>
        <v>1011481203</v>
      </c>
      <c r="D17717">
        <v>0</v>
      </c>
    </row>
    <row r="17718" spans="1:4" hidden="1" x14ac:dyDescent="0.3">
      <c r="A17718" t="s">
        <v>1003</v>
      </c>
      <c r="B17718" t="s">
        <v>153</v>
      </c>
      <c r="C17718" s="1">
        <f>HYPERLINK("https://cao.dolgi.msk.ru/account/1011481879/", 1011481879)</f>
        <v>1011481879</v>
      </c>
      <c r="D17718">
        <v>0</v>
      </c>
    </row>
    <row r="17719" spans="1:4" x14ac:dyDescent="0.3">
      <c r="A17719" t="s">
        <v>1003</v>
      </c>
      <c r="B17719" t="s">
        <v>154</v>
      </c>
      <c r="C17719" s="1">
        <f>HYPERLINK("https://cao.dolgi.msk.ru/account/1011480956/", 1011480956)</f>
        <v>1011480956</v>
      </c>
      <c r="D17719">
        <v>634.71</v>
      </c>
    </row>
    <row r="17720" spans="1:4" x14ac:dyDescent="0.3">
      <c r="A17720" t="s">
        <v>1003</v>
      </c>
      <c r="B17720" t="s">
        <v>155</v>
      </c>
      <c r="C17720" s="1">
        <f>HYPERLINK("https://cao.dolgi.msk.ru/account/1011480964/", 1011480964)</f>
        <v>1011480964</v>
      </c>
      <c r="D17720">
        <v>424619.92</v>
      </c>
    </row>
    <row r="17721" spans="1:4" hidden="1" x14ac:dyDescent="0.3">
      <c r="A17721" t="s">
        <v>1044</v>
      </c>
      <c r="B17721" t="s">
        <v>6</v>
      </c>
      <c r="C17721" s="1">
        <f>HYPERLINK("https://cao.dolgi.msk.ru/account/1011452138/", 1011452138)</f>
        <v>1011452138</v>
      </c>
      <c r="D17721">
        <v>-240.72</v>
      </c>
    </row>
    <row r="17722" spans="1:4" hidden="1" x14ac:dyDescent="0.3">
      <c r="A17722" t="s">
        <v>1044</v>
      </c>
      <c r="B17722" t="s">
        <v>799</v>
      </c>
      <c r="C17722" s="1">
        <f>HYPERLINK("https://cao.dolgi.msk.ru/account/1011452197/", 1011452197)</f>
        <v>1011452197</v>
      </c>
      <c r="D17722">
        <v>-12027.93</v>
      </c>
    </row>
    <row r="17723" spans="1:4" hidden="1" x14ac:dyDescent="0.3">
      <c r="A17723" t="s">
        <v>1044</v>
      </c>
      <c r="B17723" t="s">
        <v>28</v>
      </c>
      <c r="C17723" s="1">
        <f>HYPERLINK("https://cao.dolgi.msk.ru/account/1011452218/", 1011452218)</f>
        <v>1011452218</v>
      </c>
      <c r="D17723">
        <v>0</v>
      </c>
    </row>
    <row r="17724" spans="1:4" hidden="1" x14ac:dyDescent="0.3">
      <c r="A17724" t="s">
        <v>1044</v>
      </c>
      <c r="B17724" t="s">
        <v>35</v>
      </c>
      <c r="C17724" s="1">
        <f>HYPERLINK("https://cao.dolgi.msk.ru/account/1011452162/", 1011452162)</f>
        <v>1011452162</v>
      </c>
      <c r="D17724">
        <v>0</v>
      </c>
    </row>
    <row r="17725" spans="1:4" hidden="1" x14ac:dyDescent="0.3">
      <c r="A17725" t="s">
        <v>1044</v>
      </c>
      <c r="B17725" t="s">
        <v>739</v>
      </c>
      <c r="C17725" s="1">
        <f>HYPERLINK("https://cao.dolgi.msk.ru/account/1011452058/", 1011452058)</f>
        <v>1011452058</v>
      </c>
      <c r="D17725">
        <v>0</v>
      </c>
    </row>
    <row r="17726" spans="1:4" hidden="1" x14ac:dyDescent="0.3">
      <c r="A17726" t="s">
        <v>1044</v>
      </c>
      <c r="B17726" t="s">
        <v>7</v>
      </c>
      <c r="C17726" s="1">
        <f>HYPERLINK("https://cao.dolgi.msk.ru/account/1011452269/", 1011452269)</f>
        <v>1011452269</v>
      </c>
      <c r="D17726">
        <v>-2052.64</v>
      </c>
    </row>
    <row r="17727" spans="1:4" hidden="1" x14ac:dyDescent="0.3">
      <c r="A17727" t="s">
        <v>1044</v>
      </c>
      <c r="B17727" t="s">
        <v>342</v>
      </c>
      <c r="C17727" s="1">
        <f>HYPERLINK("https://cao.dolgi.msk.ru/account/1011452242/", 1011452242)</f>
        <v>1011452242</v>
      </c>
      <c r="D17727">
        <v>0</v>
      </c>
    </row>
    <row r="17728" spans="1:4" x14ac:dyDescent="0.3">
      <c r="A17728" t="s">
        <v>1044</v>
      </c>
      <c r="B17728" t="s">
        <v>8</v>
      </c>
      <c r="C17728" s="1">
        <f>HYPERLINK("https://cao.dolgi.msk.ru/account/1011452189/", 1011452189)</f>
        <v>1011452189</v>
      </c>
      <c r="D17728">
        <v>49458.79</v>
      </c>
    </row>
    <row r="17729" spans="1:4" x14ac:dyDescent="0.3">
      <c r="A17729" t="s">
        <v>1044</v>
      </c>
      <c r="B17729" t="s">
        <v>31</v>
      </c>
      <c r="C17729" s="1">
        <f>HYPERLINK("https://cao.dolgi.msk.ru/account/1011452154/", 1011452154)</f>
        <v>1011452154</v>
      </c>
      <c r="D17729">
        <v>7260.68</v>
      </c>
    </row>
    <row r="17730" spans="1:4" hidden="1" x14ac:dyDescent="0.3">
      <c r="A17730" t="s">
        <v>1044</v>
      </c>
      <c r="B17730" t="s">
        <v>1045</v>
      </c>
      <c r="C17730" s="1">
        <f>HYPERLINK("https://cao.dolgi.msk.ru/account/1011452074/", 1011452074)</f>
        <v>1011452074</v>
      </c>
      <c r="D17730">
        <v>0</v>
      </c>
    </row>
    <row r="17731" spans="1:4" hidden="1" x14ac:dyDescent="0.3">
      <c r="A17731" t="s">
        <v>1044</v>
      </c>
      <c r="B17731" t="s">
        <v>9</v>
      </c>
      <c r="C17731" s="1">
        <f>HYPERLINK("https://cao.dolgi.msk.ru/account/1011452146/", 1011452146)</f>
        <v>1011452146</v>
      </c>
      <c r="D17731">
        <v>0</v>
      </c>
    </row>
    <row r="17732" spans="1:4" x14ac:dyDescent="0.3">
      <c r="A17732" t="s">
        <v>1044</v>
      </c>
      <c r="B17732" t="s">
        <v>9</v>
      </c>
      <c r="C17732" s="1">
        <f>HYPERLINK("https://cao.dolgi.msk.ru/account/1011452293/", 1011452293)</f>
        <v>1011452293</v>
      </c>
      <c r="D17732">
        <v>17362.439999999999</v>
      </c>
    </row>
    <row r="17733" spans="1:4" hidden="1" x14ac:dyDescent="0.3">
      <c r="A17733" t="s">
        <v>1044</v>
      </c>
      <c r="B17733" t="s">
        <v>9</v>
      </c>
      <c r="C17733" s="1">
        <f>HYPERLINK("https://cao.dolgi.msk.ru/account/1011452322/", 1011452322)</f>
        <v>1011452322</v>
      </c>
      <c r="D17733">
        <v>0</v>
      </c>
    </row>
    <row r="17734" spans="1:4" hidden="1" x14ac:dyDescent="0.3">
      <c r="A17734" t="s">
        <v>1044</v>
      </c>
      <c r="B17734" t="s">
        <v>9</v>
      </c>
      <c r="C17734" s="1">
        <f>HYPERLINK("https://cao.dolgi.msk.ru/account/1011452349/", 1011452349)</f>
        <v>1011452349</v>
      </c>
      <c r="D17734">
        <v>0</v>
      </c>
    </row>
    <row r="17735" spans="1:4" hidden="1" x14ac:dyDescent="0.3">
      <c r="A17735" t="s">
        <v>1044</v>
      </c>
      <c r="B17735" t="s">
        <v>11</v>
      </c>
      <c r="C17735" s="1">
        <f>HYPERLINK("https://cao.dolgi.msk.ru/account/1011452285/", 1011452285)</f>
        <v>1011452285</v>
      </c>
      <c r="D17735">
        <v>0</v>
      </c>
    </row>
    <row r="17736" spans="1:4" hidden="1" x14ac:dyDescent="0.3">
      <c r="A17736" t="s">
        <v>1044</v>
      </c>
      <c r="B17736" t="s">
        <v>11</v>
      </c>
      <c r="C17736" s="1">
        <f>HYPERLINK("https://cao.dolgi.msk.ru/account/1011452314/", 1011452314)</f>
        <v>1011452314</v>
      </c>
      <c r="D17736">
        <v>0</v>
      </c>
    </row>
    <row r="17737" spans="1:4" x14ac:dyDescent="0.3">
      <c r="A17737" t="s">
        <v>1044</v>
      </c>
      <c r="B17737" t="s">
        <v>12</v>
      </c>
      <c r="C17737" s="1">
        <f>HYPERLINK("https://cao.dolgi.msk.ru/account/1011452082/", 1011452082)</f>
        <v>1011452082</v>
      </c>
      <c r="D17737">
        <v>14936.23</v>
      </c>
    </row>
    <row r="17738" spans="1:4" hidden="1" x14ac:dyDescent="0.3">
      <c r="A17738" t="s">
        <v>1044</v>
      </c>
      <c r="B17738" t="s">
        <v>23</v>
      </c>
      <c r="C17738" s="1">
        <f>HYPERLINK("https://cao.dolgi.msk.ru/account/1011452306/", 1011452306)</f>
        <v>1011452306</v>
      </c>
      <c r="D17738">
        <v>-51372.58</v>
      </c>
    </row>
    <row r="17739" spans="1:4" hidden="1" x14ac:dyDescent="0.3">
      <c r="A17739" t="s">
        <v>1044</v>
      </c>
      <c r="B17739" t="s">
        <v>13</v>
      </c>
      <c r="C17739" s="1">
        <f>HYPERLINK("https://cao.dolgi.msk.ru/account/1011452357/", 1011452357)</f>
        <v>1011452357</v>
      </c>
      <c r="D17739">
        <v>0</v>
      </c>
    </row>
    <row r="17740" spans="1:4" hidden="1" x14ac:dyDescent="0.3">
      <c r="A17740" t="s">
        <v>1044</v>
      </c>
      <c r="B17740" t="s">
        <v>14</v>
      </c>
      <c r="C17740" s="1">
        <f>HYPERLINK("https://cao.dolgi.msk.ru/account/1011452066/", 1011452066)</f>
        <v>1011452066</v>
      </c>
      <c r="D17740">
        <v>-22234.04</v>
      </c>
    </row>
    <row r="17741" spans="1:4" hidden="1" x14ac:dyDescent="0.3">
      <c r="A17741" t="s">
        <v>1044</v>
      </c>
      <c r="B17741" t="s">
        <v>16</v>
      </c>
      <c r="C17741" s="1">
        <f>HYPERLINK("https://cao.dolgi.msk.ru/account/1011452226/", 1011452226)</f>
        <v>1011452226</v>
      </c>
      <c r="D17741">
        <v>0</v>
      </c>
    </row>
    <row r="17742" spans="1:4" x14ac:dyDescent="0.3">
      <c r="A17742" t="s">
        <v>1044</v>
      </c>
      <c r="B17742" t="s">
        <v>49</v>
      </c>
      <c r="C17742" s="1">
        <f>HYPERLINK("https://cao.dolgi.msk.ru/account/1011452103/", 1011452103)</f>
        <v>1011452103</v>
      </c>
      <c r="D17742">
        <v>8524.68</v>
      </c>
    </row>
    <row r="17743" spans="1:4" hidden="1" x14ac:dyDescent="0.3">
      <c r="A17743" t="s">
        <v>1044</v>
      </c>
      <c r="B17743" t="s">
        <v>40</v>
      </c>
      <c r="C17743" s="1">
        <f>HYPERLINK("https://cao.dolgi.msk.ru/account/1011452277/", 1011452277)</f>
        <v>1011452277</v>
      </c>
      <c r="D17743">
        <v>0</v>
      </c>
    </row>
    <row r="17744" spans="1:4" x14ac:dyDescent="0.3">
      <c r="A17744" t="s">
        <v>1044</v>
      </c>
      <c r="B17744" t="s">
        <v>41</v>
      </c>
      <c r="C17744" s="1">
        <f>HYPERLINK("https://cao.dolgi.msk.ru/account/1011452111/", 1011452111)</f>
        <v>1011452111</v>
      </c>
      <c r="D17744">
        <v>9995.7800000000007</v>
      </c>
    </row>
    <row r="17745" spans="1:4" hidden="1" x14ac:dyDescent="0.3">
      <c r="A17745" t="s">
        <v>1044</v>
      </c>
      <c r="B17745" t="s">
        <v>51</v>
      </c>
      <c r="C17745" s="1">
        <f>HYPERLINK("https://cao.dolgi.msk.ru/account/1011452234/", 1011452234)</f>
        <v>1011452234</v>
      </c>
      <c r="D17745">
        <v>0</v>
      </c>
    </row>
    <row r="17746" spans="1:4" hidden="1" x14ac:dyDescent="0.3">
      <c r="A17746" t="s">
        <v>1046</v>
      </c>
      <c r="B17746" t="s">
        <v>27</v>
      </c>
      <c r="C17746" s="1">
        <f>HYPERLINK("https://cao.dolgi.msk.ru/account/1011359072/", 1011359072)</f>
        <v>1011359072</v>
      </c>
      <c r="D17746">
        <v>-4798.8</v>
      </c>
    </row>
    <row r="17747" spans="1:4" x14ac:dyDescent="0.3">
      <c r="A17747" t="s">
        <v>1046</v>
      </c>
      <c r="B17747" t="s">
        <v>29</v>
      </c>
      <c r="C17747" s="1">
        <f>HYPERLINK("https://cao.dolgi.msk.ru/account/1011359099/", 1011359099)</f>
        <v>1011359099</v>
      </c>
      <c r="D17747">
        <v>28784.63</v>
      </c>
    </row>
    <row r="17748" spans="1:4" x14ac:dyDescent="0.3">
      <c r="A17748" t="s">
        <v>1046</v>
      </c>
      <c r="B17748" t="s">
        <v>38</v>
      </c>
      <c r="C17748" s="1">
        <f>HYPERLINK("https://cao.dolgi.msk.ru/account/1011359152/", 1011359152)</f>
        <v>1011359152</v>
      </c>
      <c r="D17748">
        <v>19302.54</v>
      </c>
    </row>
    <row r="17749" spans="1:4" hidden="1" x14ac:dyDescent="0.3">
      <c r="A17749" t="s">
        <v>1046</v>
      </c>
      <c r="B17749" t="s">
        <v>52</v>
      </c>
      <c r="C17749" s="1">
        <f>HYPERLINK("https://cao.dolgi.msk.ru/account/1011359144/", 1011359144)</f>
        <v>1011359144</v>
      </c>
      <c r="D17749">
        <v>-4075.03</v>
      </c>
    </row>
    <row r="17750" spans="1:4" hidden="1" x14ac:dyDescent="0.3">
      <c r="A17750" t="s">
        <v>1046</v>
      </c>
      <c r="B17750" t="s">
        <v>53</v>
      </c>
      <c r="C17750" s="1">
        <f>HYPERLINK("https://cao.dolgi.msk.ru/account/1011359136/", 1011359136)</f>
        <v>1011359136</v>
      </c>
      <c r="D17750">
        <v>0</v>
      </c>
    </row>
    <row r="17751" spans="1:4" hidden="1" x14ac:dyDescent="0.3">
      <c r="A17751" t="s">
        <v>1046</v>
      </c>
      <c r="B17751" t="s">
        <v>54</v>
      </c>
      <c r="C17751" s="1">
        <f>HYPERLINK("https://cao.dolgi.msk.ru/account/1011359101/", 1011359101)</f>
        <v>1011359101</v>
      </c>
      <c r="D17751">
        <v>-15147.35</v>
      </c>
    </row>
    <row r="17752" spans="1:4" hidden="1" x14ac:dyDescent="0.3">
      <c r="A17752" t="s">
        <v>1047</v>
      </c>
      <c r="B17752" t="s">
        <v>5</v>
      </c>
      <c r="C17752" s="1">
        <f>HYPERLINK("https://cao.dolgi.msk.ru/account/1011498881/", 1011498881)</f>
        <v>1011498881</v>
      </c>
      <c r="D17752">
        <v>-908.06</v>
      </c>
    </row>
    <row r="17753" spans="1:4" hidden="1" x14ac:dyDescent="0.3">
      <c r="A17753" t="s">
        <v>1047</v>
      </c>
      <c r="B17753" t="s">
        <v>7</v>
      </c>
      <c r="C17753" s="1">
        <f>HYPERLINK("https://cao.dolgi.msk.ru/account/1011499868/", 1011499868)</f>
        <v>1011499868</v>
      </c>
      <c r="D17753">
        <v>-19755.740000000002</v>
      </c>
    </row>
    <row r="17754" spans="1:4" hidden="1" x14ac:dyDescent="0.3">
      <c r="A17754" t="s">
        <v>1047</v>
      </c>
      <c r="B17754" t="s">
        <v>8</v>
      </c>
      <c r="C17754" s="1">
        <f>HYPERLINK("https://cao.dolgi.msk.ru/account/1011499374/", 1011499374)</f>
        <v>1011499374</v>
      </c>
      <c r="D17754">
        <v>0</v>
      </c>
    </row>
    <row r="17755" spans="1:4" x14ac:dyDescent="0.3">
      <c r="A17755" t="s">
        <v>1047</v>
      </c>
      <c r="B17755" t="s">
        <v>31</v>
      </c>
      <c r="C17755" s="1">
        <f>HYPERLINK("https://cao.dolgi.msk.ru/account/1011499382/", 1011499382)</f>
        <v>1011499382</v>
      </c>
      <c r="D17755">
        <v>16591.09</v>
      </c>
    </row>
    <row r="17756" spans="1:4" hidden="1" x14ac:dyDescent="0.3">
      <c r="A17756" t="s">
        <v>1047</v>
      </c>
      <c r="B17756" t="s">
        <v>9</v>
      </c>
      <c r="C17756" s="1">
        <f>HYPERLINK("https://cao.dolgi.msk.ru/account/1011499841/", 1011499841)</f>
        <v>1011499841</v>
      </c>
      <c r="D17756">
        <v>0</v>
      </c>
    </row>
    <row r="17757" spans="1:4" x14ac:dyDescent="0.3">
      <c r="A17757" t="s">
        <v>1047</v>
      </c>
      <c r="B17757" t="s">
        <v>10</v>
      </c>
      <c r="C17757" s="1">
        <f>HYPERLINK("https://cao.dolgi.msk.ru/account/1011499227/", 1011499227)</f>
        <v>1011499227</v>
      </c>
      <c r="D17757">
        <v>24667.22</v>
      </c>
    </row>
    <row r="17758" spans="1:4" hidden="1" x14ac:dyDescent="0.3">
      <c r="A17758" t="s">
        <v>1047</v>
      </c>
      <c r="B17758" t="s">
        <v>11</v>
      </c>
      <c r="C17758" s="1">
        <f>HYPERLINK("https://cao.dolgi.msk.ru/account/1011498849/", 1011498849)</f>
        <v>1011498849</v>
      </c>
      <c r="D17758">
        <v>0</v>
      </c>
    </row>
    <row r="17759" spans="1:4" hidden="1" x14ac:dyDescent="0.3">
      <c r="A17759" t="s">
        <v>1047</v>
      </c>
      <c r="B17759" t="s">
        <v>12</v>
      </c>
      <c r="C17759" s="1">
        <f>HYPERLINK("https://cao.dolgi.msk.ru/account/1011499876/", 1011499876)</f>
        <v>1011499876</v>
      </c>
      <c r="D17759">
        <v>0</v>
      </c>
    </row>
    <row r="17760" spans="1:4" x14ac:dyDescent="0.3">
      <c r="A17760" t="s">
        <v>1047</v>
      </c>
      <c r="B17760" t="s">
        <v>23</v>
      </c>
      <c r="C17760" s="1">
        <f>HYPERLINK("https://cao.dolgi.msk.ru/account/1011499198/", 1011499198)</f>
        <v>1011499198</v>
      </c>
      <c r="D17760">
        <v>39286.99</v>
      </c>
    </row>
    <row r="17761" spans="1:4" hidden="1" x14ac:dyDescent="0.3">
      <c r="A17761" t="s">
        <v>1047</v>
      </c>
      <c r="B17761" t="s">
        <v>13</v>
      </c>
      <c r="C17761" s="1">
        <f>HYPERLINK("https://cao.dolgi.msk.ru/account/1011499235/", 1011499235)</f>
        <v>1011499235</v>
      </c>
      <c r="D17761">
        <v>-457.61</v>
      </c>
    </row>
    <row r="17762" spans="1:4" hidden="1" x14ac:dyDescent="0.3">
      <c r="A17762" t="s">
        <v>1047</v>
      </c>
      <c r="B17762" t="s">
        <v>14</v>
      </c>
      <c r="C17762" s="1">
        <f>HYPERLINK("https://cao.dolgi.msk.ru/account/1011499702/", 1011499702)</f>
        <v>1011499702</v>
      </c>
      <c r="D17762">
        <v>-17883.259999999998</v>
      </c>
    </row>
    <row r="17763" spans="1:4" hidden="1" x14ac:dyDescent="0.3">
      <c r="A17763" t="s">
        <v>1047</v>
      </c>
      <c r="B17763" t="s">
        <v>16</v>
      </c>
      <c r="C17763" s="1">
        <f>HYPERLINK("https://cao.dolgi.msk.ru/account/1011499219/", 1011499219)</f>
        <v>1011499219</v>
      </c>
      <c r="D17763">
        <v>-38117.82</v>
      </c>
    </row>
    <row r="17764" spans="1:4" hidden="1" x14ac:dyDescent="0.3">
      <c r="A17764" t="s">
        <v>1047</v>
      </c>
      <c r="B17764" t="s">
        <v>17</v>
      </c>
      <c r="C17764" s="1">
        <f>HYPERLINK("https://cao.dolgi.msk.ru/account/1011499403/", 1011499403)</f>
        <v>1011499403</v>
      </c>
      <c r="D17764">
        <v>-42142.28</v>
      </c>
    </row>
    <row r="17765" spans="1:4" hidden="1" x14ac:dyDescent="0.3">
      <c r="A17765" t="s">
        <v>1047</v>
      </c>
      <c r="B17765" t="s">
        <v>18</v>
      </c>
      <c r="C17765" s="1">
        <f>HYPERLINK("https://cao.dolgi.msk.ru/account/1011499489/", 1011499489)</f>
        <v>1011499489</v>
      </c>
      <c r="D17765">
        <v>-44466.45</v>
      </c>
    </row>
    <row r="17766" spans="1:4" hidden="1" x14ac:dyDescent="0.3">
      <c r="A17766" t="s">
        <v>1047</v>
      </c>
      <c r="B17766" t="s">
        <v>19</v>
      </c>
      <c r="C17766" s="1">
        <f>HYPERLINK("https://cao.dolgi.msk.ru/account/1011499761/", 1011499761)</f>
        <v>1011499761</v>
      </c>
      <c r="D17766">
        <v>-2770.79</v>
      </c>
    </row>
    <row r="17767" spans="1:4" hidden="1" x14ac:dyDescent="0.3">
      <c r="A17767" t="s">
        <v>1047</v>
      </c>
      <c r="B17767" t="s">
        <v>20</v>
      </c>
      <c r="C17767" s="1">
        <f>HYPERLINK("https://cao.dolgi.msk.ru/account/1011499649/", 1011499649)</f>
        <v>1011499649</v>
      </c>
      <c r="D17767">
        <v>0</v>
      </c>
    </row>
    <row r="17768" spans="1:4" hidden="1" x14ac:dyDescent="0.3">
      <c r="A17768" t="s">
        <v>1047</v>
      </c>
      <c r="B17768" t="s">
        <v>21</v>
      </c>
      <c r="C17768" s="1">
        <f>HYPERLINK("https://cao.dolgi.msk.ru/account/1011499497/", 1011499497)</f>
        <v>1011499497</v>
      </c>
      <c r="D17768">
        <v>-4465.5600000000004</v>
      </c>
    </row>
    <row r="17769" spans="1:4" hidden="1" x14ac:dyDescent="0.3">
      <c r="A17769" t="s">
        <v>1047</v>
      </c>
      <c r="B17769" t="s">
        <v>22</v>
      </c>
      <c r="C17769" s="1">
        <f>HYPERLINK("https://cao.dolgi.msk.ru/account/1011499147/", 1011499147)</f>
        <v>1011499147</v>
      </c>
      <c r="D17769">
        <v>-40588.46</v>
      </c>
    </row>
    <row r="17770" spans="1:4" hidden="1" x14ac:dyDescent="0.3">
      <c r="A17770" t="s">
        <v>1047</v>
      </c>
      <c r="B17770" t="s">
        <v>24</v>
      </c>
      <c r="C17770" s="1">
        <f>HYPERLINK("https://cao.dolgi.msk.ru/account/1011499251/", 1011499251)</f>
        <v>1011499251</v>
      </c>
      <c r="D17770">
        <v>-4655.62</v>
      </c>
    </row>
    <row r="17771" spans="1:4" x14ac:dyDescent="0.3">
      <c r="A17771" t="s">
        <v>1047</v>
      </c>
      <c r="B17771" t="s">
        <v>25</v>
      </c>
      <c r="C17771" s="1">
        <f>HYPERLINK("https://cao.dolgi.msk.ru/account/1011499016/", 1011499016)</f>
        <v>1011499016</v>
      </c>
      <c r="D17771">
        <v>13620.55</v>
      </c>
    </row>
    <row r="17772" spans="1:4" x14ac:dyDescent="0.3">
      <c r="A17772" t="s">
        <v>1047</v>
      </c>
      <c r="B17772" t="s">
        <v>37</v>
      </c>
      <c r="C17772" s="1">
        <f>HYPERLINK("https://cao.dolgi.msk.ru/account/1011499008/", 1011499008)</f>
        <v>1011499008</v>
      </c>
      <c r="D17772">
        <v>60081.760000000002</v>
      </c>
    </row>
    <row r="17773" spans="1:4" x14ac:dyDescent="0.3">
      <c r="A17773" t="s">
        <v>1047</v>
      </c>
      <c r="B17773" t="s">
        <v>1048</v>
      </c>
      <c r="C17773" s="1">
        <f>HYPERLINK("https://cao.dolgi.msk.ru/account/1011498873/", 1011498873)</f>
        <v>1011498873</v>
      </c>
      <c r="D17773">
        <v>6755.83</v>
      </c>
    </row>
    <row r="17774" spans="1:4" hidden="1" x14ac:dyDescent="0.3">
      <c r="A17774" t="s">
        <v>1047</v>
      </c>
      <c r="B17774" t="s">
        <v>1048</v>
      </c>
      <c r="C17774" s="1">
        <f>HYPERLINK("https://cao.dolgi.msk.ru/account/1011499294/", 1011499294)</f>
        <v>1011499294</v>
      </c>
      <c r="D17774">
        <v>-4586.68</v>
      </c>
    </row>
    <row r="17775" spans="1:4" hidden="1" x14ac:dyDescent="0.3">
      <c r="A17775" t="s">
        <v>1047</v>
      </c>
      <c r="B17775" t="s">
        <v>26</v>
      </c>
      <c r="C17775" s="1">
        <f>HYPERLINK("https://cao.dolgi.msk.ru/account/1011499315/", 1011499315)</f>
        <v>1011499315</v>
      </c>
      <c r="D17775">
        <v>0</v>
      </c>
    </row>
    <row r="17776" spans="1:4" x14ac:dyDescent="0.3">
      <c r="A17776" t="s">
        <v>1047</v>
      </c>
      <c r="B17776" t="s">
        <v>27</v>
      </c>
      <c r="C17776" s="1">
        <f>HYPERLINK("https://cao.dolgi.msk.ru/account/1011498902/", 1011498902)</f>
        <v>1011498902</v>
      </c>
      <c r="D17776">
        <v>115295.94</v>
      </c>
    </row>
    <row r="17777" spans="1:4" x14ac:dyDescent="0.3">
      <c r="A17777" t="s">
        <v>1047</v>
      </c>
      <c r="B17777" t="s">
        <v>27</v>
      </c>
      <c r="C17777" s="1">
        <f>HYPERLINK("https://cao.dolgi.msk.ru/account/1011499323/", 1011499323)</f>
        <v>1011499323</v>
      </c>
      <c r="D17777">
        <v>6215.98</v>
      </c>
    </row>
    <row r="17778" spans="1:4" x14ac:dyDescent="0.3">
      <c r="A17778" t="s">
        <v>1047</v>
      </c>
      <c r="B17778" t="s">
        <v>27</v>
      </c>
      <c r="C17778" s="1">
        <f>HYPERLINK("https://cao.dolgi.msk.ru/account/1011499518/", 1011499518)</f>
        <v>1011499518</v>
      </c>
      <c r="D17778">
        <v>340939.54</v>
      </c>
    </row>
    <row r="17779" spans="1:4" hidden="1" x14ac:dyDescent="0.3">
      <c r="A17779" t="s">
        <v>1047</v>
      </c>
      <c r="B17779" t="s">
        <v>29</v>
      </c>
      <c r="C17779" s="1">
        <f>HYPERLINK("https://cao.dolgi.msk.ru/account/1011499286/", 1011499286)</f>
        <v>1011499286</v>
      </c>
      <c r="D17779">
        <v>0</v>
      </c>
    </row>
    <row r="17780" spans="1:4" hidden="1" x14ac:dyDescent="0.3">
      <c r="A17780" t="s">
        <v>1047</v>
      </c>
      <c r="B17780" t="s">
        <v>38</v>
      </c>
      <c r="C17780" s="1">
        <f>HYPERLINK("https://cao.dolgi.msk.ru/account/1011504655/", 1011504655)</f>
        <v>1011504655</v>
      </c>
      <c r="D17780">
        <v>-2920.36</v>
      </c>
    </row>
    <row r="17781" spans="1:4" hidden="1" x14ac:dyDescent="0.3">
      <c r="A17781" t="s">
        <v>1047</v>
      </c>
      <c r="B17781" t="s">
        <v>40</v>
      </c>
      <c r="C17781" s="1">
        <f>HYPERLINK("https://cao.dolgi.msk.ru/account/1011498777/", 1011498777)</f>
        <v>1011498777</v>
      </c>
      <c r="D17781">
        <v>-822.14</v>
      </c>
    </row>
    <row r="17782" spans="1:4" hidden="1" x14ac:dyDescent="0.3">
      <c r="A17782" t="s">
        <v>1047</v>
      </c>
      <c r="B17782" t="s">
        <v>41</v>
      </c>
      <c r="C17782" s="1">
        <f>HYPERLINK("https://cao.dolgi.msk.ru/account/1011498785/", 1011498785)</f>
        <v>1011498785</v>
      </c>
      <c r="D17782">
        <v>0</v>
      </c>
    </row>
    <row r="17783" spans="1:4" x14ac:dyDescent="0.3">
      <c r="A17783" t="s">
        <v>1047</v>
      </c>
      <c r="B17783" t="s">
        <v>51</v>
      </c>
      <c r="C17783" s="1">
        <f>HYPERLINK("https://cao.dolgi.msk.ru/account/1011499024/", 1011499024)</f>
        <v>1011499024</v>
      </c>
      <c r="D17783">
        <v>171776.12</v>
      </c>
    </row>
    <row r="17784" spans="1:4" hidden="1" x14ac:dyDescent="0.3">
      <c r="A17784" t="s">
        <v>1047</v>
      </c>
      <c r="B17784" t="s">
        <v>52</v>
      </c>
      <c r="C17784" s="1">
        <f>HYPERLINK("https://cao.dolgi.msk.ru/account/1011499331/", 1011499331)</f>
        <v>1011499331</v>
      </c>
      <c r="D17784">
        <v>-20781.62</v>
      </c>
    </row>
    <row r="17785" spans="1:4" hidden="1" x14ac:dyDescent="0.3">
      <c r="A17785" t="s">
        <v>1047</v>
      </c>
      <c r="B17785" t="s">
        <v>53</v>
      </c>
      <c r="C17785" s="1">
        <f>HYPERLINK("https://cao.dolgi.msk.ru/account/1011499032/", 1011499032)</f>
        <v>1011499032</v>
      </c>
      <c r="D17785">
        <v>-21094.37</v>
      </c>
    </row>
    <row r="17786" spans="1:4" x14ac:dyDescent="0.3">
      <c r="A17786" t="s">
        <v>1047</v>
      </c>
      <c r="B17786" t="s">
        <v>54</v>
      </c>
      <c r="C17786" s="1">
        <f>HYPERLINK("https://cao.dolgi.msk.ru/account/1011499657/", 1011499657)</f>
        <v>1011499657</v>
      </c>
      <c r="D17786">
        <v>22369.74</v>
      </c>
    </row>
    <row r="17787" spans="1:4" x14ac:dyDescent="0.3">
      <c r="A17787" t="s">
        <v>1047</v>
      </c>
      <c r="B17787" t="s">
        <v>55</v>
      </c>
      <c r="C17787" s="1">
        <f>HYPERLINK("https://cao.dolgi.msk.ru/account/1011506052/", 1011506052)</f>
        <v>1011506052</v>
      </c>
      <c r="D17787">
        <v>20298.560000000001</v>
      </c>
    </row>
    <row r="17788" spans="1:4" hidden="1" x14ac:dyDescent="0.3">
      <c r="A17788" t="s">
        <v>1047</v>
      </c>
      <c r="B17788" t="s">
        <v>56</v>
      </c>
      <c r="C17788" s="1">
        <f>HYPERLINK("https://cao.dolgi.msk.ru/account/1011498953/", 1011498953)</f>
        <v>1011498953</v>
      </c>
      <c r="D17788">
        <v>0</v>
      </c>
    </row>
    <row r="17789" spans="1:4" hidden="1" x14ac:dyDescent="0.3">
      <c r="A17789" t="s">
        <v>1047</v>
      </c>
      <c r="B17789" t="s">
        <v>56</v>
      </c>
      <c r="C17789" s="1">
        <f>HYPERLINK("https://cao.dolgi.msk.ru/account/1011499358/", 1011499358)</f>
        <v>1011499358</v>
      </c>
      <c r="D17789">
        <v>0</v>
      </c>
    </row>
    <row r="17790" spans="1:4" hidden="1" x14ac:dyDescent="0.3">
      <c r="A17790" t="s">
        <v>1047</v>
      </c>
      <c r="B17790" t="s">
        <v>56</v>
      </c>
      <c r="C17790" s="1">
        <f>HYPERLINK("https://cao.dolgi.msk.ru/account/1011499788/", 1011499788)</f>
        <v>1011499788</v>
      </c>
      <c r="D17790">
        <v>0</v>
      </c>
    </row>
    <row r="17791" spans="1:4" hidden="1" x14ac:dyDescent="0.3">
      <c r="A17791" t="s">
        <v>1047</v>
      </c>
      <c r="B17791" t="s">
        <v>87</v>
      </c>
      <c r="C17791" s="1">
        <f>HYPERLINK("https://cao.dolgi.msk.ru/account/1011499884/", 1011499884)</f>
        <v>1011499884</v>
      </c>
      <c r="D17791">
        <v>0</v>
      </c>
    </row>
    <row r="17792" spans="1:4" hidden="1" x14ac:dyDescent="0.3">
      <c r="A17792" t="s">
        <v>1047</v>
      </c>
      <c r="B17792" t="s">
        <v>88</v>
      </c>
      <c r="C17792" s="1">
        <f>HYPERLINK("https://cao.dolgi.msk.ru/account/1011531717/", 1011531717)</f>
        <v>1011531717</v>
      </c>
      <c r="D17792">
        <v>0</v>
      </c>
    </row>
    <row r="17793" spans="1:4" hidden="1" x14ac:dyDescent="0.3">
      <c r="A17793" t="s">
        <v>1047</v>
      </c>
      <c r="B17793" t="s">
        <v>89</v>
      </c>
      <c r="C17793" s="1">
        <f>HYPERLINK("https://cao.dolgi.msk.ru/account/1011499446/", 1011499446)</f>
        <v>1011499446</v>
      </c>
      <c r="D17793">
        <v>-16816.79</v>
      </c>
    </row>
    <row r="17794" spans="1:4" hidden="1" x14ac:dyDescent="0.3">
      <c r="A17794" t="s">
        <v>1047</v>
      </c>
      <c r="B17794" t="s">
        <v>90</v>
      </c>
      <c r="C17794" s="1">
        <f>HYPERLINK("https://cao.dolgi.msk.ru/account/1011504479/", 1011504479)</f>
        <v>1011504479</v>
      </c>
      <c r="D17794">
        <v>-5248.88</v>
      </c>
    </row>
    <row r="17795" spans="1:4" x14ac:dyDescent="0.3">
      <c r="A17795" t="s">
        <v>1047</v>
      </c>
      <c r="B17795" t="s">
        <v>96</v>
      </c>
      <c r="C17795" s="1">
        <f>HYPERLINK("https://cao.dolgi.msk.ru/account/1011499809/", 1011499809)</f>
        <v>1011499809</v>
      </c>
      <c r="D17795">
        <v>12085.24</v>
      </c>
    </row>
    <row r="17796" spans="1:4" hidden="1" x14ac:dyDescent="0.3">
      <c r="A17796" t="s">
        <v>1047</v>
      </c>
      <c r="B17796" t="s">
        <v>97</v>
      </c>
      <c r="C17796" s="1">
        <f>HYPERLINK("https://cao.dolgi.msk.ru/account/1011498929/", 1011498929)</f>
        <v>1011498929</v>
      </c>
      <c r="D17796">
        <v>0</v>
      </c>
    </row>
    <row r="17797" spans="1:4" hidden="1" x14ac:dyDescent="0.3">
      <c r="A17797" t="s">
        <v>1047</v>
      </c>
      <c r="B17797" t="s">
        <v>98</v>
      </c>
      <c r="C17797" s="1">
        <f>HYPERLINK("https://cao.dolgi.msk.ru/account/1011499817/", 1011499817)</f>
        <v>1011499817</v>
      </c>
      <c r="D17797">
        <v>0</v>
      </c>
    </row>
    <row r="17798" spans="1:4" hidden="1" x14ac:dyDescent="0.3">
      <c r="A17798" t="s">
        <v>1047</v>
      </c>
      <c r="B17798" t="s">
        <v>58</v>
      </c>
      <c r="C17798" s="1">
        <f>HYPERLINK("https://cao.dolgi.msk.ru/account/1011498961/", 1011498961)</f>
        <v>1011498961</v>
      </c>
      <c r="D17798">
        <v>-17821</v>
      </c>
    </row>
    <row r="17799" spans="1:4" hidden="1" x14ac:dyDescent="0.3">
      <c r="A17799" t="s">
        <v>1047</v>
      </c>
      <c r="B17799" t="s">
        <v>59</v>
      </c>
      <c r="C17799" s="1">
        <f>HYPERLINK("https://cao.dolgi.msk.ru/account/1011499526/", 1011499526)</f>
        <v>1011499526</v>
      </c>
      <c r="D17799">
        <v>0</v>
      </c>
    </row>
    <row r="17800" spans="1:4" hidden="1" x14ac:dyDescent="0.3">
      <c r="A17800" t="s">
        <v>1047</v>
      </c>
      <c r="B17800" t="s">
        <v>60</v>
      </c>
      <c r="C17800" s="1">
        <f>HYPERLINK("https://cao.dolgi.msk.ru/account/1011499059/", 1011499059)</f>
        <v>1011499059</v>
      </c>
      <c r="D17800">
        <v>0</v>
      </c>
    </row>
    <row r="17801" spans="1:4" hidden="1" x14ac:dyDescent="0.3">
      <c r="A17801" t="s">
        <v>1047</v>
      </c>
      <c r="B17801" t="s">
        <v>61</v>
      </c>
      <c r="C17801" s="1">
        <f>HYPERLINK("https://cao.dolgi.msk.ru/account/1011499729/", 1011499729)</f>
        <v>1011499729</v>
      </c>
      <c r="D17801">
        <v>0</v>
      </c>
    </row>
    <row r="17802" spans="1:4" x14ac:dyDescent="0.3">
      <c r="A17802" t="s">
        <v>1047</v>
      </c>
      <c r="B17802" t="s">
        <v>62</v>
      </c>
      <c r="C17802" s="1">
        <f>HYPERLINK("https://cao.dolgi.msk.ru/account/1011498793/", 1011498793)</f>
        <v>1011498793</v>
      </c>
      <c r="D17802">
        <v>102209.07</v>
      </c>
    </row>
    <row r="17803" spans="1:4" hidden="1" x14ac:dyDescent="0.3">
      <c r="A17803" t="s">
        <v>1047</v>
      </c>
      <c r="B17803" t="s">
        <v>62</v>
      </c>
      <c r="C17803" s="1">
        <f>HYPERLINK("https://cao.dolgi.msk.ru/account/1011498806/", 1011498806)</f>
        <v>1011498806</v>
      </c>
      <c r="D17803">
        <v>-7474.24</v>
      </c>
    </row>
    <row r="17804" spans="1:4" hidden="1" x14ac:dyDescent="0.3">
      <c r="A17804" t="s">
        <v>1047</v>
      </c>
      <c r="B17804" t="s">
        <v>62</v>
      </c>
      <c r="C17804" s="1">
        <f>HYPERLINK("https://cao.dolgi.msk.ru/account/1011499243/", 1011499243)</f>
        <v>1011499243</v>
      </c>
      <c r="D17804">
        <v>-1901.69</v>
      </c>
    </row>
    <row r="17805" spans="1:4" hidden="1" x14ac:dyDescent="0.3">
      <c r="A17805" t="s">
        <v>1047</v>
      </c>
      <c r="B17805" t="s">
        <v>62</v>
      </c>
      <c r="C17805" s="1">
        <f>HYPERLINK("https://cao.dolgi.msk.ru/account/1011499622/", 1011499622)</f>
        <v>1011499622</v>
      </c>
      <c r="D17805">
        <v>-166.5</v>
      </c>
    </row>
    <row r="17806" spans="1:4" hidden="1" x14ac:dyDescent="0.3">
      <c r="A17806" t="s">
        <v>1047</v>
      </c>
      <c r="B17806" t="s">
        <v>62</v>
      </c>
      <c r="C17806" s="1">
        <f>HYPERLINK("https://cao.dolgi.msk.ru/account/1011499825/", 1011499825)</f>
        <v>1011499825</v>
      </c>
      <c r="D17806">
        <v>-330.82</v>
      </c>
    </row>
    <row r="17807" spans="1:4" x14ac:dyDescent="0.3">
      <c r="A17807" t="s">
        <v>1047</v>
      </c>
      <c r="B17807" t="s">
        <v>63</v>
      </c>
      <c r="C17807" s="1">
        <f>HYPERLINK("https://cao.dolgi.msk.ru/account/1011499067/", 1011499067)</f>
        <v>1011499067</v>
      </c>
      <c r="D17807">
        <v>19300.55</v>
      </c>
    </row>
    <row r="17808" spans="1:4" hidden="1" x14ac:dyDescent="0.3">
      <c r="A17808" t="s">
        <v>1047</v>
      </c>
      <c r="B17808" t="s">
        <v>64</v>
      </c>
      <c r="C17808" s="1">
        <f>HYPERLINK("https://cao.dolgi.msk.ru/account/1011499737/", 1011499737)</f>
        <v>1011499737</v>
      </c>
      <c r="D17808">
        <v>-16548.740000000002</v>
      </c>
    </row>
    <row r="17809" spans="1:4" hidden="1" x14ac:dyDescent="0.3">
      <c r="A17809" t="s">
        <v>1047</v>
      </c>
      <c r="B17809" t="s">
        <v>65</v>
      </c>
      <c r="C17809" s="1">
        <f>HYPERLINK("https://cao.dolgi.msk.ru/account/1011498814/", 1011498814)</f>
        <v>1011498814</v>
      </c>
      <c r="D17809">
        <v>-1668.18</v>
      </c>
    </row>
    <row r="17810" spans="1:4" hidden="1" x14ac:dyDescent="0.3">
      <c r="A17810" t="s">
        <v>1047</v>
      </c>
      <c r="B17810" t="s">
        <v>66</v>
      </c>
      <c r="C17810" s="1">
        <f>HYPERLINK("https://cao.dolgi.msk.ru/account/1011510502/", 1011510502)</f>
        <v>1011510502</v>
      </c>
      <c r="D17810">
        <v>-13786.13</v>
      </c>
    </row>
    <row r="17811" spans="1:4" x14ac:dyDescent="0.3">
      <c r="A17811" t="s">
        <v>1047</v>
      </c>
      <c r="B17811" t="s">
        <v>67</v>
      </c>
      <c r="C17811" s="1">
        <f>HYPERLINK("https://cao.dolgi.msk.ru/account/1011499665/", 1011499665)</f>
        <v>1011499665</v>
      </c>
      <c r="D17811">
        <v>22189.68</v>
      </c>
    </row>
    <row r="17812" spans="1:4" hidden="1" x14ac:dyDescent="0.3">
      <c r="A17812" t="s">
        <v>1047</v>
      </c>
      <c r="B17812" t="s">
        <v>68</v>
      </c>
      <c r="C17812" s="1">
        <f>HYPERLINK("https://cao.dolgi.msk.ru/account/1011499462/", 1011499462)</f>
        <v>1011499462</v>
      </c>
      <c r="D17812">
        <v>-16108.57</v>
      </c>
    </row>
    <row r="17813" spans="1:4" hidden="1" x14ac:dyDescent="0.3">
      <c r="A17813" t="s">
        <v>1047</v>
      </c>
      <c r="B17813" t="s">
        <v>69</v>
      </c>
      <c r="C17813" s="1">
        <f>HYPERLINK("https://cao.dolgi.msk.ru/account/1011499673/", 1011499673)</f>
        <v>1011499673</v>
      </c>
      <c r="D17813">
        <v>0</v>
      </c>
    </row>
    <row r="17814" spans="1:4" x14ac:dyDescent="0.3">
      <c r="A17814" t="s">
        <v>1047</v>
      </c>
      <c r="B17814" t="s">
        <v>70</v>
      </c>
      <c r="C17814" s="1">
        <f>HYPERLINK("https://cao.dolgi.msk.ru/account/1011498996/", 1011498996)</f>
        <v>1011498996</v>
      </c>
      <c r="D17814">
        <v>12346.39</v>
      </c>
    </row>
    <row r="17815" spans="1:4" hidden="1" x14ac:dyDescent="0.3">
      <c r="A17815" t="s">
        <v>1047</v>
      </c>
      <c r="B17815" t="s">
        <v>70</v>
      </c>
      <c r="C17815" s="1">
        <f>HYPERLINK("https://cao.dolgi.msk.ru/account/1011499155/", 1011499155)</f>
        <v>1011499155</v>
      </c>
      <c r="D17815">
        <v>0</v>
      </c>
    </row>
    <row r="17816" spans="1:4" x14ac:dyDescent="0.3">
      <c r="A17816" t="s">
        <v>1047</v>
      </c>
      <c r="B17816" t="s">
        <v>70</v>
      </c>
      <c r="C17816" s="1">
        <f>HYPERLINK("https://cao.dolgi.msk.ru/account/1011499534/", 1011499534)</f>
        <v>1011499534</v>
      </c>
      <c r="D17816">
        <v>6283.66</v>
      </c>
    </row>
    <row r="17817" spans="1:4" hidden="1" x14ac:dyDescent="0.3">
      <c r="A17817" t="s">
        <v>1047</v>
      </c>
      <c r="B17817" t="s">
        <v>70</v>
      </c>
      <c r="C17817" s="1">
        <f>HYPERLINK("https://cao.dolgi.msk.ru/account/1011499913/", 1011499913)</f>
        <v>1011499913</v>
      </c>
      <c r="D17817">
        <v>0</v>
      </c>
    </row>
    <row r="17818" spans="1:4" hidden="1" x14ac:dyDescent="0.3">
      <c r="A17818" t="s">
        <v>1047</v>
      </c>
      <c r="B17818" t="s">
        <v>259</v>
      </c>
      <c r="C17818" s="1">
        <f>HYPERLINK("https://cao.dolgi.msk.ru/account/1011499163/", 1011499163)</f>
        <v>1011499163</v>
      </c>
      <c r="D17818">
        <v>0</v>
      </c>
    </row>
    <row r="17819" spans="1:4" hidden="1" x14ac:dyDescent="0.3">
      <c r="A17819" t="s">
        <v>1047</v>
      </c>
      <c r="B17819" t="s">
        <v>100</v>
      </c>
      <c r="C17819" s="1">
        <f>HYPERLINK("https://cao.dolgi.msk.ru/account/1011499278/", 1011499278)</f>
        <v>1011499278</v>
      </c>
      <c r="D17819">
        <v>0</v>
      </c>
    </row>
    <row r="17820" spans="1:4" hidden="1" x14ac:dyDescent="0.3">
      <c r="A17820" t="s">
        <v>1047</v>
      </c>
      <c r="B17820" t="s">
        <v>72</v>
      </c>
      <c r="C17820" s="1">
        <f>HYPERLINK("https://cao.dolgi.msk.ru/account/1011499171/", 1011499171)</f>
        <v>1011499171</v>
      </c>
      <c r="D17820">
        <v>0</v>
      </c>
    </row>
    <row r="17821" spans="1:4" hidden="1" x14ac:dyDescent="0.3">
      <c r="A17821" t="s">
        <v>1047</v>
      </c>
      <c r="B17821" t="s">
        <v>73</v>
      </c>
      <c r="C17821" s="1">
        <f>HYPERLINK("https://cao.dolgi.msk.ru/account/1011507581/", 1011507581)</f>
        <v>1011507581</v>
      </c>
      <c r="D17821">
        <v>-237.22</v>
      </c>
    </row>
    <row r="17822" spans="1:4" hidden="1" x14ac:dyDescent="0.3">
      <c r="A17822" t="s">
        <v>1047</v>
      </c>
      <c r="B17822" t="s">
        <v>74</v>
      </c>
      <c r="C17822" s="1">
        <f>HYPERLINK("https://cao.dolgi.msk.ru/account/1011499833/", 1011499833)</f>
        <v>1011499833</v>
      </c>
      <c r="D17822">
        <v>-1352.18</v>
      </c>
    </row>
    <row r="17823" spans="1:4" hidden="1" x14ac:dyDescent="0.3">
      <c r="A17823" t="s">
        <v>1047</v>
      </c>
      <c r="B17823" t="s">
        <v>77</v>
      </c>
      <c r="C17823" s="1">
        <f>HYPERLINK("https://cao.dolgi.msk.ru/account/1011499542/", 1011499542)</f>
        <v>1011499542</v>
      </c>
      <c r="D17823">
        <v>0</v>
      </c>
    </row>
    <row r="17824" spans="1:4" hidden="1" x14ac:dyDescent="0.3">
      <c r="A17824" t="s">
        <v>1047</v>
      </c>
      <c r="B17824" t="s">
        <v>78</v>
      </c>
      <c r="C17824" s="1">
        <f>HYPERLINK("https://cao.dolgi.msk.ru/account/1011499104/", 1011499104)</f>
        <v>1011499104</v>
      </c>
      <c r="D17824">
        <v>-84.09</v>
      </c>
    </row>
    <row r="17825" spans="1:4" hidden="1" x14ac:dyDescent="0.3">
      <c r="A17825" t="s">
        <v>1047</v>
      </c>
      <c r="B17825" t="s">
        <v>78</v>
      </c>
      <c r="C17825" s="1">
        <f>HYPERLINK("https://cao.dolgi.msk.ru/account/1011499569/", 1011499569)</f>
        <v>1011499569</v>
      </c>
      <c r="D17825">
        <v>-260.04000000000002</v>
      </c>
    </row>
    <row r="17826" spans="1:4" hidden="1" x14ac:dyDescent="0.3">
      <c r="A17826" t="s">
        <v>1047</v>
      </c>
      <c r="B17826" t="s">
        <v>78</v>
      </c>
      <c r="C17826" s="1">
        <f>HYPERLINK("https://cao.dolgi.msk.ru/account/1011499577/", 1011499577)</f>
        <v>1011499577</v>
      </c>
      <c r="D17826">
        <v>0</v>
      </c>
    </row>
    <row r="17827" spans="1:4" x14ac:dyDescent="0.3">
      <c r="A17827" t="s">
        <v>1047</v>
      </c>
      <c r="B17827" t="s">
        <v>79</v>
      </c>
      <c r="C17827" s="1">
        <f>HYPERLINK("https://cao.dolgi.msk.ru/account/1011499681/", 1011499681)</f>
        <v>1011499681</v>
      </c>
      <c r="D17827">
        <v>52139.79</v>
      </c>
    </row>
    <row r="17828" spans="1:4" hidden="1" x14ac:dyDescent="0.3">
      <c r="A17828" t="s">
        <v>1047</v>
      </c>
      <c r="B17828" t="s">
        <v>80</v>
      </c>
      <c r="C17828" s="1">
        <f>HYPERLINK("https://cao.dolgi.msk.ru/account/1011498822/", 1011498822)</f>
        <v>1011498822</v>
      </c>
      <c r="D17828">
        <v>-21006.9</v>
      </c>
    </row>
    <row r="17829" spans="1:4" hidden="1" x14ac:dyDescent="0.3">
      <c r="A17829" t="s">
        <v>1047</v>
      </c>
      <c r="B17829" t="s">
        <v>81</v>
      </c>
      <c r="C17829" s="1">
        <f>HYPERLINK("https://cao.dolgi.msk.ru/account/1011499075/", 1011499075)</f>
        <v>1011499075</v>
      </c>
      <c r="D17829">
        <v>-2366.15</v>
      </c>
    </row>
    <row r="17830" spans="1:4" x14ac:dyDescent="0.3">
      <c r="A17830" t="s">
        <v>1047</v>
      </c>
      <c r="B17830" t="s">
        <v>101</v>
      </c>
      <c r="C17830" s="1">
        <f>HYPERLINK("https://cao.dolgi.msk.ru/account/1011498937/", 1011498937)</f>
        <v>1011498937</v>
      </c>
      <c r="D17830">
        <v>7883.03</v>
      </c>
    </row>
    <row r="17831" spans="1:4" hidden="1" x14ac:dyDescent="0.3">
      <c r="A17831" t="s">
        <v>1047</v>
      </c>
      <c r="B17831" t="s">
        <v>101</v>
      </c>
      <c r="C17831" s="1">
        <f>HYPERLINK("https://cao.dolgi.msk.ru/account/1011498945/", 1011498945)</f>
        <v>1011498945</v>
      </c>
      <c r="D17831">
        <v>-14.47</v>
      </c>
    </row>
    <row r="17832" spans="1:4" x14ac:dyDescent="0.3">
      <c r="A17832" t="s">
        <v>1047</v>
      </c>
      <c r="B17832" t="s">
        <v>101</v>
      </c>
      <c r="C17832" s="1">
        <f>HYPERLINK("https://cao.dolgi.msk.ru/account/1011499585/", 1011499585)</f>
        <v>1011499585</v>
      </c>
      <c r="D17832">
        <v>44645.63</v>
      </c>
    </row>
    <row r="17833" spans="1:4" hidden="1" x14ac:dyDescent="0.3">
      <c r="A17833" t="s">
        <v>1047</v>
      </c>
      <c r="B17833" t="s">
        <v>82</v>
      </c>
      <c r="C17833" s="1">
        <f>HYPERLINK("https://cao.dolgi.msk.ru/account/1011499083/", 1011499083)</f>
        <v>1011499083</v>
      </c>
      <c r="D17833">
        <v>0</v>
      </c>
    </row>
    <row r="17834" spans="1:4" hidden="1" x14ac:dyDescent="0.3">
      <c r="A17834" t="s">
        <v>1047</v>
      </c>
      <c r="B17834" t="s">
        <v>83</v>
      </c>
      <c r="C17834" s="1">
        <f>HYPERLINK("https://cao.dolgi.msk.ru/account/1011499593/", 1011499593)</f>
        <v>1011499593</v>
      </c>
      <c r="D17834">
        <v>0</v>
      </c>
    </row>
    <row r="17835" spans="1:4" hidden="1" x14ac:dyDescent="0.3">
      <c r="A17835" t="s">
        <v>1047</v>
      </c>
      <c r="B17835" t="s">
        <v>84</v>
      </c>
      <c r="C17835" s="1">
        <f>HYPERLINK("https://cao.dolgi.msk.ru/account/1011499307/", 1011499307)</f>
        <v>1011499307</v>
      </c>
      <c r="D17835">
        <v>-13260.17</v>
      </c>
    </row>
    <row r="17836" spans="1:4" hidden="1" x14ac:dyDescent="0.3">
      <c r="A17836" t="s">
        <v>1047</v>
      </c>
      <c r="B17836" t="s">
        <v>85</v>
      </c>
      <c r="C17836" s="1">
        <f>HYPERLINK("https://cao.dolgi.msk.ru/account/1011499091/", 1011499091)</f>
        <v>1011499091</v>
      </c>
      <c r="D17836">
        <v>0</v>
      </c>
    </row>
    <row r="17837" spans="1:4" hidden="1" x14ac:dyDescent="0.3">
      <c r="A17837" t="s">
        <v>1047</v>
      </c>
      <c r="B17837" t="s">
        <v>102</v>
      </c>
      <c r="C17837" s="1">
        <f>HYPERLINK("https://cao.dolgi.msk.ru/account/1011499892/", 1011499892)</f>
        <v>1011499892</v>
      </c>
      <c r="D17837">
        <v>0</v>
      </c>
    </row>
    <row r="17838" spans="1:4" hidden="1" x14ac:dyDescent="0.3">
      <c r="A17838" t="s">
        <v>1047</v>
      </c>
      <c r="B17838" t="s">
        <v>103</v>
      </c>
      <c r="C17838" s="1">
        <f>HYPERLINK("https://cao.dolgi.msk.ru/account/1011499905/", 1011499905)</f>
        <v>1011499905</v>
      </c>
      <c r="D17838">
        <v>0</v>
      </c>
    </row>
    <row r="17839" spans="1:4" hidden="1" x14ac:dyDescent="0.3">
      <c r="A17839" t="s">
        <v>1047</v>
      </c>
      <c r="B17839" t="s">
        <v>104</v>
      </c>
      <c r="C17839" s="1">
        <f>HYPERLINK("https://cao.dolgi.msk.ru/account/1011499745/", 1011499745)</f>
        <v>1011499745</v>
      </c>
      <c r="D17839">
        <v>0</v>
      </c>
    </row>
    <row r="17840" spans="1:4" hidden="1" x14ac:dyDescent="0.3">
      <c r="A17840" t="s">
        <v>1047</v>
      </c>
      <c r="B17840" t="s">
        <v>105</v>
      </c>
      <c r="C17840" s="1">
        <f>HYPERLINK("https://cao.dolgi.msk.ru/account/1011499139/", 1011499139)</f>
        <v>1011499139</v>
      </c>
      <c r="D17840">
        <v>0</v>
      </c>
    </row>
    <row r="17841" spans="1:4" hidden="1" x14ac:dyDescent="0.3">
      <c r="A17841" t="s">
        <v>1047</v>
      </c>
      <c r="B17841" t="s">
        <v>106</v>
      </c>
      <c r="C17841" s="1">
        <f>HYPERLINK("https://cao.dolgi.msk.ru/account/1011499753/", 1011499753)</f>
        <v>1011499753</v>
      </c>
      <c r="D17841">
        <v>0</v>
      </c>
    </row>
    <row r="17842" spans="1:4" hidden="1" x14ac:dyDescent="0.3">
      <c r="A17842" t="s">
        <v>1047</v>
      </c>
      <c r="B17842" t="s">
        <v>107</v>
      </c>
      <c r="C17842" s="1">
        <f>HYPERLINK("https://cao.dolgi.msk.ru/account/1011498857/", 1011498857)</f>
        <v>1011498857</v>
      </c>
      <c r="D17842">
        <v>0</v>
      </c>
    </row>
    <row r="17843" spans="1:4" hidden="1" x14ac:dyDescent="0.3">
      <c r="A17843" t="s">
        <v>1047</v>
      </c>
      <c r="B17843" t="s">
        <v>108</v>
      </c>
      <c r="C17843" s="1">
        <f>HYPERLINK("https://cao.dolgi.msk.ru/account/1011499411/", 1011499411)</f>
        <v>1011499411</v>
      </c>
      <c r="D17843">
        <v>0</v>
      </c>
    </row>
    <row r="17844" spans="1:4" hidden="1" x14ac:dyDescent="0.3">
      <c r="A17844" t="s">
        <v>1047</v>
      </c>
      <c r="B17844" t="s">
        <v>109</v>
      </c>
      <c r="C17844" s="1">
        <f>HYPERLINK("https://cao.dolgi.msk.ru/account/1011498865/", 1011498865)</f>
        <v>1011498865</v>
      </c>
      <c r="D17844">
        <v>0</v>
      </c>
    </row>
    <row r="17845" spans="1:4" x14ac:dyDescent="0.3">
      <c r="A17845" t="s">
        <v>1047</v>
      </c>
      <c r="B17845" t="s">
        <v>110</v>
      </c>
      <c r="C17845" s="1">
        <f>HYPERLINK("https://cao.dolgi.msk.ru/account/1011498988/", 1011498988)</f>
        <v>1011498988</v>
      </c>
      <c r="D17845">
        <v>654.70000000000005</v>
      </c>
    </row>
    <row r="17846" spans="1:4" hidden="1" x14ac:dyDescent="0.3">
      <c r="A17846" t="s">
        <v>1047</v>
      </c>
      <c r="B17846" t="s">
        <v>111</v>
      </c>
      <c r="C17846" s="1">
        <f>HYPERLINK("https://cao.dolgi.msk.ru/account/1011499438/", 1011499438)</f>
        <v>1011499438</v>
      </c>
      <c r="D17846">
        <v>0</v>
      </c>
    </row>
    <row r="17847" spans="1:4" hidden="1" x14ac:dyDescent="0.3">
      <c r="A17847" t="s">
        <v>1049</v>
      </c>
      <c r="B17847" t="s">
        <v>22</v>
      </c>
      <c r="C17847" s="1">
        <f>HYPERLINK("https://cao.dolgi.msk.ru/account/1011453536/", 1011453536)</f>
        <v>1011453536</v>
      </c>
      <c r="D17847">
        <v>0</v>
      </c>
    </row>
    <row r="17848" spans="1:4" hidden="1" x14ac:dyDescent="0.3">
      <c r="A17848" t="s">
        <v>1049</v>
      </c>
      <c r="B17848" t="s">
        <v>24</v>
      </c>
      <c r="C17848" s="1">
        <f>HYPERLINK("https://cao.dolgi.msk.ru/account/1011452584/", 1011452584)</f>
        <v>1011452584</v>
      </c>
      <c r="D17848">
        <v>0</v>
      </c>
    </row>
    <row r="17849" spans="1:4" hidden="1" x14ac:dyDescent="0.3">
      <c r="A17849" t="s">
        <v>1049</v>
      </c>
      <c r="B17849" t="s">
        <v>25</v>
      </c>
      <c r="C17849" s="1">
        <f>HYPERLINK("https://cao.dolgi.msk.ru/account/1011454272/", 1011454272)</f>
        <v>1011454272</v>
      </c>
      <c r="D17849">
        <v>0</v>
      </c>
    </row>
    <row r="17850" spans="1:4" hidden="1" x14ac:dyDescent="0.3">
      <c r="A17850" t="s">
        <v>1049</v>
      </c>
      <c r="B17850" t="s">
        <v>26</v>
      </c>
      <c r="C17850" s="1">
        <f>HYPERLINK("https://cao.dolgi.msk.ru/account/1011452808/", 1011452808)</f>
        <v>1011452808</v>
      </c>
      <c r="D17850">
        <v>0</v>
      </c>
    </row>
    <row r="17851" spans="1:4" hidden="1" x14ac:dyDescent="0.3">
      <c r="A17851" t="s">
        <v>1049</v>
      </c>
      <c r="B17851" t="s">
        <v>29</v>
      </c>
      <c r="C17851" s="1">
        <f>HYPERLINK("https://cao.dolgi.msk.ru/account/1011452795/", 1011452795)</f>
        <v>1011452795</v>
      </c>
      <c r="D17851">
        <v>0</v>
      </c>
    </row>
    <row r="17852" spans="1:4" x14ac:dyDescent="0.3">
      <c r="A17852" t="s">
        <v>1049</v>
      </c>
      <c r="B17852" t="s">
        <v>38</v>
      </c>
      <c r="C17852" s="1">
        <f>HYPERLINK("https://cao.dolgi.msk.ru/account/1011453739/", 1011453739)</f>
        <v>1011453739</v>
      </c>
      <c r="D17852">
        <v>275.79000000000002</v>
      </c>
    </row>
    <row r="17853" spans="1:4" hidden="1" x14ac:dyDescent="0.3">
      <c r="A17853" t="s">
        <v>1049</v>
      </c>
      <c r="B17853" t="s">
        <v>39</v>
      </c>
      <c r="C17853" s="1">
        <f>HYPERLINK("https://cao.dolgi.msk.ru/account/1011454774/", 1011454774)</f>
        <v>1011454774</v>
      </c>
      <c r="D17853">
        <v>0</v>
      </c>
    </row>
    <row r="17854" spans="1:4" hidden="1" x14ac:dyDescent="0.3">
      <c r="A17854" t="s">
        <v>1049</v>
      </c>
      <c r="B17854" t="s">
        <v>40</v>
      </c>
      <c r="C17854" s="1">
        <f>HYPERLINK("https://cao.dolgi.msk.ru/account/1011453931/", 1011453931)</f>
        <v>1011453931</v>
      </c>
      <c r="D17854">
        <v>-778.36</v>
      </c>
    </row>
    <row r="17855" spans="1:4" hidden="1" x14ac:dyDescent="0.3">
      <c r="A17855" t="s">
        <v>1049</v>
      </c>
      <c r="B17855" t="s">
        <v>41</v>
      </c>
      <c r="C17855" s="1">
        <f>HYPERLINK("https://cao.dolgi.msk.ru/account/1011452365/", 1011452365)</f>
        <v>1011452365</v>
      </c>
      <c r="D17855">
        <v>-102.35</v>
      </c>
    </row>
    <row r="17856" spans="1:4" hidden="1" x14ac:dyDescent="0.3">
      <c r="A17856" t="s">
        <v>1049</v>
      </c>
      <c r="B17856" t="s">
        <v>52</v>
      </c>
      <c r="C17856" s="1">
        <f>HYPERLINK("https://cao.dolgi.msk.ru/account/1011453923/", 1011453923)</f>
        <v>1011453923</v>
      </c>
      <c r="D17856">
        <v>-4783.5600000000004</v>
      </c>
    </row>
    <row r="17857" spans="1:4" hidden="1" x14ac:dyDescent="0.3">
      <c r="A17857" t="s">
        <v>1049</v>
      </c>
      <c r="B17857" t="s">
        <v>53</v>
      </c>
      <c r="C17857" s="1">
        <f>HYPERLINK("https://cao.dolgi.msk.ru/account/1011453181/", 1011453181)</f>
        <v>1011453181</v>
      </c>
      <c r="D17857">
        <v>0</v>
      </c>
    </row>
    <row r="17858" spans="1:4" hidden="1" x14ac:dyDescent="0.3">
      <c r="A17858" t="s">
        <v>1049</v>
      </c>
      <c r="B17858" t="s">
        <v>54</v>
      </c>
      <c r="C17858" s="1">
        <f>HYPERLINK("https://cao.dolgi.msk.ru/account/1011454387/", 1011454387)</f>
        <v>1011454387</v>
      </c>
      <c r="D17858">
        <v>0</v>
      </c>
    </row>
    <row r="17859" spans="1:4" hidden="1" x14ac:dyDescent="0.3">
      <c r="A17859" t="s">
        <v>1049</v>
      </c>
      <c r="B17859" t="s">
        <v>55</v>
      </c>
      <c r="C17859" s="1">
        <f>HYPERLINK("https://cao.dolgi.msk.ru/account/1011454424/", 1011454424)</f>
        <v>1011454424</v>
      </c>
      <c r="D17859">
        <v>-7477.76</v>
      </c>
    </row>
    <row r="17860" spans="1:4" hidden="1" x14ac:dyDescent="0.3">
      <c r="A17860" t="s">
        <v>1049</v>
      </c>
      <c r="B17860" t="s">
        <v>88</v>
      </c>
      <c r="C17860" s="1">
        <f>HYPERLINK("https://cao.dolgi.msk.ru/account/1011454467/", 1011454467)</f>
        <v>1011454467</v>
      </c>
      <c r="D17860">
        <v>-25924.11</v>
      </c>
    </row>
    <row r="17861" spans="1:4" hidden="1" x14ac:dyDescent="0.3">
      <c r="A17861" t="s">
        <v>1049</v>
      </c>
      <c r="B17861" t="s">
        <v>89</v>
      </c>
      <c r="C17861" s="1">
        <f>HYPERLINK("https://cao.dolgi.msk.ru/account/1011453325/", 1011453325)</f>
        <v>1011453325</v>
      </c>
      <c r="D17861">
        <v>-19163.77</v>
      </c>
    </row>
    <row r="17862" spans="1:4" hidden="1" x14ac:dyDescent="0.3">
      <c r="A17862" t="s">
        <v>1049</v>
      </c>
      <c r="B17862" t="s">
        <v>90</v>
      </c>
      <c r="C17862" s="1">
        <f>HYPERLINK("https://cao.dolgi.msk.ru/account/1011452621/", 1011452621)</f>
        <v>1011452621</v>
      </c>
      <c r="D17862">
        <v>-11916.27</v>
      </c>
    </row>
    <row r="17863" spans="1:4" hidden="1" x14ac:dyDescent="0.3">
      <c r="A17863" t="s">
        <v>1049</v>
      </c>
      <c r="B17863" t="s">
        <v>96</v>
      </c>
      <c r="C17863" s="1">
        <f>HYPERLINK("https://cao.dolgi.msk.ru/account/1011453894/", 1011453894)</f>
        <v>1011453894</v>
      </c>
      <c r="D17863">
        <v>0</v>
      </c>
    </row>
    <row r="17864" spans="1:4" hidden="1" x14ac:dyDescent="0.3">
      <c r="A17864" t="s">
        <v>1049</v>
      </c>
      <c r="B17864" t="s">
        <v>97</v>
      </c>
      <c r="C17864" s="1">
        <f>HYPERLINK("https://cao.dolgi.msk.ru/account/1011453712/", 1011453712)</f>
        <v>1011453712</v>
      </c>
      <c r="D17864">
        <v>-2554.61</v>
      </c>
    </row>
    <row r="17865" spans="1:4" hidden="1" x14ac:dyDescent="0.3">
      <c r="A17865" t="s">
        <v>1049</v>
      </c>
      <c r="B17865" t="s">
        <v>98</v>
      </c>
      <c r="C17865" s="1">
        <f>HYPERLINK("https://cao.dolgi.msk.ru/account/1011454651/", 1011454651)</f>
        <v>1011454651</v>
      </c>
      <c r="D17865">
        <v>0</v>
      </c>
    </row>
    <row r="17866" spans="1:4" hidden="1" x14ac:dyDescent="0.3">
      <c r="A17866" t="s">
        <v>1049</v>
      </c>
      <c r="B17866" t="s">
        <v>58</v>
      </c>
      <c r="C17866" s="1">
        <f>HYPERLINK("https://cao.dolgi.msk.ru/account/1011452576/", 1011452576)</f>
        <v>1011452576</v>
      </c>
      <c r="D17866">
        <v>0</v>
      </c>
    </row>
    <row r="17867" spans="1:4" x14ac:dyDescent="0.3">
      <c r="A17867" t="s">
        <v>1049</v>
      </c>
      <c r="B17867" t="s">
        <v>59</v>
      </c>
      <c r="C17867" s="1">
        <f>HYPERLINK("https://cao.dolgi.msk.ru/account/1011453886/", 1011453886)</f>
        <v>1011453886</v>
      </c>
      <c r="D17867">
        <v>3244.5</v>
      </c>
    </row>
    <row r="17868" spans="1:4" hidden="1" x14ac:dyDescent="0.3">
      <c r="A17868" t="s">
        <v>1049</v>
      </c>
      <c r="B17868" t="s">
        <v>60</v>
      </c>
      <c r="C17868" s="1">
        <f>HYPERLINK("https://cao.dolgi.msk.ru/account/1011453392/", 1011453392)</f>
        <v>1011453392</v>
      </c>
      <c r="D17868">
        <v>0</v>
      </c>
    </row>
    <row r="17869" spans="1:4" hidden="1" x14ac:dyDescent="0.3">
      <c r="A17869" t="s">
        <v>1049</v>
      </c>
      <c r="B17869" t="s">
        <v>61</v>
      </c>
      <c r="C17869" s="1">
        <f>HYPERLINK("https://cao.dolgi.msk.ru/account/1011452787/", 1011452787)</f>
        <v>1011452787</v>
      </c>
      <c r="D17869">
        <v>0</v>
      </c>
    </row>
    <row r="17870" spans="1:4" hidden="1" x14ac:dyDescent="0.3">
      <c r="A17870" t="s">
        <v>1049</v>
      </c>
      <c r="B17870" t="s">
        <v>62</v>
      </c>
      <c r="C17870" s="1">
        <f>HYPERLINK("https://cao.dolgi.msk.ru/account/1011454125/", 1011454125)</f>
        <v>1011454125</v>
      </c>
      <c r="D17870">
        <v>-14427.89</v>
      </c>
    </row>
    <row r="17871" spans="1:4" hidden="1" x14ac:dyDescent="0.3">
      <c r="A17871" t="s">
        <v>1049</v>
      </c>
      <c r="B17871" t="s">
        <v>63</v>
      </c>
      <c r="C17871" s="1">
        <f>HYPERLINK("https://cao.dolgi.msk.ru/account/1011452963/", 1011452963)</f>
        <v>1011452963</v>
      </c>
      <c r="D17871">
        <v>-4945.5600000000004</v>
      </c>
    </row>
    <row r="17872" spans="1:4" hidden="1" x14ac:dyDescent="0.3">
      <c r="A17872" t="s">
        <v>1049</v>
      </c>
      <c r="B17872" t="s">
        <v>64</v>
      </c>
      <c r="C17872" s="1">
        <f>HYPERLINK("https://cao.dolgi.msk.ru/account/1011452779/", 1011452779)</f>
        <v>1011452779</v>
      </c>
      <c r="D17872">
        <v>-124.69</v>
      </c>
    </row>
    <row r="17873" spans="1:4" hidden="1" x14ac:dyDescent="0.3">
      <c r="A17873" t="s">
        <v>1049</v>
      </c>
      <c r="B17873" t="s">
        <v>65</v>
      </c>
      <c r="C17873" s="1">
        <f>HYPERLINK("https://cao.dolgi.msk.ru/account/1011453675/", 1011453675)</f>
        <v>1011453675</v>
      </c>
      <c r="D17873">
        <v>-268.7</v>
      </c>
    </row>
    <row r="17874" spans="1:4" hidden="1" x14ac:dyDescent="0.3">
      <c r="A17874" t="s">
        <v>1049</v>
      </c>
      <c r="B17874" t="s">
        <v>66</v>
      </c>
      <c r="C17874" s="1">
        <f>HYPERLINK("https://cao.dolgi.msk.ru/account/1011454141/", 1011454141)</f>
        <v>1011454141</v>
      </c>
      <c r="D17874">
        <v>-192.23</v>
      </c>
    </row>
    <row r="17875" spans="1:4" hidden="1" x14ac:dyDescent="0.3">
      <c r="A17875" t="s">
        <v>1049</v>
      </c>
      <c r="B17875" t="s">
        <v>67</v>
      </c>
      <c r="C17875" s="1">
        <f>HYPERLINK("https://cao.dolgi.msk.ru/account/1011453333/", 1011453333)</f>
        <v>1011453333</v>
      </c>
      <c r="D17875">
        <v>-3454.81</v>
      </c>
    </row>
    <row r="17876" spans="1:4" hidden="1" x14ac:dyDescent="0.3">
      <c r="A17876" t="s">
        <v>1049</v>
      </c>
      <c r="B17876" t="s">
        <v>68</v>
      </c>
      <c r="C17876" s="1">
        <f>HYPERLINK("https://cao.dolgi.msk.ru/account/1011453544/", 1011453544)</f>
        <v>1011453544</v>
      </c>
      <c r="D17876">
        <v>0</v>
      </c>
    </row>
    <row r="17877" spans="1:4" hidden="1" x14ac:dyDescent="0.3">
      <c r="A17877" t="s">
        <v>1049</v>
      </c>
      <c r="B17877" t="s">
        <v>69</v>
      </c>
      <c r="C17877" s="1">
        <f>HYPERLINK("https://cao.dolgi.msk.ru/account/1011454707/", 1011454707)</f>
        <v>1011454707</v>
      </c>
      <c r="D17877">
        <v>0</v>
      </c>
    </row>
    <row r="17878" spans="1:4" hidden="1" x14ac:dyDescent="0.3">
      <c r="A17878" t="s">
        <v>1049</v>
      </c>
      <c r="B17878" t="s">
        <v>70</v>
      </c>
      <c r="C17878" s="1">
        <f>HYPERLINK("https://cao.dolgi.msk.ru/account/1011454168/", 1011454168)</f>
        <v>1011454168</v>
      </c>
      <c r="D17878">
        <v>-10658.36</v>
      </c>
    </row>
    <row r="17879" spans="1:4" x14ac:dyDescent="0.3">
      <c r="A17879" t="s">
        <v>1049</v>
      </c>
      <c r="B17879" t="s">
        <v>259</v>
      </c>
      <c r="C17879" s="1">
        <f>HYPERLINK("https://cao.dolgi.msk.ru/account/1011454192/", 1011454192)</f>
        <v>1011454192</v>
      </c>
      <c r="D17879">
        <v>8704.2099999999991</v>
      </c>
    </row>
    <row r="17880" spans="1:4" hidden="1" x14ac:dyDescent="0.3">
      <c r="A17880" t="s">
        <v>1049</v>
      </c>
      <c r="B17880" t="s">
        <v>100</v>
      </c>
      <c r="C17880" s="1">
        <f>HYPERLINK("https://cao.dolgi.msk.ru/account/1011454256/", 1011454256)</f>
        <v>1011454256</v>
      </c>
      <c r="D17880">
        <v>0</v>
      </c>
    </row>
    <row r="17881" spans="1:4" hidden="1" x14ac:dyDescent="0.3">
      <c r="A17881" t="s">
        <v>1049</v>
      </c>
      <c r="B17881" t="s">
        <v>72</v>
      </c>
      <c r="C17881" s="1">
        <f>HYPERLINK("https://cao.dolgi.msk.ru/account/1011454299/", 1011454299)</f>
        <v>1011454299</v>
      </c>
      <c r="D17881">
        <v>-9897.32</v>
      </c>
    </row>
    <row r="17882" spans="1:4" hidden="1" x14ac:dyDescent="0.3">
      <c r="A17882" t="s">
        <v>1049</v>
      </c>
      <c r="B17882" t="s">
        <v>73</v>
      </c>
      <c r="C17882" s="1">
        <f>HYPERLINK("https://cao.dolgi.msk.ru/account/1011454563/", 1011454563)</f>
        <v>1011454563</v>
      </c>
      <c r="D17882">
        <v>0</v>
      </c>
    </row>
    <row r="17883" spans="1:4" x14ac:dyDescent="0.3">
      <c r="A17883" t="s">
        <v>1049</v>
      </c>
      <c r="B17883" t="s">
        <v>74</v>
      </c>
      <c r="C17883" s="1">
        <f>HYPERLINK("https://cao.dolgi.msk.ru/account/1011453421/", 1011453421)</f>
        <v>1011453421</v>
      </c>
      <c r="D17883">
        <v>123760.64</v>
      </c>
    </row>
    <row r="17884" spans="1:4" hidden="1" x14ac:dyDescent="0.3">
      <c r="A17884" t="s">
        <v>1049</v>
      </c>
      <c r="B17884" t="s">
        <v>75</v>
      </c>
      <c r="C17884" s="1">
        <f>HYPERLINK("https://cao.dolgi.msk.ru/account/1011452891/", 1011452891)</f>
        <v>1011452891</v>
      </c>
      <c r="D17884">
        <v>0</v>
      </c>
    </row>
    <row r="17885" spans="1:4" hidden="1" x14ac:dyDescent="0.3">
      <c r="A17885" t="s">
        <v>1049</v>
      </c>
      <c r="B17885" t="s">
        <v>76</v>
      </c>
      <c r="C17885" s="1">
        <f>HYPERLINK("https://cao.dolgi.msk.ru/account/1011454395/", 1011454395)</f>
        <v>1011454395</v>
      </c>
      <c r="D17885">
        <v>0</v>
      </c>
    </row>
    <row r="17886" spans="1:4" hidden="1" x14ac:dyDescent="0.3">
      <c r="A17886" t="s">
        <v>1049</v>
      </c>
      <c r="B17886" t="s">
        <v>77</v>
      </c>
      <c r="C17886" s="1">
        <f>HYPERLINK("https://cao.dolgi.msk.ru/account/1011452971/", 1011452971)</f>
        <v>1011452971</v>
      </c>
      <c r="D17886">
        <v>0</v>
      </c>
    </row>
    <row r="17887" spans="1:4" hidden="1" x14ac:dyDescent="0.3">
      <c r="A17887" t="s">
        <v>1049</v>
      </c>
      <c r="B17887" t="s">
        <v>78</v>
      </c>
      <c r="C17887" s="1">
        <f>HYPERLINK("https://cao.dolgi.msk.ru/account/1011453173/", 1011453173)</f>
        <v>1011453173</v>
      </c>
      <c r="D17887">
        <v>0</v>
      </c>
    </row>
    <row r="17888" spans="1:4" hidden="1" x14ac:dyDescent="0.3">
      <c r="A17888" t="s">
        <v>1049</v>
      </c>
      <c r="B17888" t="s">
        <v>79</v>
      </c>
      <c r="C17888" s="1">
        <f>HYPERLINK("https://cao.dolgi.msk.ru/account/1011454571/", 1011454571)</f>
        <v>1011454571</v>
      </c>
      <c r="D17888">
        <v>0</v>
      </c>
    </row>
    <row r="17889" spans="1:4" hidden="1" x14ac:dyDescent="0.3">
      <c r="A17889" t="s">
        <v>1049</v>
      </c>
      <c r="B17889" t="s">
        <v>80</v>
      </c>
      <c r="C17889" s="1">
        <f>HYPERLINK("https://cao.dolgi.msk.ru/account/1011452445/", 1011452445)</f>
        <v>1011452445</v>
      </c>
      <c r="D17889">
        <v>-4383.16</v>
      </c>
    </row>
    <row r="17890" spans="1:4" x14ac:dyDescent="0.3">
      <c r="A17890" t="s">
        <v>1049</v>
      </c>
      <c r="B17890" t="s">
        <v>81</v>
      </c>
      <c r="C17890" s="1">
        <f>HYPERLINK("https://cao.dolgi.msk.ru/account/1011453958/", 1011453958)</f>
        <v>1011453958</v>
      </c>
      <c r="D17890">
        <v>46704.15</v>
      </c>
    </row>
    <row r="17891" spans="1:4" hidden="1" x14ac:dyDescent="0.3">
      <c r="A17891" t="s">
        <v>1049</v>
      </c>
      <c r="B17891" t="s">
        <v>101</v>
      </c>
      <c r="C17891" s="1">
        <f>HYPERLINK("https://cao.dolgi.msk.ru/account/1011453907/", 1011453907)</f>
        <v>1011453907</v>
      </c>
      <c r="D17891">
        <v>0</v>
      </c>
    </row>
    <row r="17892" spans="1:4" hidden="1" x14ac:dyDescent="0.3">
      <c r="A17892" t="s">
        <v>1049</v>
      </c>
      <c r="B17892" t="s">
        <v>82</v>
      </c>
      <c r="C17892" s="1">
        <f>HYPERLINK("https://cao.dolgi.msk.ru/account/1011453034/", 1011453034)</f>
        <v>1011453034</v>
      </c>
      <c r="D17892">
        <v>0</v>
      </c>
    </row>
    <row r="17893" spans="1:4" x14ac:dyDescent="0.3">
      <c r="A17893" t="s">
        <v>1049</v>
      </c>
      <c r="B17893" t="s">
        <v>83</v>
      </c>
      <c r="C17893" s="1">
        <f>HYPERLINK("https://cao.dolgi.msk.ru/account/1011453683/", 1011453683)</f>
        <v>1011453683</v>
      </c>
      <c r="D17893">
        <v>475.36</v>
      </c>
    </row>
    <row r="17894" spans="1:4" hidden="1" x14ac:dyDescent="0.3">
      <c r="A17894" t="s">
        <v>1049</v>
      </c>
      <c r="B17894" t="s">
        <v>84</v>
      </c>
      <c r="C17894" s="1">
        <f>HYPERLINK("https://cao.dolgi.msk.ru/account/1011453085/", 1011453085)</f>
        <v>1011453085</v>
      </c>
      <c r="D17894">
        <v>0</v>
      </c>
    </row>
    <row r="17895" spans="1:4" hidden="1" x14ac:dyDescent="0.3">
      <c r="A17895" t="s">
        <v>1049</v>
      </c>
      <c r="B17895" t="s">
        <v>85</v>
      </c>
      <c r="C17895" s="1">
        <f>HYPERLINK("https://cao.dolgi.msk.ru/account/1011453229/", 1011453229)</f>
        <v>1011453229</v>
      </c>
      <c r="D17895">
        <v>0</v>
      </c>
    </row>
    <row r="17896" spans="1:4" hidden="1" x14ac:dyDescent="0.3">
      <c r="A17896" t="s">
        <v>1049</v>
      </c>
      <c r="B17896" t="s">
        <v>102</v>
      </c>
      <c r="C17896" s="1">
        <f>HYPERLINK("https://cao.dolgi.msk.ru/account/1011453341/", 1011453341)</f>
        <v>1011453341</v>
      </c>
      <c r="D17896">
        <v>-2991.09</v>
      </c>
    </row>
    <row r="17897" spans="1:4" hidden="1" x14ac:dyDescent="0.3">
      <c r="A17897" t="s">
        <v>1049</v>
      </c>
      <c r="B17897" t="s">
        <v>103</v>
      </c>
      <c r="C17897" s="1">
        <f>HYPERLINK("https://cao.dolgi.msk.ru/account/1011452664/", 1011452664)</f>
        <v>1011452664</v>
      </c>
      <c r="D17897">
        <v>-537.4</v>
      </c>
    </row>
    <row r="17898" spans="1:4" hidden="1" x14ac:dyDescent="0.3">
      <c r="A17898" t="s">
        <v>1049</v>
      </c>
      <c r="B17898" t="s">
        <v>104</v>
      </c>
      <c r="C17898" s="1">
        <f>HYPERLINK("https://cao.dolgi.msk.ru/account/1011453747/", 1011453747)</f>
        <v>1011453747</v>
      </c>
      <c r="D17898">
        <v>-1469.1</v>
      </c>
    </row>
    <row r="17899" spans="1:4" hidden="1" x14ac:dyDescent="0.3">
      <c r="A17899" t="s">
        <v>1049</v>
      </c>
      <c r="B17899" t="s">
        <v>105</v>
      </c>
      <c r="C17899" s="1">
        <f>HYPERLINK("https://cao.dolgi.msk.ru/account/1011453552/", 1011453552)</f>
        <v>1011453552</v>
      </c>
      <c r="D17899">
        <v>0</v>
      </c>
    </row>
    <row r="17900" spans="1:4" hidden="1" x14ac:dyDescent="0.3">
      <c r="A17900" t="s">
        <v>1049</v>
      </c>
      <c r="B17900" t="s">
        <v>106</v>
      </c>
      <c r="C17900" s="1">
        <f>HYPERLINK("https://cao.dolgi.msk.ru/account/1011454336/", 1011454336)</f>
        <v>1011454336</v>
      </c>
      <c r="D17900">
        <v>-7980.83</v>
      </c>
    </row>
    <row r="17901" spans="1:4" hidden="1" x14ac:dyDescent="0.3">
      <c r="A17901" t="s">
        <v>1049</v>
      </c>
      <c r="B17901" t="s">
        <v>107</v>
      </c>
      <c r="C17901" s="1">
        <f>HYPERLINK("https://cao.dolgi.msk.ru/account/1011452453/", 1011452453)</f>
        <v>1011452453</v>
      </c>
      <c r="D17901">
        <v>0</v>
      </c>
    </row>
    <row r="17902" spans="1:4" hidden="1" x14ac:dyDescent="0.3">
      <c r="A17902" t="s">
        <v>1049</v>
      </c>
      <c r="B17902" t="s">
        <v>108</v>
      </c>
      <c r="C17902" s="1">
        <f>HYPERLINK("https://cao.dolgi.msk.ru/account/1011454344/", 1011454344)</f>
        <v>1011454344</v>
      </c>
      <c r="D17902">
        <v>0</v>
      </c>
    </row>
    <row r="17903" spans="1:4" hidden="1" x14ac:dyDescent="0.3">
      <c r="A17903" t="s">
        <v>1049</v>
      </c>
      <c r="B17903" t="s">
        <v>109</v>
      </c>
      <c r="C17903" s="1">
        <f>HYPERLINK("https://cao.dolgi.msk.ru/account/1011454512/", 1011454512)</f>
        <v>1011454512</v>
      </c>
      <c r="D17903">
        <v>0</v>
      </c>
    </row>
    <row r="17904" spans="1:4" hidden="1" x14ac:dyDescent="0.3">
      <c r="A17904" t="s">
        <v>1049</v>
      </c>
      <c r="B17904" t="s">
        <v>110</v>
      </c>
      <c r="C17904" s="1">
        <f>HYPERLINK("https://cao.dolgi.msk.ru/account/1011453122/", 1011453122)</f>
        <v>1011453122</v>
      </c>
      <c r="D17904">
        <v>-4791.09</v>
      </c>
    </row>
    <row r="17905" spans="1:4" hidden="1" x14ac:dyDescent="0.3">
      <c r="A17905" t="s">
        <v>1049</v>
      </c>
      <c r="B17905" t="s">
        <v>111</v>
      </c>
      <c r="C17905" s="1">
        <f>HYPERLINK("https://cao.dolgi.msk.ru/account/1011452672/", 1011452672)</f>
        <v>1011452672</v>
      </c>
      <c r="D17905">
        <v>0</v>
      </c>
    </row>
    <row r="17906" spans="1:4" hidden="1" x14ac:dyDescent="0.3">
      <c r="A17906" t="s">
        <v>1049</v>
      </c>
      <c r="B17906" t="s">
        <v>112</v>
      </c>
      <c r="C17906" s="1">
        <f>HYPERLINK("https://cao.dolgi.msk.ru/account/1011454547/", 1011454547)</f>
        <v>1011454547</v>
      </c>
      <c r="D17906">
        <v>-7005.25</v>
      </c>
    </row>
    <row r="17907" spans="1:4" hidden="1" x14ac:dyDescent="0.3">
      <c r="A17907" t="s">
        <v>1049</v>
      </c>
      <c r="B17907" t="s">
        <v>113</v>
      </c>
      <c r="C17907" s="1">
        <f>HYPERLINK("https://cao.dolgi.msk.ru/account/1011453966/", 1011453966)</f>
        <v>1011453966</v>
      </c>
      <c r="D17907">
        <v>0</v>
      </c>
    </row>
    <row r="17908" spans="1:4" x14ac:dyDescent="0.3">
      <c r="A17908" t="s">
        <v>1049</v>
      </c>
      <c r="B17908" t="s">
        <v>114</v>
      </c>
      <c r="C17908" s="1">
        <f>HYPERLINK("https://cao.dolgi.msk.ru/account/1011454301/", 1011454301)</f>
        <v>1011454301</v>
      </c>
      <c r="D17908">
        <v>391123.76</v>
      </c>
    </row>
    <row r="17909" spans="1:4" x14ac:dyDescent="0.3">
      <c r="A17909" t="s">
        <v>1049</v>
      </c>
      <c r="B17909" t="s">
        <v>115</v>
      </c>
      <c r="C17909" s="1">
        <f>HYPERLINK("https://cao.dolgi.msk.ru/account/1011453616/", 1011453616)</f>
        <v>1011453616</v>
      </c>
      <c r="D17909">
        <v>264486.46000000002</v>
      </c>
    </row>
    <row r="17910" spans="1:4" x14ac:dyDescent="0.3">
      <c r="A17910" t="s">
        <v>1049</v>
      </c>
      <c r="B17910" t="s">
        <v>116</v>
      </c>
      <c r="C17910" s="1">
        <f>HYPERLINK("https://cao.dolgi.msk.ru/account/1011454408/", 1011454408)</f>
        <v>1011454408</v>
      </c>
      <c r="D17910">
        <v>93765.64</v>
      </c>
    </row>
    <row r="17911" spans="1:4" x14ac:dyDescent="0.3">
      <c r="A17911" t="s">
        <v>1049</v>
      </c>
      <c r="B17911" t="s">
        <v>266</v>
      </c>
      <c r="C17911" s="1">
        <f>HYPERLINK("https://cao.dolgi.msk.ru/account/1011452509/", 1011452509)</f>
        <v>1011452509</v>
      </c>
      <c r="D17911">
        <v>58680.95</v>
      </c>
    </row>
    <row r="17912" spans="1:4" hidden="1" x14ac:dyDescent="0.3">
      <c r="A17912" t="s">
        <v>1049</v>
      </c>
      <c r="B17912" t="s">
        <v>117</v>
      </c>
      <c r="C17912" s="1">
        <f>HYPERLINK("https://cao.dolgi.msk.ru/account/1011452373/", 1011452373)</f>
        <v>1011452373</v>
      </c>
      <c r="D17912">
        <v>0</v>
      </c>
    </row>
    <row r="17913" spans="1:4" hidden="1" x14ac:dyDescent="0.3">
      <c r="A17913" t="s">
        <v>1049</v>
      </c>
      <c r="B17913" t="s">
        <v>118</v>
      </c>
      <c r="C17913" s="1">
        <f>HYPERLINK("https://cao.dolgi.msk.ru/account/1011453464/", 1011453464)</f>
        <v>1011453464</v>
      </c>
      <c r="D17913">
        <v>0</v>
      </c>
    </row>
    <row r="17914" spans="1:4" x14ac:dyDescent="0.3">
      <c r="A17914" t="s">
        <v>1049</v>
      </c>
      <c r="B17914" t="s">
        <v>119</v>
      </c>
      <c r="C17914" s="1">
        <f>HYPERLINK("https://cao.dolgi.msk.ru/account/1011452461/", 1011452461)</f>
        <v>1011452461</v>
      </c>
      <c r="D17914">
        <v>44519.96</v>
      </c>
    </row>
    <row r="17915" spans="1:4" hidden="1" x14ac:dyDescent="0.3">
      <c r="A17915" t="s">
        <v>1049</v>
      </c>
      <c r="B17915" t="s">
        <v>120</v>
      </c>
      <c r="C17915" s="1">
        <f>HYPERLINK("https://cao.dolgi.msk.ru/account/1011453069/", 1011453069)</f>
        <v>1011453069</v>
      </c>
      <c r="D17915">
        <v>0</v>
      </c>
    </row>
    <row r="17916" spans="1:4" x14ac:dyDescent="0.3">
      <c r="A17916" t="s">
        <v>1049</v>
      </c>
      <c r="B17916" t="s">
        <v>121</v>
      </c>
      <c r="C17916" s="1">
        <f>HYPERLINK("https://cao.dolgi.msk.ru/account/1011453237/", 1011453237)</f>
        <v>1011453237</v>
      </c>
      <c r="D17916">
        <v>22539.99</v>
      </c>
    </row>
    <row r="17917" spans="1:4" hidden="1" x14ac:dyDescent="0.3">
      <c r="A17917" t="s">
        <v>1049</v>
      </c>
      <c r="B17917" t="s">
        <v>122</v>
      </c>
      <c r="C17917" s="1">
        <f>HYPERLINK("https://cao.dolgi.msk.ru/account/1011453843/", 1011453843)</f>
        <v>1011453843</v>
      </c>
      <c r="D17917">
        <v>0</v>
      </c>
    </row>
    <row r="17918" spans="1:4" hidden="1" x14ac:dyDescent="0.3">
      <c r="A17918" t="s">
        <v>1049</v>
      </c>
      <c r="B17918" t="s">
        <v>123</v>
      </c>
      <c r="C17918" s="1">
        <f>HYPERLINK("https://cao.dolgi.msk.ru/account/1011453093/", 1011453093)</f>
        <v>1011453093</v>
      </c>
      <c r="D17918">
        <v>0</v>
      </c>
    </row>
    <row r="17919" spans="1:4" hidden="1" x14ac:dyDescent="0.3">
      <c r="A17919" t="s">
        <v>1049</v>
      </c>
      <c r="B17919" t="s">
        <v>124</v>
      </c>
      <c r="C17919" s="1">
        <f>HYPERLINK("https://cao.dolgi.msk.ru/account/1011453587/", 1011453587)</f>
        <v>1011453587</v>
      </c>
      <c r="D17919">
        <v>0</v>
      </c>
    </row>
    <row r="17920" spans="1:4" hidden="1" x14ac:dyDescent="0.3">
      <c r="A17920" t="s">
        <v>1049</v>
      </c>
      <c r="B17920" t="s">
        <v>125</v>
      </c>
      <c r="C17920" s="1">
        <f>HYPERLINK("https://cao.dolgi.msk.ru/account/1011452816/", 1011452816)</f>
        <v>1011452816</v>
      </c>
      <c r="D17920">
        <v>-268.7</v>
      </c>
    </row>
    <row r="17921" spans="1:4" hidden="1" x14ac:dyDescent="0.3">
      <c r="A17921" t="s">
        <v>1049</v>
      </c>
      <c r="B17921" t="s">
        <v>126</v>
      </c>
      <c r="C17921" s="1">
        <f>HYPERLINK("https://cao.dolgi.msk.ru/account/1011452904/", 1011452904)</f>
        <v>1011452904</v>
      </c>
      <c r="D17921">
        <v>0</v>
      </c>
    </row>
    <row r="17922" spans="1:4" x14ac:dyDescent="0.3">
      <c r="A17922" t="s">
        <v>1049</v>
      </c>
      <c r="B17922" t="s">
        <v>127</v>
      </c>
      <c r="C17922" s="1">
        <f>HYPERLINK("https://cao.dolgi.msk.ru/account/1011454053/", 1011454053)</f>
        <v>1011454053</v>
      </c>
      <c r="D17922">
        <v>16728.45</v>
      </c>
    </row>
    <row r="17923" spans="1:4" hidden="1" x14ac:dyDescent="0.3">
      <c r="A17923" t="s">
        <v>1049</v>
      </c>
      <c r="B17923" t="s">
        <v>262</v>
      </c>
      <c r="C17923" s="1">
        <f>HYPERLINK("https://cao.dolgi.msk.ru/account/1011454205/", 1011454205)</f>
        <v>1011454205</v>
      </c>
      <c r="D17923">
        <v>-1023.03</v>
      </c>
    </row>
    <row r="17924" spans="1:4" hidden="1" x14ac:dyDescent="0.3">
      <c r="A17924" t="s">
        <v>1049</v>
      </c>
      <c r="B17924" t="s">
        <v>128</v>
      </c>
      <c r="C17924" s="1">
        <f>HYPERLINK("https://cao.dolgi.msk.ru/account/1011454598/", 1011454598)</f>
        <v>1011454598</v>
      </c>
      <c r="D17924">
        <v>0</v>
      </c>
    </row>
    <row r="17925" spans="1:4" hidden="1" x14ac:dyDescent="0.3">
      <c r="A17925" t="s">
        <v>1049</v>
      </c>
      <c r="B17925" t="s">
        <v>129</v>
      </c>
      <c r="C17925" s="1">
        <f>HYPERLINK("https://cao.dolgi.msk.ru/account/1011453624/", 1011453624)</f>
        <v>1011453624</v>
      </c>
      <c r="D17925">
        <v>0</v>
      </c>
    </row>
    <row r="17926" spans="1:4" hidden="1" x14ac:dyDescent="0.3">
      <c r="A17926" t="s">
        <v>1049</v>
      </c>
      <c r="B17926" t="s">
        <v>130</v>
      </c>
      <c r="C17926" s="1">
        <f>HYPERLINK("https://cao.dolgi.msk.ru/account/1011453042/", 1011453042)</f>
        <v>1011453042</v>
      </c>
      <c r="D17926">
        <v>-7898.52</v>
      </c>
    </row>
    <row r="17927" spans="1:4" hidden="1" x14ac:dyDescent="0.3">
      <c r="A17927" t="s">
        <v>1049</v>
      </c>
      <c r="B17927" t="s">
        <v>131</v>
      </c>
      <c r="C17927" s="1">
        <f>HYPERLINK("https://cao.dolgi.msk.ru/account/1011453018/", 1011453018)</f>
        <v>1011453018</v>
      </c>
      <c r="D17927">
        <v>0</v>
      </c>
    </row>
    <row r="17928" spans="1:4" hidden="1" x14ac:dyDescent="0.3">
      <c r="A17928" t="s">
        <v>1049</v>
      </c>
      <c r="B17928" t="s">
        <v>132</v>
      </c>
      <c r="C17928" s="1">
        <f>HYPERLINK("https://cao.dolgi.msk.ru/account/1011454176/", 1011454176)</f>
        <v>1011454176</v>
      </c>
      <c r="D17928">
        <v>-971.27</v>
      </c>
    </row>
    <row r="17929" spans="1:4" hidden="1" x14ac:dyDescent="0.3">
      <c r="A17929" t="s">
        <v>1049</v>
      </c>
      <c r="B17929" t="s">
        <v>133</v>
      </c>
      <c r="C17929" s="1">
        <f>HYPERLINK("https://cao.dolgi.msk.ru/account/1011454475/", 1011454475)</f>
        <v>1011454475</v>
      </c>
      <c r="D17929">
        <v>0</v>
      </c>
    </row>
    <row r="17930" spans="1:4" hidden="1" x14ac:dyDescent="0.3">
      <c r="A17930" t="s">
        <v>1049</v>
      </c>
      <c r="B17930" t="s">
        <v>134</v>
      </c>
      <c r="C17930" s="1">
        <f>HYPERLINK("https://cao.dolgi.msk.ru/account/1011453026/", 1011453026)</f>
        <v>1011453026</v>
      </c>
      <c r="D17930">
        <v>-1302.51</v>
      </c>
    </row>
    <row r="17931" spans="1:4" hidden="1" x14ac:dyDescent="0.3">
      <c r="A17931" t="s">
        <v>1049</v>
      </c>
      <c r="B17931" t="s">
        <v>135</v>
      </c>
      <c r="C17931" s="1">
        <f>HYPERLINK("https://cao.dolgi.msk.ru/account/1011454045/", 1011454045)</f>
        <v>1011454045</v>
      </c>
      <c r="D17931">
        <v>0</v>
      </c>
    </row>
    <row r="17932" spans="1:4" hidden="1" x14ac:dyDescent="0.3">
      <c r="A17932" t="s">
        <v>1049</v>
      </c>
      <c r="B17932" t="s">
        <v>264</v>
      </c>
      <c r="C17932" s="1">
        <f>HYPERLINK("https://cao.dolgi.msk.ru/account/1011453077/", 1011453077)</f>
        <v>1011453077</v>
      </c>
      <c r="D17932">
        <v>-268.7</v>
      </c>
    </row>
    <row r="17933" spans="1:4" x14ac:dyDescent="0.3">
      <c r="A17933" t="s">
        <v>1049</v>
      </c>
      <c r="B17933" t="s">
        <v>136</v>
      </c>
      <c r="C17933" s="1">
        <f>HYPERLINK("https://cao.dolgi.msk.ru/account/1011452381/", 1011452381)</f>
        <v>1011452381</v>
      </c>
      <c r="D17933">
        <v>6842.09</v>
      </c>
    </row>
    <row r="17934" spans="1:4" hidden="1" x14ac:dyDescent="0.3">
      <c r="A17934" t="s">
        <v>1049</v>
      </c>
      <c r="B17934" t="s">
        <v>137</v>
      </c>
      <c r="C17934" s="1">
        <f>HYPERLINK("https://cao.dolgi.msk.ru/account/1011453245/", 1011453245)</f>
        <v>1011453245</v>
      </c>
      <c r="D17934">
        <v>0</v>
      </c>
    </row>
    <row r="17935" spans="1:4" hidden="1" x14ac:dyDescent="0.3">
      <c r="A17935" t="s">
        <v>1049</v>
      </c>
      <c r="B17935" t="s">
        <v>138</v>
      </c>
      <c r="C17935" s="1">
        <f>HYPERLINK("https://cao.dolgi.msk.ru/account/1011453755/", 1011453755)</f>
        <v>1011453755</v>
      </c>
      <c r="D17935">
        <v>0</v>
      </c>
    </row>
    <row r="17936" spans="1:4" x14ac:dyDescent="0.3">
      <c r="A17936" t="s">
        <v>1049</v>
      </c>
      <c r="B17936" t="s">
        <v>139</v>
      </c>
      <c r="C17936" s="1">
        <f>HYPERLINK("https://cao.dolgi.msk.ru/account/1011454061/", 1011454061)</f>
        <v>1011454061</v>
      </c>
      <c r="D17936">
        <v>8477.5</v>
      </c>
    </row>
    <row r="17937" spans="1:4" hidden="1" x14ac:dyDescent="0.3">
      <c r="A17937" t="s">
        <v>1049</v>
      </c>
      <c r="B17937" t="s">
        <v>140</v>
      </c>
      <c r="C17937" s="1">
        <f>HYPERLINK("https://cao.dolgi.msk.ru/account/1011454352/", 1011454352)</f>
        <v>1011454352</v>
      </c>
      <c r="D17937">
        <v>0</v>
      </c>
    </row>
    <row r="17938" spans="1:4" hidden="1" x14ac:dyDescent="0.3">
      <c r="A17938" t="s">
        <v>1049</v>
      </c>
      <c r="B17938" t="s">
        <v>140</v>
      </c>
      <c r="C17938" s="1">
        <f>HYPERLINK("https://cao.dolgi.msk.ru/account/1011454539/", 1011454539)</f>
        <v>1011454539</v>
      </c>
      <c r="D17938">
        <v>0</v>
      </c>
    </row>
    <row r="17939" spans="1:4" x14ac:dyDescent="0.3">
      <c r="A17939" t="s">
        <v>1049</v>
      </c>
      <c r="B17939" t="s">
        <v>141</v>
      </c>
      <c r="C17939" s="1">
        <f>HYPERLINK("https://cao.dolgi.msk.ru/account/1011453915/", 1011453915)</f>
        <v>1011453915</v>
      </c>
      <c r="D17939">
        <v>4684.3100000000004</v>
      </c>
    </row>
    <row r="17940" spans="1:4" hidden="1" x14ac:dyDescent="0.3">
      <c r="A17940" t="s">
        <v>1049</v>
      </c>
      <c r="B17940" t="s">
        <v>142</v>
      </c>
      <c r="C17940" s="1">
        <f>HYPERLINK("https://cao.dolgi.msk.ru/account/1011453798/", 1011453798)</f>
        <v>1011453798</v>
      </c>
      <c r="D17940">
        <v>0</v>
      </c>
    </row>
    <row r="17941" spans="1:4" hidden="1" x14ac:dyDescent="0.3">
      <c r="A17941" t="s">
        <v>1049</v>
      </c>
      <c r="B17941" t="s">
        <v>143</v>
      </c>
      <c r="C17941" s="1">
        <f>HYPERLINK("https://cao.dolgi.msk.ru/account/1011452912/", 1011452912)</f>
        <v>1011452912</v>
      </c>
      <c r="D17941">
        <v>0</v>
      </c>
    </row>
    <row r="17942" spans="1:4" hidden="1" x14ac:dyDescent="0.3">
      <c r="A17942" t="s">
        <v>1049</v>
      </c>
      <c r="B17942" t="s">
        <v>144</v>
      </c>
      <c r="C17942" s="1">
        <f>HYPERLINK("https://cao.dolgi.msk.ru/account/1011454213/", 1011454213)</f>
        <v>1011454213</v>
      </c>
      <c r="D17942">
        <v>0</v>
      </c>
    </row>
    <row r="17943" spans="1:4" x14ac:dyDescent="0.3">
      <c r="A17943" t="s">
        <v>1049</v>
      </c>
      <c r="B17943" t="s">
        <v>145</v>
      </c>
      <c r="C17943" s="1">
        <f>HYPERLINK("https://cao.dolgi.msk.ru/account/1011452402/", 1011452402)</f>
        <v>1011452402</v>
      </c>
      <c r="D17943">
        <v>47783.519999999997</v>
      </c>
    </row>
    <row r="17944" spans="1:4" hidden="1" x14ac:dyDescent="0.3">
      <c r="A17944" t="s">
        <v>1049</v>
      </c>
      <c r="B17944" t="s">
        <v>146</v>
      </c>
      <c r="C17944" s="1">
        <f>HYPERLINK("https://cao.dolgi.msk.ru/account/1011453595/", 1011453595)</f>
        <v>1011453595</v>
      </c>
      <c r="D17944">
        <v>0</v>
      </c>
    </row>
    <row r="17945" spans="1:4" hidden="1" x14ac:dyDescent="0.3">
      <c r="A17945" t="s">
        <v>1049</v>
      </c>
      <c r="B17945" t="s">
        <v>147</v>
      </c>
      <c r="C17945" s="1">
        <f>HYPERLINK("https://cao.dolgi.msk.ru/account/1011453448/", 1011453448)</f>
        <v>1011453448</v>
      </c>
      <c r="D17945">
        <v>0</v>
      </c>
    </row>
    <row r="17946" spans="1:4" hidden="1" x14ac:dyDescent="0.3">
      <c r="A17946" t="s">
        <v>1049</v>
      </c>
      <c r="B17946" t="s">
        <v>148</v>
      </c>
      <c r="C17946" s="1">
        <f>HYPERLINK("https://cao.dolgi.msk.ru/account/1011452517/", 1011452517)</f>
        <v>1011452517</v>
      </c>
      <c r="D17946">
        <v>0</v>
      </c>
    </row>
    <row r="17947" spans="1:4" x14ac:dyDescent="0.3">
      <c r="A17947" t="s">
        <v>1049</v>
      </c>
      <c r="B17947" t="s">
        <v>149</v>
      </c>
      <c r="C17947" s="1">
        <f>HYPERLINK("https://cao.dolgi.msk.ru/account/1011454643/", 1011454643)</f>
        <v>1011454643</v>
      </c>
      <c r="D17947">
        <v>1110.68</v>
      </c>
    </row>
    <row r="17948" spans="1:4" hidden="1" x14ac:dyDescent="0.3">
      <c r="A17948" t="s">
        <v>1049</v>
      </c>
      <c r="B17948" t="s">
        <v>150</v>
      </c>
      <c r="C17948" s="1">
        <f>HYPERLINK("https://cao.dolgi.msk.ru/account/1011454379/", 1011454379)</f>
        <v>1011454379</v>
      </c>
      <c r="D17948">
        <v>0</v>
      </c>
    </row>
    <row r="17949" spans="1:4" hidden="1" x14ac:dyDescent="0.3">
      <c r="A17949" t="s">
        <v>1049</v>
      </c>
      <c r="B17949" t="s">
        <v>151</v>
      </c>
      <c r="C17949" s="1">
        <f>HYPERLINK("https://cao.dolgi.msk.ru/account/1011453691/", 1011453691)</f>
        <v>1011453691</v>
      </c>
      <c r="D17949">
        <v>0</v>
      </c>
    </row>
    <row r="17950" spans="1:4" hidden="1" x14ac:dyDescent="0.3">
      <c r="A17950" t="s">
        <v>1049</v>
      </c>
      <c r="B17950" t="s">
        <v>152</v>
      </c>
      <c r="C17950" s="1">
        <f>HYPERLINK("https://cao.dolgi.msk.ru/account/1011453368/", 1011453368)</f>
        <v>1011453368</v>
      </c>
      <c r="D17950">
        <v>-11835.64</v>
      </c>
    </row>
    <row r="17951" spans="1:4" x14ac:dyDescent="0.3">
      <c r="A17951" t="s">
        <v>1049</v>
      </c>
      <c r="B17951" t="s">
        <v>153</v>
      </c>
      <c r="C17951" s="1">
        <f>HYPERLINK("https://cao.dolgi.msk.ru/account/1011453579/", 1011453579)</f>
        <v>1011453579</v>
      </c>
      <c r="D17951">
        <v>9342.8700000000008</v>
      </c>
    </row>
    <row r="17952" spans="1:4" hidden="1" x14ac:dyDescent="0.3">
      <c r="A17952" t="s">
        <v>1049</v>
      </c>
      <c r="B17952" t="s">
        <v>154</v>
      </c>
      <c r="C17952" s="1">
        <f>HYPERLINK("https://cao.dolgi.msk.ru/account/1011454491/", 1011454491)</f>
        <v>1011454491</v>
      </c>
      <c r="D17952">
        <v>0</v>
      </c>
    </row>
    <row r="17953" spans="1:4" hidden="1" x14ac:dyDescent="0.3">
      <c r="A17953" t="s">
        <v>1049</v>
      </c>
      <c r="B17953" t="s">
        <v>155</v>
      </c>
      <c r="C17953" s="1">
        <f>HYPERLINK("https://cao.dolgi.msk.ru/account/1011453106/", 1011453106)</f>
        <v>1011453106</v>
      </c>
      <c r="D17953">
        <v>0</v>
      </c>
    </row>
    <row r="17954" spans="1:4" x14ac:dyDescent="0.3">
      <c r="A17954" t="s">
        <v>1049</v>
      </c>
      <c r="B17954" t="s">
        <v>156</v>
      </c>
      <c r="C17954" s="1">
        <f>HYPERLINK("https://cao.dolgi.msk.ru/account/1011452541/", 1011452541)</f>
        <v>1011452541</v>
      </c>
      <c r="D17954">
        <v>18006.64</v>
      </c>
    </row>
    <row r="17955" spans="1:4" x14ac:dyDescent="0.3">
      <c r="A17955" t="s">
        <v>1049</v>
      </c>
      <c r="B17955" t="s">
        <v>157</v>
      </c>
      <c r="C17955" s="1">
        <f>HYPERLINK("https://cao.dolgi.msk.ru/account/1011453376/", 1011453376)</f>
        <v>1011453376</v>
      </c>
      <c r="D17955">
        <v>8317.5300000000007</v>
      </c>
    </row>
    <row r="17956" spans="1:4" hidden="1" x14ac:dyDescent="0.3">
      <c r="A17956" t="s">
        <v>1049</v>
      </c>
      <c r="B17956" t="s">
        <v>158</v>
      </c>
      <c r="C17956" s="1">
        <f>HYPERLINK("https://cao.dolgi.msk.ru/account/1011454221/", 1011454221)</f>
        <v>1011454221</v>
      </c>
      <c r="D17956">
        <v>0</v>
      </c>
    </row>
    <row r="17957" spans="1:4" hidden="1" x14ac:dyDescent="0.3">
      <c r="A17957" t="s">
        <v>1049</v>
      </c>
      <c r="B17957" t="s">
        <v>159</v>
      </c>
      <c r="C17957" s="1">
        <f>HYPERLINK("https://cao.dolgi.msk.ru/account/1011453819/", 1011453819)</f>
        <v>1011453819</v>
      </c>
      <c r="D17957">
        <v>0</v>
      </c>
    </row>
    <row r="17958" spans="1:4" hidden="1" x14ac:dyDescent="0.3">
      <c r="A17958" t="s">
        <v>1049</v>
      </c>
      <c r="B17958" t="s">
        <v>160</v>
      </c>
      <c r="C17958" s="1">
        <f>HYPERLINK("https://cao.dolgi.msk.ru/account/1011454555/", 1011454555)</f>
        <v>1011454555</v>
      </c>
      <c r="D17958">
        <v>0</v>
      </c>
    </row>
    <row r="17959" spans="1:4" x14ac:dyDescent="0.3">
      <c r="A17959" t="s">
        <v>1049</v>
      </c>
      <c r="B17959" t="s">
        <v>161</v>
      </c>
      <c r="C17959" s="1">
        <f>HYPERLINK("https://cao.dolgi.msk.ru/account/1011453149/", 1011453149)</f>
        <v>1011453149</v>
      </c>
      <c r="D17959">
        <v>6993.95</v>
      </c>
    </row>
    <row r="17960" spans="1:4" hidden="1" x14ac:dyDescent="0.3">
      <c r="A17960" t="s">
        <v>1049</v>
      </c>
      <c r="B17960" t="s">
        <v>162</v>
      </c>
      <c r="C17960" s="1">
        <f>HYPERLINK("https://cao.dolgi.msk.ru/account/1011454678/", 1011454678)</f>
        <v>1011454678</v>
      </c>
      <c r="D17960">
        <v>-413.84</v>
      </c>
    </row>
    <row r="17961" spans="1:4" hidden="1" x14ac:dyDescent="0.3">
      <c r="A17961" t="s">
        <v>1049</v>
      </c>
      <c r="B17961" t="s">
        <v>163</v>
      </c>
      <c r="C17961" s="1">
        <f>HYPERLINK("https://cao.dolgi.msk.ru/account/1011453974/", 1011453974)</f>
        <v>1011453974</v>
      </c>
      <c r="D17961">
        <v>0</v>
      </c>
    </row>
    <row r="17962" spans="1:4" hidden="1" x14ac:dyDescent="0.3">
      <c r="A17962" t="s">
        <v>1049</v>
      </c>
      <c r="B17962" t="s">
        <v>163</v>
      </c>
      <c r="C17962" s="1">
        <f>HYPERLINK("https://cao.dolgi.msk.ru/account/1011454184/", 1011454184)</f>
        <v>1011454184</v>
      </c>
      <c r="D17962">
        <v>0</v>
      </c>
    </row>
    <row r="17963" spans="1:4" hidden="1" x14ac:dyDescent="0.3">
      <c r="A17963" t="s">
        <v>1049</v>
      </c>
      <c r="B17963" t="s">
        <v>164</v>
      </c>
      <c r="C17963" s="1">
        <f>HYPERLINK("https://cao.dolgi.msk.ru/account/1011453253/", 1011453253)</f>
        <v>1011453253</v>
      </c>
      <c r="D17963">
        <v>-268.7</v>
      </c>
    </row>
    <row r="17964" spans="1:4" hidden="1" x14ac:dyDescent="0.3">
      <c r="A17964" t="s">
        <v>1049</v>
      </c>
      <c r="B17964" t="s">
        <v>165</v>
      </c>
      <c r="C17964" s="1">
        <f>HYPERLINK("https://cao.dolgi.msk.ru/account/1011452592/", 1011452592)</f>
        <v>1011452592</v>
      </c>
      <c r="D17964">
        <v>0</v>
      </c>
    </row>
    <row r="17965" spans="1:4" hidden="1" x14ac:dyDescent="0.3">
      <c r="A17965" t="s">
        <v>1049</v>
      </c>
      <c r="B17965" t="s">
        <v>166</v>
      </c>
      <c r="C17965" s="1">
        <f>HYPERLINK("https://cao.dolgi.msk.ru/account/1011452429/", 1011452429)</f>
        <v>1011452429</v>
      </c>
      <c r="D17965">
        <v>0</v>
      </c>
    </row>
    <row r="17966" spans="1:4" hidden="1" x14ac:dyDescent="0.3">
      <c r="A17966" t="s">
        <v>1049</v>
      </c>
      <c r="B17966" t="s">
        <v>167</v>
      </c>
      <c r="C17966" s="1">
        <f>HYPERLINK("https://cao.dolgi.msk.ru/account/1011452437/", 1011452437)</f>
        <v>1011452437</v>
      </c>
      <c r="D17966">
        <v>-40.4</v>
      </c>
    </row>
    <row r="17967" spans="1:4" hidden="1" x14ac:dyDescent="0.3">
      <c r="A17967" t="s">
        <v>1049</v>
      </c>
      <c r="B17967" t="s">
        <v>168</v>
      </c>
      <c r="C17967" s="1">
        <f>HYPERLINK("https://cao.dolgi.msk.ru/account/1011453309/", 1011453309)</f>
        <v>1011453309</v>
      </c>
      <c r="D17967">
        <v>0</v>
      </c>
    </row>
    <row r="17968" spans="1:4" hidden="1" x14ac:dyDescent="0.3">
      <c r="A17968" t="s">
        <v>1049</v>
      </c>
      <c r="B17968" t="s">
        <v>169</v>
      </c>
      <c r="C17968" s="1">
        <f>HYPERLINK("https://cao.dolgi.msk.ru/account/1011453261/", 1011453261)</f>
        <v>1011453261</v>
      </c>
      <c r="D17968">
        <v>0</v>
      </c>
    </row>
    <row r="17969" spans="1:4" hidden="1" x14ac:dyDescent="0.3">
      <c r="A17969" t="s">
        <v>1049</v>
      </c>
      <c r="B17969" t="s">
        <v>170</v>
      </c>
      <c r="C17969" s="1">
        <f>HYPERLINK("https://cao.dolgi.msk.ru/account/1011453472/", 1011453472)</f>
        <v>1011453472</v>
      </c>
      <c r="D17969">
        <v>-4700.05</v>
      </c>
    </row>
    <row r="17970" spans="1:4" hidden="1" x14ac:dyDescent="0.3">
      <c r="A17970" t="s">
        <v>1049</v>
      </c>
      <c r="B17970" t="s">
        <v>171</v>
      </c>
      <c r="C17970" s="1">
        <f>HYPERLINK("https://cao.dolgi.msk.ru/account/1011453202/", 1011453202)</f>
        <v>1011453202</v>
      </c>
      <c r="D17970">
        <v>-5.15</v>
      </c>
    </row>
    <row r="17971" spans="1:4" hidden="1" x14ac:dyDescent="0.3">
      <c r="A17971" t="s">
        <v>1049</v>
      </c>
      <c r="B17971" t="s">
        <v>172</v>
      </c>
      <c r="C17971" s="1">
        <f>HYPERLINK("https://cao.dolgi.msk.ru/account/1011454619/", 1011454619)</f>
        <v>1011454619</v>
      </c>
      <c r="D17971">
        <v>0</v>
      </c>
    </row>
    <row r="17972" spans="1:4" x14ac:dyDescent="0.3">
      <c r="A17972" t="s">
        <v>1049</v>
      </c>
      <c r="B17972" t="s">
        <v>173</v>
      </c>
      <c r="C17972" s="1">
        <f>HYPERLINK("https://cao.dolgi.msk.ru/account/1011454133/", 1011454133)</f>
        <v>1011454133</v>
      </c>
      <c r="D17972">
        <v>14611.06</v>
      </c>
    </row>
    <row r="17973" spans="1:4" hidden="1" x14ac:dyDescent="0.3">
      <c r="A17973" t="s">
        <v>1049</v>
      </c>
      <c r="B17973" t="s">
        <v>174</v>
      </c>
      <c r="C17973" s="1">
        <f>HYPERLINK("https://cao.dolgi.msk.ru/account/1011453499/", 1011453499)</f>
        <v>1011453499</v>
      </c>
      <c r="D17973">
        <v>0</v>
      </c>
    </row>
    <row r="17974" spans="1:4" hidden="1" x14ac:dyDescent="0.3">
      <c r="A17974" t="s">
        <v>1049</v>
      </c>
      <c r="B17974" t="s">
        <v>175</v>
      </c>
      <c r="C17974" s="1">
        <f>HYPERLINK("https://cao.dolgi.msk.ru/account/1011454504/", 1011454504)</f>
        <v>1011454504</v>
      </c>
      <c r="D17974">
        <v>0</v>
      </c>
    </row>
    <row r="17975" spans="1:4" hidden="1" x14ac:dyDescent="0.3">
      <c r="A17975" t="s">
        <v>1049</v>
      </c>
      <c r="B17975" t="s">
        <v>176</v>
      </c>
      <c r="C17975" s="1">
        <f>HYPERLINK("https://cao.dolgi.msk.ru/account/1011454483/", 1011454483)</f>
        <v>1011454483</v>
      </c>
      <c r="D17975">
        <v>-15679.89</v>
      </c>
    </row>
    <row r="17976" spans="1:4" hidden="1" x14ac:dyDescent="0.3">
      <c r="A17976" t="s">
        <v>1049</v>
      </c>
      <c r="B17976" t="s">
        <v>177</v>
      </c>
      <c r="C17976" s="1">
        <f>HYPERLINK("https://cao.dolgi.msk.ru/account/1011453501/", 1011453501)</f>
        <v>1011453501</v>
      </c>
      <c r="D17976">
        <v>0</v>
      </c>
    </row>
    <row r="17977" spans="1:4" hidden="1" x14ac:dyDescent="0.3">
      <c r="A17977" t="s">
        <v>1049</v>
      </c>
      <c r="B17977" t="s">
        <v>178</v>
      </c>
      <c r="C17977" s="1">
        <f>HYPERLINK("https://cao.dolgi.msk.ru/account/1011454328/", 1011454328)</f>
        <v>1011454328</v>
      </c>
      <c r="D17977">
        <v>0</v>
      </c>
    </row>
    <row r="17978" spans="1:4" hidden="1" x14ac:dyDescent="0.3">
      <c r="A17978" t="s">
        <v>1049</v>
      </c>
      <c r="B17978" t="s">
        <v>179</v>
      </c>
      <c r="C17978" s="1">
        <f>HYPERLINK("https://cao.dolgi.msk.ru/account/1011453288/", 1011453288)</f>
        <v>1011453288</v>
      </c>
      <c r="D17978">
        <v>-7381.3</v>
      </c>
    </row>
    <row r="17979" spans="1:4" hidden="1" x14ac:dyDescent="0.3">
      <c r="A17979" t="s">
        <v>1049</v>
      </c>
      <c r="B17979" t="s">
        <v>273</v>
      </c>
      <c r="C17979" s="1">
        <f>HYPERLINK("https://cao.dolgi.msk.ru/account/1011454782/", 1011454782)</f>
        <v>1011454782</v>
      </c>
      <c r="D17979">
        <v>-14219.47</v>
      </c>
    </row>
    <row r="17980" spans="1:4" hidden="1" x14ac:dyDescent="0.3">
      <c r="A17980" t="s">
        <v>1049</v>
      </c>
      <c r="B17980" t="s">
        <v>180</v>
      </c>
      <c r="C17980" s="1">
        <f>HYPERLINK("https://cao.dolgi.msk.ru/account/1011454715/", 1011454715)</f>
        <v>1011454715</v>
      </c>
      <c r="D17980">
        <v>0</v>
      </c>
    </row>
    <row r="17981" spans="1:4" x14ac:dyDescent="0.3">
      <c r="A17981" t="s">
        <v>1049</v>
      </c>
      <c r="B17981" t="s">
        <v>181</v>
      </c>
      <c r="C17981" s="1">
        <f>HYPERLINK("https://cao.dolgi.msk.ru/account/1011454088/", 1011454088)</f>
        <v>1011454088</v>
      </c>
      <c r="D17981">
        <v>22763.94</v>
      </c>
    </row>
    <row r="17982" spans="1:4" hidden="1" x14ac:dyDescent="0.3">
      <c r="A17982" t="s">
        <v>1049</v>
      </c>
      <c r="B17982" t="s">
        <v>182</v>
      </c>
      <c r="C17982" s="1">
        <f>HYPERLINK("https://cao.dolgi.msk.ru/account/1011452568/", 1011452568)</f>
        <v>1011452568</v>
      </c>
      <c r="D17982">
        <v>0</v>
      </c>
    </row>
    <row r="17983" spans="1:4" x14ac:dyDescent="0.3">
      <c r="A17983" t="s">
        <v>1049</v>
      </c>
      <c r="B17983" t="s">
        <v>183</v>
      </c>
      <c r="C17983" s="1">
        <f>HYPERLINK("https://cao.dolgi.msk.ru/account/1011452939/", 1011452939)</f>
        <v>1011452939</v>
      </c>
      <c r="D17983">
        <v>32054.82</v>
      </c>
    </row>
    <row r="17984" spans="1:4" hidden="1" x14ac:dyDescent="0.3">
      <c r="A17984" t="s">
        <v>1049</v>
      </c>
      <c r="B17984" t="s">
        <v>184</v>
      </c>
      <c r="C17984" s="1">
        <f>HYPERLINK("https://cao.dolgi.msk.ru/account/1011452859/", 1011452859)</f>
        <v>1011452859</v>
      </c>
      <c r="D17984">
        <v>-16024.6</v>
      </c>
    </row>
    <row r="17985" spans="1:4" hidden="1" x14ac:dyDescent="0.3">
      <c r="A17985" t="s">
        <v>1049</v>
      </c>
      <c r="B17985" t="s">
        <v>185</v>
      </c>
      <c r="C17985" s="1">
        <f>HYPERLINK("https://cao.dolgi.msk.ru/account/1011453851/", 1011453851)</f>
        <v>1011453851</v>
      </c>
      <c r="D17985">
        <v>0</v>
      </c>
    </row>
    <row r="17986" spans="1:4" hidden="1" x14ac:dyDescent="0.3">
      <c r="A17986" t="s">
        <v>1049</v>
      </c>
      <c r="B17986" t="s">
        <v>274</v>
      </c>
      <c r="C17986" s="1">
        <f>HYPERLINK("https://cao.dolgi.msk.ru/account/1011452648/", 1011452648)</f>
        <v>1011452648</v>
      </c>
      <c r="D17986">
        <v>0</v>
      </c>
    </row>
    <row r="17987" spans="1:4" hidden="1" x14ac:dyDescent="0.3">
      <c r="A17987" t="s">
        <v>1049</v>
      </c>
      <c r="B17987" t="s">
        <v>186</v>
      </c>
      <c r="C17987" s="1">
        <f>HYPERLINK("https://cao.dolgi.msk.ru/account/1011452867/", 1011452867)</f>
        <v>1011452867</v>
      </c>
      <c r="D17987">
        <v>0</v>
      </c>
    </row>
    <row r="17988" spans="1:4" hidden="1" x14ac:dyDescent="0.3">
      <c r="A17988" t="s">
        <v>1049</v>
      </c>
      <c r="B17988" t="s">
        <v>187</v>
      </c>
      <c r="C17988" s="1">
        <f>HYPERLINK("https://cao.dolgi.msk.ru/account/1011453982/", 1011453982)</f>
        <v>1011453982</v>
      </c>
      <c r="D17988">
        <v>0</v>
      </c>
    </row>
    <row r="17989" spans="1:4" hidden="1" x14ac:dyDescent="0.3">
      <c r="A17989" t="s">
        <v>1049</v>
      </c>
      <c r="B17989" t="s">
        <v>188</v>
      </c>
      <c r="C17989" s="1">
        <f>HYPERLINK("https://cao.dolgi.msk.ru/account/1011453165/", 1011453165)</f>
        <v>1011453165</v>
      </c>
      <c r="D17989">
        <v>-8639.25</v>
      </c>
    </row>
    <row r="17990" spans="1:4" hidden="1" x14ac:dyDescent="0.3">
      <c r="A17990" t="s">
        <v>1049</v>
      </c>
      <c r="B17990" t="s">
        <v>189</v>
      </c>
      <c r="C17990" s="1">
        <f>HYPERLINK("https://cao.dolgi.msk.ru/account/1011454723/", 1011454723)</f>
        <v>1011454723</v>
      </c>
      <c r="D17990">
        <v>-7598.99</v>
      </c>
    </row>
    <row r="17991" spans="1:4" hidden="1" x14ac:dyDescent="0.3">
      <c r="A17991" t="s">
        <v>1049</v>
      </c>
      <c r="B17991" t="s">
        <v>190</v>
      </c>
      <c r="C17991" s="1">
        <f>HYPERLINK("https://cao.dolgi.msk.ru/account/1011453317/", 1011453317)</f>
        <v>1011453317</v>
      </c>
      <c r="D17991">
        <v>-545.29999999999995</v>
      </c>
    </row>
    <row r="17992" spans="1:4" hidden="1" x14ac:dyDescent="0.3">
      <c r="A17992" t="s">
        <v>1049</v>
      </c>
      <c r="B17992" t="s">
        <v>191</v>
      </c>
      <c r="C17992" s="1">
        <f>HYPERLINK("https://cao.dolgi.msk.ru/account/1011452947/", 1011452947)</f>
        <v>1011452947</v>
      </c>
      <c r="D17992">
        <v>-9140.5300000000007</v>
      </c>
    </row>
    <row r="17993" spans="1:4" x14ac:dyDescent="0.3">
      <c r="A17993" t="s">
        <v>1049</v>
      </c>
      <c r="B17993" t="s">
        <v>192</v>
      </c>
      <c r="C17993" s="1">
        <f>HYPERLINK("https://cao.dolgi.msk.ru/account/1011452875/", 1011452875)</f>
        <v>1011452875</v>
      </c>
      <c r="D17993">
        <v>12893.28</v>
      </c>
    </row>
    <row r="17994" spans="1:4" hidden="1" x14ac:dyDescent="0.3">
      <c r="A17994" t="s">
        <v>1049</v>
      </c>
      <c r="B17994" t="s">
        <v>325</v>
      </c>
      <c r="C17994" s="1">
        <f>HYPERLINK("https://cao.dolgi.msk.ru/account/1011452488/", 1011452488)</f>
        <v>1011452488</v>
      </c>
      <c r="D17994">
        <v>0</v>
      </c>
    </row>
    <row r="17995" spans="1:4" hidden="1" x14ac:dyDescent="0.3">
      <c r="A17995" t="s">
        <v>1049</v>
      </c>
      <c r="B17995" t="s">
        <v>193</v>
      </c>
      <c r="C17995" s="1">
        <f>HYPERLINK("https://cao.dolgi.msk.ru/account/1011452656/", 1011452656)</f>
        <v>1011452656</v>
      </c>
      <c r="D17995">
        <v>0</v>
      </c>
    </row>
    <row r="17996" spans="1:4" hidden="1" x14ac:dyDescent="0.3">
      <c r="A17996" t="s">
        <v>1049</v>
      </c>
      <c r="B17996" t="s">
        <v>194</v>
      </c>
      <c r="C17996" s="1">
        <f>HYPERLINK("https://cao.dolgi.msk.ru/account/1011454731/", 1011454731)</f>
        <v>1011454731</v>
      </c>
      <c r="D17996">
        <v>0</v>
      </c>
    </row>
    <row r="17997" spans="1:4" hidden="1" x14ac:dyDescent="0.3">
      <c r="A17997" t="s">
        <v>1049</v>
      </c>
      <c r="B17997" t="s">
        <v>195</v>
      </c>
      <c r="C17997" s="1">
        <f>HYPERLINK("https://cao.dolgi.msk.ru/account/1011452699/", 1011452699)</f>
        <v>1011452699</v>
      </c>
      <c r="D17997">
        <v>-268.7</v>
      </c>
    </row>
    <row r="17998" spans="1:4" hidden="1" x14ac:dyDescent="0.3">
      <c r="A17998" t="s">
        <v>1049</v>
      </c>
      <c r="B17998" t="s">
        <v>196</v>
      </c>
      <c r="C17998" s="1">
        <f>HYPERLINK("https://cao.dolgi.msk.ru/account/1011454248/", 1011454248)</f>
        <v>1011454248</v>
      </c>
      <c r="D17998">
        <v>-6319.88</v>
      </c>
    </row>
    <row r="17999" spans="1:4" hidden="1" x14ac:dyDescent="0.3">
      <c r="A17999" t="s">
        <v>1049</v>
      </c>
      <c r="B17999" t="s">
        <v>197</v>
      </c>
      <c r="C17999" s="1">
        <f>HYPERLINK("https://cao.dolgi.msk.ru/account/1011507899/", 1011507899)</f>
        <v>1011507899</v>
      </c>
      <c r="D17999">
        <v>0</v>
      </c>
    </row>
    <row r="18000" spans="1:4" hidden="1" x14ac:dyDescent="0.3">
      <c r="A18000" t="s">
        <v>1049</v>
      </c>
      <c r="B18000" t="s">
        <v>198</v>
      </c>
      <c r="C18000" s="1">
        <f>HYPERLINK("https://cao.dolgi.msk.ru/account/1011453114/", 1011453114)</f>
        <v>1011453114</v>
      </c>
      <c r="D18000">
        <v>-9090.24</v>
      </c>
    </row>
    <row r="18001" spans="1:4" hidden="1" x14ac:dyDescent="0.3">
      <c r="A18001" t="s">
        <v>1049</v>
      </c>
      <c r="B18001" t="s">
        <v>199</v>
      </c>
      <c r="C18001" s="1">
        <f>HYPERLINK("https://cao.dolgi.msk.ru/account/1011454096/", 1011454096)</f>
        <v>1011454096</v>
      </c>
      <c r="D18001">
        <v>0</v>
      </c>
    </row>
    <row r="18002" spans="1:4" hidden="1" x14ac:dyDescent="0.3">
      <c r="A18002" t="s">
        <v>1049</v>
      </c>
      <c r="B18002" t="s">
        <v>200</v>
      </c>
      <c r="C18002" s="1">
        <f>HYPERLINK("https://cao.dolgi.msk.ru/account/1011454758/", 1011454758)</f>
        <v>1011454758</v>
      </c>
      <c r="D18002">
        <v>0</v>
      </c>
    </row>
    <row r="18003" spans="1:4" hidden="1" x14ac:dyDescent="0.3">
      <c r="A18003" t="s">
        <v>1049</v>
      </c>
      <c r="B18003" t="s">
        <v>201</v>
      </c>
      <c r="C18003" s="1">
        <f>HYPERLINK("https://cao.dolgi.msk.ru/account/1011454002/", 1011454002)</f>
        <v>1011454002</v>
      </c>
      <c r="D18003">
        <v>-367.58</v>
      </c>
    </row>
    <row r="18004" spans="1:4" x14ac:dyDescent="0.3">
      <c r="A18004" t="s">
        <v>1049</v>
      </c>
      <c r="B18004" t="s">
        <v>202</v>
      </c>
      <c r="C18004" s="1">
        <f>HYPERLINK("https://cao.dolgi.msk.ru/account/1011454803/", 1011454803)</f>
        <v>1011454803</v>
      </c>
      <c r="D18004">
        <v>8952.33</v>
      </c>
    </row>
    <row r="18005" spans="1:4" hidden="1" x14ac:dyDescent="0.3">
      <c r="A18005" t="s">
        <v>1049</v>
      </c>
      <c r="B18005" t="s">
        <v>203</v>
      </c>
      <c r="C18005" s="1">
        <f>HYPERLINK("https://cao.dolgi.msk.ru/account/1011453456/", 1011453456)</f>
        <v>1011453456</v>
      </c>
      <c r="D18005">
        <v>-18132.11</v>
      </c>
    </row>
    <row r="18006" spans="1:4" hidden="1" x14ac:dyDescent="0.3">
      <c r="A18006" t="s">
        <v>1049</v>
      </c>
      <c r="B18006" t="s">
        <v>326</v>
      </c>
      <c r="C18006" s="1">
        <f>HYPERLINK("https://cao.dolgi.msk.ru/account/1011453632/", 1011453632)</f>
        <v>1011453632</v>
      </c>
      <c r="D18006">
        <v>0</v>
      </c>
    </row>
    <row r="18007" spans="1:4" hidden="1" x14ac:dyDescent="0.3">
      <c r="A18007" t="s">
        <v>1049</v>
      </c>
      <c r="B18007" t="s">
        <v>204</v>
      </c>
      <c r="C18007" s="1">
        <f>HYPERLINK("https://cao.dolgi.msk.ru/account/1011452883/", 1011452883)</f>
        <v>1011452883</v>
      </c>
      <c r="D18007">
        <v>0</v>
      </c>
    </row>
    <row r="18008" spans="1:4" hidden="1" x14ac:dyDescent="0.3">
      <c r="A18008" t="s">
        <v>1049</v>
      </c>
      <c r="B18008" t="s">
        <v>204</v>
      </c>
      <c r="C18008" s="1">
        <f>HYPERLINK("https://cao.dolgi.msk.ru/account/1011453296/", 1011453296)</f>
        <v>1011453296</v>
      </c>
      <c r="D18008">
        <v>0</v>
      </c>
    </row>
    <row r="18009" spans="1:4" hidden="1" x14ac:dyDescent="0.3">
      <c r="A18009" t="s">
        <v>1049</v>
      </c>
      <c r="B18009" t="s">
        <v>205</v>
      </c>
      <c r="C18009" s="1">
        <f>HYPERLINK("https://cao.dolgi.msk.ru/account/1011454627/", 1011454627)</f>
        <v>1011454627</v>
      </c>
      <c r="D18009">
        <v>0</v>
      </c>
    </row>
    <row r="18010" spans="1:4" hidden="1" x14ac:dyDescent="0.3">
      <c r="A18010" t="s">
        <v>1049</v>
      </c>
      <c r="B18010" t="s">
        <v>206</v>
      </c>
      <c r="C18010" s="1">
        <f>HYPERLINK("https://cao.dolgi.msk.ru/account/1011454766/", 1011454766)</f>
        <v>1011454766</v>
      </c>
      <c r="D18010">
        <v>0</v>
      </c>
    </row>
    <row r="18011" spans="1:4" hidden="1" x14ac:dyDescent="0.3">
      <c r="A18011" t="s">
        <v>1049</v>
      </c>
      <c r="B18011" t="s">
        <v>207</v>
      </c>
      <c r="C18011" s="1">
        <f>HYPERLINK("https://cao.dolgi.msk.ru/account/1011454264/", 1011454264)</f>
        <v>1011454264</v>
      </c>
      <c r="D18011">
        <v>-9076.17</v>
      </c>
    </row>
    <row r="18012" spans="1:4" hidden="1" x14ac:dyDescent="0.3">
      <c r="A18012" t="s">
        <v>1049</v>
      </c>
      <c r="B18012" t="s">
        <v>208</v>
      </c>
      <c r="C18012" s="1">
        <f>HYPERLINK("https://cao.dolgi.msk.ru/account/1011453528/", 1011453528)</f>
        <v>1011453528</v>
      </c>
      <c r="D18012">
        <v>0</v>
      </c>
    </row>
    <row r="18013" spans="1:4" hidden="1" x14ac:dyDescent="0.3">
      <c r="A18013" t="s">
        <v>1049</v>
      </c>
      <c r="B18013" t="s">
        <v>327</v>
      </c>
      <c r="C18013" s="1">
        <f>HYPERLINK("https://cao.dolgi.msk.ru/account/1011452728/", 1011452728)</f>
        <v>1011452728</v>
      </c>
      <c r="D18013">
        <v>0</v>
      </c>
    </row>
    <row r="18014" spans="1:4" hidden="1" x14ac:dyDescent="0.3">
      <c r="A18014" t="s">
        <v>1049</v>
      </c>
      <c r="B18014" t="s">
        <v>327</v>
      </c>
      <c r="C18014" s="1">
        <f>HYPERLINK("https://cao.dolgi.msk.ru/account/1011453827/", 1011453827)</f>
        <v>1011453827</v>
      </c>
      <c r="D18014">
        <v>-531.80999999999995</v>
      </c>
    </row>
    <row r="18015" spans="1:4" hidden="1" x14ac:dyDescent="0.3">
      <c r="A18015" t="s">
        <v>1049</v>
      </c>
      <c r="B18015" t="s">
        <v>209</v>
      </c>
      <c r="C18015" s="1">
        <f>HYPERLINK("https://cao.dolgi.msk.ru/account/1011452744/", 1011452744)</f>
        <v>1011452744</v>
      </c>
      <c r="D18015">
        <v>0</v>
      </c>
    </row>
    <row r="18016" spans="1:4" hidden="1" x14ac:dyDescent="0.3">
      <c r="A18016" t="s">
        <v>1049</v>
      </c>
      <c r="B18016" t="s">
        <v>210</v>
      </c>
      <c r="C18016" s="1">
        <f>HYPERLINK("https://cao.dolgi.msk.ru/account/1011454635/", 1011454635)</f>
        <v>1011454635</v>
      </c>
      <c r="D18016">
        <v>0</v>
      </c>
    </row>
    <row r="18017" spans="1:4" hidden="1" x14ac:dyDescent="0.3">
      <c r="A18017" t="s">
        <v>1049</v>
      </c>
      <c r="B18017" t="s">
        <v>211</v>
      </c>
      <c r="C18017" s="1">
        <f>HYPERLINK("https://cao.dolgi.msk.ru/account/1011452998/", 1011452998)</f>
        <v>1011452998</v>
      </c>
      <c r="D18017">
        <v>0</v>
      </c>
    </row>
    <row r="18018" spans="1:4" hidden="1" x14ac:dyDescent="0.3">
      <c r="A18018" t="s">
        <v>1049</v>
      </c>
      <c r="B18018" t="s">
        <v>212</v>
      </c>
      <c r="C18018" s="1">
        <f>HYPERLINK("https://cao.dolgi.msk.ru/account/1011452701/", 1011452701)</f>
        <v>1011452701</v>
      </c>
      <c r="D18018">
        <v>0</v>
      </c>
    </row>
    <row r="18019" spans="1:4" hidden="1" x14ac:dyDescent="0.3">
      <c r="A18019" t="s">
        <v>1049</v>
      </c>
      <c r="B18019" t="s">
        <v>213</v>
      </c>
      <c r="C18019" s="1">
        <f>HYPERLINK("https://cao.dolgi.msk.ru/account/1011453659/", 1011453659)</f>
        <v>1011453659</v>
      </c>
      <c r="D18019">
        <v>0</v>
      </c>
    </row>
    <row r="18020" spans="1:4" hidden="1" x14ac:dyDescent="0.3">
      <c r="A18020" t="s">
        <v>1049</v>
      </c>
      <c r="B18020" t="s">
        <v>214</v>
      </c>
      <c r="C18020" s="1">
        <f>HYPERLINK("https://cao.dolgi.msk.ru/account/1011452736/", 1011452736)</f>
        <v>1011452736</v>
      </c>
      <c r="D18020">
        <v>-18463.5</v>
      </c>
    </row>
    <row r="18021" spans="1:4" hidden="1" x14ac:dyDescent="0.3">
      <c r="A18021" t="s">
        <v>1049</v>
      </c>
      <c r="B18021" t="s">
        <v>215</v>
      </c>
      <c r="C18021" s="1">
        <f>HYPERLINK("https://cao.dolgi.msk.ru/account/1011453704/", 1011453704)</f>
        <v>1011453704</v>
      </c>
      <c r="D18021">
        <v>0</v>
      </c>
    </row>
    <row r="18022" spans="1:4" hidden="1" x14ac:dyDescent="0.3">
      <c r="A18022" t="s">
        <v>1049</v>
      </c>
      <c r="B18022" t="s">
        <v>216</v>
      </c>
      <c r="C18022" s="1">
        <f>HYPERLINK("https://cao.dolgi.msk.ru/account/1011453405/", 1011453405)</f>
        <v>1011453405</v>
      </c>
      <c r="D18022">
        <v>0</v>
      </c>
    </row>
    <row r="18023" spans="1:4" hidden="1" x14ac:dyDescent="0.3">
      <c r="A18023" t="s">
        <v>1049</v>
      </c>
      <c r="B18023" t="s">
        <v>286</v>
      </c>
      <c r="C18023" s="1">
        <f>HYPERLINK("https://cao.dolgi.msk.ru/account/1011454459/", 1011454459)</f>
        <v>1011454459</v>
      </c>
      <c r="D18023">
        <v>0</v>
      </c>
    </row>
    <row r="18024" spans="1:4" x14ac:dyDescent="0.3">
      <c r="A18024" t="s">
        <v>1049</v>
      </c>
      <c r="B18024" t="s">
        <v>287</v>
      </c>
      <c r="C18024" s="1">
        <f>HYPERLINK("https://cao.dolgi.msk.ru/account/1011452752/", 1011452752)</f>
        <v>1011452752</v>
      </c>
      <c r="D18024">
        <v>14202.69</v>
      </c>
    </row>
    <row r="18025" spans="1:4" x14ac:dyDescent="0.3">
      <c r="A18025" t="s">
        <v>1049</v>
      </c>
      <c r="B18025" t="s">
        <v>217</v>
      </c>
      <c r="C18025" s="1">
        <f>HYPERLINK("https://cao.dolgi.msk.ru/account/1011454029/", 1011454029)</f>
        <v>1011454029</v>
      </c>
      <c r="D18025">
        <v>4776.1099999999997</v>
      </c>
    </row>
    <row r="18026" spans="1:4" hidden="1" x14ac:dyDescent="0.3">
      <c r="A18026" t="s">
        <v>1049</v>
      </c>
      <c r="B18026" t="s">
        <v>218</v>
      </c>
      <c r="C18026" s="1">
        <f>HYPERLINK("https://cao.dolgi.msk.ru/account/1011452496/", 1011452496)</f>
        <v>1011452496</v>
      </c>
      <c r="D18026">
        <v>0</v>
      </c>
    </row>
    <row r="18027" spans="1:4" x14ac:dyDescent="0.3">
      <c r="A18027" t="s">
        <v>1049</v>
      </c>
      <c r="B18027" t="s">
        <v>219</v>
      </c>
      <c r="C18027" s="1">
        <f>HYPERLINK("https://cao.dolgi.msk.ru/account/1011453667/", 1011453667)</f>
        <v>1011453667</v>
      </c>
      <c r="D18027">
        <v>5972.46</v>
      </c>
    </row>
    <row r="18028" spans="1:4" hidden="1" x14ac:dyDescent="0.3">
      <c r="A18028" t="s">
        <v>1049</v>
      </c>
      <c r="B18028" t="s">
        <v>220</v>
      </c>
      <c r="C18028" s="1">
        <f>HYPERLINK("https://cao.dolgi.msk.ru/account/1011452533/", 1011452533)</f>
        <v>1011452533</v>
      </c>
      <c r="D18028">
        <v>-9157.17</v>
      </c>
    </row>
    <row r="18029" spans="1:4" x14ac:dyDescent="0.3">
      <c r="A18029" t="s">
        <v>1049</v>
      </c>
      <c r="B18029" t="s">
        <v>221</v>
      </c>
      <c r="C18029" s="1">
        <f>HYPERLINK("https://cao.dolgi.msk.ru/account/1011453608/", 1011453608)</f>
        <v>1011453608</v>
      </c>
      <c r="D18029">
        <v>27173.25</v>
      </c>
    </row>
    <row r="18030" spans="1:4" hidden="1" x14ac:dyDescent="0.3">
      <c r="A18030" t="s">
        <v>1049</v>
      </c>
      <c r="B18030" t="s">
        <v>222</v>
      </c>
      <c r="C18030" s="1">
        <f>HYPERLINK("https://cao.dolgi.msk.ru/account/1011452824/", 1011452824)</f>
        <v>1011452824</v>
      </c>
      <c r="D18030">
        <v>0</v>
      </c>
    </row>
    <row r="18031" spans="1:4" x14ac:dyDescent="0.3">
      <c r="A18031" t="s">
        <v>1049</v>
      </c>
      <c r="B18031" t="s">
        <v>223</v>
      </c>
      <c r="C18031" s="1">
        <f>HYPERLINK("https://cao.dolgi.msk.ru/account/1011454117/", 1011454117)</f>
        <v>1011454117</v>
      </c>
      <c r="D18031">
        <v>7850.47</v>
      </c>
    </row>
    <row r="18032" spans="1:4" x14ac:dyDescent="0.3">
      <c r="A18032" t="s">
        <v>1049</v>
      </c>
      <c r="B18032" t="s">
        <v>224</v>
      </c>
      <c r="C18032" s="1">
        <f>HYPERLINK("https://cao.dolgi.msk.ru/account/1011452525/", 1011452525)</f>
        <v>1011452525</v>
      </c>
      <c r="D18032">
        <v>51974.87</v>
      </c>
    </row>
    <row r="18033" spans="1:4" hidden="1" x14ac:dyDescent="0.3">
      <c r="A18033" t="s">
        <v>1049</v>
      </c>
      <c r="B18033" t="s">
        <v>225</v>
      </c>
      <c r="C18033" s="1">
        <f>HYPERLINK("https://cao.dolgi.msk.ru/account/1011453835/", 1011453835)</f>
        <v>1011453835</v>
      </c>
      <c r="D18033">
        <v>0</v>
      </c>
    </row>
    <row r="18034" spans="1:4" hidden="1" x14ac:dyDescent="0.3">
      <c r="A18034" t="s">
        <v>1049</v>
      </c>
      <c r="B18034" t="s">
        <v>226</v>
      </c>
      <c r="C18034" s="1">
        <f>HYPERLINK("https://cao.dolgi.msk.ru/account/1011452832/", 1011452832)</f>
        <v>1011452832</v>
      </c>
      <c r="D18034">
        <v>-599.28</v>
      </c>
    </row>
    <row r="18035" spans="1:4" hidden="1" x14ac:dyDescent="0.3">
      <c r="A18035" t="s">
        <v>1049</v>
      </c>
      <c r="B18035" t="s">
        <v>227</v>
      </c>
      <c r="C18035" s="1">
        <f>HYPERLINK("https://cao.dolgi.msk.ru/account/1011453771/", 1011453771)</f>
        <v>1011453771</v>
      </c>
      <c r="D18035">
        <v>0</v>
      </c>
    </row>
    <row r="18036" spans="1:4" hidden="1" x14ac:dyDescent="0.3">
      <c r="A18036" t="s">
        <v>1049</v>
      </c>
      <c r="B18036" t="s">
        <v>228</v>
      </c>
      <c r="C18036" s="1">
        <f>HYPERLINK("https://cao.dolgi.msk.ru/account/1011454416/", 1011454416)</f>
        <v>1011454416</v>
      </c>
      <c r="D18036">
        <v>-5924.08</v>
      </c>
    </row>
    <row r="18037" spans="1:4" hidden="1" x14ac:dyDescent="0.3">
      <c r="A18037" t="s">
        <v>1049</v>
      </c>
      <c r="B18037" t="s">
        <v>229</v>
      </c>
      <c r="C18037" s="1">
        <f>HYPERLINK("https://cao.dolgi.msk.ru/account/1011454037/", 1011454037)</f>
        <v>1011454037</v>
      </c>
      <c r="D18037">
        <v>-7497.03</v>
      </c>
    </row>
    <row r="18038" spans="1:4" hidden="1" x14ac:dyDescent="0.3">
      <c r="A18038" t="s">
        <v>1049</v>
      </c>
      <c r="B18038" t="s">
        <v>230</v>
      </c>
      <c r="C18038" s="1">
        <f>HYPERLINK("https://cao.dolgi.msk.ru/account/1011452605/", 1011452605)</f>
        <v>1011452605</v>
      </c>
      <c r="D18038">
        <v>-12353.62</v>
      </c>
    </row>
    <row r="18039" spans="1:4" hidden="1" x14ac:dyDescent="0.3">
      <c r="A18039" t="s">
        <v>1049</v>
      </c>
      <c r="B18039" t="s">
        <v>231</v>
      </c>
      <c r="C18039" s="1">
        <f>HYPERLINK("https://cao.dolgi.msk.ru/account/1011454432/", 1011454432)</f>
        <v>1011454432</v>
      </c>
      <c r="D18039">
        <v>0</v>
      </c>
    </row>
    <row r="18040" spans="1:4" hidden="1" x14ac:dyDescent="0.3">
      <c r="A18040" t="s">
        <v>1049</v>
      </c>
      <c r="B18040" t="s">
        <v>232</v>
      </c>
      <c r="C18040" s="1">
        <f>HYPERLINK("https://cao.dolgi.msk.ru/account/1011454694/", 1011454694)</f>
        <v>1011454694</v>
      </c>
      <c r="D18040">
        <v>-13125.4</v>
      </c>
    </row>
    <row r="18041" spans="1:4" hidden="1" x14ac:dyDescent="0.3">
      <c r="A18041" t="s">
        <v>1049</v>
      </c>
      <c r="B18041" t="s">
        <v>233</v>
      </c>
      <c r="C18041" s="1">
        <f>HYPERLINK("https://cao.dolgi.msk.ru/account/1011452955/", 1011452955)</f>
        <v>1011452955</v>
      </c>
      <c r="D18041">
        <v>0</v>
      </c>
    </row>
    <row r="18042" spans="1:4" hidden="1" x14ac:dyDescent="0.3">
      <c r="A18042" t="s">
        <v>1049</v>
      </c>
      <c r="B18042" t="s">
        <v>234</v>
      </c>
      <c r="C18042" s="1">
        <f>HYPERLINK("https://cao.dolgi.msk.ru/account/1011453157/", 1011453157)</f>
        <v>1011453157</v>
      </c>
      <c r="D18042">
        <v>-4.08</v>
      </c>
    </row>
    <row r="18043" spans="1:4" hidden="1" x14ac:dyDescent="0.3">
      <c r="A18043" t="s">
        <v>1049</v>
      </c>
      <c r="B18043" t="s">
        <v>236</v>
      </c>
      <c r="C18043" s="1">
        <f>HYPERLINK("https://cao.dolgi.msk.ru/account/1011453384/", 1011453384)</f>
        <v>1011453384</v>
      </c>
      <c r="D18043">
        <v>0</v>
      </c>
    </row>
    <row r="18044" spans="1:4" hidden="1" x14ac:dyDescent="0.3">
      <c r="A18044" t="s">
        <v>1049</v>
      </c>
      <c r="B18044" t="s">
        <v>237</v>
      </c>
      <c r="C18044" s="1">
        <f>HYPERLINK("https://cao.dolgi.msk.ru/account/1011452613/", 1011452613)</f>
        <v>1011452613</v>
      </c>
      <c r="D18044">
        <v>0</v>
      </c>
    </row>
    <row r="18045" spans="1:4" hidden="1" x14ac:dyDescent="0.3">
      <c r="A18045" t="s">
        <v>1049</v>
      </c>
      <c r="B18045" t="s">
        <v>238</v>
      </c>
      <c r="C18045" s="1">
        <f>HYPERLINK("https://cao.dolgi.msk.ru/account/1011453763/", 1011453763)</f>
        <v>1011453763</v>
      </c>
      <c r="D18045">
        <v>0</v>
      </c>
    </row>
    <row r="18046" spans="1:4" hidden="1" x14ac:dyDescent="0.3">
      <c r="A18046" t="s">
        <v>1049</v>
      </c>
      <c r="B18046" t="s">
        <v>239</v>
      </c>
      <c r="C18046" s="1">
        <f>HYPERLINK("https://cao.dolgi.msk.ru/account/1011453413/", 1011453413)</f>
        <v>1011453413</v>
      </c>
      <c r="D18046">
        <v>0</v>
      </c>
    </row>
    <row r="18047" spans="1:4" hidden="1" x14ac:dyDescent="0.3">
      <c r="A18047" t="s">
        <v>1049</v>
      </c>
      <c r="B18047" t="s">
        <v>240</v>
      </c>
      <c r="C18047" s="1">
        <f>HYPERLINK("https://cao.dolgi.msk.ru/account/1011454686/", 1011454686)</f>
        <v>1011454686</v>
      </c>
      <c r="D18047">
        <v>0</v>
      </c>
    </row>
    <row r="18048" spans="1:4" hidden="1" x14ac:dyDescent="0.3">
      <c r="A18048" t="s">
        <v>1051</v>
      </c>
      <c r="B18048" t="s">
        <v>6</v>
      </c>
      <c r="C18048" s="1">
        <f>HYPERLINK("https://cao.dolgi.msk.ru/account/1011216469/", 1011216469)</f>
        <v>1011216469</v>
      </c>
      <c r="D18048">
        <v>0</v>
      </c>
    </row>
    <row r="18049" spans="1:4" x14ac:dyDescent="0.3">
      <c r="A18049" t="s">
        <v>1051</v>
      </c>
      <c r="B18049" t="s">
        <v>28</v>
      </c>
      <c r="C18049" s="1">
        <f>HYPERLINK("https://cao.dolgi.msk.ru/account/1011216477/", 1011216477)</f>
        <v>1011216477</v>
      </c>
      <c r="D18049">
        <v>36337.870000000003</v>
      </c>
    </row>
    <row r="18050" spans="1:4" hidden="1" x14ac:dyDescent="0.3">
      <c r="A18050" t="s">
        <v>1051</v>
      </c>
      <c r="B18050" t="s">
        <v>35</v>
      </c>
      <c r="C18050" s="1">
        <f>HYPERLINK("https://cao.dolgi.msk.ru/account/1011215271/", 1011215271)</f>
        <v>1011215271</v>
      </c>
      <c r="D18050">
        <v>0</v>
      </c>
    </row>
    <row r="18051" spans="1:4" hidden="1" x14ac:dyDescent="0.3">
      <c r="A18051" t="s">
        <v>1051</v>
      </c>
      <c r="B18051" t="s">
        <v>35</v>
      </c>
      <c r="C18051" s="1">
        <f>HYPERLINK("https://cao.dolgi.msk.ru/account/1011215888/", 1011215888)</f>
        <v>1011215888</v>
      </c>
      <c r="D18051">
        <v>0</v>
      </c>
    </row>
    <row r="18052" spans="1:4" hidden="1" x14ac:dyDescent="0.3">
      <c r="A18052" t="s">
        <v>1051</v>
      </c>
      <c r="B18052" t="s">
        <v>5</v>
      </c>
      <c r="C18052" s="1">
        <f>HYPERLINK("https://cao.dolgi.msk.ru/account/1011214965/", 1011214965)</f>
        <v>1011214965</v>
      </c>
      <c r="D18052">
        <v>0</v>
      </c>
    </row>
    <row r="18053" spans="1:4" hidden="1" x14ac:dyDescent="0.3">
      <c r="A18053" t="s">
        <v>1051</v>
      </c>
      <c r="B18053" t="s">
        <v>5</v>
      </c>
      <c r="C18053" s="1">
        <f>HYPERLINK("https://cao.dolgi.msk.ru/account/1011216485/", 1011216485)</f>
        <v>1011216485</v>
      </c>
      <c r="D18053">
        <v>0</v>
      </c>
    </row>
    <row r="18054" spans="1:4" hidden="1" x14ac:dyDescent="0.3">
      <c r="A18054" t="s">
        <v>1051</v>
      </c>
      <c r="B18054" t="s">
        <v>7</v>
      </c>
      <c r="C18054" s="1">
        <f>HYPERLINK("https://cao.dolgi.msk.ru/account/1011214957/", 1011214957)</f>
        <v>1011214957</v>
      </c>
      <c r="D18054">
        <v>-15581.4</v>
      </c>
    </row>
    <row r="18055" spans="1:4" hidden="1" x14ac:dyDescent="0.3">
      <c r="A18055" t="s">
        <v>1051</v>
      </c>
      <c r="B18055" t="s">
        <v>7</v>
      </c>
      <c r="C18055" s="1">
        <f>HYPERLINK("https://cao.dolgi.msk.ru/account/1011216207/", 1011216207)</f>
        <v>1011216207</v>
      </c>
      <c r="D18055">
        <v>0</v>
      </c>
    </row>
    <row r="18056" spans="1:4" hidden="1" x14ac:dyDescent="0.3">
      <c r="A18056" t="s">
        <v>1051</v>
      </c>
      <c r="B18056" t="s">
        <v>8</v>
      </c>
      <c r="C18056" s="1">
        <f>HYPERLINK("https://cao.dolgi.msk.ru/account/1011216493/", 1011216493)</f>
        <v>1011216493</v>
      </c>
      <c r="D18056">
        <v>-8067.46</v>
      </c>
    </row>
    <row r="18057" spans="1:4" hidden="1" x14ac:dyDescent="0.3">
      <c r="A18057" t="s">
        <v>1051</v>
      </c>
      <c r="B18057" t="s">
        <v>31</v>
      </c>
      <c r="C18057" s="1">
        <f>HYPERLINK("https://cao.dolgi.msk.ru/account/1011216506/", 1011216506)</f>
        <v>1011216506</v>
      </c>
      <c r="D18057">
        <v>-534.91999999999996</v>
      </c>
    </row>
    <row r="18058" spans="1:4" hidden="1" x14ac:dyDescent="0.3">
      <c r="A18058" t="s">
        <v>1051</v>
      </c>
      <c r="B18058" t="s">
        <v>9</v>
      </c>
      <c r="C18058" s="1">
        <f>HYPERLINK("https://cao.dolgi.msk.ru/account/1011216186/", 1011216186)</f>
        <v>1011216186</v>
      </c>
      <c r="D18058">
        <v>-76.47</v>
      </c>
    </row>
    <row r="18059" spans="1:4" x14ac:dyDescent="0.3">
      <c r="A18059" t="s">
        <v>1051</v>
      </c>
      <c r="B18059" t="s">
        <v>10</v>
      </c>
      <c r="C18059" s="1">
        <f>HYPERLINK("https://cao.dolgi.msk.ru/account/1011214973/", 1011214973)</f>
        <v>1011214973</v>
      </c>
      <c r="D18059">
        <v>272.7</v>
      </c>
    </row>
    <row r="18060" spans="1:4" hidden="1" x14ac:dyDescent="0.3">
      <c r="A18060" t="s">
        <v>1051</v>
      </c>
      <c r="B18060" t="s">
        <v>11</v>
      </c>
      <c r="C18060" s="1">
        <f>HYPERLINK("https://cao.dolgi.msk.ru/account/1011214711/", 1011214711)</f>
        <v>1011214711</v>
      </c>
      <c r="D18060">
        <v>0</v>
      </c>
    </row>
    <row r="18061" spans="1:4" hidden="1" x14ac:dyDescent="0.3">
      <c r="A18061" t="s">
        <v>1051</v>
      </c>
      <c r="B18061" t="s">
        <v>11</v>
      </c>
      <c r="C18061" s="1">
        <f>HYPERLINK("https://cao.dolgi.msk.ru/account/1011216178/", 1011216178)</f>
        <v>1011216178</v>
      </c>
      <c r="D18061">
        <v>0</v>
      </c>
    </row>
    <row r="18062" spans="1:4" hidden="1" x14ac:dyDescent="0.3">
      <c r="A18062" t="s">
        <v>1051</v>
      </c>
      <c r="B18062" t="s">
        <v>12</v>
      </c>
      <c r="C18062" s="1">
        <f>HYPERLINK("https://cao.dolgi.msk.ru/account/1011216581/", 1011216581)</f>
        <v>1011216581</v>
      </c>
      <c r="D18062">
        <v>0</v>
      </c>
    </row>
    <row r="18063" spans="1:4" x14ac:dyDescent="0.3">
      <c r="A18063" t="s">
        <v>1051</v>
      </c>
      <c r="B18063" t="s">
        <v>23</v>
      </c>
      <c r="C18063" s="1">
        <f>HYPERLINK("https://cao.dolgi.msk.ru/account/1011216821/", 1011216821)</f>
        <v>1011216821</v>
      </c>
      <c r="D18063">
        <v>14811.87</v>
      </c>
    </row>
    <row r="18064" spans="1:4" hidden="1" x14ac:dyDescent="0.3">
      <c r="A18064" t="s">
        <v>1051</v>
      </c>
      <c r="B18064" t="s">
        <v>13</v>
      </c>
      <c r="C18064" s="1">
        <f>HYPERLINK("https://cao.dolgi.msk.ru/account/1011216848/", 1011216848)</f>
        <v>1011216848</v>
      </c>
      <c r="D18064">
        <v>0</v>
      </c>
    </row>
    <row r="18065" spans="1:4" hidden="1" x14ac:dyDescent="0.3">
      <c r="A18065" t="s">
        <v>1051</v>
      </c>
      <c r="B18065" t="s">
        <v>14</v>
      </c>
      <c r="C18065" s="1">
        <f>HYPERLINK("https://cao.dolgi.msk.ru/account/1011214981/", 1011214981)</f>
        <v>1011214981</v>
      </c>
      <c r="D18065">
        <v>0</v>
      </c>
    </row>
    <row r="18066" spans="1:4" hidden="1" x14ac:dyDescent="0.3">
      <c r="A18066" t="s">
        <v>1051</v>
      </c>
      <c r="B18066" t="s">
        <v>16</v>
      </c>
      <c r="C18066" s="1">
        <f>HYPERLINK("https://cao.dolgi.msk.ru/account/1011216194/", 1011216194)</f>
        <v>1011216194</v>
      </c>
      <c r="D18066">
        <v>0</v>
      </c>
    </row>
    <row r="18067" spans="1:4" x14ac:dyDescent="0.3">
      <c r="A18067" t="s">
        <v>1051</v>
      </c>
      <c r="B18067" t="s">
        <v>17</v>
      </c>
      <c r="C18067" s="1">
        <f>HYPERLINK("https://cao.dolgi.msk.ru/account/1011214738/", 1011214738)</f>
        <v>1011214738</v>
      </c>
      <c r="D18067">
        <v>991.48</v>
      </c>
    </row>
    <row r="18068" spans="1:4" hidden="1" x14ac:dyDescent="0.3">
      <c r="A18068" t="s">
        <v>1051</v>
      </c>
      <c r="B18068" t="s">
        <v>18</v>
      </c>
      <c r="C18068" s="1">
        <f>HYPERLINK("https://cao.dolgi.msk.ru/account/1011214746/", 1011214746)</f>
        <v>1011214746</v>
      </c>
      <c r="D18068">
        <v>0</v>
      </c>
    </row>
    <row r="18069" spans="1:4" hidden="1" x14ac:dyDescent="0.3">
      <c r="A18069" t="s">
        <v>1051</v>
      </c>
      <c r="B18069" t="s">
        <v>19</v>
      </c>
      <c r="C18069" s="1">
        <f>HYPERLINK("https://cao.dolgi.msk.ru/account/1011216514/", 1011216514)</f>
        <v>1011216514</v>
      </c>
      <c r="D18069">
        <v>0</v>
      </c>
    </row>
    <row r="18070" spans="1:4" hidden="1" x14ac:dyDescent="0.3">
      <c r="A18070" t="s">
        <v>1051</v>
      </c>
      <c r="B18070" t="s">
        <v>20</v>
      </c>
      <c r="C18070" s="1">
        <f>HYPERLINK("https://cao.dolgi.msk.ru/account/1011216522/", 1011216522)</f>
        <v>1011216522</v>
      </c>
      <c r="D18070">
        <v>-10398.620000000001</v>
      </c>
    </row>
    <row r="18071" spans="1:4" x14ac:dyDescent="0.3">
      <c r="A18071" t="s">
        <v>1051</v>
      </c>
      <c r="B18071" t="s">
        <v>21</v>
      </c>
      <c r="C18071" s="1">
        <f>HYPERLINK("https://cao.dolgi.msk.ru/account/1011214754/", 1011214754)</f>
        <v>1011214754</v>
      </c>
      <c r="D18071">
        <v>7507.36</v>
      </c>
    </row>
    <row r="18072" spans="1:4" hidden="1" x14ac:dyDescent="0.3">
      <c r="A18072" t="s">
        <v>1051</v>
      </c>
      <c r="B18072" t="s">
        <v>22</v>
      </c>
      <c r="C18072" s="1">
        <f>HYPERLINK("https://cao.dolgi.msk.ru/account/1011215001/", 1011215001)</f>
        <v>1011215001</v>
      </c>
      <c r="D18072">
        <v>0</v>
      </c>
    </row>
    <row r="18073" spans="1:4" x14ac:dyDescent="0.3">
      <c r="A18073" t="s">
        <v>1051</v>
      </c>
      <c r="B18073" t="s">
        <v>24</v>
      </c>
      <c r="C18073" s="1">
        <f>HYPERLINK("https://cao.dolgi.msk.ru/account/1011215896/", 1011215896)</f>
        <v>1011215896</v>
      </c>
      <c r="D18073">
        <v>23339.279999999999</v>
      </c>
    </row>
    <row r="18074" spans="1:4" x14ac:dyDescent="0.3">
      <c r="A18074" t="s">
        <v>1051</v>
      </c>
      <c r="B18074" t="s">
        <v>25</v>
      </c>
      <c r="C18074" s="1">
        <f>HYPERLINK("https://cao.dolgi.msk.ru/account/1011215327/", 1011215327)</f>
        <v>1011215327</v>
      </c>
      <c r="D18074">
        <v>44965.8</v>
      </c>
    </row>
    <row r="18075" spans="1:4" x14ac:dyDescent="0.3">
      <c r="A18075" t="s">
        <v>1051</v>
      </c>
      <c r="B18075" t="s">
        <v>25</v>
      </c>
      <c r="C18075" s="1">
        <f>HYPERLINK("https://cao.dolgi.msk.ru/account/1011215909/", 1011215909)</f>
        <v>1011215909</v>
      </c>
      <c r="D18075">
        <v>19707.29</v>
      </c>
    </row>
    <row r="18076" spans="1:4" hidden="1" x14ac:dyDescent="0.3">
      <c r="A18076" t="s">
        <v>1051</v>
      </c>
      <c r="B18076" t="s">
        <v>25</v>
      </c>
      <c r="C18076" s="1">
        <f>HYPERLINK("https://cao.dolgi.msk.ru/account/1011216549/", 1011216549)</f>
        <v>1011216549</v>
      </c>
      <c r="D18076">
        <v>-20288.419999999998</v>
      </c>
    </row>
    <row r="18077" spans="1:4" hidden="1" x14ac:dyDescent="0.3">
      <c r="A18077" t="s">
        <v>1051</v>
      </c>
      <c r="B18077" t="s">
        <v>26</v>
      </c>
      <c r="C18077" s="1">
        <f>HYPERLINK("https://cao.dolgi.msk.ru/account/1011215298/", 1011215298)</f>
        <v>1011215298</v>
      </c>
      <c r="D18077">
        <v>0</v>
      </c>
    </row>
    <row r="18078" spans="1:4" x14ac:dyDescent="0.3">
      <c r="A18078" t="s">
        <v>1051</v>
      </c>
      <c r="B18078" t="s">
        <v>27</v>
      </c>
      <c r="C18078" s="1">
        <f>HYPERLINK("https://cao.dolgi.msk.ru/account/1011216557/", 1011216557)</f>
        <v>1011216557</v>
      </c>
      <c r="D18078">
        <v>6413.71</v>
      </c>
    </row>
    <row r="18079" spans="1:4" hidden="1" x14ac:dyDescent="0.3">
      <c r="A18079" t="s">
        <v>1051</v>
      </c>
      <c r="B18079" t="s">
        <v>29</v>
      </c>
      <c r="C18079" s="1">
        <f>HYPERLINK("https://cao.dolgi.msk.ru/account/1011215028/", 1011215028)</f>
        <v>1011215028</v>
      </c>
      <c r="D18079">
        <v>-319.41000000000003</v>
      </c>
    </row>
    <row r="18080" spans="1:4" hidden="1" x14ac:dyDescent="0.3">
      <c r="A18080" t="s">
        <v>1051</v>
      </c>
      <c r="B18080" t="s">
        <v>38</v>
      </c>
      <c r="C18080" s="1">
        <f>HYPERLINK("https://cao.dolgi.msk.ru/account/1011215036/", 1011215036)</f>
        <v>1011215036</v>
      </c>
      <c r="D18080">
        <v>-507.21</v>
      </c>
    </row>
    <row r="18081" spans="1:4" hidden="1" x14ac:dyDescent="0.3">
      <c r="A18081" t="s">
        <v>1051</v>
      </c>
      <c r="B18081" t="s">
        <v>38</v>
      </c>
      <c r="C18081" s="1">
        <f>HYPERLINK("https://cao.dolgi.msk.ru/account/1011216215/", 1011216215)</f>
        <v>1011216215</v>
      </c>
      <c r="D18081">
        <v>-24.04</v>
      </c>
    </row>
    <row r="18082" spans="1:4" hidden="1" x14ac:dyDescent="0.3">
      <c r="A18082" t="s">
        <v>1051</v>
      </c>
      <c r="B18082" t="s">
        <v>39</v>
      </c>
      <c r="C18082" s="1">
        <f>HYPERLINK("https://cao.dolgi.msk.ru/account/1011215044/", 1011215044)</f>
        <v>1011215044</v>
      </c>
      <c r="D18082">
        <v>-4432.62</v>
      </c>
    </row>
    <row r="18083" spans="1:4" hidden="1" x14ac:dyDescent="0.3">
      <c r="A18083" t="s">
        <v>1051</v>
      </c>
      <c r="B18083" t="s">
        <v>40</v>
      </c>
      <c r="C18083" s="1">
        <f>HYPERLINK("https://cao.dolgi.msk.ru/account/1011216565/", 1011216565)</f>
        <v>1011216565</v>
      </c>
      <c r="D18083">
        <v>0</v>
      </c>
    </row>
    <row r="18084" spans="1:4" hidden="1" x14ac:dyDescent="0.3">
      <c r="A18084" t="s">
        <v>1051</v>
      </c>
      <c r="B18084" t="s">
        <v>41</v>
      </c>
      <c r="C18084" s="1">
        <f>HYPERLINK("https://cao.dolgi.msk.ru/account/1011214762/", 1011214762)</f>
        <v>1011214762</v>
      </c>
      <c r="D18084">
        <v>-6119.73</v>
      </c>
    </row>
    <row r="18085" spans="1:4" hidden="1" x14ac:dyDescent="0.3">
      <c r="A18085" t="s">
        <v>1051</v>
      </c>
      <c r="B18085" t="s">
        <v>51</v>
      </c>
      <c r="C18085" s="1">
        <f>HYPERLINK("https://cao.dolgi.msk.ru/account/1011214789/", 1011214789)</f>
        <v>1011214789</v>
      </c>
      <c r="D18085">
        <v>-73.180000000000007</v>
      </c>
    </row>
    <row r="18086" spans="1:4" hidden="1" x14ac:dyDescent="0.3">
      <c r="A18086" t="s">
        <v>1051</v>
      </c>
      <c r="B18086" t="s">
        <v>52</v>
      </c>
      <c r="C18086" s="1">
        <f>HYPERLINK("https://cao.dolgi.msk.ru/account/1011216864/", 1011216864)</f>
        <v>1011216864</v>
      </c>
      <c r="D18086">
        <v>-48.7</v>
      </c>
    </row>
    <row r="18087" spans="1:4" hidden="1" x14ac:dyDescent="0.3">
      <c r="A18087" t="s">
        <v>1051</v>
      </c>
      <c r="B18087" t="s">
        <v>53</v>
      </c>
      <c r="C18087" s="1">
        <f>HYPERLINK("https://cao.dolgi.msk.ru/account/1011216573/", 1011216573)</f>
        <v>1011216573</v>
      </c>
      <c r="D18087">
        <v>-225.06</v>
      </c>
    </row>
    <row r="18088" spans="1:4" hidden="1" x14ac:dyDescent="0.3">
      <c r="A18088" t="s">
        <v>1051</v>
      </c>
      <c r="B18088" t="s">
        <v>54</v>
      </c>
      <c r="C18088" s="1">
        <f>HYPERLINK("https://cao.dolgi.msk.ru/account/1011215052/", 1011215052)</f>
        <v>1011215052</v>
      </c>
      <c r="D18088">
        <v>0</v>
      </c>
    </row>
    <row r="18089" spans="1:4" hidden="1" x14ac:dyDescent="0.3">
      <c r="A18089" t="s">
        <v>1051</v>
      </c>
      <c r="B18089" t="s">
        <v>54</v>
      </c>
      <c r="C18089" s="1">
        <f>HYPERLINK("https://cao.dolgi.msk.ru/account/1011215562/", 1011215562)</f>
        <v>1011215562</v>
      </c>
      <c r="D18089">
        <v>-61.84</v>
      </c>
    </row>
    <row r="18090" spans="1:4" x14ac:dyDescent="0.3">
      <c r="A18090" t="s">
        <v>1051</v>
      </c>
      <c r="B18090" t="s">
        <v>55</v>
      </c>
      <c r="C18090" s="1">
        <f>HYPERLINK("https://cao.dolgi.msk.ru/account/1011215319/", 1011215319)</f>
        <v>1011215319</v>
      </c>
      <c r="D18090">
        <v>22725.99</v>
      </c>
    </row>
    <row r="18091" spans="1:4" hidden="1" x14ac:dyDescent="0.3">
      <c r="A18091" t="s">
        <v>1051</v>
      </c>
      <c r="B18091" t="s">
        <v>56</v>
      </c>
      <c r="C18091" s="1">
        <f>HYPERLINK("https://cao.dolgi.msk.ru/account/1011215618/", 1011215618)</f>
        <v>1011215618</v>
      </c>
      <c r="D18091">
        <v>-4749.71</v>
      </c>
    </row>
    <row r="18092" spans="1:4" hidden="1" x14ac:dyDescent="0.3">
      <c r="A18092" t="s">
        <v>1051</v>
      </c>
      <c r="B18092" t="s">
        <v>87</v>
      </c>
      <c r="C18092" s="1">
        <f>HYPERLINK("https://cao.dolgi.msk.ru/account/1011215917/", 1011215917)</f>
        <v>1011215917</v>
      </c>
      <c r="D18092">
        <v>0</v>
      </c>
    </row>
    <row r="18093" spans="1:4" hidden="1" x14ac:dyDescent="0.3">
      <c r="A18093" t="s">
        <v>1051</v>
      </c>
      <c r="B18093" t="s">
        <v>88</v>
      </c>
      <c r="C18093" s="1">
        <f>HYPERLINK("https://cao.dolgi.msk.ru/account/1011215626/", 1011215626)</f>
        <v>1011215626</v>
      </c>
      <c r="D18093">
        <v>-223.65</v>
      </c>
    </row>
    <row r="18094" spans="1:4" hidden="1" x14ac:dyDescent="0.3">
      <c r="A18094" t="s">
        <v>1051</v>
      </c>
      <c r="B18094" t="s">
        <v>89</v>
      </c>
      <c r="C18094" s="1">
        <f>HYPERLINK("https://cao.dolgi.msk.ru/account/1011215079/", 1011215079)</f>
        <v>1011215079</v>
      </c>
      <c r="D18094">
        <v>0</v>
      </c>
    </row>
    <row r="18095" spans="1:4" hidden="1" x14ac:dyDescent="0.3">
      <c r="A18095" t="s">
        <v>1051</v>
      </c>
      <c r="B18095" t="s">
        <v>90</v>
      </c>
      <c r="C18095" s="1">
        <f>HYPERLINK("https://cao.dolgi.msk.ru/account/1011216223/", 1011216223)</f>
        <v>1011216223</v>
      </c>
      <c r="D18095">
        <v>0</v>
      </c>
    </row>
    <row r="18096" spans="1:4" x14ac:dyDescent="0.3">
      <c r="A18096" t="s">
        <v>1051</v>
      </c>
      <c r="B18096" t="s">
        <v>96</v>
      </c>
      <c r="C18096" s="1">
        <f>HYPERLINK("https://cao.dolgi.msk.ru/account/1011214949/", 1011214949)</f>
        <v>1011214949</v>
      </c>
      <c r="D18096">
        <v>13589.1</v>
      </c>
    </row>
    <row r="18097" spans="1:4" x14ac:dyDescent="0.3">
      <c r="A18097" t="s">
        <v>1051</v>
      </c>
      <c r="B18097" t="s">
        <v>96</v>
      </c>
      <c r="C18097" s="1">
        <f>HYPERLINK("https://cao.dolgi.msk.ru/account/1011215087/", 1011215087)</f>
        <v>1011215087</v>
      </c>
      <c r="D18097">
        <v>26246.080000000002</v>
      </c>
    </row>
    <row r="18098" spans="1:4" hidden="1" x14ac:dyDescent="0.3">
      <c r="A18098" t="s">
        <v>1051</v>
      </c>
      <c r="B18098" t="s">
        <v>96</v>
      </c>
      <c r="C18098" s="1">
        <f>HYPERLINK("https://cao.dolgi.msk.ru/account/1011215925/", 1011215925)</f>
        <v>1011215925</v>
      </c>
      <c r="D18098">
        <v>-4628.34</v>
      </c>
    </row>
    <row r="18099" spans="1:4" hidden="1" x14ac:dyDescent="0.3">
      <c r="A18099" t="s">
        <v>1051</v>
      </c>
      <c r="B18099" t="s">
        <v>97</v>
      </c>
      <c r="C18099" s="1">
        <f>HYPERLINK("https://cao.dolgi.msk.ru/account/1011216602/", 1011216602)</f>
        <v>1011216602</v>
      </c>
      <c r="D18099">
        <v>-107.27</v>
      </c>
    </row>
    <row r="18100" spans="1:4" hidden="1" x14ac:dyDescent="0.3">
      <c r="A18100" t="s">
        <v>1051</v>
      </c>
      <c r="B18100" t="s">
        <v>98</v>
      </c>
      <c r="C18100" s="1">
        <f>HYPERLINK("https://cao.dolgi.msk.ru/account/1011215589/", 1011215589)</f>
        <v>1011215589</v>
      </c>
      <c r="D18100">
        <v>0</v>
      </c>
    </row>
    <row r="18101" spans="1:4" hidden="1" x14ac:dyDescent="0.3">
      <c r="A18101" t="s">
        <v>1051</v>
      </c>
      <c r="B18101" t="s">
        <v>98</v>
      </c>
      <c r="C18101" s="1">
        <f>HYPERLINK("https://cao.dolgi.msk.ru/account/1011216231/", 1011216231)</f>
        <v>1011216231</v>
      </c>
      <c r="D18101">
        <v>0</v>
      </c>
    </row>
    <row r="18102" spans="1:4" x14ac:dyDescent="0.3">
      <c r="A18102" t="s">
        <v>1051</v>
      </c>
      <c r="B18102" t="s">
        <v>58</v>
      </c>
      <c r="C18102" s="1">
        <f>HYPERLINK("https://cao.dolgi.msk.ru/account/1011215634/", 1011215634)</f>
        <v>1011215634</v>
      </c>
      <c r="D18102">
        <v>18162.099999999999</v>
      </c>
    </row>
    <row r="18103" spans="1:4" hidden="1" x14ac:dyDescent="0.3">
      <c r="A18103" t="s">
        <v>1051</v>
      </c>
      <c r="B18103" t="s">
        <v>59</v>
      </c>
      <c r="C18103" s="1">
        <f>HYPERLINK("https://cao.dolgi.msk.ru/account/1011525974/", 1011525974)</f>
        <v>1011525974</v>
      </c>
      <c r="D18103">
        <v>-138.96</v>
      </c>
    </row>
    <row r="18104" spans="1:4" hidden="1" x14ac:dyDescent="0.3">
      <c r="A18104" t="s">
        <v>1051</v>
      </c>
      <c r="B18104" t="s">
        <v>60</v>
      </c>
      <c r="C18104" s="1">
        <f>HYPERLINK("https://cao.dolgi.msk.ru/account/1011215933/", 1011215933)</f>
        <v>1011215933</v>
      </c>
      <c r="D18104">
        <v>-108.05</v>
      </c>
    </row>
    <row r="18105" spans="1:4" hidden="1" x14ac:dyDescent="0.3">
      <c r="A18105" t="s">
        <v>1051</v>
      </c>
      <c r="B18105" t="s">
        <v>61</v>
      </c>
      <c r="C18105" s="1">
        <f>HYPERLINK("https://cao.dolgi.msk.ru/account/1011215669/", 1011215669)</f>
        <v>1011215669</v>
      </c>
      <c r="D18105">
        <v>-76.349999999999994</v>
      </c>
    </row>
    <row r="18106" spans="1:4" x14ac:dyDescent="0.3">
      <c r="A18106" t="s">
        <v>1051</v>
      </c>
      <c r="B18106" t="s">
        <v>62</v>
      </c>
      <c r="C18106" s="1">
        <f>HYPERLINK("https://cao.dolgi.msk.ru/account/1011542379/", 1011542379)</f>
        <v>1011542379</v>
      </c>
      <c r="D18106">
        <v>5662.7</v>
      </c>
    </row>
    <row r="18107" spans="1:4" hidden="1" x14ac:dyDescent="0.3">
      <c r="A18107" t="s">
        <v>1051</v>
      </c>
      <c r="B18107" t="s">
        <v>63</v>
      </c>
      <c r="C18107" s="1">
        <f>HYPERLINK("https://cao.dolgi.msk.ru/account/1011215597/", 1011215597)</f>
        <v>1011215597</v>
      </c>
      <c r="D18107">
        <v>-4492.1499999999996</v>
      </c>
    </row>
    <row r="18108" spans="1:4" hidden="1" x14ac:dyDescent="0.3">
      <c r="A18108" t="s">
        <v>1051</v>
      </c>
      <c r="B18108" t="s">
        <v>63</v>
      </c>
      <c r="C18108" s="1">
        <f>HYPERLINK("https://cao.dolgi.msk.ru/account/1011215941/", 1011215941)</f>
        <v>1011215941</v>
      </c>
      <c r="D18108">
        <v>-4148.7299999999996</v>
      </c>
    </row>
    <row r="18109" spans="1:4" hidden="1" x14ac:dyDescent="0.3">
      <c r="A18109" t="s">
        <v>1051</v>
      </c>
      <c r="B18109" t="s">
        <v>64</v>
      </c>
      <c r="C18109" s="1">
        <f>HYPERLINK("https://cao.dolgi.msk.ru/account/1011216813/", 1011216813)</f>
        <v>1011216813</v>
      </c>
      <c r="D18109">
        <v>0</v>
      </c>
    </row>
    <row r="18110" spans="1:4" hidden="1" x14ac:dyDescent="0.3">
      <c r="A18110" t="s">
        <v>1051</v>
      </c>
      <c r="B18110" t="s">
        <v>65</v>
      </c>
      <c r="C18110" s="1">
        <f>HYPERLINK("https://cao.dolgi.msk.ru/account/1011216872/", 1011216872)</f>
        <v>1011216872</v>
      </c>
      <c r="D18110">
        <v>0</v>
      </c>
    </row>
    <row r="18111" spans="1:4" hidden="1" x14ac:dyDescent="0.3">
      <c r="A18111" t="s">
        <v>1051</v>
      </c>
      <c r="B18111" t="s">
        <v>66</v>
      </c>
      <c r="C18111" s="1">
        <f>HYPERLINK("https://cao.dolgi.msk.ru/account/1011215677/", 1011215677)</f>
        <v>1011215677</v>
      </c>
      <c r="D18111">
        <v>0</v>
      </c>
    </row>
    <row r="18112" spans="1:4" x14ac:dyDescent="0.3">
      <c r="A18112" t="s">
        <v>1051</v>
      </c>
      <c r="B18112" t="s">
        <v>67</v>
      </c>
      <c r="C18112" s="1">
        <f>HYPERLINK("https://cao.dolgi.msk.ru/account/1011215335/", 1011215335)</f>
        <v>1011215335</v>
      </c>
      <c r="D18112">
        <v>15664.49</v>
      </c>
    </row>
    <row r="18113" spans="1:4" hidden="1" x14ac:dyDescent="0.3">
      <c r="A18113" t="s">
        <v>1051</v>
      </c>
      <c r="B18113" t="s">
        <v>68</v>
      </c>
      <c r="C18113" s="1">
        <f>HYPERLINK("https://cao.dolgi.msk.ru/account/1011215685/", 1011215685)</f>
        <v>1011215685</v>
      </c>
      <c r="D18113">
        <v>0</v>
      </c>
    </row>
    <row r="18114" spans="1:4" hidden="1" x14ac:dyDescent="0.3">
      <c r="A18114" t="s">
        <v>1051</v>
      </c>
      <c r="B18114" t="s">
        <v>69</v>
      </c>
      <c r="C18114" s="1">
        <f>HYPERLINK("https://cao.dolgi.msk.ru/account/1011215968/", 1011215968)</f>
        <v>1011215968</v>
      </c>
      <c r="D18114">
        <v>0</v>
      </c>
    </row>
    <row r="18115" spans="1:4" hidden="1" x14ac:dyDescent="0.3">
      <c r="A18115" t="s">
        <v>1051</v>
      </c>
      <c r="B18115" t="s">
        <v>70</v>
      </c>
      <c r="C18115" s="1">
        <f>HYPERLINK("https://cao.dolgi.msk.ru/account/1011214818/", 1011214818)</f>
        <v>1011214818</v>
      </c>
      <c r="D18115">
        <v>-75.95</v>
      </c>
    </row>
    <row r="18116" spans="1:4" x14ac:dyDescent="0.3">
      <c r="A18116" t="s">
        <v>1051</v>
      </c>
      <c r="B18116" t="s">
        <v>259</v>
      </c>
      <c r="C18116" s="1">
        <f>HYPERLINK("https://cao.dolgi.msk.ru/account/1011215095/", 1011215095)</f>
        <v>1011215095</v>
      </c>
      <c r="D18116">
        <v>7870.36</v>
      </c>
    </row>
    <row r="18117" spans="1:4" x14ac:dyDescent="0.3">
      <c r="A18117" t="s">
        <v>1051</v>
      </c>
      <c r="B18117" t="s">
        <v>100</v>
      </c>
      <c r="C18117" s="1">
        <f>HYPERLINK("https://cao.dolgi.msk.ru/account/1011216899/", 1011216899)</f>
        <v>1011216899</v>
      </c>
      <c r="D18117">
        <v>15082.29</v>
      </c>
    </row>
    <row r="18118" spans="1:4" x14ac:dyDescent="0.3">
      <c r="A18118" t="s">
        <v>1051</v>
      </c>
      <c r="B18118" t="s">
        <v>72</v>
      </c>
      <c r="C18118" s="1">
        <f>HYPERLINK("https://cao.dolgi.msk.ru/account/1011216629/", 1011216629)</f>
        <v>1011216629</v>
      </c>
      <c r="D18118">
        <v>91002.53</v>
      </c>
    </row>
    <row r="18119" spans="1:4" hidden="1" x14ac:dyDescent="0.3">
      <c r="A18119" t="s">
        <v>1051</v>
      </c>
      <c r="B18119" t="s">
        <v>73</v>
      </c>
      <c r="C18119" s="1">
        <f>HYPERLINK("https://cao.dolgi.msk.ru/account/1011215108/", 1011215108)</f>
        <v>1011215108</v>
      </c>
      <c r="D18119">
        <v>0</v>
      </c>
    </row>
    <row r="18120" spans="1:4" hidden="1" x14ac:dyDescent="0.3">
      <c r="A18120" t="s">
        <v>1051</v>
      </c>
      <c r="B18120" t="s">
        <v>74</v>
      </c>
      <c r="C18120" s="1">
        <f>HYPERLINK("https://cao.dolgi.msk.ru/account/1011216258/", 1011216258)</f>
        <v>1011216258</v>
      </c>
      <c r="D18120">
        <v>0</v>
      </c>
    </row>
    <row r="18121" spans="1:4" hidden="1" x14ac:dyDescent="0.3">
      <c r="A18121" t="s">
        <v>1051</v>
      </c>
      <c r="B18121" t="s">
        <v>75</v>
      </c>
      <c r="C18121" s="1">
        <f>HYPERLINK("https://cao.dolgi.msk.ru/account/1011215343/", 1011215343)</f>
        <v>1011215343</v>
      </c>
      <c r="D18121">
        <v>0</v>
      </c>
    </row>
    <row r="18122" spans="1:4" hidden="1" x14ac:dyDescent="0.3">
      <c r="A18122" t="s">
        <v>1051</v>
      </c>
      <c r="B18122" t="s">
        <v>75</v>
      </c>
      <c r="C18122" s="1">
        <f>HYPERLINK("https://cao.dolgi.msk.ru/account/1011215351/", 1011215351)</f>
        <v>1011215351</v>
      </c>
      <c r="D18122">
        <v>0</v>
      </c>
    </row>
    <row r="18123" spans="1:4" x14ac:dyDescent="0.3">
      <c r="A18123" t="s">
        <v>1051</v>
      </c>
      <c r="B18123" t="s">
        <v>76</v>
      </c>
      <c r="C18123" s="1">
        <f>HYPERLINK("https://cao.dolgi.msk.ru/account/1011216901/", 1011216901)</f>
        <v>1011216901</v>
      </c>
      <c r="D18123">
        <v>12739.27</v>
      </c>
    </row>
    <row r="18124" spans="1:4" hidden="1" x14ac:dyDescent="0.3">
      <c r="A18124" t="s">
        <v>1051</v>
      </c>
      <c r="B18124" t="s">
        <v>77</v>
      </c>
      <c r="C18124" s="1">
        <f>HYPERLINK("https://cao.dolgi.msk.ru/account/1011216266/", 1011216266)</f>
        <v>1011216266</v>
      </c>
      <c r="D18124">
        <v>-38.57</v>
      </c>
    </row>
    <row r="18125" spans="1:4" hidden="1" x14ac:dyDescent="0.3">
      <c r="A18125" t="s">
        <v>1051</v>
      </c>
      <c r="B18125" t="s">
        <v>77</v>
      </c>
      <c r="C18125" s="1">
        <f>HYPERLINK("https://cao.dolgi.msk.ru/account/1011216637/", 1011216637)</f>
        <v>1011216637</v>
      </c>
      <c r="D18125">
        <v>-38.57</v>
      </c>
    </row>
    <row r="18126" spans="1:4" hidden="1" x14ac:dyDescent="0.3">
      <c r="A18126" t="s">
        <v>1051</v>
      </c>
      <c r="B18126" t="s">
        <v>78</v>
      </c>
      <c r="C18126" s="1">
        <f>HYPERLINK("https://cao.dolgi.msk.ru/account/1011216928/", 1011216928)</f>
        <v>1011216928</v>
      </c>
      <c r="D18126">
        <v>0</v>
      </c>
    </row>
    <row r="18127" spans="1:4" hidden="1" x14ac:dyDescent="0.3">
      <c r="A18127" t="s">
        <v>1051</v>
      </c>
      <c r="B18127" t="s">
        <v>79</v>
      </c>
      <c r="C18127" s="1">
        <f>HYPERLINK("https://cao.dolgi.msk.ru/account/1011215976/", 1011215976)</f>
        <v>1011215976</v>
      </c>
      <c r="D18127">
        <v>-0.42</v>
      </c>
    </row>
    <row r="18128" spans="1:4" hidden="1" x14ac:dyDescent="0.3">
      <c r="A18128" t="s">
        <v>1051</v>
      </c>
      <c r="B18128" t="s">
        <v>79</v>
      </c>
      <c r="C18128" s="1">
        <f>HYPERLINK("https://cao.dolgi.msk.ru/account/1011216645/", 1011216645)</f>
        <v>1011216645</v>
      </c>
      <c r="D18128">
        <v>0</v>
      </c>
    </row>
    <row r="18129" spans="1:4" hidden="1" x14ac:dyDescent="0.3">
      <c r="A18129" t="s">
        <v>1051</v>
      </c>
      <c r="B18129" t="s">
        <v>80</v>
      </c>
      <c r="C18129" s="1">
        <f>HYPERLINK("https://cao.dolgi.msk.ru/account/1011215984/", 1011215984)</f>
        <v>1011215984</v>
      </c>
      <c r="D18129">
        <v>0</v>
      </c>
    </row>
    <row r="18130" spans="1:4" x14ac:dyDescent="0.3">
      <c r="A18130" t="s">
        <v>1051</v>
      </c>
      <c r="B18130" t="s">
        <v>101</v>
      </c>
      <c r="C18130" s="1">
        <f>HYPERLINK("https://cao.dolgi.msk.ru/account/1011215116/", 1011215116)</f>
        <v>1011215116</v>
      </c>
      <c r="D18130">
        <v>164413.67000000001</v>
      </c>
    </row>
    <row r="18131" spans="1:4" hidden="1" x14ac:dyDescent="0.3">
      <c r="A18131" t="s">
        <v>1051</v>
      </c>
      <c r="B18131" t="s">
        <v>82</v>
      </c>
      <c r="C18131" s="1">
        <f>HYPERLINK("https://cao.dolgi.msk.ru/account/1011215378/", 1011215378)</f>
        <v>1011215378</v>
      </c>
      <c r="D18131">
        <v>-107.67</v>
      </c>
    </row>
    <row r="18132" spans="1:4" hidden="1" x14ac:dyDescent="0.3">
      <c r="A18132" t="s">
        <v>1051</v>
      </c>
      <c r="B18132" t="s">
        <v>83</v>
      </c>
      <c r="C18132" s="1">
        <f>HYPERLINK("https://cao.dolgi.msk.ru/account/1011216004/", 1011216004)</f>
        <v>1011216004</v>
      </c>
      <c r="D18132">
        <v>-77.650000000000006</v>
      </c>
    </row>
    <row r="18133" spans="1:4" hidden="1" x14ac:dyDescent="0.3">
      <c r="A18133" t="s">
        <v>1051</v>
      </c>
      <c r="B18133" t="s">
        <v>84</v>
      </c>
      <c r="C18133" s="1">
        <f>HYPERLINK("https://cao.dolgi.msk.ru/account/1011215386/", 1011215386)</f>
        <v>1011215386</v>
      </c>
      <c r="D18133">
        <v>-11146.29</v>
      </c>
    </row>
    <row r="18134" spans="1:4" hidden="1" x14ac:dyDescent="0.3">
      <c r="A18134" t="s">
        <v>1051</v>
      </c>
      <c r="B18134" t="s">
        <v>85</v>
      </c>
      <c r="C18134" s="1">
        <f>HYPERLINK("https://cao.dolgi.msk.ru/account/1011214842/", 1011214842)</f>
        <v>1011214842</v>
      </c>
      <c r="D18134">
        <v>-2751.51</v>
      </c>
    </row>
    <row r="18135" spans="1:4" hidden="1" x14ac:dyDescent="0.3">
      <c r="A18135" t="s">
        <v>1051</v>
      </c>
      <c r="B18135" t="s">
        <v>102</v>
      </c>
      <c r="C18135" s="1">
        <f>HYPERLINK("https://cao.dolgi.msk.ru/account/1011214826/", 1011214826)</f>
        <v>1011214826</v>
      </c>
      <c r="D18135">
        <v>-140.11000000000001</v>
      </c>
    </row>
    <row r="18136" spans="1:4" hidden="1" x14ac:dyDescent="0.3">
      <c r="A18136" t="s">
        <v>1051</v>
      </c>
      <c r="B18136" t="s">
        <v>102</v>
      </c>
      <c r="C18136" s="1">
        <f>HYPERLINK("https://cao.dolgi.msk.ru/account/1011216856/", 1011216856)</f>
        <v>1011216856</v>
      </c>
      <c r="D18136">
        <v>-4190.47</v>
      </c>
    </row>
    <row r="18137" spans="1:4" hidden="1" x14ac:dyDescent="0.3">
      <c r="A18137" t="s">
        <v>1051</v>
      </c>
      <c r="B18137" t="s">
        <v>103</v>
      </c>
      <c r="C18137" s="1">
        <f>HYPERLINK("https://cao.dolgi.msk.ru/account/1011215394/", 1011215394)</f>
        <v>1011215394</v>
      </c>
      <c r="D18137">
        <v>0</v>
      </c>
    </row>
    <row r="18138" spans="1:4" x14ac:dyDescent="0.3">
      <c r="A18138" t="s">
        <v>1051</v>
      </c>
      <c r="B18138" t="s">
        <v>104</v>
      </c>
      <c r="C18138" s="1">
        <f>HYPERLINK("https://cao.dolgi.msk.ru/account/1011216012/", 1011216012)</f>
        <v>1011216012</v>
      </c>
      <c r="D18138">
        <v>35727.61</v>
      </c>
    </row>
    <row r="18139" spans="1:4" hidden="1" x14ac:dyDescent="0.3">
      <c r="A18139" t="s">
        <v>1051</v>
      </c>
      <c r="B18139" t="s">
        <v>105</v>
      </c>
      <c r="C18139" s="1">
        <f>HYPERLINK("https://cao.dolgi.msk.ru/account/1011215124/", 1011215124)</f>
        <v>1011215124</v>
      </c>
      <c r="D18139">
        <v>-10221.450000000001</v>
      </c>
    </row>
    <row r="18140" spans="1:4" hidden="1" x14ac:dyDescent="0.3">
      <c r="A18140" t="s">
        <v>1051</v>
      </c>
      <c r="B18140" t="s">
        <v>106</v>
      </c>
      <c r="C18140" s="1">
        <f>HYPERLINK("https://cao.dolgi.msk.ru/account/1011515653/", 1011515653)</f>
        <v>1011515653</v>
      </c>
      <c r="D18140">
        <v>-2276.5500000000002</v>
      </c>
    </row>
    <row r="18141" spans="1:4" x14ac:dyDescent="0.3">
      <c r="A18141" t="s">
        <v>1051</v>
      </c>
      <c r="B18141" t="s">
        <v>107</v>
      </c>
      <c r="C18141" s="1">
        <f>HYPERLINK("https://cao.dolgi.msk.ru/account/1011216282/", 1011216282)</f>
        <v>1011216282</v>
      </c>
      <c r="D18141">
        <v>4136.24</v>
      </c>
    </row>
    <row r="18142" spans="1:4" hidden="1" x14ac:dyDescent="0.3">
      <c r="A18142" t="s">
        <v>1051</v>
      </c>
      <c r="B18142" t="s">
        <v>108</v>
      </c>
      <c r="C18142" s="1">
        <f>HYPERLINK("https://cao.dolgi.msk.ru/account/1011216653/", 1011216653)</f>
        <v>1011216653</v>
      </c>
      <c r="D18142">
        <v>0</v>
      </c>
    </row>
    <row r="18143" spans="1:4" hidden="1" x14ac:dyDescent="0.3">
      <c r="A18143" t="s">
        <v>1051</v>
      </c>
      <c r="B18143" t="s">
        <v>109</v>
      </c>
      <c r="C18143" s="1">
        <f>HYPERLINK("https://cao.dolgi.msk.ru/account/1011215132/", 1011215132)</f>
        <v>1011215132</v>
      </c>
      <c r="D18143">
        <v>-6430.04</v>
      </c>
    </row>
    <row r="18144" spans="1:4" hidden="1" x14ac:dyDescent="0.3">
      <c r="A18144" t="s">
        <v>1051</v>
      </c>
      <c r="B18144" t="s">
        <v>110</v>
      </c>
      <c r="C18144" s="1">
        <f>HYPERLINK("https://cao.dolgi.msk.ru/account/1011214834/", 1011214834)</f>
        <v>1011214834</v>
      </c>
      <c r="D18144">
        <v>0</v>
      </c>
    </row>
    <row r="18145" spans="1:4" hidden="1" x14ac:dyDescent="0.3">
      <c r="A18145" t="s">
        <v>1051</v>
      </c>
      <c r="B18145" t="s">
        <v>110</v>
      </c>
      <c r="C18145" s="1">
        <f>HYPERLINK("https://cao.dolgi.msk.ru/account/1011216944/", 1011216944)</f>
        <v>1011216944</v>
      </c>
      <c r="D18145">
        <v>-41.48</v>
      </c>
    </row>
    <row r="18146" spans="1:4" hidden="1" x14ac:dyDescent="0.3">
      <c r="A18146" t="s">
        <v>1051</v>
      </c>
      <c r="B18146" t="s">
        <v>111</v>
      </c>
      <c r="C18146" s="1">
        <f>HYPERLINK("https://cao.dolgi.msk.ru/account/1011217103/", 1011217103)</f>
        <v>1011217103</v>
      </c>
      <c r="D18146">
        <v>-5854.25</v>
      </c>
    </row>
    <row r="18147" spans="1:4" x14ac:dyDescent="0.3">
      <c r="A18147" t="s">
        <v>1051</v>
      </c>
      <c r="B18147" t="s">
        <v>112</v>
      </c>
      <c r="C18147" s="1">
        <f>HYPERLINK("https://cao.dolgi.msk.ru/account/1011215415/", 1011215415)</f>
        <v>1011215415</v>
      </c>
      <c r="D18147">
        <v>5067.7</v>
      </c>
    </row>
    <row r="18148" spans="1:4" hidden="1" x14ac:dyDescent="0.3">
      <c r="A18148" t="s">
        <v>1051</v>
      </c>
      <c r="B18148" t="s">
        <v>113</v>
      </c>
      <c r="C18148" s="1">
        <f>HYPERLINK("https://cao.dolgi.msk.ru/account/1011216952/", 1011216952)</f>
        <v>1011216952</v>
      </c>
      <c r="D18148">
        <v>-373.3</v>
      </c>
    </row>
    <row r="18149" spans="1:4" x14ac:dyDescent="0.3">
      <c r="A18149" t="s">
        <v>1051</v>
      </c>
      <c r="B18149" t="s">
        <v>114</v>
      </c>
      <c r="C18149" s="1">
        <f>HYPERLINK("https://cao.dolgi.msk.ru/account/1011215423/", 1011215423)</f>
        <v>1011215423</v>
      </c>
      <c r="D18149">
        <v>26001.52</v>
      </c>
    </row>
    <row r="18150" spans="1:4" hidden="1" x14ac:dyDescent="0.3">
      <c r="A18150" t="s">
        <v>1051</v>
      </c>
      <c r="B18150" t="s">
        <v>115</v>
      </c>
      <c r="C18150" s="1">
        <f>HYPERLINK("https://cao.dolgi.msk.ru/account/1011216303/", 1011216303)</f>
        <v>1011216303</v>
      </c>
      <c r="D18150">
        <v>0</v>
      </c>
    </row>
    <row r="18151" spans="1:4" hidden="1" x14ac:dyDescent="0.3">
      <c r="A18151" t="s">
        <v>1051</v>
      </c>
      <c r="B18151" t="s">
        <v>116</v>
      </c>
      <c r="C18151" s="1">
        <f>HYPERLINK("https://cao.dolgi.msk.ru/account/1011216311/", 1011216311)</f>
        <v>1011216311</v>
      </c>
      <c r="D18151">
        <v>0</v>
      </c>
    </row>
    <row r="18152" spans="1:4" hidden="1" x14ac:dyDescent="0.3">
      <c r="A18152" t="s">
        <v>1051</v>
      </c>
      <c r="B18152" t="s">
        <v>266</v>
      </c>
      <c r="C18152" s="1">
        <f>HYPERLINK("https://cao.dolgi.msk.ru/account/1011215706/", 1011215706)</f>
        <v>1011215706</v>
      </c>
      <c r="D18152">
        <v>-83.26</v>
      </c>
    </row>
    <row r="18153" spans="1:4" x14ac:dyDescent="0.3">
      <c r="A18153" t="s">
        <v>1051</v>
      </c>
      <c r="B18153" t="s">
        <v>117</v>
      </c>
      <c r="C18153" s="1">
        <f>HYPERLINK("https://cao.dolgi.msk.ru/account/1011216936/", 1011216936)</f>
        <v>1011216936</v>
      </c>
      <c r="D18153">
        <v>6592.07</v>
      </c>
    </row>
    <row r="18154" spans="1:4" hidden="1" x14ac:dyDescent="0.3">
      <c r="A18154" t="s">
        <v>1051</v>
      </c>
      <c r="B18154" t="s">
        <v>118</v>
      </c>
      <c r="C18154" s="1">
        <f>HYPERLINK("https://cao.dolgi.msk.ru/account/1011215159/", 1011215159)</f>
        <v>1011215159</v>
      </c>
      <c r="D18154">
        <v>-148.22999999999999</v>
      </c>
    </row>
    <row r="18155" spans="1:4" x14ac:dyDescent="0.3">
      <c r="A18155" t="s">
        <v>1051</v>
      </c>
      <c r="B18155" t="s">
        <v>119</v>
      </c>
      <c r="C18155" s="1">
        <f>HYPERLINK("https://cao.dolgi.msk.ru/account/1011216039/", 1011216039)</f>
        <v>1011216039</v>
      </c>
      <c r="D18155">
        <v>23593.84</v>
      </c>
    </row>
    <row r="18156" spans="1:4" hidden="1" x14ac:dyDescent="0.3">
      <c r="A18156" t="s">
        <v>1051</v>
      </c>
      <c r="B18156" t="s">
        <v>120</v>
      </c>
      <c r="C18156" s="1">
        <f>HYPERLINK("https://cao.dolgi.msk.ru/account/1011215431/", 1011215431)</f>
        <v>1011215431</v>
      </c>
      <c r="D18156">
        <v>-47.8</v>
      </c>
    </row>
    <row r="18157" spans="1:4" hidden="1" x14ac:dyDescent="0.3">
      <c r="A18157" t="s">
        <v>1051</v>
      </c>
      <c r="B18157" t="s">
        <v>121</v>
      </c>
      <c r="C18157" s="1">
        <f>HYPERLINK("https://cao.dolgi.msk.ru/account/1011216661/", 1011216661)</f>
        <v>1011216661</v>
      </c>
      <c r="D18157">
        <v>0</v>
      </c>
    </row>
    <row r="18158" spans="1:4" hidden="1" x14ac:dyDescent="0.3">
      <c r="A18158" t="s">
        <v>1051</v>
      </c>
      <c r="B18158" t="s">
        <v>122</v>
      </c>
      <c r="C18158" s="1">
        <f>HYPERLINK("https://cao.dolgi.msk.ru/account/1011216979/", 1011216979)</f>
        <v>1011216979</v>
      </c>
      <c r="D18158">
        <v>0</v>
      </c>
    </row>
    <row r="18159" spans="1:4" hidden="1" x14ac:dyDescent="0.3">
      <c r="A18159" t="s">
        <v>1051</v>
      </c>
      <c r="B18159" t="s">
        <v>123</v>
      </c>
      <c r="C18159" s="1">
        <f>HYPERLINK("https://cao.dolgi.msk.ru/account/1011216987/", 1011216987)</f>
        <v>1011216987</v>
      </c>
      <c r="D18159">
        <v>-94.5</v>
      </c>
    </row>
    <row r="18160" spans="1:4" hidden="1" x14ac:dyDescent="0.3">
      <c r="A18160" t="s">
        <v>1051</v>
      </c>
      <c r="B18160" t="s">
        <v>124</v>
      </c>
      <c r="C18160" s="1">
        <f>HYPERLINK("https://cao.dolgi.msk.ru/account/1011216688/", 1011216688)</f>
        <v>1011216688</v>
      </c>
      <c r="D18160">
        <v>0</v>
      </c>
    </row>
    <row r="18161" spans="1:4" hidden="1" x14ac:dyDescent="0.3">
      <c r="A18161" t="s">
        <v>1051</v>
      </c>
      <c r="B18161" t="s">
        <v>125</v>
      </c>
      <c r="C18161" s="1">
        <f>HYPERLINK("https://cao.dolgi.msk.ru/account/1011216338/", 1011216338)</f>
        <v>1011216338</v>
      </c>
      <c r="D18161">
        <v>0</v>
      </c>
    </row>
    <row r="18162" spans="1:4" hidden="1" x14ac:dyDescent="0.3">
      <c r="A18162" t="s">
        <v>1051</v>
      </c>
      <c r="B18162" t="s">
        <v>126</v>
      </c>
      <c r="C18162" s="1">
        <f>HYPERLINK("https://cao.dolgi.msk.ru/account/1011216995/", 1011216995)</f>
        <v>1011216995</v>
      </c>
      <c r="D18162">
        <v>-8393.32</v>
      </c>
    </row>
    <row r="18163" spans="1:4" hidden="1" x14ac:dyDescent="0.3">
      <c r="A18163" t="s">
        <v>1051</v>
      </c>
      <c r="B18163" t="s">
        <v>127</v>
      </c>
      <c r="C18163" s="1">
        <f>HYPERLINK("https://cao.dolgi.msk.ru/account/1011216346/", 1011216346)</f>
        <v>1011216346</v>
      </c>
      <c r="D18163">
        <v>-187.96</v>
      </c>
    </row>
    <row r="18164" spans="1:4" hidden="1" x14ac:dyDescent="0.3">
      <c r="A18164" t="s">
        <v>1051</v>
      </c>
      <c r="B18164" t="s">
        <v>262</v>
      </c>
      <c r="C18164" s="1">
        <f>HYPERLINK("https://cao.dolgi.msk.ru/account/1011215714/", 1011215714)</f>
        <v>1011215714</v>
      </c>
      <c r="D18164">
        <v>0</v>
      </c>
    </row>
    <row r="18165" spans="1:4" hidden="1" x14ac:dyDescent="0.3">
      <c r="A18165" t="s">
        <v>1051</v>
      </c>
      <c r="B18165" t="s">
        <v>128</v>
      </c>
      <c r="C18165" s="1">
        <f>HYPERLINK("https://cao.dolgi.msk.ru/account/1011215722/", 1011215722)</f>
        <v>1011215722</v>
      </c>
      <c r="D18165">
        <v>-1467.74</v>
      </c>
    </row>
    <row r="18166" spans="1:4" hidden="1" x14ac:dyDescent="0.3">
      <c r="A18166" t="s">
        <v>1051</v>
      </c>
      <c r="B18166" t="s">
        <v>129</v>
      </c>
      <c r="C18166" s="1">
        <f>HYPERLINK("https://cao.dolgi.msk.ru/account/1011215458/", 1011215458)</f>
        <v>1011215458</v>
      </c>
      <c r="D18166">
        <v>-4666.08</v>
      </c>
    </row>
    <row r="18167" spans="1:4" hidden="1" x14ac:dyDescent="0.3">
      <c r="A18167" t="s">
        <v>1051</v>
      </c>
      <c r="B18167" t="s">
        <v>130</v>
      </c>
      <c r="C18167" s="1">
        <f>HYPERLINK("https://cao.dolgi.msk.ru/account/1011215167/", 1011215167)</f>
        <v>1011215167</v>
      </c>
      <c r="D18167">
        <v>0</v>
      </c>
    </row>
    <row r="18168" spans="1:4" x14ac:dyDescent="0.3">
      <c r="A18168" t="s">
        <v>1051</v>
      </c>
      <c r="B18168" t="s">
        <v>131</v>
      </c>
      <c r="C18168" s="1">
        <f>HYPERLINK("https://cao.dolgi.msk.ru/account/1011216354/", 1011216354)</f>
        <v>1011216354</v>
      </c>
      <c r="D18168">
        <v>25192.53</v>
      </c>
    </row>
    <row r="18169" spans="1:4" x14ac:dyDescent="0.3">
      <c r="A18169" t="s">
        <v>1051</v>
      </c>
      <c r="B18169" t="s">
        <v>132</v>
      </c>
      <c r="C18169" s="1">
        <f>HYPERLINK("https://cao.dolgi.msk.ru/account/1011215749/", 1011215749)</f>
        <v>1011215749</v>
      </c>
      <c r="D18169">
        <v>45.44</v>
      </c>
    </row>
    <row r="18170" spans="1:4" hidden="1" x14ac:dyDescent="0.3">
      <c r="A18170" t="s">
        <v>1051</v>
      </c>
      <c r="B18170" t="s">
        <v>133</v>
      </c>
      <c r="C18170" s="1">
        <f>HYPERLINK("https://cao.dolgi.msk.ru/account/1011216362/", 1011216362)</f>
        <v>1011216362</v>
      </c>
      <c r="D18170">
        <v>0</v>
      </c>
    </row>
    <row r="18171" spans="1:4" hidden="1" x14ac:dyDescent="0.3">
      <c r="A18171" t="s">
        <v>1051</v>
      </c>
      <c r="B18171" t="s">
        <v>134</v>
      </c>
      <c r="C18171" s="1">
        <f>HYPERLINK("https://cao.dolgi.msk.ru/account/1011216389/", 1011216389)</f>
        <v>1011216389</v>
      </c>
      <c r="D18171">
        <v>0</v>
      </c>
    </row>
    <row r="18172" spans="1:4" hidden="1" x14ac:dyDescent="0.3">
      <c r="A18172" t="s">
        <v>1051</v>
      </c>
      <c r="B18172" t="s">
        <v>135</v>
      </c>
      <c r="C18172" s="1">
        <f>HYPERLINK("https://cao.dolgi.msk.ru/account/1011215757/", 1011215757)</f>
        <v>1011215757</v>
      </c>
      <c r="D18172">
        <v>0</v>
      </c>
    </row>
    <row r="18173" spans="1:4" hidden="1" x14ac:dyDescent="0.3">
      <c r="A18173" t="s">
        <v>1051</v>
      </c>
      <c r="B18173" t="s">
        <v>264</v>
      </c>
      <c r="C18173" s="1">
        <f>HYPERLINK("https://cao.dolgi.msk.ru/account/1011216397/", 1011216397)</f>
        <v>1011216397</v>
      </c>
      <c r="D18173">
        <v>0</v>
      </c>
    </row>
    <row r="18174" spans="1:4" hidden="1" x14ac:dyDescent="0.3">
      <c r="A18174" t="s">
        <v>1051</v>
      </c>
      <c r="B18174" t="s">
        <v>137</v>
      </c>
      <c r="C18174" s="1">
        <f>HYPERLINK("https://cao.dolgi.msk.ru/account/1011216696/", 1011216696)</f>
        <v>1011216696</v>
      </c>
      <c r="D18174">
        <v>0</v>
      </c>
    </row>
    <row r="18175" spans="1:4" hidden="1" x14ac:dyDescent="0.3">
      <c r="A18175" t="s">
        <v>1051</v>
      </c>
      <c r="B18175" t="s">
        <v>138</v>
      </c>
      <c r="C18175" s="1">
        <f>HYPERLINK("https://cao.dolgi.msk.ru/account/1011217015/", 1011217015)</f>
        <v>1011217015</v>
      </c>
      <c r="D18175">
        <v>0</v>
      </c>
    </row>
    <row r="18176" spans="1:4" hidden="1" x14ac:dyDescent="0.3">
      <c r="A18176" t="s">
        <v>1051</v>
      </c>
      <c r="B18176" t="s">
        <v>139</v>
      </c>
      <c r="C18176" s="1">
        <f>HYPERLINK("https://cao.dolgi.msk.ru/account/1011215466/", 1011215466)</f>
        <v>1011215466</v>
      </c>
      <c r="D18176">
        <v>-242.18</v>
      </c>
    </row>
    <row r="18177" spans="1:4" hidden="1" x14ac:dyDescent="0.3">
      <c r="A18177" t="s">
        <v>1051</v>
      </c>
      <c r="B18177" t="s">
        <v>140</v>
      </c>
      <c r="C18177" s="1">
        <f>HYPERLINK("https://cao.dolgi.msk.ru/account/1011215407/", 1011215407)</f>
        <v>1011215407</v>
      </c>
      <c r="D18177">
        <v>-5844.38</v>
      </c>
    </row>
    <row r="18178" spans="1:4" hidden="1" x14ac:dyDescent="0.3">
      <c r="A18178" t="s">
        <v>1051</v>
      </c>
      <c r="B18178" t="s">
        <v>141</v>
      </c>
      <c r="C18178" s="1">
        <f>HYPERLINK("https://cao.dolgi.msk.ru/account/1011215474/", 1011215474)</f>
        <v>1011215474</v>
      </c>
      <c r="D18178">
        <v>-8367.17</v>
      </c>
    </row>
    <row r="18179" spans="1:4" hidden="1" x14ac:dyDescent="0.3">
      <c r="A18179" t="s">
        <v>1051</v>
      </c>
      <c r="B18179" t="s">
        <v>142</v>
      </c>
      <c r="C18179" s="1">
        <f>HYPERLINK("https://cao.dolgi.msk.ru/account/1011215765/", 1011215765)</f>
        <v>1011215765</v>
      </c>
      <c r="D18179">
        <v>0</v>
      </c>
    </row>
    <row r="18180" spans="1:4" hidden="1" x14ac:dyDescent="0.3">
      <c r="A18180" t="s">
        <v>1051</v>
      </c>
      <c r="B18180" t="s">
        <v>143</v>
      </c>
      <c r="C18180" s="1">
        <f>HYPERLINK("https://cao.dolgi.msk.ru/account/1011216047/", 1011216047)</f>
        <v>1011216047</v>
      </c>
      <c r="D18180">
        <v>0</v>
      </c>
    </row>
    <row r="18181" spans="1:4" hidden="1" x14ac:dyDescent="0.3">
      <c r="A18181" t="s">
        <v>1051</v>
      </c>
      <c r="B18181" t="s">
        <v>144</v>
      </c>
      <c r="C18181" s="1">
        <f>HYPERLINK("https://cao.dolgi.msk.ru/account/1011216055/", 1011216055)</f>
        <v>1011216055</v>
      </c>
      <c r="D18181">
        <v>0</v>
      </c>
    </row>
    <row r="18182" spans="1:4" hidden="1" x14ac:dyDescent="0.3">
      <c r="A18182" t="s">
        <v>1051</v>
      </c>
      <c r="B18182" t="s">
        <v>144</v>
      </c>
      <c r="C18182" s="1">
        <f>HYPERLINK("https://cao.dolgi.msk.ru/account/1011216151/", 1011216151)</f>
        <v>1011216151</v>
      </c>
      <c r="D18182">
        <v>0</v>
      </c>
    </row>
    <row r="18183" spans="1:4" hidden="1" x14ac:dyDescent="0.3">
      <c r="A18183" t="s">
        <v>1051</v>
      </c>
      <c r="B18183" t="s">
        <v>145</v>
      </c>
      <c r="C18183" s="1">
        <f>HYPERLINK("https://cao.dolgi.msk.ru/account/1011215482/", 1011215482)</f>
        <v>1011215482</v>
      </c>
      <c r="D18183">
        <v>-491.31</v>
      </c>
    </row>
    <row r="18184" spans="1:4" hidden="1" x14ac:dyDescent="0.3">
      <c r="A18184" t="s">
        <v>1051</v>
      </c>
      <c r="B18184" t="s">
        <v>146</v>
      </c>
      <c r="C18184" s="1">
        <f>HYPERLINK("https://cao.dolgi.msk.ru/account/1011215175/", 1011215175)</f>
        <v>1011215175</v>
      </c>
      <c r="D18184">
        <v>-8540.1299999999992</v>
      </c>
    </row>
    <row r="18185" spans="1:4" x14ac:dyDescent="0.3">
      <c r="A18185" t="s">
        <v>1051</v>
      </c>
      <c r="B18185" t="s">
        <v>147</v>
      </c>
      <c r="C18185" s="1">
        <f>HYPERLINK("https://cao.dolgi.msk.ru/account/1011217031/", 1011217031)</f>
        <v>1011217031</v>
      </c>
      <c r="D18185">
        <v>10976.27</v>
      </c>
    </row>
    <row r="18186" spans="1:4" hidden="1" x14ac:dyDescent="0.3">
      <c r="A18186" t="s">
        <v>1051</v>
      </c>
      <c r="B18186" t="s">
        <v>148</v>
      </c>
      <c r="C18186" s="1">
        <f>HYPERLINK("https://cao.dolgi.msk.ru/account/1011215773/", 1011215773)</f>
        <v>1011215773</v>
      </c>
      <c r="D18186">
        <v>0</v>
      </c>
    </row>
    <row r="18187" spans="1:4" hidden="1" x14ac:dyDescent="0.3">
      <c r="A18187" t="s">
        <v>1051</v>
      </c>
      <c r="B18187" t="s">
        <v>149</v>
      </c>
      <c r="C18187" s="1">
        <f>HYPERLINK("https://cao.dolgi.msk.ru/account/1011215183/", 1011215183)</f>
        <v>1011215183</v>
      </c>
      <c r="D18187">
        <v>-616.83000000000004</v>
      </c>
    </row>
    <row r="18188" spans="1:4" hidden="1" x14ac:dyDescent="0.3">
      <c r="A18188" t="s">
        <v>1051</v>
      </c>
      <c r="B18188" t="s">
        <v>150</v>
      </c>
      <c r="C18188" s="1">
        <f>HYPERLINK("https://cao.dolgi.msk.ru/account/1011216709/", 1011216709)</f>
        <v>1011216709</v>
      </c>
      <c r="D18188">
        <v>0</v>
      </c>
    </row>
    <row r="18189" spans="1:4" hidden="1" x14ac:dyDescent="0.3">
      <c r="A18189" t="s">
        <v>1051</v>
      </c>
      <c r="B18189" t="s">
        <v>151</v>
      </c>
      <c r="C18189" s="1">
        <f>HYPERLINK("https://cao.dolgi.msk.ru/account/1011216717/", 1011216717)</f>
        <v>1011216717</v>
      </c>
      <c r="D18189">
        <v>-303.04000000000002</v>
      </c>
    </row>
    <row r="18190" spans="1:4" hidden="1" x14ac:dyDescent="0.3">
      <c r="A18190" t="s">
        <v>1051</v>
      </c>
      <c r="B18190" t="s">
        <v>151</v>
      </c>
      <c r="C18190" s="1">
        <f>HYPERLINK("https://cao.dolgi.msk.ru/account/1011217138/", 1011217138)</f>
        <v>1011217138</v>
      </c>
      <c r="D18190">
        <v>0</v>
      </c>
    </row>
    <row r="18191" spans="1:4" hidden="1" x14ac:dyDescent="0.3">
      <c r="A18191" t="s">
        <v>1051</v>
      </c>
      <c r="B18191" t="s">
        <v>152</v>
      </c>
      <c r="C18191" s="1">
        <f>HYPERLINK("https://cao.dolgi.msk.ru/account/1011214869/", 1011214869)</f>
        <v>1011214869</v>
      </c>
      <c r="D18191">
        <v>0</v>
      </c>
    </row>
    <row r="18192" spans="1:4" hidden="1" x14ac:dyDescent="0.3">
      <c r="A18192" t="s">
        <v>1051</v>
      </c>
      <c r="B18192" t="s">
        <v>153</v>
      </c>
      <c r="C18192" s="1">
        <f>HYPERLINK("https://cao.dolgi.msk.ru/account/1011215191/", 1011215191)</f>
        <v>1011215191</v>
      </c>
      <c r="D18192">
        <v>0</v>
      </c>
    </row>
    <row r="18193" spans="1:4" hidden="1" x14ac:dyDescent="0.3">
      <c r="A18193" t="s">
        <v>1051</v>
      </c>
      <c r="B18193" t="s">
        <v>154</v>
      </c>
      <c r="C18193" s="1">
        <f>HYPERLINK("https://cao.dolgi.msk.ru/account/1011216725/", 1011216725)</f>
        <v>1011216725</v>
      </c>
      <c r="D18193">
        <v>0</v>
      </c>
    </row>
    <row r="18194" spans="1:4" hidden="1" x14ac:dyDescent="0.3">
      <c r="A18194" t="s">
        <v>1051</v>
      </c>
      <c r="B18194" t="s">
        <v>155</v>
      </c>
      <c r="C18194" s="1">
        <f>HYPERLINK("https://cao.dolgi.msk.ru/account/1011215992/", 1011215992)</f>
        <v>1011215992</v>
      </c>
      <c r="D18194">
        <v>-517.70000000000005</v>
      </c>
    </row>
    <row r="18195" spans="1:4" hidden="1" x14ac:dyDescent="0.3">
      <c r="A18195" t="s">
        <v>1051</v>
      </c>
      <c r="B18195" t="s">
        <v>156</v>
      </c>
      <c r="C18195" s="1">
        <f>HYPERLINK("https://cao.dolgi.msk.ru/account/1011216063/", 1011216063)</f>
        <v>1011216063</v>
      </c>
      <c r="D18195">
        <v>-117.46</v>
      </c>
    </row>
    <row r="18196" spans="1:4" hidden="1" x14ac:dyDescent="0.3">
      <c r="A18196" t="s">
        <v>1051</v>
      </c>
      <c r="B18196" t="s">
        <v>157</v>
      </c>
      <c r="C18196" s="1">
        <f>HYPERLINK("https://cao.dolgi.msk.ru/account/1011215781/", 1011215781)</f>
        <v>1011215781</v>
      </c>
      <c r="D18196">
        <v>0</v>
      </c>
    </row>
    <row r="18197" spans="1:4" hidden="1" x14ac:dyDescent="0.3">
      <c r="A18197" t="s">
        <v>1051</v>
      </c>
      <c r="B18197" t="s">
        <v>158</v>
      </c>
      <c r="C18197" s="1">
        <f>HYPERLINK("https://cao.dolgi.msk.ru/account/1011215802/", 1011215802)</f>
        <v>1011215802</v>
      </c>
      <c r="D18197">
        <v>0</v>
      </c>
    </row>
    <row r="18198" spans="1:4" hidden="1" x14ac:dyDescent="0.3">
      <c r="A18198" t="s">
        <v>1051</v>
      </c>
      <c r="B18198" t="s">
        <v>159</v>
      </c>
      <c r="C18198" s="1">
        <f>HYPERLINK("https://cao.dolgi.msk.ru/account/1011216733/", 1011216733)</f>
        <v>1011216733</v>
      </c>
      <c r="D18198">
        <v>0</v>
      </c>
    </row>
    <row r="18199" spans="1:4" hidden="1" x14ac:dyDescent="0.3">
      <c r="A18199" t="s">
        <v>1051</v>
      </c>
      <c r="B18199" t="s">
        <v>160</v>
      </c>
      <c r="C18199" s="1">
        <f>HYPERLINK("https://cao.dolgi.msk.ru/account/1011216426/", 1011216426)</f>
        <v>1011216426</v>
      </c>
      <c r="D18199">
        <v>-32.89</v>
      </c>
    </row>
    <row r="18200" spans="1:4" hidden="1" x14ac:dyDescent="0.3">
      <c r="A18200" t="s">
        <v>1051</v>
      </c>
      <c r="B18200" t="s">
        <v>161</v>
      </c>
      <c r="C18200" s="1">
        <f>HYPERLINK("https://cao.dolgi.msk.ru/account/1011216071/", 1011216071)</f>
        <v>1011216071</v>
      </c>
      <c r="D18200">
        <v>0</v>
      </c>
    </row>
    <row r="18201" spans="1:4" x14ac:dyDescent="0.3">
      <c r="A18201" t="s">
        <v>1051</v>
      </c>
      <c r="B18201" t="s">
        <v>162</v>
      </c>
      <c r="C18201" s="1">
        <f>HYPERLINK("https://cao.dolgi.msk.ru/account/1011217058/", 1011217058)</f>
        <v>1011217058</v>
      </c>
      <c r="D18201">
        <v>80811.929999999993</v>
      </c>
    </row>
    <row r="18202" spans="1:4" hidden="1" x14ac:dyDescent="0.3">
      <c r="A18202" t="s">
        <v>1051</v>
      </c>
      <c r="B18202" t="s">
        <v>163</v>
      </c>
      <c r="C18202" s="1">
        <f>HYPERLINK("https://cao.dolgi.msk.ru/account/1011215829/", 1011215829)</f>
        <v>1011215829</v>
      </c>
      <c r="D18202">
        <v>0</v>
      </c>
    </row>
    <row r="18203" spans="1:4" hidden="1" x14ac:dyDescent="0.3">
      <c r="A18203" t="s">
        <v>1051</v>
      </c>
      <c r="B18203" t="s">
        <v>164</v>
      </c>
      <c r="C18203" s="1">
        <f>HYPERLINK("https://cao.dolgi.msk.ru/account/1011215837/", 1011215837)</f>
        <v>1011215837</v>
      </c>
      <c r="D18203">
        <v>-296.54000000000002</v>
      </c>
    </row>
    <row r="18204" spans="1:4" hidden="1" x14ac:dyDescent="0.3">
      <c r="A18204" t="s">
        <v>1051</v>
      </c>
      <c r="B18204" t="s">
        <v>165</v>
      </c>
      <c r="C18204" s="1">
        <f>HYPERLINK("https://cao.dolgi.msk.ru/account/1011215503/", 1011215503)</f>
        <v>1011215503</v>
      </c>
      <c r="D18204">
        <v>-107.02</v>
      </c>
    </row>
    <row r="18205" spans="1:4" hidden="1" x14ac:dyDescent="0.3">
      <c r="A18205" t="s">
        <v>1051</v>
      </c>
      <c r="B18205" t="s">
        <v>166</v>
      </c>
      <c r="C18205" s="1">
        <f>HYPERLINK("https://cao.dolgi.msk.ru/account/1011216741/", 1011216741)</f>
        <v>1011216741</v>
      </c>
      <c r="D18205">
        <v>-2937.56</v>
      </c>
    </row>
    <row r="18206" spans="1:4" x14ac:dyDescent="0.3">
      <c r="A18206" t="s">
        <v>1051</v>
      </c>
      <c r="B18206" t="s">
        <v>167</v>
      </c>
      <c r="C18206" s="1">
        <f>HYPERLINK("https://cao.dolgi.msk.ru/account/1011215511/", 1011215511)</f>
        <v>1011215511</v>
      </c>
      <c r="D18206">
        <v>4784.46</v>
      </c>
    </row>
    <row r="18207" spans="1:4" x14ac:dyDescent="0.3">
      <c r="A18207" t="s">
        <v>1051</v>
      </c>
      <c r="B18207" t="s">
        <v>168</v>
      </c>
      <c r="C18207" s="1">
        <f>HYPERLINK("https://cao.dolgi.msk.ru/account/1011216098/", 1011216098)</f>
        <v>1011216098</v>
      </c>
      <c r="D18207">
        <v>5170.03</v>
      </c>
    </row>
    <row r="18208" spans="1:4" hidden="1" x14ac:dyDescent="0.3">
      <c r="A18208" t="s">
        <v>1051</v>
      </c>
      <c r="B18208" t="s">
        <v>169</v>
      </c>
      <c r="C18208" s="1">
        <f>HYPERLINK("https://cao.dolgi.msk.ru/account/1011216768/", 1011216768)</f>
        <v>1011216768</v>
      </c>
      <c r="D18208">
        <v>-10717.88</v>
      </c>
    </row>
    <row r="18209" spans="1:4" hidden="1" x14ac:dyDescent="0.3">
      <c r="A18209" t="s">
        <v>1051</v>
      </c>
      <c r="B18209" t="s">
        <v>170</v>
      </c>
      <c r="C18209" s="1">
        <f>HYPERLINK("https://cao.dolgi.msk.ru/account/1011214877/", 1011214877)</f>
        <v>1011214877</v>
      </c>
      <c r="D18209">
        <v>-175.33</v>
      </c>
    </row>
    <row r="18210" spans="1:4" hidden="1" x14ac:dyDescent="0.3">
      <c r="A18210" t="s">
        <v>1051</v>
      </c>
      <c r="B18210" t="s">
        <v>171</v>
      </c>
      <c r="C18210" s="1">
        <f>HYPERLINK("https://cao.dolgi.msk.ru/account/1011216119/", 1011216119)</f>
        <v>1011216119</v>
      </c>
      <c r="D18210">
        <v>-75.42</v>
      </c>
    </row>
    <row r="18211" spans="1:4" hidden="1" x14ac:dyDescent="0.3">
      <c r="A18211" t="s">
        <v>1051</v>
      </c>
      <c r="B18211" t="s">
        <v>172</v>
      </c>
      <c r="C18211" s="1">
        <f>HYPERLINK("https://cao.dolgi.msk.ru/account/1011215204/", 1011215204)</f>
        <v>1011215204</v>
      </c>
      <c r="D18211">
        <v>0</v>
      </c>
    </row>
    <row r="18212" spans="1:4" x14ac:dyDescent="0.3">
      <c r="A18212" t="s">
        <v>1051</v>
      </c>
      <c r="B18212" t="s">
        <v>173</v>
      </c>
      <c r="C18212" s="1">
        <f>HYPERLINK("https://cao.dolgi.msk.ru/account/1011215845/", 1011215845)</f>
        <v>1011215845</v>
      </c>
      <c r="D18212">
        <v>524192.22</v>
      </c>
    </row>
    <row r="18213" spans="1:4" hidden="1" x14ac:dyDescent="0.3">
      <c r="A18213" t="s">
        <v>1051</v>
      </c>
      <c r="B18213" t="s">
        <v>174</v>
      </c>
      <c r="C18213" s="1">
        <f>HYPERLINK("https://cao.dolgi.msk.ru/account/1011215538/", 1011215538)</f>
        <v>1011215538</v>
      </c>
      <c r="D18213">
        <v>-5168.9799999999996</v>
      </c>
    </row>
    <row r="18214" spans="1:4" hidden="1" x14ac:dyDescent="0.3">
      <c r="A18214" t="s">
        <v>1051</v>
      </c>
      <c r="B18214" t="s">
        <v>174</v>
      </c>
      <c r="C18214" s="1">
        <f>HYPERLINK("https://cao.dolgi.msk.ru/account/1011216127/", 1011216127)</f>
        <v>1011216127</v>
      </c>
      <c r="D18214">
        <v>0</v>
      </c>
    </row>
    <row r="18215" spans="1:4" x14ac:dyDescent="0.3">
      <c r="A18215" t="s">
        <v>1051</v>
      </c>
      <c r="B18215" t="s">
        <v>174</v>
      </c>
      <c r="C18215" s="1">
        <f>HYPERLINK("https://cao.dolgi.msk.ru/account/1011217023/", 1011217023)</f>
        <v>1011217023</v>
      </c>
      <c r="D18215">
        <v>7729.72</v>
      </c>
    </row>
    <row r="18216" spans="1:4" hidden="1" x14ac:dyDescent="0.3">
      <c r="A18216" t="s">
        <v>1051</v>
      </c>
      <c r="B18216" t="s">
        <v>175</v>
      </c>
      <c r="C18216" s="1">
        <f>HYPERLINK("https://cao.dolgi.msk.ru/account/1011215546/", 1011215546)</f>
        <v>1011215546</v>
      </c>
      <c r="D18216">
        <v>-3733.01</v>
      </c>
    </row>
    <row r="18217" spans="1:4" x14ac:dyDescent="0.3">
      <c r="A18217" t="s">
        <v>1051</v>
      </c>
      <c r="B18217" t="s">
        <v>176</v>
      </c>
      <c r="C18217" s="1">
        <f>HYPERLINK("https://cao.dolgi.msk.ru/account/1011526993/", 1011526993)</f>
        <v>1011526993</v>
      </c>
      <c r="D18217">
        <v>7213.91</v>
      </c>
    </row>
    <row r="18218" spans="1:4" x14ac:dyDescent="0.3">
      <c r="A18218" t="s">
        <v>1051</v>
      </c>
      <c r="B18218" t="s">
        <v>177</v>
      </c>
      <c r="C18218" s="1">
        <f>HYPERLINK("https://cao.dolgi.msk.ru/account/1011216135/", 1011216135)</f>
        <v>1011216135</v>
      </c>
      <c r="D18218">
        <v>126793.45</v>
      </c>
    </row>
    <row r="18219" spans="1:4" hidden="1" x14ac:dyDescent="0.3">
      <c r="A18219" t="s">
        <v>1051</v>
      </c>
      <c r="B18219" t="s">
        <v>178</v>
      </c>
      <c r="C18219" s="1">
        <f>HYPERLINK("https://cao.dolgi.msk.ru/account/1011215239/", 1011215239)</f>
        <v>1011215239</v>
      </c>
      <c r="D18219">
        <v>0</v>
      </c>
    </row>
    <row r="18220" spans="1:4" hidden="1" x14ac:dyDescent="0.3">
      <c r="A18220" t="s">
        <v>1051</v>
      </c>
      <c r="B18220" t="s">
        <v>179</v>
      </c>
      <c r="C18220" s="1">
        <f>HYPERLINK("https://cao.dolgi.msk.ru/account/1011214885/", 1011214885)</f>
        <v>1011214885</v>
      </c>
      <c r="D18220">
        <v>0</v>
      </c>
    </row>
    <row r="18221" spans="1:4" hidden="1" x14ac:dyDescent="0.3">
      <c r="A18221" t="s">
        <v>1051</v>
      </c>
      <c r="B18221" t="s">
        <v>273</v>
      </c>
      <c r="C18221" s="1">
        <f>HYPERLINK("https://cao.dolgi.msk.ru/account/1011217074/", 1011217074)</f>
        <v>1011217074</v>
      </c>
      <c r="D18221">
        <v>-76.47</v>
      </c>
    </row>
    <row r="18222" spans="1:4" hidden="1" x14ac:dyDescent="0.3">
      <c r="A18222" t="s">
        <v>1051</v>
      </c>
      <c r="B18222" t="s">
        <v>180</v>
      </c>
      <c r="C18222" s="1">
        <f>HYPERLINK("https://cao.dolgi.msk.ru/account/1011215693/", 1011215693)</f>
        <v>1011215693</v>
      </c>
      <c r="D18222">
        <v>0</v>
      </c>
    </row>
    <row r="18223" spans="1:4" hidden="1" x14ac:dyDescent="0.3">
      <c r="A18223" t="s">
        <v>1051</v>
      </c>
      <c r="B18223" t="s">
        <v>180</v>
      </c>
      <c r="C18223" s="1">
        <f>HYPERLINK("https://cao.dolgi.msk.ru/account/1011216442/", 1011216442)</f>
        <v>1011216442</v>
      </c>
      <c r="D18223">
        <v>0</v>
      </c>
    </row>
    <row r="18224" spans="1:4" hidden="1" x14ac:dyDescent="0.3">
      <c r="A18224" t="s">
        <v>1051</v>
      </c>
      <c r="B18224" t="s">
        <v>181</v>
      </c>
      <c r="C18224" s="1">
        <f>HYPERLINK("https://cao.dolgi.msk.ru/account/1011216143/", 1011216143)</f>
        <v>1011216143</v>
      </c>
      <c r="D18224">
        <v>0</v>
      </c>
    </row>
    <row r="18225" spans="1:4" x14ac:dyDescent="0.3">
      <c r="A18225" t="s">
        <v>1051</v>
      </c>
      <c r="B18225" t="s">
        <v>182</v>
      </c>
      <c r="C18225" s="1">
        <f>HYPERLINK("https://cao.dolgi.msk.ru/account/1011216776/", 1011216776)</f>
        <v>1011216776</v>
      </c>
      <c r="D18225">
        <v>1512.18</v>
      </c>
    </row>
    <row r="18226" spans="1:4" hidden="1" x14ac:dyDescent="0.3">
      <c r="A18226" t="s">
        <v>1051</v>
      </c>
      <c r="B18226" t="s">
        <v>183</v>
      </c>
      <c r="C18226" s="1">
        <f>HYPERLINK("https://cao.dolgi.msk.ru/account/1011216418/", 1011216418)</f>
        <v>1011216418</v>
      </c>
      <c r="D18226">
        <v>0</v>
      </c>
    </row>
    <row r="18227" spans="1:4" hidden="1" x14ac:dyDescent="0.3">
      <c r="A18227" t="s">
        <v>1051</v>
      </c>
      <c r="B18227" t="s">
        <v>184</v>
      </c>
      <c r="C18227" s="1">
        <f>HYPERLINK("https://cao.dolgi.msk.ru/account/1011215247/", 1011215247)</f>
        <v>1011215247</v>
      </c>
      <c r="D18227">
        <v>0</v>
      </c>
    </row>
    <row r="18228" spans="1:4" hidden="1" x14ac:dyDescent="0.3">
      <c r="A18228" t="s">
        <v>1051</v>
      </c>
      <c r="B18228" t="s">
        <v>185</v>
      </c>
      <c r="C18228" s="1">
        <f>HYPERLINK("https://cao.dolgi.msk.ru/account/1011215255/", 1011215255)</f>
        <v>1011215255</v>
      </c>
      <c r="D18228">
        <v>-1.89</v>
      </c>
    </row>
    <row r="18229" spans="1:4" hidden="1" x14ac:dyDescent="0.3">
      <c r="A18229" t="s">
        <v>1051</v>
      </c>
      <c r="B18229" t="s">
        <v>274</v>
      </c>
      <c r="C18229" s="1">
        <f>HYPERLINK("https://cao.dolgi.msk.ru/account/1011215263/", 1011215263)</f>
        <v>1011215263</v>
      </c>
      <c r="D18229">
        <v>-6950.16</v>
      </c>
    </row>
    <row r="18230" spans="1:4" hidden="1" x14ac:dyDescent="0.3">
      <c r="A18230" t="s">
        <v>1051</v>
      </c>
      <c r="B18230" t="s">
        <v>186</v>
      </c>
      <c r="C18230" s="1">
        <f>HYPERLINK("https://cao.dolgi.msk.ru/account/1011217066/", 1011217066)</f>
        <v>1011217066</v>
      </c>
      <c r="D18230">
        <v>0</v>
      </c>
    </row>
    <row r="18231" spans="1:4" hidden="1" x14ac:dyDescent="0.3">
      <c r="A18231" t="s">
        <v>1051</v>
      </c>
      <c r="B18231" t="s">
        <v>186</v>
      </c>
      <c r="C18231" s="1">
        <f>HYPERLINK("https://cao.dolgi.msk.ru/account/1011217111/", 1011217111)</f>
        <v>1011217111</v>
      </c>
      <c r="D18231">
        <v>0</v>
      </c>
    </row>
    <row r="18232" spans="1:4" hidden="1" x14ac:dyDescent="0.3">
      <c r="A18232" t="s">
        <v>1051</v>
      </c>
      <c r="B18232" t="s">
        <v>187</v>
      </c>
      <c r="C18232" s="1">
        <f>HYPERLINK("https://cao.dolgi.msk.ru/account/1011217007/", 1011217007)</f>
        <v>1011217007</v>
      </c>
      <c r="D18232">
        <v>-117.49</v>
      </c>
    </row>
    <row r="18233" spans="1:4" x14ac:dyDescent="0.3">
      <c r="A18233" t="s">
        <v>1051</v>
      </c>
      <c r="B18233" t="s">
        <v>188</v>
      </c>
      <c r="C18233" s="1">
        <f>HYPERLINK("https://cao.dolgi.msk.ru/account/1011214893/", 1011214893)</f>
        <v>1011214893</v>
      </c>
      <c r="D18233">
        <v>34304.65</v>
      </c>
    </row>
    <row r="18234" spans="1:4" hidden="1" x14ac:dyDescent="0.3">
      <c r="A18234" t="s">
        <v>1051</v>
      </c>
      <c r="B18234" t="s">
        <v>189</v>
      </c>
      <c r="C18234" s="1">
        <f>HYPERLINK("https://cao.dolgi.msk.ru/account/1011216434/", 1011216434)</f>
        <v>1011216434</v>
      </c>
      <c r="D18234">
        <v>0</v>
      </c>
    </row>
    <row r="18235" spans="1:4" hidden="1" x14ac:dyDescent="0.3">
      <c r="A18235" t="s">
        <v>1051</v>
      </c>
      <c r="B18235" t="s">
        <v>190</v>
      </c>
      <c r="C18235" s="1">
        <f>HYPERLINK("https://cao.dolgi.msk.ru/account/1011215853/", 1011215853)</f>
        <v>1011215853</v>
      </c>
      <c r="D18235">
        <v>-8342.92</v>
      </c>
    </row>
    <row r="18236" spans="1:4" x14ac:dyDescent="0.3">
      <c r="A18236" t="s">
        <v>1051</v>
      </c>
      <c r="B18236" t="s">
        <v>191</v>
      </c>
      <c r="C18236" s="1">
        <f>HYPERLINK("https://cao.dolgi.msk.ru/account/1011214906/", 1011214906)</f>
        <v>1011214906</v>
      </c>
      <c r="D18236">
        <v>6162.43</v>
      </c>
    </row>
    <row r="18237" spans="1:4" hidden="1" x14ac:dyDescent="0.3">
      <c r="A18237" t="s">
        <v>1051</v>
      </c>
      <c r="B18237" t="s">
        <v>192</v>
      </c>
      <c r="C18237" s="1">
        <f>HYPERLINK("https://cao.dolgi.msk.ru/account/1011215554/", 1011215554)</f>
        <v>1011215554</v>
      </c>
      <c r="D18237">
        <v>-220.06</v>
      </c>
    </row>
    <row r="18238" spans="1:4" hidden="1" x14ac:dyDescent="0.3">
      <c r="A18238" t="s">
        <v>1051</v>
      </c>
      <c r="B18238" t="s">
        <v>325</v>
      </c>
      <c r="C18238" s="1">
        <f>HYPERLINK("https://cao.dolgi.msk.ru/account/1011214914/", 1011214914)</f>
        <v>1011214914</v>
      </c>
      <c r="D18238">
        <v>-5548.4</v>
      </c>
    </row>
    <row r="18239" spans="1:4" x14ac:dyDescent="0.3">
      <c r="A18239" t="s">
        <v>1051</v>
      </c>
      <c r="B18239" t="s">
        <v>193</v>
      </c>
      <c r="C18239" s="1">
        <f>HYPERLINK("https://cao.dolgi.msk.ru/account/1011216784/", 1011216784)</f>
        <v>1011216784</v>
      </c>
      <c r="D18239">
        <v>26516.23</v>
      </c>
    </row>
    <row r="18240" spans="1:4" hidden="1" x14ac:dyDescent="0.3">
      <c r="A18240" t="s">
        <v>1051</v>
      </c>
      <c r="B18240" t="s">
        <v>194</v>
      </c>
      <c r="C18240" s="1">
        <f>HYPERLINK("https://cao.dolgi.msk.ru/account/1011214922/", 1011214922)</f>
        <v>1011214922</v>
      </c>
      <c r="D18240">
        <v>-37433.68</v>
      </c>
    </row>
    <row r="18241" spans="1:4" x14ac:dyDescent="0.3">
      <c r="A18241" t="s">
        <v>1051</v>
      </c>
      <c r="B18241" t="s">
        <v>195</v>
      </c>
      <c r="C18241" s="1">
        <f>HYPERLINK("https://cao.dolgi.msk.ru/account/1011216792/", 1011216792)</f>
        <v>1011216792</v>
      </c>
      <c r="D18241">
        <v>2708.65</v>
      </c>
    </row>
    <row r="18242" spans="1:4" x14ac:dyDescent="0.3">
      <c r="A18242" t="s">
        <v>1051</v>
      </c>
      <c r="B18242" t="s">
        <v>196</v>
      </c>
      <c r="C18242" s="1">
        <f>HYPERLINK("https://cao.dolgi.msk.ru/account/1011216805/", 1011216805)</f>
        <v>1011216805</v>
      </c>
      <c r="D18242">
        <v>60956.95</v>
      </c>
    </row>
    <row r="18243" spans="1:4" hidden="1" x14ac:dyDescent="0.3">
      <c r="A18243" t="s">
        <v>1051</v>
      </c>
      <c r="B18243" t="s">
        <v>197</v>
      </c>
      <c r="C18243" s="1">
        <f>HYPERLINK("https://cao.dolgi.msk.ru/account/1011217082/", 1011217082)</f>
        <v>1011217082</v>
      </c>
      <c r="D18243">
        <v>-7508.32</v>
      </c>
    </row>
    <row r="18244" spans="1:4" x14ac:dyDescent="0.3">
      <c r="A18244" t="s">
        <v>1051</v>
      </c>
      <c r="B18244" t="s">
        <v>198</v>
      </c>
      <c r="C18244" s="1">
        <f>HYPERLINK("https://cao.dolgi.msk.ru/account/1011215861/", 1011215861)</f>
        <v>1011215861</v>
      </c>
      <c r="D18244">
        <v>606320.22</v>
      </c>
    </row>
    <row r="18245" spans="1:4" x14ac:dyDescent="0.3">
      <c r="A18245" t="s">
        <v>1052</v>
      </c>
      <c r="B18245" t="s">
        <v>6</v>
      </c>
      <c r="C18245" s="1">
        <f>HYPERLINK("https://cao.dolgi.msk.ru/account/1011455558/", 1011455558)</f>
        <v>1011455558</v>
      </c>
      <c r="D18245">
        <v>3886.94</v>
      </c>
    </row>
    <row r="18246" spans="1:4" x14ac:dyDescent="0.3">
      <c r="A18246" t="s">
        <v>1052</v>
      </c>
      <c r="B18246" t="s">
        <v>28</v>
      </c>
      <c r="C18246" s="1">
        <f>HYPERLINK("https://cao.dolgi.msk.ru/account/1011455945/", 1011455945)</f>
        <v>1011455945</v>
      </c>
      <c r="D18246">
        <v>3846.57</v>
      </c>
    </row>
    <row r="18247" spans="1:4" hidden="1" x14ac:dyDescent="0.3">
      <c r="A18247" t="s">
        <v>1052</v>
      </c>
      <c r="B18247" t="s">
        <v>35</v>
      </c>
      <c r="C18247" s="1">
        <f>HYPERLINK("https://cao.dolgi.msk.ru/account/1011455371/", 1011455371)</f>
        <v>1011455371</v>
      </c>
      <c r="D18247">
        <v>0</v>
      </c>
    </row>
    <row r="18248" spans="1:4" hidden="1" x14ac:dyDescent="0.3">
      <c r="A18248" t="s">
        <v>1052</v>
      </c>
      <c r="B18248" t="s">
        <v>5</v>
      </c>
      <c r="C18248" s="1">
        <f>HYPERLINK("https://cao.dolgi.msk.ru/account/1011454897/", 1011454897)</f>
        <v>1011454897</v>
      </c>
      <c r="D18248">
        <v>0</v>
      </c>
    </row>
    <row r="18249" spans="1:4" hidden="1" x14ac:dyDescent="0.3">
      <c r="A18249" t="s">
        <v>1052</v>
      </c>
      <c r="B18249" t="s">
        <v>5</v>
      </c>
      <c r="C18249" s="1">
        <f>HYPERLINK("https://cao.dolgi.msk.ru/account/1011455339/", 1011455339)</f>
        <v>1011455339</v>
      </c>
      <c r="D18249">
        <v>0</v>
      </c>
    </row>
    <row r="18250" spans="1:4" x14ac:dyDescent="0.3">
      <c r="A18250" t="s">
        <v>1052</v>
      </c>
      <c r="B18250" t="s">
        <v>5</v>
      </c>
      <c r="C18250" s="1">
        <f>HYPERLINK("https://cao.dolgi.msk.ru/account/1011455427/", 1011455427)</f>
        <v>1011455427</v>
      </c>
      <c r="D18250">
        <v>26733.48</v>
      </c>
    </row>
    <row r="18251" spans="1:4" hidden="1" x14ac:dyDescent="0.3">
      <c r="A18251" t="s">
        <v>1052</v>
      </c>
      <c r="B18251" t="s">
        <v>7</v>
      </c>
      <c r="C18251" s="1">
        <f>HYPERLINK("https://cao.dolgi.msk.ru/account/1011455419/", 1011455419)</f>
        <v>1011455419</v>
      </c>
      <c r="D18251">
        <v>-6316.87</v>
      </c>
    </row>
    <row r="18252" spans="1:4" hidden="1" x14ac:dyDescent="0.3">
      <c r="A18252" t="s">
        <v>1052</v>
      </c>
      <c r="B18252" t="s">
        <v>8</v>
      </c>
      <c r="C18252" s="1">
        <f>HYPERLINK("https://cao.dolgi.msk.ru/account/1011455478/", 1011455478)</f>
        <v>1011455478</v>
      </c>
      <c r="D18252">
        <v>0</v>
      </c>
    </row>
    <row r="18253" spans="1:4" hidden="1" x14ac:dyDescent="0.3">
      <c r="A18253" t="s">
        <v>1052</v>
      </c>
      <c r="B18253" t="s">
        <v>31</v>
      </c>
      <c r="C18253" s="1">
        <f>HYPERLINK("https://cao.dolgi.msk.ru/account/1011455021/", 1011455021)</f>
        <v>1011455021</v>
      </c>
      <c r="D18253">
        <v>-877.24</v>
      </c>
    </row>
    <row r="18254" spans="1:4" hidden="1" x14ac:dyDescent="0.3">
      <c r="A18254" t="s">
        <v>1052</v>
      </c>
      <c r="B18254" t="s">
        <v>9</v>
      </c>
      <c r="C18254" s="1">
        <f>HYPERLINK("https://cao.dolgi.msk.ru/account/1011455267/", 1011455267)</f>
        <v>1011455267</v>
      </c>
      <c r="D18254">
        <v>-8588.5400000000009</v>
      </c>
    </row>
    <row r="18255" spans="1:4" x14ac:dyDescent="0.3">
      <c r="A18255" t="s">
        <v>1052</v>
      </c>
      <c r="B18255" t="s">
        <v>10</v>
      </c>
      <c r="C18255" s="1">
        <f>HYPERLINK("https://cao.dolgi.msk.ru/account/1011455881/", 1011455881)</f>
        <v>1011455881</v>
      </c>
      <c r="D18255">
        <v>3453.46</v>
      </c>
    </row>
    <row r="18256" spans="1:4" hidden="1" x14ac:dyDescent="0.3">
      <c r="A18256" t="s">
        <v>1052</v>
      </c>
      <c r="B18256" t="s">
        <v>11</v>
      </c>
      <c r="C18256" s="1">
        <f>HYPERLINK("https://cao.dolgi.msk.ru/account/1011455996/", 1011455996)</f>
        <v>1011455996</v>
      </c>
      <c r="D18256">
        <v>0</v>
      </c>
    </row>
    <row r="18257" spans="1:4" hidden="1" x14ac:dyDescent="0.3">
      <c r="A18257" t="s">
        <v>1052</v>
      </c>
      <c r="B18257" t="s">
        <v>12</v>
      </c>
      <c r="C18257" s="1">
        <f>HYPERLINK("https://cao.dolgi.msk.ru/account/1011454838/", 1011454838)</f>
        <v>1011454838</v>
      </c>
      <c r="D18257">
        <v>-2375.33</v>
      </c>
    </row>
    <row r="18258" spans="1:4" hidden="1" x14ac:dyDescent="0.3">
      <c r="A18258" t="s">
        <v>1052</v>
      </c>
      <c r="B18258" t="s">
        <v>23</v>
      </c>
      <c r="C18258" s="1">
        <f>HYPERLINK("https://cao.dolgi.msk.ru/account/1011455398/", 1011455398)</f>
        <v>1011455398</v>
      </c>
      <c r="D18258">
        <v>-348.64</v>
      </c>
    </row>
    <row r="18259" spans="1:4" hidden="1" x14ac:dyDescent="0.3">
      <c r="A18259" t="s">
        <v>1052</v>
      </c>
      <c r="B18259" t="s">
        <v>13</v>
      </c>
      <c r="C18259" s="1">
        <f>HYPERLINK("https://cao.dolgi.msk.ru/account/1011455806/", 1011455806)</f>
        <v>1011455806</v>
      </c>
      <c r="D18259">
        <v>0</v>
      </c>
    </row>
    <row r="18260" spans="1:4" hidden="1" x14ac:dyDescent="0.3">
      <c r="A18260" t="s">
        <v>1052</v>
      </c>
      <c r="B18260" t="s">
        <v>14</v>
      </c>
      <c r="C18260" s="1">
        <f>HYPERLINK("https://cao.dolgi.msk.ru/account/1011455777/", 1011455777)</f>
        <v>1011455777</v>
      </c>
      <c r="D18260">
        <v>0</v>
      </c>
    </row>
    <row r="18261" spans="1:4" x14ac:dyDescent="0.3">
      <c r="A18261" t="s">
        <v>1052</v>
      </c>
      <c r="B18261" t="s">
        <v>16</v>
      </c>
      <c r="C18261" s="1">
        <f>HYPERLINK("https://cao.dolgi.msk.ru/account/1011455486/", 1011455486)</f>
        <v>1011455486</v>
      </c>
      <c r="D18261">
        <v>9287.2999999999993</v>
      </c>
    </row>
    <row r="18262" spans="1:4" hidden="1" x14ac:dyDescent="0.3">
      <c r="A18262" t="s">
        <v>1052</v>
      </c>
      <c r="B18262" t="s">
        <v>17</v>
      </c>
      <c r="C18262" s="1">
        <f>HYPERLINK("https://cao.dolgi.msk.ru/account/1011455523/", 1011455523)</f>
        <v>1011455523</v>
      </c>
      <c r="D18262">
        <v>0</v>
      </c>
    </row>
    <row r="18263" spans="1:4" hidden="1" x14ac:dyDescent="0.3">
      <c r="A18263" t="s">
        <v>1052</v>
      </c>
      <c r="B18263" t="s">
        <v>18</v>
      </c>
      <c r="C18263" s="1">
        <f>HYPERLINK("https://cao.dolgi.msk.ru/account/1011456198/", 1011456198)</f>
        <v>1011456198</v>
      </c>
      <c r="D18263">
        <v>-5642.19</v>
      </c>
    </row>
    <row r="18264" spans="1:4" hidden="1" x14ac:dyDescent="0.3">
      <c r="A18264" t="s">
        <v>1052</v>
      </c>
      <c r="B18264" t="s">
        <v>19</v>
      </c>
      <c r="C18264" s="1">
        <f>HYPERLINK("https://cao.dolgi.msk.ru/account/1011456147/", 1011456147)</f>
        <v>1011456147</v>
      </c>
      <c r="D18264">
        <v>-175.53</v>
      </c>
    </row>
    <row r="18265" spans="1:4" hidden="1" x14ac:dyDescent="0.3">
      <c r="A18265" t="s">
        <v>1052</v>
      </c>
      <c r="B18265" t="s">
        <v>20</v>
      </c>
      <c r="C18265" s="1">
        <f>HYPERLINK("https://cao.dolgi.msk.ru/account/1011455697/", 1011455697)</f>
        <v>1011455697</v>
      </c>
      <c r="D18265">
        <v>0</v>
      </c>
    </row>
    <row r="18266" spans="1:4" hidden="1" x14ac:dyDescent="0.3">
      <c r="A18266" t="s">
        <v>1052</v>
      </c>
      <c r="B18266" t="s">
        <v>21</v>
      </c>
      <c r="C18266" s="1">
        <f>HYPERLINK("https://cao.dolgi.msk.ru/account/1011455902/", 1011455902)</f>
        <v>1011455902</v>
      </c>
      <c r="D18266">
        <v>0</v>
      </c>
    </row>
    <row r="18267" spans="1:4" hidden="1" x14ac:dyDescent="0.3">
      <c r="A18267" t="s">
        <v>1052</v>
      </c>
      <c r="B18267" t="s">
        <v>22</v>
      </c>
      <c r="C18267" s="1">
        <f>HYPERLINK("https://cao.dolgi.msk.ru/account/1011455742/", 1011455742)</f>
        <v>1011455742</v>
      </c>
      <c r="D18267">
        <v>-4659.6400000000003</v>
      </c>
    </row>
    <row r="18268" spans="1:4" hidden="1" x14ac:dyDescent="0.3">
      <c r="A18268" t="s">
        <v>1052</v>
      </c>
      <c r="B18268" t="s">
        <v>24</v>
      </c>
      <c r="C18268" s="1">
        <f>HYPERLINK("https://cao.dolgi.msk.ru/account/1011455961/", 1011455961)</f>
        <v>1011455961</v>
      </c>
      <c r="D18268">
        <v>0</v>
      </c>
    </row>
    <row r="18269" spans="1:4" hidden="1" x14ac:dyDescent="0.3">
      <c r="A18269" t="s">
        <v>1052</v>
      </c>
      <c r="B18269" t="s">
        <v>25</v>
      </c>
      <c r="C18269" s="1">
        <f>HYPERLINK("https://cao.dolgi.msk.ru/account/1011454985/", 1011454985)</f>
        <v>1011454985</v>
      </c>
      <c r="D18269">
        <v>0</v>
      </c>
    </row>
    <row r="18270" spans="1:4" hidden="1" x14ac:dyDescent="0.3">
      <c r="A18270" t="s">
        <v>1052</v>
      </c>
      <c r="B18270" t="s">
        <v>26</v>
      </c>
      <c r="C18270" s="1">
        <f>HYPERLINK("https://cao.dolgi.msk.ru/account/1011456112/", 1011456112)</f>
        <v>1011456112</v>
      </c>
      <c r="D18270">
        <v>0</v>
      </c>
    </row>
    <row r="18271" spans="1:4" hidden="1" x14ac:dyDescent="0.3">
      <c r="A18271" t="s">
        <v>1052</v>
      </c>
      <c r="B18271" t="s">
        <v>27</v>
      </c>
      <c r="C18271" s="1">
        <f>HYPERLINK("https://cao.dolgi.msk.ru/account/1011455048/", 1011455048)</f>
        <v>1011455048</v>
      </c>
      <c r="D18271">
        <v>0</v>
      </c>
    </row>
    <row r="18272" spans="1:4" hidden="1" x14ac:dyDescent="0.3">
      <c r="A18272" t="s">
        <v>1052</v>
      </c>
      <c r="B18272" t="s">
        <v>29</v>
      </c>
      <c r="C18272" s="1">
        <f>HYPERLINK("https://cao.dolgi.msk.ru/account/1011455646/", 1011455646)</f>
        <v>1011455646</v>
      </c>
      <c r="D18272">
        <v>0</v>
      </c>
    </row>
    <row r="18273" spans="1:4" hidden="1" x14ac:dyDescent="0.3">
      <c r="A18273" t="s">
        <v>1052</v>
      </c>
      <c r="B18273" t="s">
        <v>38</v>
      </c>
      <c r="C18273" s="1">
        <f>HYPERLINK("https://cao.dolgi.msk.ru/account/1011456155/", 1011456155)</f>
        <v>1011456155</v>
      </c>
      <c r="D18273">
        <v>0</v>
      </c>
    </row>
    <row r="18274" spans="1:4" hidden="1" x14ac:dyDescent="0.3">
      <c r="A18274" t="s">
        <v>1052</v>
      </c>
      <c r="B18274" t="s">
        <v>39</v>
      </c>
      <c r="C18274" s="1">
        <f>HYPERLINK("https://cao.dolgi.msk.ru/account/1011455494/", 1011455494)</f>
        <v>1011455494</v>
      </c>
      <c r="D18274">
        <v>-2434.31</v>
      </c>
    </row>
    <row r="18275" spans="1:4" x14ac:dyDescent="0.3">
      <c r="A18275" t="s">
        <v>1052</v>
      </c>
      <c r="B18275" t="s">
        <v>40</v>
      </c>
      <c r="C18275" s="1">
        <f>HYPERLINK("https://cao.dolgi.msk.ru/account/1011455195/", 1011455195)</f>
        <v>1011455195</v>
      </c>
      <c r="D18275">
        <v>80698.37</v>
      </c>
    </row>
    <row r="18276" spans="1:4" hidden="1" x14ac:dyDescent="0.3">
      <c r="A18276" t="s">
        <v>1052</v>
      </c>
      <c r="B18276" t="s">
        <v>41</v>
      </c>
      <c r="C18276" s="1">
        <f>HYPERLINK("https://cao.dolgi.msk.ru/account/1011515442/", 1011515442)</f>
        <v>1011515442</v>
      </c>
      <c r="D18276">
        <v>0</v>
      </c>
    </row>
    <row r="18277" spans="1:4" x14ac:dyDescent="0.3">
      <c r="A18277" t="s">
        <v>1052</v>
      </c>
      <c r="B18277" t="s">
        <v>51</v>
      </c>
      <c r="C18277" s="1">
        <f>HYPERLINK("https://cao.dolgi.msk.ru/account/1011455566/", 1011455566)</f>
        <v>1011455566</v>
      </c>
      <c r="D18277">
        <v>6359.12</v>
      </c>
    </row>
    <row r="18278" spans="1:4" hidden="1" x14ac:dyDescent="0.3">
      <c r="A18278" t="s">
        <v>1052</v>
      </c>
      <c r="B18278" t="s">
        <v>52</v>
      </c>
      <c r="C18278" s="1">
        <f>HYPERLINK("https://cao.dolgi.msk.ru/account/1011454918/", 1011454918)</f>
        <v>1011454918</v>
      </c>
      <c r="D18278">
        <v>0</v>
      </c>
    </row>
    <row r="18279" spans="1:4" hidden="1" x14ac:dyDescent="0.3">
      <c r="A18279" t="s">
        <v>1052</v>
      </c>
      <c r="B18279" t="s">
        <v>53</v>
      </c>
      <c r="C18279" s="1">
        <f>HYPERLINK("https://cao.dolgi.msk.ru/account/1011454969/", 1011454969)</f>
        <v>1011454969</v>
      </c>
      <c r="D18279">
        <v>-5659.71</v>
      </c>
    </row>
    <row r="18280" spans="1:4" x14ac:dyDescent="0.3">
      <c r="A18280" t="s">
        <v>1052</v>
      </c>
      <c r="B18280" t="s">
        <v>54</v>
      </c>
      <c r="C18280" s="1">
        <f>HYPERLINK("https://cao.dolgi.msk.ru/account/1011455654/", 1011455654)</f>
        <v>1011455654</v>
      </c>
      <c r="D18280">
        <v>20036.349999999999</v>
      </c>
    </row>
    <row r="18281" spans="1:4" hidden="1" x14ac:dyDescent="0.3">
      <c r="A18281" t="s">
        <v>1052</v>
      </c>
      <c r="B18281" t="s">
        <v>55</v>
      </c>
      <c r="C18281" s="1">
        <f>HYPERLINK("https://cao.dolgi.msk.ru/account/1011455574/", 1011455574)</f>
        <v>1011455574</v>
      </c>
      <c r="D18281">
        <v>0</v>
      </c>
    </row>
    <row r="18282" spans="1:4" hidden="1" x14ac:dyDescent="0.3">
      <c r="A18282" t="s">
        <v>1052</v>
      </c>
      <c r="B18282" t="s">
        <v>56</v>
      </c>
      <c r="C18282" s="1">
        <f>HYPERLINK("https://cao.dolgi.msk.ru/account/1011455822/", 1011455822)</f>
        <v>1011455822</v>
      </c>
      <c r="D18282">
        <v>0</v>
      </c>
    </row>
    <row r="18283" spans="1:4" hidden="1" x14ac:dyDescent="0.3">
      <c r="A18283" t="s">
        <v>1052</v>
      </c>
      <c r="B18283" t="s">
        <v>87</v>
      </c>
      <c r="C18283" s="1">
        <f>HYPERLINK("https://cao.dolgi.msk.ru/account/1011455136/", 1011455136)</f>
        <v>1011455136</v>
      </c>
      <c r="D18283">
        <v>0</v>
      </c>
    </row>
    <row r="18284" spans="1:4" hidden="1" x14ac:dyDescent="0.3">
      <c r="A18284" t="s">
        <v>1052</v>
      </c>
      <c r="B18284" t="s">
        <v>88</v>
      </c>
      <c r="C18284" s="1">
        <f>HYPERLINK("https://cao.dolgi.msk.ru/account/1011454942/", 1011454942)</f>
        <v>1011454942</v>
      </c>
      <c r="D18284">
        <v>0</v>
      </c>
    </row>
    <row r="18285" spans="1:4" x14ac:dyDescent="0.3">
      <c r="A18285" t="s">
        <v>1052</v>
      </c>
      <c r="B18285" t="s">
        <v>89</v>
      </c>
      <c r="C18285" s="1">
        <f>HYPERLINK("https://cao.dolgi.msk.ru/account/1011455451/", 1011455451)</f>
        <v>1011455451</v>
      </c>
      <c r="D18285">
        <v>566.26</v>
      </c>
    </row>
    <row r="18286" spans="1:4" hidden="1" x14ac:dyDescent="0.3">
      <c r="A18286" t="s">
        <v>1052</v>
      </c>
      <c r="B18286" t="s">
        <v>90</v>
      </c>
      <c r="C18286" s="1">
        <f>HYPERLINK("https://cao.dolgi.msk.ru/account/1011455312/", 1011455312)</f>
        <v>1011455312</v>
      </c>
      <c r="D18286">
        <v>0</v>
      </c>
    </row>
    <row r="18287" spans="1:4" hidden="1" x14ac:dyDescent="0.3">
      <c r="A18287" t="s">
        <v>1052</v>
      </c>
      <c r="B18287" t="s">
        <v>96</v>
      </c>
      <c r="C18287" s="1">
        <f>HYPERLINK("https://cao.dolgi.msk.ru/account/1011454846/", 1011454846)</f>
        <v>1011454846</v>
      </c>
      <c r="D18287">
        <v>0</v>
      </c>
    </row>
    <row r="18288" spans="1:4" hidden="1" x14ac:dyDescent="0.3">
      <c r="A18288" t="s">
        <v>1052</v>
      </c>
      <c r="B18288" t="s">
        <v>97</v>
      </c>
      <c r="C18288" s="1">
        <f>HYPERLINK("https://cao.dolgi.msk.ru/account/1011456008/", 1011456008)</f>
        <v>1011456008</v>
      </c>
      <c r="D18288">
        <v>-2516.66</v>
      </c>
    </row>
    <row r="18289" spans="1:4" x14ac:dyDescent="0.3">
      <c r="A18289" t="s">
        <v>1052</v>
      </c>
      <c r="B18289" t="s">
        <v>98</v>
      </c>
      <c r="C18289" s="1">
        <f>HYPERLINK("https://cao.dolgi.msk.ru/account/1011454854/", 1011454854)</f>
        <v>1011454854</v>
      </c>
      <c r="D18289">
        <v>5959.27</v>
      </c>
    </row>
    <row r="18290" spans="1:4" hidden="1" x14ac:dyDescent="0.3">
      <c r="A18290" t="s">
        <v>1052</v>
      </c>
      <c r="B18290" t="s">
        <v>58</v>
      </c>
      <c r="C18290" s="1">
        <f>HYPERLINK("https://cao.dolgi.msk.ru/account/1011455005/", 1011455005)</f>
        <v>1011455005</v>
      </c>
      <c r="D18290">
        <v>0</v>
      </c>
    </row>
    <row r="18291" spans="1:4" hidden="1" x14ac:dyDescent="0.3">
      <c r="A18291" t="s">
        <v>1052</v>
      </c>
      <c r="B18291" t="s">
        <v>59</v>
      </c>
      <c r="C18291" s="1">
        <f>HYPERLINK("https://cao.dolgi.msk.ru/account/1011455582/", 1011455582)</f>
        <v>1011455582</v>
      </c>
      <c r="D18291">
        <v>0</v>
      </c>
    </row>
    <row r="18292" spans="1:4" hidden="1" x14ac:dyDescent="0.3">
      <c r="A18292" t="s">
        <v>1052</v>
      </c>
      <c r="B18292" t="s">
        <v>60</v>
      </c>
      <c r="C18292" s="1">
        <f>HYPERLINK("https://cao.dolgi.msk.ru/account/1011455291/", 1011455291)</f>
        <v>1011455291</v>
      </c>
      <c r="D18292">
        <v>0</v>
      </c>
    </row>
    <row r="18293" spans="1:4" x14ac:dyDescent="0.3">
      <c r="A18293" t="s">
        <v>1052</v>
      </c>
      <c r="B18293" t="s">
        <v>61</v>
      </c>
      <c r="C18293" s="1">
        <f>HYPERLINK("https://cao.dolgi.msk.ru/account/1011455101/", 1011455101)</f>
        <v>1011455101</v>
      </c>
      <c r="D18293">
        <v>14648.48</v>
      </c>
    </row>
    <row r="18294" spans="1:4" hidden="1" x14ac:dyDescent="0.3">
      <c r="A18294" t="s">
        <v>1052</v>
      </c>
      <c r="B18294" t="s">
        <v>62</v>
      </c>
      <c r="C18294" s="1">
        <f>HYPERLINK("https://cao.dolgi.msk.ru/account/1011455187/", 1011455187)</f>
        <v>1011455187</v>
      </c>
      <c r="D18294">
        <v>0</v>
      </c>
    </row>
    <row r="18295" spans="1:4" hidden="1" x14ac:dyDescent="0.3">
      <c r="A18295" t="s">
        <v>1052</v>
      </c>
      <c r="B18295" t="s">
        <v>63</v>
      </c>
      <c r="C18295" s="1">
        <f>HYPERLINK("https://cao.dolgi.msk.ru/account/1011455208/", 1011455208)</f>
        <v>1011455208</v>
      </c>
      <c r="D18295">
        <v>0</v>
      </c>
    </row>
    <row r="18296" spans="1:4" hidden="1" x14ac:dyDescent="0.3">
      <c r="A18296" t="s">
        <v>1052</v>
      </c>
      <c r="B18296" t="s">
        <v>63</v>
      </c>
      <c r="C18296" s="1">
        <f>HYPERLINK("https://cao.dolgi.msk.ru/account/1011456083/", 1011456083)</f>
        <v>1011456083</v>
      </c>
      <c r="D18296">
        <v>0</v>
      </c>
    </row>
    <row r="18297" spans="1:4" hidden="1" x14ac:dyDescent="0.3">
      <c r="A18297" t="s">
        <v>1052</v>
      </c>
      <c r="B18297" t="s">
        <v>64</v>
      </c>
      <c r="C18297" s="1">
        <f>HYPERLINK("https://cao.dolgi.msk.ru/account/1011455013/", 1011455013)</f>
        <v>1011455013</v>
      </c>
      <c r="D18297">
        <v>-4929.55</v>
      </c>
    </row>
    <row r="18298" spans="1:4" hidden="1" x14ac:dyDescent="0.3">
      <c r="A18298" t="s">
        <v>1052</v>
      </c>
      <c r="B18298" t="s">
        <v>65</v>
      </c>
      <c r="C18298" s="1">
        <f>HYPERLINK("https://cao.dolgi.msk.ru/account/1011455929/", 1011455929)</f>
        <v>1011455929</v>
      </c>
      <c r="D18298">
        <v>0</v>
      </c>
    </row>
    <row r="18299" spans="1:4" hidden="1" x14ac:dyDescent="0.3">
      <c r="A18299" t="s">
        <v>1052</v>
      </c>
      <c r="B18299" t="s">
        <v>66</v>
      </c>
      <c r="C18299" s="1">
        <f>HYPERLINK("https://cao.dolgi.msk.ru/account/1011455259/", 1011455259)</f>
        <v>1011455259</v>
      </c>
      <c r="D18299">
        <v>0</v>
      </c>
    </row>
    <row r="18300" spans="1:4" hidden="1" x14ac:dyDescent="0.3">
      <c r="A18300" t="s">
        <v>1052</v>
      </c>
      <c r="B18300" t="s">
        <v>67</v>
      </c>
      <c r="C18300" s="1">
        <f>HYPERLINK("https://cao.dolgi.msk.ru/account/1011455347/", 1011455347)</f>
        <v>1011455347</v>
      </c>
      <c r="D18300">
        <v>0</v>
      </c>
    </row>
    <row r="18301" spans="1:4" hidden="1" x14ac:dyDescent="0.3">
      <c r="A18301" t="s">
        <v>1052</v>
      </c>
      <c r="B18301" t="s">
        <v>68</v>
      </c>
      <c r="C18301" s="1">
        <f>HYPERLINK("https://cao.dolgi.msk.ru/account/1011454862/", 1011454862)</f>
        <v>1011454862</v>
      </c>
      <c r="D18301">
        <v>0</v>
      </c>
    </row>
    <row r="18302" spans="1:4" hidden="1" x14ac:dyDescent="0.3">
      <c r="A18302" t="s">
        <v>1052</v>
      </c>
      <c r="B18302" t="s">
        <v>69</v>
      </c>
      <c r="C18302" s="1">
        <f>HYPERLINK("https://cao.dolgi.msk.ru/account/1011454889/", 1011454889)</f>
        <v>1011454889</v>
      </c>
      <c r="D18302">
        <v>0</v>
      </c>
    </row>
    <row r="18303" spans="1:4" hidden="1" x14ac:dyDescent="0.3">
      <c r="A18303" t="s">
        <v>1052</v>
      </c>
      <c r="B18303" t="s">
        <v>70</v>
      </c>
      <c r="C18303" s="1">
        <f>HYPERLINK("https://cao.dolgi.msk.ru/account/1011456024/", 1011456024)</f>
        <v>1011456024</v>
      </c>
      <c r="D18303">
        <v>-182.08</v>
      </c>
    </row>
    <row r="18304" spans="1:4" x14ac:dyDescent="0.3">
      <c r="A18304" t="s">
        <v>1052</v>
      </c>
      <c r="B18304" t="s">
        <v>259</v>
      </c>
      <c r="C18304" s="1">
        <f>HYPERLINK("https://cao.dolgi.msk.ru/account/1011455785/", 1011455785)</f>
        <v>1011455785</v>
      </c>
      <c r="D18304">
        <v>136.34</v>
      </c>
    </row>
    <row r="18305" spans="1:4" hidden="1" x14ac:dyDescent="0.3">
      <c r="A18305" t="s">
        <v>1052</v>
      </c>
      <c r="B18305" t="s">
        <v>100</v>
      </c>
      <c r="C18305" s="1">
        <f>HYPERLINK("https://cao.dolgi.msk.ru/account/1011455718/", 1011455718)</f>
        <v>1011455718</v>
      </c>
      <c r="D18305">
        <v>-3082.37</v>
      </c>
    </row>
    <row r="18306" spans="1:4" hidden="1" x14ac:dyDescent="0.3">
      <c r="A18306" t="s">
        <v>1052</v>
      </c>
      <c r="B18306" t="s">
        <v>72</v>
      </c>
      <c r="C18306" s="1">
        <f>HYPERLINK("https://cao.dolgi.msk.ru/account/1011455937/", 1011455937)</f>
        <v>1011455937</v>
      </c>
      <c r="D18306">
        <v>-6294.93</v>
      </c>
    </row>
    <row r="18307" spans="1:4" hidden="1" x14ac:dyDescent="0.3">
      <c r="A18307" t="s">
        <v>1052</v>
      </c>
      <c r="B18307" t="s">
        <v>73</v>
      </c>
      <c r="C18307" s="1">
        <f>HYPERLINK("https://cao.dolgi.msk.ru/account/1011456016/", 1011456016)</f>
        <v>1011456016</v>
      </c>
      <c r="D18307">
        <v>0</v>
      </c>
    </row>
    <row r="18308" spans="1:4" hidden="1" x14ac:dyDescent="0.3">
      <c r="A18308" t="s">
        <v>1052</v>
      </c>
      <c r="B18308" t="s">
        <v>74</v>
      </c>
      <c r="C18308" s="1">
        <f>HYPERLINK("https://cao.dolgi.msk.ru/account/1011455216/", 1011455216)</f>
        <v>1011455216</v>
      </c>
      <c r="D18308">
        <v>0</v>
      </c>
    </row>
    <row r="18309" spans="1:4" hidden="1" x14ac:dyDescent="0.3">
      <c r="A18309" t="s">
        <v>1052</v>
      </c>
      <c r="B18309" t="s">
        <v>75</v>
      </c>
      <c r="C18309" s="1">
        <f>HYPERLINK("https://cao.dolgi.msk.ru/account/1011455726/", 1011455726)</f>
        <v>1011455726</v>
      </c>
      <c r="D18309">
        <v>0</v>
      </c>
    </row>
    <row r="18310" spans="1:4" hidden="1" x14ac:dyDescent="0.3">
      <c r="A18310" t="s">
        <v>1052</v>
      </c>
      <c r="B18310" t="s">
        <v>76</v>
      </c>
      <c r="C18310" s="1">
        <f>HYPERLINK("https://cao.dolgi.msk.ru/account/1011454926/", 1011454926)</f>
        <v>1011454926</v>
      </c>
      <c r="D18310">
        <v>0</v>
      </c>
    </row>
    <row r="18311" spans="1:4" hidden="1" x14ac:dyDescent="0.3">
      <c r="A18311" t="s">
        <v>1052</v>
      </c>
      <c r="B18311" t="s">
        <v>77</v>
      </c>
      <c r="C18311" s="1">
        <f>HYPERLINK("https://cao.dolgi.msk.ru/account/1011454811/", 1011454811)</f>
        <v>1011454811</v>
      </c>
      <c r="D18311">
        <v>0</v>
      </c>
    </row>
    <row r="18312" spans="1:4" hidden="1" x14ac:dyDescent="0.3">
      <c r="A18312" t="s">
        <v>1052</v>
      </c>
      <c r="B18312" t="s">
        <v>78</v>
      </c>
      <c r="C18312" s="1">
        <f>HYPERLINK("https://cao.dolgi.msk.ru/account/1011455064/", 1011455064)</f>
        <v>1011455064</v>
      </c>
      <c r="D18312">
        <v>-6997.67</v>
      </c>
    </row>
    <row r="18313" spans="1:4" hidden="1" x14ac:dyDescent="0.3">
      <c r="A18313" t="s">
        <v>1052</v>
      </c>
      <c r="B18313" t="s">
        <v>79</v>
      </c>
      <c r="C18313" s="1">
        <f>HYPERLINK("https://cao.dolgi.msk.ru/account/1011456104/", 1011456104)</f>
        <v>1011456104</v>
      </c>
      <c r="D18313">
        <v>0</v>
      </c>
    </row>
    <row r="18314" spans="1:4" hidden="1" x14ac:dyDescent="0.3">
      <c r="A18314" t="s">
        <v>1052</v>
      </c>
      <c r="B18314" t="s">
        <v>80</v>
      </c>
      <c r="C18314" s="1">
        <f>HYPERLINK("https://cao.dolgi.msk.ru/account/1011455283/", 1011455283)</f>
        <v>1011455283</v>
      </c>
      <c r="D18314">
        <v>-275.02999999999997</v>
      </c>
    </row>
    <row r="18315" spans="1:4" hidden="1" x14ac:dyDescent="0.3">
      <c r="A18315" t="s">
        <v>1052</v>
      </c>
      <c r="B18315" t="s">
        <v>81</v>
      </c>
      <c r="C18315" s="1">
        <f>HYPERLINK("https://cao.dolgi.msk.ru/account/1011456091/", 1011456091)</f>
        <v>1011456091</v>
      </c>
      <c r="D18315">
        <v>-10541.34</v>
      </c>
    </row>
    <row r="18316" spans="1:4" hidden="1" x14ac:dyDescent="0.3">
      <c r="A18316" t="s">
        <v>1052</v>
      </c>
      <c r="B18316" t="s">
        <v>101</v>
      </c>
      <c r="C18316" s="1">
        <f>HYPERLINK("https://cao.dolgi.msk.ru/account/1011455531/", 1011455531)</f>
        <v>1011455531</v>
      </c>
      <c r="D18316">
        <v>0</v>
      </c>
    </row>
    <row r="18317" spans="1:4" hidden="1" x14ac:dyDescent="0.3">
      <c r="A18317" t="s">
        <v>1052</v>
      </c>
      <c r="B18317" t="s">
        <v>82</v>
      </c>
      <c r="C18317" s="1">
        <f>HYPERLINK("https://cao.dolgi.msk.ru/account/1011456163/", 1011456163)</f>
        <v>1011456163</v>
      </c>
      <c r="D18317">
        <v>-5406.51</v>
      </c>
    </row>
    <row r="18318" spans="1:4" hidden="1" x14ac:dyDescent="0.3">
      <c r="A18318" t="s">
        <v>1052</v>
      </c>
      <c r="B18318" t="s">
        <v>83</v>
      </c>
      <c r="C18318" s="1">
        <f>HYPERLINK("https://cao.dolgi.msk.ru/account/1011455435/", 1011455435)</f>
        <v>1011455435</v>
      </c>
      <c r="D18318">
        <v>-5581.45</v>
      </c>
    </row>
    <row r="18319" spans="1:4" hidden="1" x14ac:dyDescent="0.3">
      <c r="A18319" t="s">
        <v>1052</v>
      </c>
      <c r="B18319" t="s">
        <v>84</v>
      </c>
      <c r="C18319" s="1">
        <f>HYPERLINK("https://cao.dolgi.msk.ru/account/1011455275/", 1011455275)</f>
        <v>1011455275</v>
      </c>
      <c r="D18319">
        <v>-7933.77</v>
      </c>
    </row>
    <row r="18320" spans="1:4" hidden="1" x14ac:dyDescent="0.3">
      <c r="A18320" t="s">
        <v>1052</v>
      </c>
      <c r="B18320" t="s">
        <v>85</v>
      </c>
      <c r="C18320" s="1">
        <f>HYPERLINK("https://cao.dolgi.msk.ru/account/1011455056/", 1011455056)</f>
        <v>1011455056</v>
      </c>
      <c r="D18320">
        <v>-7501.67</v>
      </c>
    </row>
    <row r="18321" spans="1:4" hidden="1" x14ac:dyDescent="0.3">
      <c r="A18321" t="s">
        <v>1052</v>
      </c>
      <c r="B18321" t="s">
        <v>102</v>
      </c>
      <c r="C18321" s="1">
        <f>HYPERLINK("https://cao.dolgi.msk.ru/account/1011455638/", 1011455638)</f>
        <v>1011455638</v>
      </c>
      <c r="D18321">
        <v>-6737.4</v>
      </c>
    </row>
    <row r="18322" spans="1:4" hidden="1" x14ac:dyDescent="0.3">
      <c r="A18322" t="s">
        <v>1052</v>
      </c>
      <c r="B18322" t="s">
        <v>103</v>
      </c>
      <c r="C18322" s="1">
        <f>HYPERLINK("https://cao.dolgi.msk.ru/account/1011455603/", 1011455603)</f>
        <v>1011455603</v>
      </c>
      <c r="D18322">
        <v>0</v>
      </c>
    </row>
    <row r="18323" spans="1:4" hidden="1" x14ac:dyDescent="0.3">
      <c r="A18323" t="s">
        <v>1052</v>
      </c>
      <c r="B18323" t="s">
        <v>104</v>
      </c>
      <c r="C18323" s="1">
        <f>HYPERLINK("https://cao.dolgi.msk.ru/account/1011456219/", 1011456219)</f>
        <v>1011456219</v>
      </c>
      <c r="D18323">
        <v>0</v>
      </c>
    </row>
    <row r="18324" spans="1:4" hidden="1" x14ac:dyDescent="0.3">
      <c r="A18324" t="s">
        <v>1052</v>
      </c>
      <c r="B18324" t="s">
        <v>105</v>
      </c>
      <c r="C18324" s="1">
        <f>HYPERLINK("https://cao.dolgi.msk.ru/account/1011455072/", 1011455072)</f>
        <v>1011455072</v>
      </c>
      <c r="D18324">
        <v>0</v>
      </c>
    </row>
    <row r="18325" spans="1:4" hidden="1" x14ac:dyDescent="0.3">
      <c r="A18325" t="s">
        <v>1052</v>
      </c>
      <c r="B18325" t="s">
        <v>106</v>
      </c>
      <c r="C18325" s="1">
        <f>HYPERLINK("https://cao.dolgi.msk.ru/account/1011455793/", 1011455793)</f>
        <v>1011455793</v>
      </c>
      <c r="D18325">
        <v>-3951.05</v>
      </c>
    </row>
    <row r="18326" spans="1:4" hidden="1" x14ac:dyDescent="0.3">
      <c r="A18326" t="s">
        <v>1052</v>
      </c>
      <c r="B18326" t="s">
        <v>107</v>
      </c>
      <c r="C18326" s="1">
        <f>HYPERLINK("https://cao.dolgi.msk.ru/account/1011455865/", 1011455865)</f>
        <v>1011455865</v>
      </c>
      <c r="D18326">
        <v>0</v>
      </c>
    </row>
    <row r="18327" spans="1:4" hidden="1" x14ac:dyDescent="0.3">
      <c r="A18327" t="s">
        <v>1052</v>
      </c>
      <c r="B18327" t="s">
        <v>108</v>
      </c>
      <c r="C18327" s="1">
        <f>HYPERLINK("https://cao.dolgi.msk.ru/account/1011455734/", 1011455734)</f>
        <v>1011455734</v>
      </c>
      <c r="D18327">
        <v>0</v>
      </c>
    </row>
    <row r="18328" spans="1:4" x14ac:dyDescent="0.3">
      <c r="A18328" t="s">
        <v>1052</v>
      </c>
      <c r="B18328" t="s">
        <v>109</v>
      </c>
      <c r="C18328" s="1">
        <f>HYPERLINK("https://cao.dolgi.msk.ru/account/1011456032/", 1011456032)</f>
        <v>1011456032</v>
      </c>
      <c r="D18328">
        <v>9496.9599999999991</v>
      </c>
    </row>
    <row r="18329" spans="1:4" hidden="1" x14ac:dyDescent="0.3">
      <c r="A18329" t="s">
        <v>1052</v>
      </c>
      <c r="B18329" t="s">
        <v>110</v>
      </c>
      <c r="C18329" s="1">
        <f>HYPERLINK("https://cao.dolgi.msk.ru/account/1011456059/", 1011456059)</f>
        <v>1011456059</v>
      </c>
      <c r="D18329">
        <v>0</v>
      </c>
    </row>
    <row r="18330" spans="1:4" hidden="1" x14ac:dyDescent="0.3">
      <c r="A18330" t="s">
        <v>1052</v>
      </c>
      <c r="B18330" t="s">
        <v>111</v>
      </c>
      <c r="C18330" s="1">
        <f>HYPERLINK("https://cao.dolgi.msk.ru/account/1011454993/", 1011454993)</f>
        <v>1011454993</v>
      </c>
      <c r="D18330">
        <v>0</v>
      </c>
    </row>
    <row r="18331" spans="1:4" hidden="1" x14ac:dyDescent="0.3">
      <c r="A18331" t="s">
        <v>1052</v>
      </c>
      <c r="B18331" t="s">
        <v>112</v>
      </c>
      <c r="C18331" s="1">
        <f>HYPERLINK("https://cao.dolgi.msk.ru/account/1011455443/", 1011455443)</f>
        <v>1011455443</v>
      </c>
      <c r="D18331">
        <v>0</v>
      </c>
    </row>
    <row r="18332" spans="1:4" x14ac:dyDescent="0.3">
      <c r="A18332" t="s">
        <v>1052</v>
      </c>
      <c r="B18332" t="s">
        <v>113</v>
      </c>
      <c r="C18332" s="1">
        <f>HYPERLINK("https://cao.dolgi.msk.ru/account/1011455363/", 1011455363)</f>
        <v>1011455363</v>
      </c>
      <c r="D18332">
        <v>6375.41</v>
      </c>
    </row>
    <row r="18333" spans="1:4" x14ac:dyDescent="0.3">
      <c r="A18333" t="s">
        <v>1052</v>
      </c>
      <c r="B18333" t="s">
        <v>114</v>
      </c>
      <c r="C18333" s="1">
        <f>HYPERLINK("https://cao.dolgi.msk.ru/account/1011455144/", 1011455144)</f>
        <v>1011455144</v>
      </c>
      <c r="D18333">
        <v>4301.46</v>
      </c>
    </row>
    <row r="18334" spans="1:4" hidden="1" x14ac:dyDescent="0.3">
      <c r="A18334" t="s">
        <v>1052</v>
      </c>
      <c r="B18334" t="s">
        <v>115</v>
      </c>
      <c r="C18334" s="1">
        <f>HYPERLINK("https://cao.dolgi.msk.ru/account/1011455611/", 1011455611)</f>
        <v>1011455611</v>
      </c>
      <c r="D18334">
        <v>0</v>
      </c>
    </row>
    <row r="18335" spans="1:4" hidden="1" x14ac:dyDescent="0.3">
      <c r="A18335" t="s">
        <v>1052</v>
      </c>
      <c r="B18335" t="s">
        <v>116</v>
      </c>
      <c r="C18335" s="1">
        <f>HYPERLINK("https://cao.dolgi.msk.ru/account/1011455953/", 1011455953)</f>
        <v>1011455953</v>
      </c>
      <c r="D18335">
        <v>0</v>
      </c>
    </row>
    <row r="18336" spans="1:4" hidden="1" x14ac:dyDescent="0.3">
      <c r="A18336" t="s">
        <v>1052</v>
      </c>
      <c r="B18336" t="s">
        <v>266</v>
      </c>
      <c r="C18336" s="1">
        <f>HYPERLINK("https://cao.dolgi.msk.ru/account/1011455355/", 1011455355)</f>
        <v>1011455355</v>
      </c>
      <c r="D18336">
        <v>0</v>
      </c>
    </row>
    <row r="18337" spans="1:4" hidden="1" x14ac:dyDescent="0.3">
      <c r="A18337" t="s">
        <v>1052</v>
      </c>
      <c r="B18337" t="s">
        <v>117</v>
      </c>
      <c r="C18337" s="1">
        <f>HYPERLINK("https://cao.dolgi.msk.ru/account/1011455304/", 1011455304)</f>
        <v>1011455304</v>
      </c>
      <c r="D18337">
        <v>-4052.97</v>
      </c>
    </row>
    <row r="18338" spans="1:4" hidden="1" x14ac:dyDescent="0.3">
      <c r="A18338" t="s">
        <v>1052</v>
      </c>
      <c r="B18338" t="s">
        <v>118</v>
      </c>
      <c r="C18338" s="1">
        <f>HYPERLINK("https://cao.dolgi.msk.ru/account/1011456139/", 1011456139)</f>
        <v>1011456139</v>
      </c>
      <c r="D18338">
        <v>0</v>
      </c>
    </row>
    <row r="18339" spans="1:4" hidden="1" x14ac:dyDescent="0.3">
      <c r="A18339" t="s">
        <v>1052</v>
      </c>
      <c r="B18339" t="s">
        <v>119</v>
      </c>
      <c r="C18339" s="1">
        <f>HYPERLINK("https://cao.dolgi.msk.ru/account/1011454977/", 1011454977)</f>
        <v>1011454977</v>
      </c>
      <c r="D18339">
        <v>0</v>
      </c>
    </row>
    <row r="18340" spans="1:4" hidden="1" x14ac:dyDescent="0.3">
      <c r="A18340" t="s">
        <v>1052</v>
      </c>
      <c r="B18340" t="s">
        <v>120</v>
      </c>
      <c r="C18340" s="1">
        <f>HYPERLINK("https://cao.dolgi.msk.ru/account/1011455769/", 1011455769)</f>
        <v>1011455769</v>
      </c>
      <c r="D18340">
        <v>-18071.240000000002</v>
      </c>
    </row>
    <row r="18341" spans="1:4" hidden="1" x14ac:dyDescent="0.3">
      <c r="A18341" t="s">
        <v>1052</v>
      </c>
      <c r="B18341" t="s">
        <v>121</v>
      </c>
      <c r="C18341" s="1">
        <f>HYPERLINK("https://cao.dolgi.msk.ru/account/1011455152/", 1011455152)</f>
        <v>1011455152</v>
      </c>
      <c r="D18341">
        <v>-30538.959999999999</v>
      </c>
    </row>
    <row r="18342" spans="1:4" hidden="1" x14ac:dyDescent="0.3">
      <c r="A18342" t="s">
        <v>1052</v>
      </c>
      <c r="B18342" t="s">
        <v>122</v>
      </c>
      <c r="C18342" s="1">
        <f>HYPERLINK("https://cao.dolgi.msk.ru/account/1011455179/", 1011455179)</f>
        <v>1011455179</v>
      </c>
      <c r="D18342">
        <v>0</v>
      </c>
    </row>
    <row r="18343" spans="1:4" x14ac:dyDescent="0.3">
      <c r="A18343" t="s">
        <v>1052</v>
      </c>
      <c r="B18343" t="s">
        <v>123</v>
      </c>
      <c r="C18343" s="1">
        <f>HYPERLINK("https://cao.dolgi.msk.ru/account/1011456171/", 1011456171)</f>
        <v>1011456171</v>
      </c>
      <c r="D18343">
        <v>2532.04</v>
      </c>
    </row>
    <row r="18344" spans="1:4" x14ac:dyDescent="0.3">
      <c r="A18344" t="s">
        <v>1052</v>
      </c>
      <c r="B18344" t="s">
        <v>124</v>
      </c>
      <c r="C18344" s="1">
        <f>HYPERLINK("https://cao.dolgi.msk.ru/account/1011455515/", 1011455515)</f>
        <v>1011455515</v>
      </c>
      <c r="D18344">
        <v>6165.37</v>
      </c>
    </row>
    <row r="18345" spans="1:4" x14ac:dyDescent="0.3">
      <c r="A18345" t="s">
        <v>1052</v>
      </c>
      <c r="B18345" t="s">
        <v>125</v>
      </c>
      <c r="C18345" s="1">
        <f>HYPERLINK("https://cao.dolgi.msk.ru/account/1011455662/", 1011455662)</f>
        <v>1011455662</v>
      </c>
      <c r="D18345">
        <v>8415.43</v>
      </c>
    </row>
    <row r="18346" spans="1:4" hidden="1" x14ac:dyDescent="0.3">
      <c r="A18346" t="s">
        <v>1052</v>
      </c>
      <c r="B18346" t="s">
        <v>126</v>
      </c>
      <c r="C18346" s="1">
        <f>HYPERLINK("https://cao.dolgi.msk.ru/account/1011456067/", 1011456067)</f>
        <v>1011456067</v>
      </c>
      <c r="D18346">
        <v>-5994.79</v>
      </c>
    </row>
    <row r="18347" spans="1:4" hidden="1" x14ac:dyDescent="0.3">
      <c r="A18347" t="s">
        <v>1052</v>
      </c>
      <c r="B18347" t="s">
        <v>127</v>
      </c>
      <c r="C18347" s="1">
        <f>HYPERLINK("https://cao.dolgi.msk.ru/account/1011455988/", 1011455988)</f>
        <v>1011455988</v>
      </c>
      <c r="D18347">
        <v>0</v>
      </c>
    </row>
    <row r="18348" spans="1:4" hidden="1" x14ac:dyDescent="0.3">
      <c r="A18348" t="s">
        <v>1052</v>
      </c>
      <c r="B18348" t="s">
        <v>262</v>
      </c>
      <c r="C18348" s="1">
        <f>HYPERLINK("https://cao.dolgi.msk.ru/account/1011454934/", 1011454934)</f>
        <v>1011454934</v>
      </c>
      <c r="D18348">
        <v>0</v>
      </c>
    </row>
    <row r="18349" spans="1:4" hidden="1" x14ac:dyDescent="0.3">
      <c r="A18349" t="s">
        <v>1052</v>
      </c>
      <c r="B18349" t="s">
        <v>128</v>
      </c>
      <c r="C18349" s="1">
        <f>HYPERLINK("https://cao.dolgi.msk.ru/account/1011455849/", 1011455849)</f>
        <v>1011455849</v>
      </c>
      <c r="D18349">
        <v>-3539.41</v>
      </c>
    </row>
    <row r="18350" spans="1:4" hidden="1" x14ac:dyDescent="0.3">
      <c r="A18350" t="s">
        <v>1052</v>
      </c>
      <c r="B18350" t="s">
        <v>128</v>
      </c>
      <c r="C18350" s="1">
        <f>HYPERLINK("https://cao.dolgi.msk.ru/account/1011455873/", 1011455873)</f>
        <v>1011455873</v>
      </c>
      <c r="D18350">
        <v>-1153.5</v>
      </c>
    </row>
    <row r="18351" spans="1:4" hidden="1" x14ac:dyDescent="0.3">
      <c r="A18351" t="s">
        <v>1052</v>
      </c>
      <c r="B18351" t="s">
        <v>129</v>
      </c>
      <c r="C18351" s="1">
        <f>HYPERLINK("https://cao.dolgi.msk.ru/account/1011455128/", 1011455128)</f>
        <v>1011455128</v>
      </c>
      <c r="D18351">
        <v>0</v>
      </c>
    </row>
    <row r="18352" spans="1:4" hidden="1" x14ac:dyDescent="0.3">
      <c r="A18352" t="s">
        <v>1052</v>
      </c>
      <c r="B18352" t="s">
        <v>130</v>
      </c>
      <c r="C18352" s="1">
        <f>HYPERLINK("https://cao.dolgi.msk.ru/account/1011455507/", 1011455507)</f>
        <v>1011455507</v>
      </c>
      <c r="D18352">
        <v>0</v>
      </c>
    </row>
    <row r="18353" spans="1:4" hidden="1" x14ac:dyDescent="0.3">
      <c r="A18353" t="s">
        <v>1052</v>
      </c>
      <c r="B18353" t="s">
        <v>131</v>
      </c>
      <c r="C18353" s="1">
        <f>HYPERLINK("https://cao.dolgi.msk.ru/account/1011455099/", 1011455099)</f>
        <v>1011455099</v>
      </c>
      <c r="D18353">
        <v>0</v>
      </c>
    </row>
    <row r="18354" spans="1:4" hidden="1" x14ac:dyDescent="0.3">
      <c r="A18354" t="s">
        <v>1052</v>
      </c>
      <c r="B18354" t="s">
        <v>132</v>
      </c>
      <c r="C18354" s="1">
        <f>HYPERLINK("https://cao.dolgi.msk.ru/account/1011455689/", 1011455689)</f>
        <v>1011455689</v>
      </c>
      <c r="D18354">
        <v>-34252.879999999997</v>
      </c>
    </row>
    <row r="18355" spans="1:4" x14ac:dyDescent="0.3">
      <c r="A18355" t="s">
        <v>1052</v>
      </c>
      <c r="B18355" t="s">
        <v>133</v>
      </c>
      <c r="C18355" s="1">
        <f>HYPERLINK("https://cao.dolgi.msk.ru/account/1011455857/", 1011455857)</f>
        <v>1011455857</v>
      </c>
      <c r="D18355">
        <v>8256.4500000000007</v>
      </c>
    </row>
    <row r="18356" spans="1:4" hidden="1" x14ac:dyDescent="0.3">
      <c r="A18356" t="s">
        <v>1052</v>
      </c>
      <c r="B18356" t="s">
        <v>134</v>
      </c>
      <c r="C18356" s="1">
        <f>HYPERLINK("https://cao.dolgi.msk.ru/account/1011455232/", 1011455232)</f>
        <v>1011455232</v>
      </c>
      <c r="D18356">
        <v>0</v>
      </c>
    </row>
    <row r="18357" spans="1:4" hidden="1" x14ac:dyDescent="0.3">
      <c r="A18357" t="s">
        <v>1053</v>
      </c>
      <c r="B18357" t="s">
        <v>6</v>
      </c>
      <c r="C18357" s="1">
        <f>HYPERLINK("https://cao.dolgi.msk.ru/account/1011217648/", 1011217648)</f>
        <v>1011217648</v>
      </c>
      <c r="D18357">
        <v>0</v>
      </c>
    </row>
    <row r="18358" spans="1:4" hidden="1" x14ac:dyDescent="0.3">
      <c r="A18358" t="s">
        <v>1053</v>
      </c>
      <c r="B18358" t="s">
        <v>28</v>
      </c>
      <c r="C18358" s="1">
        <f>HYPERLINK("https://cao.dolgi.msk.ru/account/1011217429/", 1011217429)</f>
        <v>1011217429</v>
      </c>
      <c r="D18358">
        <v>-6993.53</v>
      </c>
    </row>
    <row r="18359" spans="1:4" x14ac:dyDescent="0.3">
      <c r="A18359" t="s">
        <v>1053</v>
      </c>
      <c r="B18359" t="s">
        <v>35</v>
      </c>
      <c r="C18359" s="1">
        <f>HYPERLINK("https://cao.dolgi.msk.ru/account/1011217752/", 1011217752)</f>
        <v>1011217752</v>
      </c>
      <c r="D18359">
        <v>6311.66</v>
      </c>
    </row>
    <row r="18360" spans="1:4" hidden="1" x14ac:dyDescent="0.3">
      <c r="A18360" t="s">
        <v>1053</v>
      </c>
      <c r="B18360" t="s">
        <v>5</v>
      </c>
      <c r="C18360" s="1">
        <f>HYPERLINK("https://cao.dolgi.msk.ru/account/1011217779/", 1011217779)</f>
        <v>1011217779</v>
      </c>
      <c r="D18360">
        <v>-13546.07</v>
      </c>
    </row>
    <row r="18361" spans="1:4" hidden="1" x14ac:dyDescent="0.3">
      <c r="A18361" t="s">
        <v>1053</v>
      </c>
      <c r="B18361" t="s">
        <v>7</v>
      </c>
      <c r="C18361" s="1">
        <f>HYPERLINK("https://cao.dolgi.msk.ru/account/1011217437/", 1011217437)</f>
        <v>1011217437</v>
      </c>
      <c r="D18361">
        <v>0</v>
      </c>
    </row>
    <row r="18362" spans="1:4" x14ac:dyDescent="0.3">
      <c r="A18362" t="s">
        <v>1053</v>
      </c>
      <c r="B18362" t="s">
        <v>8</v>
      </c>
      <c r="C18362" s="1">
        <f>HYPERLINK("https://cao.dolgi.msk.ru/account/1011217787/", 1011217787)</f>
        <v>1011217787</v>
      </c>
      <c r="D18362">
        <v>30232.65</v>
      </c>
    </row>
    <row r="18363" spans="1:4" hidden="1" x14ac:dyDescent="0.3">
      <c r="A18363" t="s">
        <v>1053</v>
      </c>
      <c r="B18363" t="s">
        <v>31</v>
      </c>
      <c r="C18363" s="1">
        <f>HYPERLINK("https://cao.dolgi.msk.ru/account/1011217656/", 1011217656)</f>
        <v>1011217656</v>
      </c>
      <c r="D18363">
        <v>-8214.82</v>
      </c>
    </row>
    <row r="18364" spans="1:4" hidden="1" x14ac:dyDescent="0.3">
      <c r="A18364" t="s">
        <v>1053</v>
      </c>
      <c r="B18364" t="s">
        <v>9</v>
      </c>
      <c r="C18364" s="1">
        <f>HYPERLINK("https://cao.dolgi.msk.ru/account/1011217824/", 1011217824)</f>
        <v>1011217824</v>
      </c>
      <c r="D18364">
        <v>0</v>
      </c>
    </row>
    <row r="18365" spans="1:4" x14ac:dyDescent="0.3">
      <c r="A18365" t="s">
        <v>1053</v>
      </c>
      <c r="B18365" t="s">
        <v>10</v>
      </c>
      <c r="C18365" s="1">
        <f>HYPERLINK("https://cao.dolgi.msk.ru/account/1011217445/", 1011217445)</f>
        <v>1011217445</v>
      </c>
      <c r="D18365">
        <v>19372.78</v>
      </c>
    </row>
    <row r="18366" spans="1:4" hidden="1" x14ac:dyDescent="0.3">
      <c r="A18366" t="s">
        <v>1053</v>
      </c>
      <c r="B18366" t="s">
        <v>11</v>
      </c>
      <c r="C18366" s="1">
        <f>HYPERLINK("https://cao.dolgi.msk.ru/account/1011217584/", 1011217584)</f>
        <v>1011217584</v>
      </c>
      <c r="D18366">
        <v>-17330.34</v>
      </c>
    </row>
    <row r="18367" spans="1:4" hidden="1" x14ac:dyDescent="0.3">
      <c r="A18367" t="s">
        <v>1053</v>
      </c>
      <c r="B18367" t="s">
        <v>12</v>
      </c>
      <c r="C18367" s="1">
        <f>HYPERLINK("https://cao.dolgi.msk.ru/account/1011217285/", 1011217285)</f>
        <v>1011217285</v>
      </c>
      <c r="D18367">
        <v>-38327.910000000003</v>
      </c>
    </row>
    <row r="18368" spans="1:4" hidden="1" x14ac:dyDescent="0.3">
      <c r="A18368" t="s">
        <v>1053</v>
      </c>
      <c r="B18368" t="s">
        <v>23</v>
      </c>
      <c r="C18368" s="1">
        <f>HYPERLINK("https://cao.dolgi.msk.ru/account/1011217453/", 1011217453)</f>
        <v>1011217453</v>
      </c>
      <c r="D18368">
        <v>0</v>
      </c>
    </row>
    <row r="18369" spans="1:4" hidden="1" x14ac:dyDescent="0.3">
      <c r="A18369" t="s">
        <v>1053</v>
      </c>
      <c r="B18369" t="s">
        <v>13</v>
      </c>
      <c r="C18369" s="1">
        <f>HYPERLINK("https://cao.dolgi.msk.ru/account/1011217293/", 1011217293)</f>
        <v>1011217293</v>
      </c>
      <c r="D18369">
        <v>-10548.38</v>
      </c>
    </row>
    <row r="18370" spans="1:4" x14ac:dyDescent="0.3">
      <c r="A18370" t="s">
        <v>1053</v>
      </c>
      <c r="B18370" t="s">
        <v>14</v>
      </c>
      <c r="C18370" s="1">
        <f>HYPERLINK("https://cao.dolgi.msk.ru/account/1011217832/", 1011217832)</f>
        <v>1011217832</v>
      </c>
      <c r="D18370">
        <v>305885.37</v>
      </c>
    </row>
    <row r="18371" spans="1:4" hidden="1" x14ac:dyDescent="0.3">
      <c r="A18371" t="s">
        <v>1053</v>
      </c>
      <c r="B18371" t="s">
        <v>16</v>
      </c>
      <c r="C18371" s="1">
        <f>HYPERLINK("https://cao.dolgi.msk.ru/account/1011217795/", 1011217795)</f>
        <v>1011217795</v>
      </c>
      <c r="D18371">
        <v>0</v>
      </c>
    </row>
    <row r="18372" spans="1:4" hidden="1" x14ac:dyDescent="0.3">
      <c r="A18372" t="s">
        <v>1053</v>
      </c>
      <c r="B18372" t="s">
        <v>17</v>
      </c>
      <c r="C18372" s="1">
        <f>HYPERLINK("https://cao.dolgi.msk.ru/account/1011217592/", 1011217592)</f>
        <v>1011217592</v>
      </c>
      <c r="D18372">
        <v>0</v>
      </c>
    </row>
    <row r="18373" spans="1:4" hidden="1" x14ac:dyDescent="0.3">
      <c r="A18373" t="s">
        <v>1053</v>
      </c>
      <c r="B18373" t="s">
        <v>18</v>
      </c>
      <c r="C18373" s="1">
        <f>HYPERLINK("https://cao.dolgi.msk.ru/account/1011217234/", 1011217234)</f>
        <v>1011217234</v>
      </c>
      <c r="D18373">
        <v>0</v>
      </c>
    </row>
    <row r="18374" spans="1:4" hidden="1" x14ac:dyDescent="0.3">
      <c r="A18374" t="s">
        <v>1053</v>
      </c>
      <c r="B18374" t="s">
        <v>19</v>
      </c>
      <c r="C18374" s="1">
        <f>HYPERLINK("https://cao.dolgi.msk.ru/account/1011217242/", 1011217242)</f>
        <v>1011217242</v>
      </c>
      <c r="D18374">
        <v>-6174.06</v>
      </c>
    </row>
    <row r="18375" spans="1:4" hidden="1" x14ac:dyDescent="0.3">
      <c r="A18375" t="s">
        <v>1053</v>
      </c>
      <c r="B18375" t="s">
        <v>20</v>
      </c>
      <c r="C18375" s="1">
        <f>HYPERLINK("https://cao.dolgi.msk.ru/account/1011217146/", 1011217146)</f>
        <v>1011217146</v>
      </c>
      <c r="D18375">
        <v>-44824.73</v>
      </c>
    </row>
    <row r="18376" spans="1:4" hidden="1" x14ac:dyDescent="0.3">
      <c r="A18376" t="s">
        <v>1053</v>
      </c>
      <c r="B18376" t="s">
        <v>21</v>
      </c>
      <c r="C18376" s="1">
        <f>HYPERLINK("https://cao.dolgi.msk.ru/account/1011217306/", 1011217306)</f>
        <v>1011217306</v>
      </c>
      <c r="D18376">
        <v>-23.59</v>
      </c>
    </row>
    <row r="18377" spans="1:4" hidden="1" x14ac:dyDescent="0.3">
      <c r="A18377" t="s">
        <v>1053</v>
      </c>
      <c r="B18377" t="s">
        <v>22</v>
      </c>
      <c r="C18377" s="1">
        <f>HYPERLINK("https://cao.dolgi.msk.ru/account/1011217859/", 1011217859)</f>
        <v>1011217859</v>
      </c>
      <c r="D18377">
        <v>0</v>
      </c>
    </row>
    <row r="18378" spans="1:4" hidden="1" x14ac:dyDescent="0.3">
      <c r="A18378" t="s">
        <v>1053</v>
      </c>
      <c r="B18378" t="s">
        <v>24</v>
      </c>
      <c r="C18378" s="1">
        <f>HYPERLINK("https://cao.dolgi.msk.ru/account/1011217867/", 1011217867)</f>
        <v>1011217867</v>
      </c>
      <c r="D18378">
        <v>0</v>
      </c>
    </row>
    <row r="18379" spans="1:4" hidden="1" x14ac:dyDescent="0.3">
      <c r="A18379" t="s">
        <v>1053</v>
      </c>
      <c r="B18379" t="s">
        <v>25</v>
      </c>
      <c r="C18379" s="1">
        <f>HYPERLINK("https://cao.dolgi.msk.ru/account/1011217808/", 1011217808)</f>
        <v>1011217808</v>
      </c>
      <c r="D18379">
        <v>0</v>
      </c>
    </row>
    <row r="18380" spans="1:4" hidden="1" x14ac:dyDescent="0.3">
      <c r="A18380" t="s">
        <v>1053</v>
      </c>
      <c r="B18380" t="s">
        <v>26</v>
      </c>
      <c r="C18380" s="1">
        <f>HYPERLINK("https://cao.dolgi.msk.ru/account/1011217269/", 1011217269)</f>
        <v>1011217269</v>
      </c>
      <c r="D18380">
        <v>0</v>
      </c>
    </row>
    <row r="18381" spans="1:4" x14ac:dyDescent="0.3">
      <c r="A18381" t="s">
        <v>1053</v>
      </c>
      <c r="B18381" t="s">
        <v>27</v>
      </c>
      <c r="C18381" s="1">
        <f>HYPERLINK("https://cao.dolgi.msk.ru/account/1011217277/", 1011217277)</f>
        <v>1011217277</v>
      </c>
      <c r="D18381">
        <v>65808.070000000007</v>
      </c>
    </row>
    <row r="18382" spans="1:4" hidden="1" x14ac:dyDescent="0.3">
      <c r="A18382" t="s">
        <v>1053</v>
      </c>
      <c r="B18382" t="s">
        <v>29</v>
      </c>
      <c r="C18382" s="1">
        <f>HYPERLINK("https://cao.dolgi.msk.ru/account/1011217664/", 1011217664)</f>
        <v>1011217664</v>
      </c>
      <c r="D18382">
        <v>-2683.06</v>
      </c>
    </row>
    <row r="18383" spans="1:4" hidden="1" x14ac:dyDescent="0.3">
      <c r="A18383" t="s">
        <v>1053</v>
      </c>
      <c r="B18383" t="s">
        <v>38</v>
      </c>
      <c r="C18383" s="1">
        <f>HYPERLINK("https://cao.dolgi.msk.ru/account/1011217672/", 1011217672)</f>
        <v>1011217672</v>
      </c>
      <c r="D18383">
        <v>0</v>
      </c>
    </row>
    <row r="18384" spans="1:4" x14ac:dyDescent="0.3">
      <c r="A18384" t="s">
        <v>1053</v>
      </c>
      <c r="B18384" t="s">
        <v>39</v>
      </c>
      <c r="C18384" s="1">
        <f>HYPERLINK("https://cao.dolgi.msk.ru/account/1011217314/", 1011217314)</f>
        <v>1011217314</v>
      </c>
      <c r="D18384">
        <v>1166.7</v>
      </c>
    </row>
    <row r="18385" spans="1:4" hidden="1" x14ac:dyDescent="0.3">
      <c r="A18385" t="s">
        <v>1053</v>
      </c>
      <c r="B18385" t="s">
        <v>40</v>
      </c>
      <c r="C18385" s="1">
        <f>HYPERLINK("https://cao.dolgi.msk.ru/account/1011217744/", 1011217744)</f>
        <v>1011217744</v>
      </c>
      <c r="D18385">
        <v>0</v>
      </c>
    </row>
    <row r="18386" spans="1:4" hidden="1" x14ac:dyDescent="0.3">
      <c r="A18386" t="s">
        <v>1053</v>
      </c>
      <c r="B18386" t="s">
        <v>41</v>
      </c>
      <c r="C18386" s="1">
        <f>HYPERLINK("https://cao.dolgi.msk.ru/account/1011217605/", 1011217605)</f>
        <v>1011217605</v>
      </c>
      <c r="D18386">
        <v>0</v>
      </c>
    </row>
    <row r="18387" spans="1:4" hidden="1" x14ac:dyDescent="0.3">
      <c r="A18387" t="s">
        <v>1053</v>
      </c>
      <c r="B18387" t="s">
        <v>51</v>
      </c>
      <c r="C18387" s="1">
        <f>HYPERLINK("https://cao.dolgi.msk.ru/account/1011217461/", 1011217461)</f>
        <v>1011217461</v>
      </c>
      <c r="D18387">
        <v>-2581.38</v>
      </c>
    </row>
    <row r="18388" spans="1:4" hidden="1" x14ac:dyDescent="0.3">
      <c r="A18388" t="s">
        <v>1053</v>
      </c>
      <c r="B18388" t="s">
        <v>52</v>
      </c>
      <c r="C18388" s="1">
        <f>HYPERLINK("https://cao.dolgi.msk.ru/account/1011217154/", 1011217154)</f>
        <v>1011217154</v>
      </c>
      <c r="D18388">
        <v>0</v>
      </c>
    </row>
    <row r="18389" spans="1:4" hidden="1" x14ac:dyDescent="0.3">
      <c r="A18389" t="s">
        <v>1053</v>
      </c>
      <c r="B18389" t="s">
        <v>53</v>
      </c>
      <c r="C18389" s="1">
        <f>HYPERLINK("https://cao.dolgi.msk.ru/account/1011217488/", 1011217488)</f>
        <v>1011217488</v>
      </c>
      <c r="D18389">
        <v>0</v>
      </c>
    </row>
    <row r="18390" spans="1:4" hidden="1" x14ac:dyDescent="0.3">
      <c r="A18390" t="s">
        <v>1053</v>
      </c>
      <c r="B18390" t="s">
        <v>54</v>
      </c>
      <c r="C18390" s="1">
        <f>HYPERLINK("https://cao.dolgi.msk.ru/account/1011217322/", 1011217322)</f>
        <v>1011217322</v>
      </c>
      <c r="D18390">
        <v>0</v>
      </c>
    </row>
    <row r="18391" spans="1:4" x14ac:dyDescent="0.3">
      <c r="A18391" t="s">
        <v>1053</v>
      </c>
      <c r="B18391" t="s">
        <v>55</v>
      </c>
      <c r="C18391" s="1">
        <f>HYPERLINK("https://cao.dolgi.msk.ru/account/1011217613/", 1011217613)</f>
        <v>1011217613</v>
      </c>
      <c r="D18391">
        <v>535.27</v>
      </c>
    </row>
    <row r="18392" spans="1:4" hidden="1" x14ac:dyDescent="0.3">
      <c r="A18392" t="s">
        <v>1053</v>
      </c>
      <c r="B18392" t="s">
        <v>56</v>
      </c>
      <c r="C18392" s="1">
        <f>HYPERLINK("https://cao.dolgi.msk.ru/account/1011217875/", 1011217875)</f>
        <v>1011217875</v>
      </c>
      <c r="D18392">
        <v>-8791.15</v>
      </c>
    </row>
    <row r="18393" spans="1:4" hidden="1" x14ac:dyDescent="0.3">
      <c r="A18393" t="s">
        <v>1053</v>
      </c>
      <c r="B18393" t="s">
        <v>87</v>
      </c>
      <c r="C18393" s="1">
        <f>HYPERLINK("https://cao.dolgi.msk.ru/account/1011217226/", 1011217226)</f>
        <v>1011217226</v>
      </c>
      <c r="D18393">
        <v>0</v>
      </c>
    </row>
    <row r="18394" spans="1:4" hidden="1" x14ac:dyDescent="0.3">
      <c r="A18394" t="s">
        <v>1053</v>
      </c>
      <c r="B18394" t="s">
        <v>87</v>
      </c>
      <c r="C18394" s="1">
        <f>HYPERLINK("https://cao.dolgi.msk.ru/account/1011217621/", 1011217621)</f>
        <v>1011217621</v>
      </c>
      <c r="D18394">
        <v>0</v>
      </c>
    </row>
    <row r="18395" spans="1:4" hidden="1" x14ac:dyDescent="0.3">
      <c r="A18395" t="s">
        <v>1053</v>
      </c>
      <c r="B18395" t="s">
        <v>88</v>
      </c>
      <c r="C18395" s="1">
        <f>HYPERLINK("https://cao.dolgi.msk.ru/account/1011217496/", 1011217496)</f>
        <v>1011217496</v>
      </c>
      <c r="D18395">
        <v>0</v>
      </c>
    </row>
    <row r="18396" spans="1:4" hidden="1" x14ac:dyDescent="0.3">
      <c r="A18396" t="s">
        <v>1053</v>
      </c>
      <c r="B18396" t="s">
        <v>89</v>
      </c>
      <c r="C18396" s="1">
        <f>HYPERLINK("https://cao.dolgi.msk.ru/account/1011217349/", 1011217349)</f>
        <v>1011217349</v>
      </c>
      <c r="D18396">
        <v>-7781.44</v>
      </c>
    </row>
    <row r="18397" spans="1:4" hidden="1" x14ac:dyDescent="0.3">
      <c r="A18397" t="s">
        <v>1053</v>
      </c>
      <c r="B18397" t="s">
        <v>90</v>
      </c>
      <c r="C18397" s="1">
        <f>HYPERLINK("https://cao.dolgi.msk.ru/account/1011217883/", 1011217883)</f>
        <v>1011217883</v>
      </c>
      <c r="D18397">
        <v>0</v>
      </c>
    </row>
    <row r="18398" spans="1:4" x14ac:dyDescent="0.3">
      <c r="A18398" t="s">
        <v>1053</v>
      </c>
      <c r="B18398" t="s">
        <v>96</v>
      </c>
      <c r="C18398" s="1">
        <f>HYPERLINK("https://cao.dolgi.msk.ru/account/1011217699/", 1011217699)</f>
        <v>1011217699</v>
      </c>
      <c r="D18398">
        <v>5350.42</v>
      </c>
    </row>
    <row r="18399" spans="1:4" hidden="1" x14ac:dyDescent="0.3">
      <c r="A18399" t="s">
        <v>1053</v>
      </c>
      <c r="B18399" t="s">
        <v>97</v>
      </c>
      <c r="C18399" s="1">
        <f>HYPERLINK("https://cao.dolgi.msk.ru/account/1011217357/", 1011217357)</f>
        <v>1011217357</v>
      </c>
      <c r="D18399">
        <v>-7656.46</v>
      </c>
    </row>
    <row r="18400" spans="1:4" hidden="1" x14ac:dyDescent="0.3">
      <c r="A18400" t="s">
        <v>1053</v>
      </c>
      <c r="B18400" t="s">
        <v>98</v>
      </c>
      <c r="C18400" s="1">
        <f>HYPERLINK("https://cao.dolgi.msk.ru/account/1011217568/", 1011217568)</f>
        <v>1011217568</v>
      </c>
      <c r="D18400">
        <v>0</v>
      </c>
    </row>
    <row r="18401" spans="1:4" hidden="1" x14ac:dyDescent="0.3">
      <c r="A18401" t="s">
        <v>1053</v>
      </c>
      <c r="B18401" t="s">
        <v>98</v>
      </c>
      <c r="C18401" s="1">
        <f>HYPERLINK("https://cao.dolgi.msk.ru/account/1011217891/", 1011217891)</f>
        <v>1011217891</v>
      </c>
      <c r="D18401">
        <v>0</v>
      </c>
    </row>
    <row r="18402" spans="1:4" hidden="1" x14ac:dyDescent="0.3">
      <c r="A18402" t="s">
        <v>1053</v>
      </c>
      <c r="B18402" t="s">
        <v>58</v>
      </c>
      <c r="C18402" s="1">
        <f>HYPERLINK("https://cao.dolgi.msk.ru/account/1011217162/", 1011217162)</f>
        <v>1011217162</v>
      </c>
      <c r="D18402">
        <v>-13.03</v>
      </c>
    </row>
    <row r="18403" spans="1:4" hidden="1" x14ac:dyDescent="0.3">
      <c r="A18403" t="s">
        <v>1053</v>
      </c>
      <c r="B18403" t="s">
        <v>59</v>
      </c>
      <c r="C18403" s="1">
        <f>HYPERLINK("https://cao.dolgi.msk.ru/account/1011217189/", 1011217189)</f>
        <v>1011217189</v>
      </c>
      <c r="D18403">
        <v>0</v>
      </c>
    </row>
    <row r="18404" spans="1:4" hidden="1" x14ac:dyDescent="0.3">
      <c r="A18404" t="s">
        <v>1053</v>
      </c>
      <c r="B18404" t="s">
        <v>60</v>
      </c>
      <c r="C18404" s="1">
        <f>HYPERLINK("https://cao.dolgi.msk.ru/account/1011217197/", 1011217197)</f>
        <v>1011217197</v>
      </c>
      <c r="D18404">
        <v>-6447.73</v>
      </c>
    </row>
    <row r="18405" spans="1:4" hidden="1" x14ac:dyDescent="0.3">
      <c r="A18405" t="s">
        <v>1053</v>
      </c>
      <c r="B18405" t="s">
        <v>61</v>
      </c>
      <c r="C18405" s="1">
        <f>HYPERLINK("https://cao.dolgi.msk.ru/account/1011217365/", 1011217365)</f>
        <v>1011217365</v>
      </c>
      <c r="D18405">
        <v>0</v>
      </c>
    </row>
    <row r="18406" spans="1:4" hidden="1" x14ac:dyDescent="0.3">
      <c r="A18406" t="s">
        <v>1053</v>
      </c>
      <c r="B18406" t="s">
        <v>62</v>
      </c>
      <c r="C18406" s="1">
        <f>HYPERLINK("https://cao.dolgi.msk.ru/account/1011217701/", 1011217701)</f>
        <v>1011217701</v>
      </c>
      <c r="D18406">
        <v>0</v>
      </c>
    </row>
    <row r="18407" spans="1:4" hidden="1" x14ac:dyDescent="0.3">
      <c r="A18407" t="s">
        <v>1053</v>
      </c>
      <c r="B18407" t="s">
        <v>63</v>
      </c>
      <c r="C18407" s="1">
        <f>HYPERLINK("https://cao.dolgi.msk.ru/account/1011217373/", 1011217373)</f>
        <v>1011217373</v>
      </c>
      <c r="D18407">
        <v>0</v>
      </c>
    </row>
    <row r="18408" spans="1:4" hidden="1" x14ac:dyDescent="0.3">
      <c r="A18408" t="s">
        <v>1053</v>
      </c>
      <c r="B18408" t="s">
        <v>64</v>
      </c>
      <c r="C18408" s="1">
        <f>HYPERLINK("https://cao.dolgi.msk.ru/account/1011217816/", 1011217816)</f>
        <v>1011217816</v>
      </c>
      <c r="D18408">
        <v>0</v>
      </c>
    </row>
    <row r="18409" spans="1:4" hidden="1" x14ac:dyDescent="0.3">
      <c r="A18409" t="s">
        <v>1053</v>
      </c>
      <c r="B18409" t="s">
        <v>65</v>
      </c>
      <c r="C18409" s="1">
        <f>HYPERLINK("https://cao.dolgi.msk.ru/account/1011217509/", 1011217509)</f>
        <v>1011217509</v>
      </c>
      <c r="D18409">
        <v>0</v>
      </c>
    </row>
    <row r="18410" spans="1:4" hidden="1" x14ac:dyDescent="0.3">
      <c r="A18410" t="s">
        <v>1053</v>
      </c>
      <c r="B18410" t="s">
        <v>66</v>
      </c>
      <c r="C18410" s="1">
        <f>HYPERLINK("https://cao.dolgi.msk.ru/account/1011217517/", 1011217517)</f>
        <v>1011217517</v>
      </c>
      <c r="D18410">
        <v>0</v>
      </c>
    </row>
    <row r="18411" spans="1:4" x14ac:dyDescent="0.3">
      <c r="A18411" t="s">
        <v>1053</v>
      </c>
      <c r="B18411" t="s">
        <v>67</v>
      </c>
      <c r="C18411" s="1">
        <f>HYPERLINK("https://cao.dolgi.msk.ru/account/1011217576/", 1011217576)</f>
        <v>1011217576</v>
      </c>
      <c r="D18411">
        <v>6218.01</v>
      </c>
    </row>
    <row r="18412" spans="1:4" hidden="1" x14ac:dyDescent="0.3">
      <c r="A18412" t="s">
        <v>1053</v>
      </c>
      <c r="B18412" t="s">
        <v>68</v>
      </c>
      <c r="C18412" s="1">
        <f>HYPERLINK("https://cao.dolgi.msk.ru/account/1011217381/", 1011217381)</f>
        <v>1011217381</v>
      </c>
      <c r="D18412">
        <v>0</v>
      </c>
    </row>
    <row r="18413" spans="1:4" hidden="1" x14ac:dyDescent="0.3">
      <c r="A18413" t="s">
        <v>1053</v>
      </c>
      <c r="B18413" t="s">
        <v>69</v>
      </c>
      <c r="C18413" s="1">
        <f>HYPERLINK("https://cao.dolgi.msk.ru/account/1011217904/", 1011217904)</f>
        <v>1011217904</v>
      </c>
      <c r="D18413">
        <v>0</v>
      </c>
    </row>
    <row r="18414" spans="1:4" hidden="1" x14ac:dyDescent="0.3">
      <c r="A18414" t="s">
        <v>1053</v>
      </c>
      <c r="B18414" t="s">
        <v>70</v>
      </c>
      <c r="C18414" s="1">
        <f>HYPERLINK("https://cao.dolgi.msk.ru/account/1011217525/", 1011217525)</f>
        <v>1011217525</v>
      </c>
      <c r="D18414">
        <v>0</v>
      </c>
    </row>
    <row r="18415" spans="1:4" hidden="1" x14ac:dyDescent="0.3">
      <c r="A18415" t="s">
        <v>1053</v>
      </c>
      <c r="B18415" t="s">
        <v>259</v>
      </c>
      <c r="C18415" s="1">
        <f>HYPERLINK("https://cao.dolgi.msk.ru/account/1011217218/", 1011217218)</f>
        <v>1011217218</v>
      </c>
      <c r="D18415">
        <v>0</v>
      </c>
    </row>
    <row r="18416" spans="1:4" hidden="1" x14ac:dyDescent="0.3">
      <c r="A18416" t="s">
        <v>1053</v>
      </c>
      <c r="B18416" t="s">
        <v>100</v>
      </c>
      <c r="C18416" s="1">
        <f>HYPERLINK("https://cao.dolgi.msk.ru/account/1011217728/", 1011217728)</f>
        <v>1011217728</v>
      </c>
      <c r="D18416">
        <v>0</v>
      </c>
    </row>
    <row r="18417" spans="1:4" hidden="1" x14ac:dyDescent="0.3">
      <c r="A18417" t="s">
        <v>1053</v>
      </c>
      <c r="B18417" t="s">
        <v>72</v>
      </c>
      <c r="C18417" s="1">
        <f>HYPERLINK("https://cao.dolgi.msk.ru/account/1011217736/", 1011217736)</f>
        <v>1011217736</v>
      </c>
      <c r="D18417">
        <v>0</v>
      </c>
    </row>
    <row r="18418" spans="1:4" hidden="1" x14ac:dyDescent="0.3">
      <c r="A18418" t="s">
        <v>1053</v>
      </c>
      <c r="B18418" t="s">
        <v>73</v>
      </c>
      <c r="C18418" s="1">
        <f>HYPERLINK("https://cao.dolgi.msk.ru/account/1011217912/", 1011217912)</f>
        <v>1011217912</v>
      </c>
      <c r="D18418">
        <v>0</v>
      </c>
    </row>
    <row r="18419" spans="1:4" hidden="1" x14ac:dyDescent="0.3">
      <c r="A18419" t="s">
        <v>1053</v>
      </c>
      <c r="B18419" t="s">
        <v>74</v>
      </c>
      <c r="C18419" s="1">
        <f>HYPERLINK("https://cao.dolgi.msk.ru/account/1011217402/", 1011217402)</f>
        <v>1011217402</v>
      </c>
      <c r="D18419">
        <v>-5886.03</v>
      </c>
    </row>
    <row r="18420" spans="1:4" hidden="1" x14ac:dyDescent="0.3">
      <c r="A18420" t="s">
        <v>1053</v>
      </c>
      <c r="B18420" t="s">
        <v>75</v>
      </c>
      <c r="C18420" s="1">
        <f>HYPERLINK("https://cao.dolgi.msk.ru/account/1011217533/", 1011217533)</f>
        <v>1011217533</v>
      </c>
      <c r="D18420">
        <v>-4188.8599999999997</v>
      </c>
    </row>
    <row r="18421" spans="1:4" x14ac:dyDescent="0.3">
      <c r="A18421" t="s">
        <v>1053</v>
      </c>
      <c r="B18421" t="s">
        <v>76</v>
      </c>
      <c r="C18421" s="1">
        <f>HYPERLINK("https://cao.dolgi.msk.ru/account/1011217541/", 1011217541)</f>
        <v>1011217541</v>
      </c>
      <c r="D18421">
        <v>182361.42</v>
      </c>
    </row>
    <row r="18422" spans="1:4" hidden="1" x14ac:dyDescent="0.3">
      <c r="A18422" t="s">
        <v>1054</v>
      </c>
      <c r="B18422" t="s">
        <v>6</v>
      </c>
      <c r="C18422" s="1">
        <f>HYPERLINK("https://cao.dolgi.msk.ru/account/1011445616/", 1011445616)</f>
        <v>1011445616</v>
      </c>
      <c r="D18422">
        <v>0</v>
      </c>
    </row>
    <row r="18423" spans="1:4" hidden="1" x14ac:dyDescent="0.3">
      <c r="A18423" t="s">
        <v>1054</v>
      </c>
      <c r="B18423" t="s">
        <v>35</v>
      </c>
      <c r="C18423" s="1">
        <f>HYPERLINK("https://cao.dolgi.msk.ru/account/1011445245/", 1011445245)</f>
        <v>1011445245</v>
      </c>
      <c r="D18423">
        <v>0</v>
      </c>
    </row>
    <row r="18424" spans="1:4" hidden="1" x14ac:dyDescent="0.3">
      <c r="A18424" t="s">
        <v>1054</v>
      </c>
      <c r="B18424" t="s">
        <v>5</v>
      </c>
      <c r="C18424" s="1">
        <f>HYPERLINK("https://cao.dolgi.msk.ru/account/1011445392/", 1011445392)</f>
        <v>1011445392</v>
      </c>
      <c r="D18424">
        <v>-10581.77</v>
      </c>
    </row>
    <row r="18425" spans="1:4" hidden="1" x14ac:dyDescent="0.3">
      <c r="A18425" t="s">
        <v>1054</v>
      </c>
      <c r="B18425" t="s">
        <v>7</v>
      </c>
      <c r="C18425" s="1">
        <f>HYPERLINK("https://cao.dolgi.msk.ru/account/1011445296/", 1011445296)</f>
        <v>1011445296</v>
      </c>
      <c r="D18425">
        <v>0</v>
      </c>
    </row>
    <row r="18426" spans="1:4" hidden="1" x14ac:dyDescent="0.3">
      <c r="A18426" t="s">
        <v>1054</v>
      </c>
      <c r="B18426" t="s">
        <v>8</v>
      </c>
      <c r="C18426" s="1">
        <f>HYPERLINK("https://cao.dolgi.msk.ru/account/1011445536/", 1011445536)</f>
        <v>1011445536</v>
      </c>
      <c r="D18426">
        <v>0</v>
      </c>
    </row>
    <row r="18427" spans="1:4" hidden="1" x14ac:dyDescent="0.3">
      <c r="A18427" t="s">
        <v>1054</v>
      </c>
      <c r="B18427" t="s">
        <v>31</v>
      </c>
      <c r="C18427" s="1">
        <f>HYPERLINK("https://cao.dolgi.msk.ru/account/1011445464/", 1011445464)</f>
        <v>1011445464</v>
      </c>
      <c r="D18427">
        <v>0</v>
      </c>
    </row>
    <row r="18428" spans="1:4" hidden="1" x14ac:dyDescent="0.3">
      <c r="A18428" t="s">
        <v>1054</v>
      </c>
      <c r="B18428" t="s">
        <v>9</v>
      </c>
      <c r="C18428" s="1">
        <f>HYPERLINK("https://cao.dolgi.msk.ru/account/1011445499/", 1011445499)</f>
        <v>1011445499</v>
      </c>
      <c r="D18428">
        <v>-290.76</v>
      </c>
    </row>
    <row r="18429" spans="1:4" hidden="1" x14ac:dyDescent="0.3">
      <c r="A18429" t="s">
        <v>1054</v>
      </c>
      <c r="B18429" t="s">
        <v>10</v>
      </c>
      <c r="C18429" s="1">
        <f>HYPERLINK("https://cao.dolgi.msk.ru/account/1011445173/", 1011445173)</f>
        <v>1011445173</v>
      </c>
      <c r="D18429">
        <v>0</v>
      </c>
    </row>
    <row r="18430" spans="1:4" hidden="1" x14ac:dyDescent="0.3">
      <c r="A18430" t="s">
        <v>1054</v>
      </c>
      <c r="B18430" t="s">
        <v>11</v>
      </c>
      <c r="C18430" s="1">
        <f>HYPERLINK("https://cao.dolgi.msk.ru/account/1011445448/", 1011445448)</f>
        <v>1011445448</v>
      </c>
      <c r="D18430">
        <v>-13053.84</v>
      </c>
    </row>
    <row r="18431" spans="1:4" hidden="1" x14ac:dyDescent="0.3">
      <c r="A18431" t="s">
        <v>1054</v>
      </c>
      <c r="B18431" t="s">
        <v>12</v>
      </c>
      <c r="C18431" s="1">
        <f>HYPERLINK("https://cao.dolgi.msk.ru/account/1011445261/", 1011445261)</f>
        <v>1011445261</v>
      </c>
      <c r="D18431">
        <v>0</v>
      </c>
    </row>
    <row r="18432" spans="1:4" hidden="1" x14ac:dyDescent="0.3">
      <c r="A18432" t="s">
        <v>1054</v>
      </c>
      <c r="B18432" t="s">
        <v>23</v>
      </c>
      <c r="C18432" s="1">
        <f>HYPERLINK("https://cao.dolgi.msk.ru/account/1011445667/", 1011445667)</f>
        <v>1011445667</v>
      </c>
      <c r="D18432">
        <v>-11463.25</v>
      </c>
    </row>
    <row r="18433" spans="1:4" hidden="1" x14ac:dyDescent="0.3">
      <c r="A18433" t="s">
        <v>1054</v>
      </c>
      <c r="B18433" t="s">
        <v>13</v>
      </c>
      <c r="C18433" s="1">
        <f>HYPERLINK("https://cao.dolgi.msk.ru/account/1011445237/", 1011445237)</f>
        <v>1011445237</v>
      </c>
      <c r="D18433">
        <v>-12731.49</v>
      </c>
    </row>
    <row r="18434" spans="1:4" hidden="1" x14ac:dyDescent="0.3">
      <c r="A18434" t="s">
        <v>1054</v>
      </c>
      <c r="B18434" t="s">
        <v>14</v>
      </c>
      <c r="C18434" s="1">
        <f>HYPERLINK("https://cao.dolgi.msk.ru/account/1011445587/", 1011445587)</f>
        <v>1011445587</v>
      </c>
      <c r="D18434">
        <v>-7165.05</v>
      </c>
    </row>
    <row r="18435" spans="1:4" x14ac:dyDescent="0.3">
      <c r="A18435" t="s">
        <v>1054</v>
      </c>
      <c r="B18435" t="s">
        <v>16</v>
      </c>
      <c r="C18435" s="1">
        <f>HYPERLINK("https://cao.dolgi.msk.ru/account/1011445624/", 1011445624)</f>
        <v>1011445624</v>
      </c>
      <c r="D18435">
        <v>68184.12</v>
      </c>
    </row>
    <row r="18436" spans="1:4" hidden="1" x14ac:dyDescent="0.3">
      <c r="A18436" t="s">
        <v>1054</v>
      </c>
      <c r="B18436" t="s">
        <v>17</v>
      </c>
      <c r="C18436" s="1">
        <f>HYPERLINK("https://cao.dolgi.msk.ru/account/1011505279/", 1011505279)</f>
        <v>1011505279</v>
      </c>
      <c r="D18436">
        <v>-215.69</v>
      </c>
    </row>
    <row r="18437" spans="1:4" x14ac:dyDescent="0.3">
      <c r="A18437" t="s">
        <v>1054</v>
      </c>
      <c r="B18437" t="s">
        <v>18</v>
      </c>
      <c r="C18437" s="1">
        <f>HYPERLINK("https://cao.dolgi.msk.ru/account/1011445288/", 1011445288)</f>
        <v>1011445288</v>
      </c>
      <c r="D18437">
        <v>15007.3</v>
      </c>
    </row>
    <row r="18438" spans="1:4" hidden="1" x14ac:dyDescent="0.3">
      <c r="A18438" t="s">
        <v>1054</v>
      </c>
      <c r="B18438" t="s">
        <v>21</v>
      </c>
      <c r="C18438" s="1">
        <f>HYPERLINK("https://cao.dolgi.msk.ru/account/1011445253/", 1011445253)</f>
        <v>1011445253</v>
      </c>
      <c r="D18438">
        <v>0</v>
      </c>
    </row>
    <row r="18439" spans="1:4" hidden="1" x14ac:dyDescent="0.3">
      <c r="A18439" t="s">
        <v>1054</v>
      </c>
      <c r="B18439" t="s">
        <v>21</v>
      </c>
      <c r="C18439" s="1">
        <f>HYPERLINK("https://cao.dolgi.msk.ru/account/1011445579/", 1011445579)</f>
        <v>1011445579</v>
      </c>
      <c r="D18439">
        <v>0</v>
      </c>
    </row>
    <row r="18440" spans="1:4" hidden="1" x14ac:dyDescent="0.3">
      <c r="A18440" t="s">
        <v>1054</v>
      </c>
      <c r="B18440" t="s">
        <v>22</v>
      </c>
      <c r="C18440" s="1">
        <f>HYPERLINK("https://cao.dolgi.msk.ru/account/1011445421/", 1011445421)</f>
        <v>1011445421</v>
      </c>
      <c r="D18440">
        <v>-350.83</v>
      </c>
    </row>
    <row r="18441" spans="1:4" hidden="1" x14ac:dyDescent="0.3">
      <c r="A18441" t="s">
        <v>1054</v>
      </c>
      <c r="B18441" t="s">
        <v>24</v>
      </c>
      <c r="C18441" s="1">
        <f>HYPERLINK("https://cao.dolgi.msk.ru/account/1011445595/", 1011445595)</f>
        <v>1011445595</v>
      </c>
      <c r="D18441">
        <v>0</v>
      </c>
    </row>
    <row r="18442" spans="1:4" hidden="1" x14ac:dyDescent="0.3">
      <c r="A18442" t="s">
        <v>1054</v>
      </c>
      <c r="B18442" t="s">
        <v>25</v>
      </c>
      <c r="C18442" s="1">
        <f>HYPERLINK("https://cao.dolgi.msk.ru/account/1011445456/", 1011445456)</f>
        <v>1011445456</v>
      </c>
      <c r="D18442">
        <v>0</v>
      </c>
    </row>
    <row r="18443" spans="1:4" x14ac:dyDescent="0.3">
      <c r="A18443" t="s">
        <v>1054</v>
      </c>
      <c r="B18443" t="s">
        <v>26</v>
      </c>
      <c r="C18443" s="1">
        <f>HYPERLINK("https://cao.dolgi.msk.ru/account/1011445341/", 1011445341)</f>
        <v>1011445341</v>
      </c>
      <c r="D18443">
        <v>43387.199999999997</v>
      </c>
    </row>
    <row r="18444" spans="1:4" x14ac:dyDescent="0.3">
      <c r="A18444" t="s">
        <v>1054</v>
      </c>
      <c r="B18444" t="s">
        <v>27</v>
      </c>
      <c r="C18444" s="1">
        <f>HYPERLINK("https://cao.dolgi.msk.ru/account/1011445309/", 1011445309)</f>
        <v>1011445309</v>
      </c>
      <c r="D18444">
        <v>148290.01</v>
      </c>
    </row>
    <row r="18445" spans="1:4" hidden="1" x14ac:dyDescent="0.3">
      <c r="A18445" t="s">
        <v>1054</v>
      </c>
      <c r="B18445" t="s">
        <v>29</v>
      </c>
      <c r="C18445" s="1">
        <f>HYPERLINK("https://cao.dolgi.msk.ru/account/1011445405/", 1011445405)</f>
        <v>1011445405</v>
      </c>
      <c r="D18445">
        <v>0</v>
      </c>
    </row>
    <row r="18446" spans="1:4" hidden="1" x14ac:dyDescent="0.3">
      <c r="A18446" t="s">
        <v>1054</v>
      </c>
      <c r="B18446" t="s">
        <v>38</v>
      </c>
      <c r="C18446" s="1">
        <f>HYPERLINK("https://cao.dolgi.msk.ru/account/1011445229/", 1011445229)</f>
        <v>1011445229</v>
      </c>
      <c r="D18446">
        <v>0</v>
      </c>
    </row>
    <row r="18447" spans="1:4" hidden="1" x14ac:dyDescent="0.3">
      <c r="A18447" t="s">
        <v>1054</v>
      </c>
      <c r="B18447" t="s">
        <v>41</v>
      </c>
      <c r="C18447" s="1">
        <f>HYPERLINK("https://cao.dolgi.msk.ru/account/1011445608/", 1011445608)</f>
        <v>1011445608</v>
      </c>
      <c r="D18447">
        <v>0</v>
      </c>
    </row>
    <row r="18448" spans="1:4" hidden="1" x14ac:dyDescent="0.3">
      <c r="A18448" t="s">
        <v>1054</v>
      </c>
      <c r="B18448" t="s">
        <v>51</v>
      </c>
      <c r="C18448" s="1">
        <f>HYPERLINK("https://cao.dolgi.msk.ru/account/1011445384/", 1011445384)</f>
        <v>1011445384</v>
      </c>
      <c r="D18448">
        <v>0</v>
      </c>
    </row>
    <row r="18449" spans="1:4" hidden="1" x14ac:dyDescent="0.3">
      <c r="A18449" t="s">
        <v>1054</v>
      </c>
      <c r="B18449" t="s">
        <v>51</v>
      </c>
      <c r="C18449" s="1">
        <f>HYPERLINK("https://cao.dolgi.msk.ru/account/1011445528/", 1011445528)</f>
        <v>1011445528</v>
      </c>
      <c r="D18449">
        <v>0</v>
      </c>
    </row>
    <row r="18450" spans="1:4" hidden="1" x14ac:dyDescent="0.3">
      <c r="A18450" t="s">
        <v>1054</v>
      </c>
      <c r="B18450" t="s">
        <v>51</v>
      </c>
      <c r="C18450" s="1">
        <f>HYPERLINK("https://cao.dolgi.msk.ru/account/1011445675/", 1011445675)</f>
        <v>1011445675</v>
      </c>
      <c r="D18450">
        <v>0</v>
      </c>
    </row>
    <row r="18451" spans="1:4" x14ac:dyDescent="0.3">
      <c r="A18451" t="s">
        <v>1054</v>
      </c>
      <c r="B18451" t="s">
        <v>52</v>
      </c>
      <c r="C18451" s="1">
        <f>HYPERLINK("https://cao.dolgi.msk.ru/account/1011445659/", 1011445659)</f>
        <v>1011445659</v>
      </c>
      <c r="D18451">
        <v>27507.86</v>
      </c>
    </row>
    <row r="18452" spans="1:4" hidden="1" x14ac:dyDescent="0.3">
      <c r="A18452" t="s">
        <v>1054</v>
      </c>
      <c r="B18452" t="s">
        <v>53</v>
      </c>
      <c r="C18452" s="1">
        <f>HYPERLINK("https://cao.dolgi.msk.ru/account/1011445181/", 1011445181)</f>
        <v>1011445181</v>
      </c>
      <c r="D18452">
        <v>0</v>
      </c>
    </row>
    <row r="18453" spans="1:4" x14ac:dyDescent="0.3">
      <c r="A18453" t="s">
        <v>1054</v>
      </c>
      <c r="B18453" t="s">
        <v>54</v>
      </c>
      <c r="C18453" s="1">
        <f>HYPERLINK("https://cao.dolgi.msk.ru/account/1011445317/", 1011445317)</f>
        <v>1011445317</v>
      </c>
      <c r="D18453">
        <v>19185.34</v>
      </c>
    </row>
    <row r="18454" spans="1:4" hidden="1" x14ac:dyDescent="0.3">
      <c r="A18454" t="s">
        <v>1054</v>
      </c>
      <c r="B18454" t="s">
        <v>55</v>
      </c>
      <c r="C18454" s="1">
        <f>HYPERLINK("https://cao.dolgi.msk.ru/account/1011445368/", 1011445368)</f>
        <v>1011445368</v>
      </c>
      <c r="D18454">
        <v>-4248.51</v>
      </c>
    </row>
    <row r="18455" spans="1:4" hidden="1" x14ac:dyDescent="0.3">
      <c r="A18455" t="s">
        <v>1054</v>
      </c>
      <c r="B18455" t="s">
        <v>56</v>
      </c>
      <c r="C18455" s="1">
        <f>HYPERLINK("https://cao.dolgi.msk.ru/account/1011445202/", 1011445202)</f>
        <v>1011445202</v>
      </c>
      <c r="D18455">
        <v>0</v>
      </c>
    </row>
    <row r="18456" spans="1:4" hidden="1" x14ac:dyDescent="0.3">
      <c r="A18456" t="s">
        <v>1054</v>
      </c>
      <c r="B18456" t="s">
        <v>56</v>
      </c>
      <c r="C18456" s="1">
        <f>HYPERLINK("https://cao.dolgi.msk.ru/account/1011445333/", 1011445333)</f>
        <v>1011445333</v>
      </c>
      <c r="D18456">
        <v>0</v>
      </c>
    </row>
    <row r="18457" spans="1:4" hidden="1" x14ac:dyDescent="0.3">
      <c r="A18457" t="s">
        <v>1054</v>
      </c>
      <c r="B18457" t="s">
        <v>56</v>
      </c>
      <c r="C18457" s="1">
        <f>HYPERLINK("https://cao.dolgi.msk.ru/account/1011445413/", 1011445413)</f>
        <v>1011445413</v>
      </c>
      <c r="D18457">
        <v>-1601.63</v>
      </c>
    </row>
    <row r="18458" spans="1:4" hidden="1" x14ac:dyDescent="0.3">
      <c r="A18458" t="s">
        <v>1054</v>
      </c>
      <c r="B18458" t="s">
        <v>87</v>
      </c>
      <c r="C18458" s="1">
        <f>HYPERLINK("https://cao.dolgi.msk.ru/account/1011445472/", 1011445472)</f>
        <v>1011445472</v>
      </c>
      <c r="D18458">
        <v>0</v>
      </c>
    </row>
    <row r="18459" spans="1:4" x14ac:dyDescent="0.3">
      <c r="A18459" t="s">
        <v>1054</v>
      </c>
      <c r="B18459" t="s">
        <v>88</v>
      </c>
      <c r="C18459" s="1">
        <f>HYPERLINK("https://cao.dolgi.msk.ru/account/1011445376/", 1011445376)</f>
        <v>1011445376</v>
      </c>
      <c r="D18459">
        <v>33711.24</v>
      </c>
    </row>
    <row r="18460" spans="1:4" x14ac:dyDescent="0.3">
      <c r="A18460" t="s">
        <v>1054</v>
      </c>
      <c r="B18460" t="s">
        <v>89</v>
      </c>
      <c r="C18460" s="1">
        <f>HYPERLINK("https://cao.dolgi.msk.ru/account/1011445325/", 1011445325)</f>
        <v>1011445325</v>
      </c>
      <c r="D18460">
        <v>23777.3</v>
      </c>
    </row>
    <row r="18461" spans="1:4" hidden="1" x14ac:dyDescent="0.3">
      <c r="A18461" t="s">
        <v>1055</v>
      </c>
      <c r="B18461" t="s">
        <v>35</v>
      </c>
      <c r="C18461" s="1">
        <f>HYPERLINK("https://cao.dolgi.msk.ru/account/1011500099/", 1011500099)</f>
        <v>1011500099</v>
      </c>
      <c r="D18461">
        <v>0</v>
      </c>
    </row>
    <row r="18462" spans="1:4" hidden="1" x14ac:dyDescent="0.3">
      <c r="A18462" t="s">
        <v>1055</v>
      </c>
      <c r="B18462" t="s">
        <v>5</v>
      </c>
      <c r="C18462" s="1">
        <f>HYPERLINK("https://cao.dolgi.msk.ru/account/1011499948/", 1011499948)</f>
        <v>1011499948</v>
      </c>
      <c r="D18462">
        <v>0</v>
      </c>
    </row>
    <row r="18463" spans="1:4" hidden="1" x14ac:dyDescent="0.3">
      <c r="A18463" t="s">
        <v>1055</v>
      </c>
      <c r="B18463" t="s">
        <v>7</v>
      </c>
      <c r="C18463" s="1">
        <f>HYPERLINK("https://cao.dolgi.msk.ru/account/1011499921/", 1011499921)</f>
        <v>1011499921</v>
      </c>
      <c r="D18463">
        <v>-5771.5</v>
      </c>
    </row>
    <row r="18464" spans="1:4" hidden="1" x14ac:dyDescent="0.3">
      <c r="A18464" t="s">
        <v>1055</v>
      </c>
      <c r="B18464" t="s">
        <v>8</v>
      </c>
      <c r="C18464" s="1">
        <f>HYPERLINK("https://cao.dolgi.msk.ru/account/1011499956/", 1011499956)</f>
        <v>1011499956</v>
      </c>
      <c r="D18464">
        <v>0</v>
      </c>
    </row>
    <row r="18465" spans="1:4" hidden="1" x14ac:dyDescent="0.3">
      <c r="A18465" t="s">
        <v>1055</v>
      </c>
      <c r="B18465" t="s">
        <v>31</v>
      </c>
      <c r="C18465" s="1">
        <f>HYPERLINK("https://cao.dolgi.msk.ru/account/1011500005/", 1011500005)</f>
        <v>1011500005</v>
      </c>
      <c r="D18465">
        <v>-15591.06</v>
      </c>
    </row>
    <row r="18466" spans="1:4" hidden="1" x14ac:dyDescent="0.3">
      <c r="A18466" t="s">
        <v>1055</v>
      </c>
      <c r="B18466" t="s">
        <v>9</v>
      </c>
      <c r="C18466" s="1">
        <f>HYPERLINK("https://cao.dolgi.msk.ru/account/1011500064/", 1011500064)</f>
        <v>1011500064</v>
      </c>
      <c r="D18466">
        <v>-8057.27</v>
      </c>
    </row>
    <row r="18467" spans="1:4" x14ac:dyDescent="0.3">
      <c r="A18467" t="s">
        <v>1055</v>
      </c>
      <c r="B18467" t="s">
        <v>10</v>
      </c>
      <c r="C18467" s="1">
        <f>HYPERLINK("https://cao.dolgi.msk.ru/account/1011500101/", 1011500101)</f>
        <v>1011500101</v>
      </c>
      <c r="D18467">
        <v>4038.83</v>
      </c>
    </row>
    <row r="18468" spans="1:4" hidden="1" x14ac:dyDescent="0.3">
      <c r="A18468" t="s">
        <v>1055</v>
      </c>
      <c r="B18468" t="s">
        <v>11</v>
      </c>
      <c r="C18468" s="1">
        <f>HYPERLINK("https://cao.dolgi.msk.ru/account/1011500013/", 1011500013)</f>
        <v>1011500013</v>
      </c>
      <c r="D18468">
        <v>-6529.71</v>
      </c>
    </row>
    <row r="18469" spans="1:4" hidden="1" x14ac:dyDescent="0.3">
      <c r="A18469" t="s">
        <v>1055</v>
      </c>
      <c r="B18469" t="s">
        <v>12</v>
      </c>
      <c r="C18469" s="1">
        <f>HYPERLINK("https://cao.dolgi.msk.ru/account/1011500048/", 1011500048)</f>
        <v>1011500048</v>
      </c>
      <c r="D18469">
        <v>-190.04</v>
      </c>
    </row>
    <row r="18470" spans="1:4" hidden="1" x14ac:dyDescent="0.3">
      <c r="A18470" t="s">
        <v>1055</v>
      </c>
      <c r="B18470" t="s">
        <v>23</v>
      </c>
      <c r="C18470" s="1">
        <f>HYPERLINK("https://cao.dolgi.msk.ru/account/1011499964/", 1011499964)</f>
        <v>1011499964</v>
      </c>
      <c r="D18470">
        <v>0</v>
      </c>
    </row>
    <row r="18471" spans="1:4" hidden="1" x14ac:dyDescent="0.3">
      <c r="A18471" t="s">
        <v>1055</v>
      </c>
      <c r="B18471" t="s">
        <v>13</v>
      </c>
      <c r="C18471" s="1">
        <f>HYPERLINK("https://cao.dolgi.msk.ru/account/1011500056/", 1011500056)</f>
        <v>1011500056</v>
      </c>
      <c r="D18471">
        <v>-6914.28</v>
      </c>
    </row>
    <row r="18472" spans="1:4" hidden="1" x14ac:dyDescent="0.3">
      <c r="A18472" t="s">
        <v>1055</v>
      </c>
      <c r="B18472" t="s">
        <v>16</v>
      </c>
      <c r="C18472" s="1">
        <f>HYPERLINK("https://cao.dolgi.msk.ru/account/1011499972/", 1011499972)</f>
        <v>1011499972</v>
      </c>
      <c r="D18472">
        <v>0</v>
      </c>
    </row>
    <row r="18473" spans="1:4" hidden="1" x14ac:dyDescent="0.3">
      <c r="A18473" t="s">
        <v>1055</v>
      </c>
      <c r="B18473" t="s">
        <v>17</v>
      </c>
      <c r="C18473" s="1">
        <f>HYPERLINK("https://cao.dolgi.msk.ru/account/1011500072/", 1011500072)</f>
        <v>1011500072</v>
      </c>
      <c r="D18473">
        <v>0</v>
      </c>
    </row>
    <row r="18474" spans="1:4" x14ac:dyDescent="0.3">
      <c r="A18474" t="s">
        <v>1055</v>
      </c>
      <c r="B18474" t="s">
        <v>18</v>
      </c>
      <c r="C18474" s="1">
        <f>HYPERLINK("https://cao.dolgi.msk.ru/account/1011499999/", 1011499999)</f>
        <v>1011499999</v>
      </c>
      <c r="D18474">
        <v>8731</v>
      </c>
    </row>
    <row r="18475" spans="1:4" hidden="1" x14ac:dyDescent="0.3">
      <c r="A18475" t="s">
        <v>1055</v>
      </c>
      <c r="B18475" t="s">
        <v>19</v>
      </c>
      <c r="C18475" s="1">
        <f>HYPERLINK("https://cao.dolgi.msk.ru/account/1011500021/", 1011500021)</f>
        <v>1011500021</v>
      </c>
      <c r="D18475">
        <v>-5847.22</v>
      </c>
    </row>
    <row r="18476" spans="1:4" x14ac:dyDescent="0.3">
      <c r="A18476" t="s">
        <v>1056</v>
      </c>
      <c r="B18476" t="s">
        <v>6</v>
      </c>
      <c r="C18476" s="1">
        <f>HYPERLINK("https://cao.dolgi.msk.ru/account/1011429616/", 1011429616)</f>
        <v>1011429616</v>
      </c>
      <c r="D18476">
        <v>3290.38</v>
      </c>
    </row>
    <row r="18477" spans="1:4" hidden="1" x14ac:dyDescent="0.3">
      <c r="A18477" t="s">
        <v>1056</v>
      </c>
      <c r="B18477" t="s">
        <v>6</v>
      </c>
      <c r="C18477" s="1">
        <f>HYPERLINK("https://cao.dolgi.msk.ru/account/1011429675/", 1011429675)</f>
        <v>1011429675</v>
      </c>
      <c r="D18477">
        <v>-3031.75</v>
      </c>
    </row>
    <row r="18478" spans="1:4" x14ac:dyDescent="0.3">
      <c r="A18478" t="s">
        <v>1056</v>
      </c>
      <c r="B18478" t="s">
        <v>6</v>
      </c>
      <c r="C18478" s="1">
        <f>HYPERLINK("https://cao.dolgi.msk.ru/account/1011429683/", 1011429683)</f>
        <v>1011429683</v>
      </c>
      <c r="D18478">
        <v>7547.81</v>
      </c>
    </row>
    <row r="18479" spans="1:4" x14ac:dyDescent="0.3">
      <c r="A18479" t="s">
        <v>1056</v>
      </c>
      <c r="B18479" t="s">
        <v>6</v>
      </c>
      <c r="C18479" s="1">
        <f>HYPERLINK("https://cao.dolgi.msk.ru/account/1011429739/", 1011429739)</f>
        <v>1011429739</v>
      </c>
      <c r="D18479">
        <v>25322.83</v>
      </c>
    </row>
    <row r="18480" spans="1:4" x14ac:dyDescent="0.3">
      <c r="A18480" t="s">
        <v>1056</v>
      </c>
      <c r="B18480" t="s">
        <v>6</v>
      </c>
      <c r="C18480" s="1">
        <f>HYPERLINK("https://cao.dolgi.msk.ru/account/1011429747/", 1011429747)</f>
        <v>1011429747</v>
      </c>
      <c r="D18480">
        <v>32105.279999999999</v>
      </c>
    </row>
    <row r="18481" spans="1:4" hidden="1" x14ac:dyDescent="0.3">
      <c r="A18481" t="s">
        <v>1056</v>
      </c>
      <c r="B18481" t="s">
        <v>28</v>
      </c>
      <c r="C18481" s="1">
        <f>HYPERLINK("https://cao.dolgi.msk.ru/account/1011429659/", 1011429659)</f>
        <v>1011429659</v>
      </c>
      <c r="D18481">
        <v>-10727.52</v>
      </c>
    </row>
    <row r="18482" spans="1:4" hidden="1" x14ac:dyDescent="0.3">
      <c r="A18482" t="s">
        <v>1056</v>
      </c>
      <c r="B18482" t="s">
        <v>35</v>
      </c>
      <c r="C18482" s="1">
        <f>HYPERLINK("https://cao.dolgi.msk.ru/account/1011429632/", 1011429632)</f>
        <v>1011429632</v>
      </c>
      <c r="D18482">
        <v>-11799.16</v>
      </c>
    </row>
    <row r="18483" spans="1:4" hidden="1" x14ac:dyDescent="0.3">
      <c r="A18483" t="s">
        <v>1056</v>
      </c>
      <c r="B18483" t="s">
        <v>5</v>
      </c>
      <c r="C18483" s="1">
        <f>HYPERLINK("https://cao.dolgi.msk.ru/account/1011429624/", 1011429624)</f>
        <v>1011429624</v>
      </c>
      <c r="D18483">
        <v>0</v>
      </c>
    </row>
    <row r="18484" spans="1:4" hidden="1" x14ac:dyDescent="0.3">
      <c r="A18484" t="s">
        <v>1056</v>
      </c>
      <c r="B18484" t="s">
        <v>7</v>
      </c>
      <c r="C18484" s="1">
        <f>HYPERLINK("https://cao.dolgi.msk.ru/account/1011429691/", 1011429691)</f>
        <v>1011429691</v>
      </c>
      <c r="D18484">
        <v>0</v>
      </c>
    </row>
    <row r="18485" spans="1:4" hidden="1" x14ac:dyDescent="0.3">
      <c r="A18485" t="s">
        <v>1056</v>
      </c>
      <c r="B18485" t="s">
        <v>7</v>
      </c>
      <c r="C18485" s="1">
        <f>HYPERLINK("https://cao.dolgi.msk.ru/account/1011429712/", 1011429712)</f>
        <v>1011429712</v>
      </c>
      <c r="D18485">
        <v>0</v>
      </c>
    </row>
    <row r="18486" spans="1:4" hidden="1" x14ac:dyDescent="0.3">
      <c r="A18486" t="s">
        <v>1056</v>
      </c>
      <c r="B18486" t="s">
        <v>8</v>
      </c>
      <c r="C18486" s="1">
        <f>HYPERLINK("https://cao.dolgi.msk.ru/account/1011429704/", 1011429704)</f>
        <v>1011429704</v>
      </c>
      <c r="D18486">
        <v>0</v>
      </c>
    </row>
    <row r="18487" spans="1:4" x14ac:dyDescent="0.3">
      <c r="A18487" t="s">
        <v>1057</v>
      </c>
      <c r="B18487" t="s">
        <v>6</v>
      </c>
      <c r="C18487" s="1">
        <f>HYPERLINK("https://cao.dolgi.msk.ru/account/1011116599/", 1011116599)</f>
        <v>1011116599</v>
      </c>
      <c r="D18487">
        <v>16959.57</v>
      </c>
    </row>
    <row r="18488" spans="1:4" x14ac:dyDescent="0.3">
      <c r="A18488" t="s">
        <v>1057</v>
      </c>
      <c r="B18488" t="s">
        <v>28</v>
      </c>
      <c r="C18488" s="1">
        <f>HYPERLINK("https://cao.dolgi.msk.ru/account/1011026649/", 1011026649)</f>
        <v>1011026649</v>
      </c>
      <c r="D18488">
        <v>4811.8999999999996</v>
      </c>
    </row>
    <row r="18489" spans="1:4" x14ac:dyDescent="0.3">
      <c r="A18489" t="s">
        <v>1057</v>
      </c>
      <c r="B18489" t="s">
        <v>5</v>
      </c>
      <c r="C18489" s="1">
        <f>HYPERLINK("https://cao.dolgi.msk.ru/account/1011116476/", 1011116476)</f>
        <v>1011116476</v>
      </c>
      <c r="D18489">
        <v>9099.64</v>
      </c>
    </row>
    <row r="18490" spans="1:4" x14ac:dyDescent="0.3">
      <c r="A18490" t="s">
        <v>1057</v>
      </c>
      <c r="B18490" t="s">
        <v>8</v>
      </c>
      <c r="C18490" s="1">
        <f>HYPERLINK("https://cao.dolgi.msk.ru/account/1011027457/", 1011027457)</f>
        <v>1011027457</v>
      </c>
      <c r="D18490">
        <v>35648.92</v>
      </c>
    </row>
    <row r="18491" spans="1:4" hidden="1" x14ac:dyDescent="0.3">
      <c r="A18491" t="s">
        <v>1057</v>
      </c>
      <c r="B18491" t="s">
        <v>31</v>
      </c>
      <c r="C18491" s="1">
        <f>HYPERLINK("https://cao.dolgi.msk.ru/account/1011020474/", 1011020474)</f>
        <v>1011020474</v>
      </c>
      <c r="D18491">
        <v>-128</v>
      </c>
    </row>
    <row r="18492" spans="1:4" x14ac:dyDescent="0.3">
      <c r="A18492" t="s">
        <v>1057</v>
      </c>
      <c r="B18492" t="s">
        <v>9</v>
      </c>
      <c r="C18492" s="1">
        <f>HYPERLINK("https://cao.dolgi.msk.ru/account/1011116417/", 1011116417)</f>
        <v>1011116417</v>
      </c>
      <c r="D18492">
        <v>9718.17</v>
      </c>
    </row>
    <row r="18493" spans="1:4" x14ac:dyDescent="0.3">
      <c r="A18493" t="s">
        <v>1057</v>
      </c>
      <c r="B18493" t="s">
        <v>10</v>
      </c>
      <c r="C18493" s="1">
        <f>HYPERLINK("https://cao.dolgi.msk.ru/account/1011116425/", 1011116425)</f>
        <v>1011116425</v>
      </c>
      <c r="D18493">
        <v>16270.82</v>
      </c>
    </row>
    <row r="18494" spans="1:4" x14ac:dyDescent="0.3">
      <c r="A18494" t="s">
        <v>1057</v>
      </c>
      <c r="B18494" t="s">
        <v>11</v>
      </c>
      <c r="C18494" s="1">
        <f>HYPERLINK("https://cao.dolgi.msk.ru/account/1011025187/", 1011025187)</f>
        <v>1011025187</v>
      </c>
      <c r="D18494">
        <v>3936.98</v>
      </c>
    </row>
    <row r="18495" spans="1:4" x14ac:dyDescent="0.3">
      <c r="A18495" t="s">
        <v>1057</v>
      </c>
      <c r="B18495" t="s">
        <v>12</v>
      </c>
      <c r="C18495" s="1">
        <f>HYPERLINK("https://cao.dolgi.msk.ru/account/1011116601/", 1011116601)</f>
        <v>1011116601</v>
      </c>
      <c r="D18495">
        <v>9591.57</v>
      </c>
    </row>
    <row r="18496" spans="1:4" x14ac:dyDescent="0.3">
      <c r="A18496" t="s">
        <v>1057</v>
      </c>
      <c r="B18496" t="s">
        <v>13</v>
      </c>
      <c r="C18496" s="1">
        <f>HYPERLINK("https://cao.dolgi.msk.ru/account/1011021506/", 1011021506)</f>
        <v>1011021506</v>
      </c>
      <c r="D18496">
        <v>33347.89</v>
      </c>
    </row>
    <row r="18497" spans="1:4" hidden="1" x14ac:dyDescent="0.3">
      <c r="A18497" t="s">
        <v>1057</v>
      </c>
      <c r="B18497" t="s">
        <v>14</v>
      </c>
      <c r="C18497" s="1">
        <f>HYPERLINK("https://cao.dolgi.msk.ru/account/1011020925/", 1011020925)</f>
        <v>1011020925</v>
      </c>
      <c r="D18497">
        <v>-128</v>
      </c>
    </row>
    <row r="18498" spans="1:4" x14ac:dyDescent="0.3">
      <c r="A18498" t="s">
        <v>1057</v>
      </c>
      <c r="B18498" t="s">
        <v>16</v>
      </c>
      <c r="C18498" s="1">
        <f>HYPERLINK("https://cao.dolgi.msk.ru/account/1011116636/", 1011116636)</f>
        <v>1011116636</v>
      </c>
      <c r="D18498">
        <v>9515.65</v>
      </c>
    </row>
    <row r="18499" spans="1:4" x14ac:dyDescent="0.3">
      <c r="A18499" t="s">
        <v>1057</v>
      </c>
      <c r="B18499" t="s">
        <v>17</v>
      </c>
      <c r="C18499" s="1">
        <f>HYPERLINK("https://cao.dolgi.msk.ru/account/1011116644/", 1011116644)</f>
        <v>1011116644</v>
      </c>
      <c r="D18499">
        <v>282.33</v>
      </c>
    </row>
    <row r="18500" spans="1:4" x14ac:dyDescent="0.3">
      <c r="A18500" t="s">
        <v>1057</v>
      </c>
      <c r="B18500" t="s">
        <v>18</v>
      </c>
      <c r="C18500" s="1">
        <f>HYPERLINK("https://cao.dolgi.msk.ru/account/1011116652/", 1011116652)</f>
        <v>1011116652</v>
      </c>
      <c r="D18500">
        <v>17310.46</v>
      </c>
    </row>
    <row r="18501" spans="1:4" hidden="1" x14ac:dyDescent="0.3">
      <c r="A18501" t="s">
        <v>1057</v>
      </c>
      <c r="B18501" t="s">
        <v>19</v>
      </c>
      <c r="C18501" s="1">
        <f>HYPERLINK("https://cao.dolgi.msk.ru/account/1011024811/", 1011024811)</f>
        <v>1011024811</v>
      </c>
      <c r="D18501">
        <v>-128</v>
      </c>
    </row>
    <row r="18502" spans="1:4" x14ac:dyDescent="0.3">
      <c r="A18502" t="s">
        <v>1057</v>
      </c>
      <c r="B18502" t="s">
        <v>20</v>
      </c>
      <c r="C18502" s="1">
        <f>HYPERLINK("https://cao.dolgi.msk.ru/account/1011116679/", 1011116679)</f>
        <v>1011116679</v>
      </c>
      <c r="D18502">
        <v>9667.49</v>
      </c>
    </row>
    <row r="18503" spans="1:4" x14ac:dyDescent="0.3">
      <c r="A18503" t="s">
        <v>1057</v>
      </c>
      <c r="B18503" t="s">
        <v>21</v>
      </c>
      <c r="C18503" s="1">
        <f>HYPERLINK("https://cao.dolgi.msk.ru/account/1011024803/", 1011024803)</f>
        <v>1011024803</v>
      </c>
      <c r="D18503">
        <v>4702.68</v>
      </c>
    </row>
    <row r="18504" spans="1:4" x14ac:dyDescent="0.3">
      <c r="A18504" t="s">
        <v>1057</v>
      </c>
      <c r="B18504" t="s">
        <v>22</v>
      </c>
      <c r="C18504" s="1">
        <f>HYPERLINK("https://cao.dolgi.msk.ru/account/1011504743/", 1011504743)</f>
        <v>1011504743</v>
      </c>
      <c r="D18504">
        <v>4647.45</v>
      </c>
    </row>
    <row r="18505" spans="1:4" x14ac:dyDescent="0.3">
      <c r="A18505" t="s">
        <v>1057</v>
      </c>
      <c r="B18505" t="s">
        <v>24</v>
      </c>
      <c r="C18505" s="1">
        <f>HYPERLINK("https://cao.dolgi.msk.ru/account/1011116521/", 1011116521)</f>
        <v>1011116521</v>
      </c>
      <c r="D18505">
        <v>11660.31</v>
      </c>
    </row>
    <row r="18506" spans="1:4" x14ac:dyDescent="0.3">
      <c r="A18506" t="s">
        <v>1057</v>
      </c>
      <c r="B18506" t="s">
        <v>25</v>
      </c>
      <c r="C18506" s="1">
        <f>HYPERLINK("https://cao.dolgi.msk.ru/account/1011034366/", 1011034366)</f>
        <v>1011034366</v>
      </c>
      <c r="D18506">
        <v>124877.89</v>
      </c>
    </row>
    <row r="18507" spans="1:4" hidden="1" x14ac:dyDescent="0.3">
      <c r="A18507" t="s">
        <v>1057</v>
      </c>
      <c r="B18507" t="s">
        <v>26</v>
      </c>
      <c r="C18507" s="1">
        <f>HYPERLINK("https://cao.dolgi.msk.ru/account/1011025101/", 1011025101)</f>
        <v>1011025101</v>
      </c>
      <c r="D18507">
        <v>-4126.7</v>
      </c>
    </row>
    <row r="18508" spans="1:4" hidden="1" x14ac:dyDescent="0.3">
      <c r="A18508" t="s">
        <v>1057</v>
      </c>
      <c r="B18508" t="s">
        <v>27</v>
      </c>
      <c r="C18508" s="1">
        <f>HYPERLINK("https://cao.dolgi.msk.ru/account/1011021581/", 1011021581)</f>
        <v>1011021581</v>
      </c>
      <c r="D18508">
        <v>0</v>
      </c>
    </row>
    <row r="18509" spans="1:4" hidden="1" x14ac:dyDescent="0.3">
      <c r="A18509" t="s">
        <v>1057</v>
      </c>
      <c r="B18509" t="s">
        <v>29</v>
      </c>
      <c r="C18509" s="1">
        <f>HYPERLINK("https://cao.dolgi.msk.ru/account/1011021573/", 1011021573)</f>
        <v>1011021573</v>
      </c>
      <c r="D18509">
        <v>-128</v>
      </c>
    </row>
    <row r="18510" spans="1:4" x14ac:dyDescent="0.3">
      <c r="A18510" t="s">
        <v>1057</v>
      </c>
      <c r="B18510" t="s">
        <v>38</v>
      </c>
      <c r="C18510" s="1">
        <f>HYPERLINK("https://cao.dolgi.msk.ru/account/1011116548/", 1011116548)</f>
        <v>1011116548</v>
      </c>
      <c r="D18510">
        <v>10779.62</v>
      </c>
    </row>
    <row r="18511" spans="1:4" hidden="1" x14ac:dyDescent="0.3">
      <c r="A18511" t="s">
        <v>1057</v>
      </c>
      <c r="B18511" t="s">
        <v>39</v>
      </c>
      <c r="C18511" s="1">
        <f>HYPERLINK("https://cao.dolgi.msk.ru/account/1011027422/", 1011027422)</f>
        <v>1011027422</v>
      </c>
      <c r="D18511">
        <v>-7505.65</v>
      </c>
    </row>
    <row r="18512" spans="1:4" hidden="1" x14ac:dyDescent="0.3">
      <c r="A18512" t="s">
        <v>1057</v>
      </c>
      <c r="B18512" t="s">
        <v>40</v>
      </c>
      <c r="C18512" s="1">
        <f>HYPERLINK("https://cao.dolgi.msk.ru/account/1011024862/", 1011024862)</f>
        <v>1011024862</v>
      </c>
      <c r="D18512">
        <v>-128</v>
      </c>
    </row>
    <row r="18513" spans="1:4" x14ac:dyDescent="0.3">
      <c r="A18513" t="s">
        <v>1057</v>
      </c>
      <c r="B18513" t="s">
        <v>41</v>
      </c>
      <c r="C18513" s="1">
        <f>HYPERLINK("https://cao.dolgi.msk.ru/account/1011116556/", 1011116556)</f>
        <v>1011116556</v>
      </c>
      <c r="D18513">
        <v>9540.92</v>
      </c>
    </row>
    <row r="18514" spans="1:4" x14ac:dyDescent="0.3">
      <c r="A18514" t="s">
        <v>1057</v>
      </c>
      <c r="B18514" t="s">
        <v>52</v>
      </c>
      <c r="C18514" s="1">
        <f>HYPERLINK("https://cao.dolgi.msk.ru/account/1011116564/", 1011116564)</f>
        <v>1011116564</v>
      </c>
      <c r="D18514">
        <v>17436.96</v>
      </c>
    </row>
    <row r="18515" spans="1:4" hidden="1" x14ac:dyDescent="0.3">
      <c r="A18515" t="s">
        <v>1057</v>
      </c>
      <c r="B18515" t="s">
        <v>53</v>
      </c>
      <c r="C18515" s="1">
        <f>HYPERLINK("https://cao.dolgi.msk.ru/account/1011021637/", 1011021637)</f>
        <v>1011021637</v>
      </c>
      <c r="D18515">
        <v>-128</v>
      </c>
    </row>
    <row r="18516" spans="1:4" x14ac:dyDescent="0.3">
      <c r="A18516" t="s">
        <v>1057</v>
      </c>
      <c r="B18516" t="s">
        <v>54</v>
      </c>
      <c r="C18516" s="1">
        <f>HYPERLINK("https://cao.dolgi.msk.ru/account/1011116572/", 1011116572)</f>
        <v>1011116572</v>
      </c>
      <c r="D18516">
        <v>9490.44</v>
      </c>
    </row>
    <row r="18517" spans="1:4" x14ac:dyDescent="0.3">
      <c r="A18517" t="s">
        <v>1057</v>
      </c>
      <c r="B18517" t="s">
        <v>55</v>
      </c>
      <c r="C18517" s="1">
        <f>HYPERLINK("https://cao.dolgi.msk.ru/account/1011116433/", 1011116433)</f>
        <v>1011116433</v>
      </c>
      <c r="D18517">
        <v>12451.38</v>
      </c>
    </row>
    <row r="18518" spans="1:4" hidden="1" x14ac:dyDescent="0.3">
      <c r="A18518" t="s">
        <v>1057</v>
      </c>
      <c r="B18518" t="s">
        <v>56</v>
      </c>
      <c r="C18518" s="1">
        <f>HYPERLINK("https://cao.dolgi.msk.ru/account/1011020837/", 1011020837)</f>
        <v>1011020837</v>
      </c>
      <c r="D18518">
        <v>-64</v>
      </c>
    </row>
    <row r="18519" spans="1:4" x14ac:dyDescent="0.3">
      <c r="A18519" t="s">
        <v>1057</v>
      </c>
      <c r="B18519" t="s">
        <v>87</v>
      </c>
      <c r="C18519" s="1">
        <f>HYPERLINK("https://cao.dolgi.msk.ru/account/1011116441/", 1011116441)</f>
        <v>1011116441</v>
      </c>
      <c r="D18519">
        <v>9718.17</v>
      </c>
    </row>
    <row r="18520" spans="1:4" hidden="1" x14ac:dyDescent="0.3">
      <c r="A18520" t="s">
        <v>1057</v>
      </c>
      <c r="B18520" t="s">
        <v>88</v>
      </c>
      <c r="C18520" s="1">
        <f>HYPERLINK("https://cao.dolgi.msk.ru/account/1011065461/", 1011065461)</f>
        <v>1011065461</v>
      </c>
      <c r="D18520">
        <v>-128</v>
      </c>
    </row>
    <row r="18521" spans="1:4" x14ac:dyDescent="0.3">
      <c r="A18521" t="s">
        <v>1057</v>
      </c>
      <c r="B18521" t="s">
        <v>89</v>
      </c>
      <c r="C18521" s="1">
        <f>HYPERLINK("https://cao.dolgi.msk.ru/account/1011116468/", 1011116468)</f>
        <v>1011116468</v>
      </c>
      <c r="D18521">
        <v>12476.72</v>
      </c>
    </row>
    <row r="18522" spans="1:4" x14ac:dyDescent="0.3">
      <c r="A18522" t="s">
        <v>1057</v>
      </c>
      <c r="B18522" t="s">
        <v>96</v>
      </c>
      <c r="C18522" s="1">
        <f>HYPERLINK("https://cao.dolgi.msk.ru/account/1011116484/", 1011116484)</f>
        <v>1011116484</v>
      </c>
      <c r="D18522">
        <v>9153.2199999999993</v>
      </c>
    </row>
    <row r="18523" spans="1:4" x14ac:dyDescent="0.3">
      <c r="A18523" t="s">
        <v>1057</v>
      </c>
      <c r="B18523" t="s">
        <v>97</v>
      </c>
      <c r="C18523" s="1">
        <f>HYPERLINK("https://cao.dolgi.msk.ru/account/1011034438/", 1011034438)</f>
        <v>1011034438</v>
      </c>
      <c r="D18523">
        <v>9325.58</v>
      </c>
    </row>
    <row r="18524" spans="1:4" hidden="1" x14ac:dyDescent="0.3">
      <c r="A18524" t="s">
        <v>1057</v>
      </c>
      <c r="B18524" t="s">
        <v>98</v>
      </c>
      <c r="C18524" s="1">
        <f>HYPERLINK("https://cao.dolgi.msk.ru/account/1011514255/", 1011514255)</f>
        <v>1011514255</v>
      </c>
      <c r="D18524">
        <v>0</v>
      </c>
    </row>
    <row r="18525" spans="1:4" x14ac:dyDescent="0.3">
      <c r="A18525" t="s">
        <v>1057</v>
      </c>
      <c r="B18525" t="s">
        <v>58</v>
      </c>
      <c r="C18525" s="1">
        <f>HYPERLINK("https://cao.dolgi.msk.ru/account/1011116492/", 1011116492)</f>
        <v>1011116492</v>
      </c>
      <c r="D18525">
        <v>17234.47</v>
      </c>
    </row>
    <row r="18526" spans="1:4" x14ac:dyDescent="0.3">
      <c r="A18526" t="s">
        <v>1057</v>
      </c>
      <c r="B18526" t="s">
        <v>59</v>
      </c>
      <c r="C18526" s="1">
        <f>HYPERLINK("https://cao.dolgi.msk.ru/account/1011034622/", 1011034622)</f>
        <v>1011034622</v>
      </c>
      <c r="D18526">
        <v>9670.4</v>
      </c>
    </row>
    <row r="18527" spans="1:4" x14ac:dyDescent="0.3">
      <c r="A18527" t="s">
        <v>1057</v>
      </c>
      <c r="B18527" t="s">
        <v>60</v>
      </c>
      <c r="C18527" s="1">
        <f>HYPERLINK("https://cao.dolgi.msk.ru/account/1011116505/", 1011116505)</f>
        <v>1011116505</v>
      </c>
      <c r="D18527">
        <v>11041.28</v>
      </c>
    </row>
    <row r="18528" spans="1:4" x14ac:dyDescent="0.3">
      <c r="A18528" t="s">
        <v>1057</v>
      </c>
      <c r="B18528" t="s">
        <v>61</v>
      </c>
      <c r="C18528" s="1">
        <f>HYPERLINK("https://cao.dolgi.msk.ru/account/1011034606/", 1011034606)</f>
        <v>1011034606</v>
      </c>
      <c r="D18528">
        <v>13007.84</v>
      </c>
    </row>
    <row r="18529" spans="1:4" hidden="1" x14ac:dyDescent="0.3">
      <c r="A18529" t="s">
        <v>1058</v>
      </c>
      <c r="B18529" t="s">
        <v>6</v>
      </c>
      <c r="C18529" s="1">
        <f>HYPERLINK("https://cao.dolgi.msk.ru/account/1011325315/", 1011325315)</f>
        <v>1011325315</v>
      </c>
      <c r="D18529">
        <v>0</v>
      </c>
    </row>
    <row r="18530" spans="1:4" hidden="1" x14ac:dyDescent="0.3">
      <c r="A18530" t="s">
        <v>1058</v>
      </c>
      <c r="B18530" t="s">
        <v>28</v>
      </c>
      <c r="C18530" s="1">
        <f>HYPERLINK("https://cao.dolgi.msk.ru/account/1011325032/", 1011325032)</f>
        <v>1011325032</v>
      </c>
      <c r="D18530">
        <v>-4032.83</v>
      </c>
    </row>
    <row r="18531" spans="1:4" hidden="1" x14ac:dyDescent="0.3">
      <c r="A18531" t="s">
        <v>1058</v>
      </c>
      <c r="B18531" t="s">
        <v>35</v>
      </c>
      <c r="C18531" s="1">
        <f>HYPERLINK("https://cao.dolgi.msk.ru/account/1011325331/", 1011325331)</f>
        <v>1011325331</v>
      </c>
      <c r="D18531">
        <v>0</v>
      </c>
    </row>
    <row r="18532" spans="1:4" hidden="1" x14ac:dyDescent="0.3">
      <c r="A18532" t="s">
        <v>1058</v>
      </c>
      <c r="B18532" t="s">
        <v>5</v>
      </c>
      <c r="C18532" s="1">
        <f>HYPERLINK("https://cao.dolgi.msk.ru/account/1011325243/", 1011325243)</f>
        <v>1011325243</v>
      </c>
      <c r="D18532">
        <v>-2364.65</v>
      </c>
    </row>
    <row r="18533" spans="1:4" hidden="1" x14ac:dyDescent="0.3">
      <c r="A18533" t="s">
        <v>1058</v>
      </c>
      <c r="B18533" t="s">
        <v>7</v>
      </c>
      <c r="C18533" s="1">
        <f>HYPERLINK("https://cao.dolgi.msk.ru/account/1011324873/", 1011324873)</f>
        <v>1011324873</v>
      </c>
      <c r="D18533">
        <v>-4389.71</v>
      </c>
    </row>
    <row r="18534" spans="1:4" hidden="1" x14ac:dyDescent="0.3">
      <c r="A18534" t="s">
        <v>1058</v>
      </c>
      <c r="B18534" t="s">
        <v>8</v>
      </c>
      <c r="C18534" s="1">
        <f>HYPERLINK("https://cao.dolgi.msk.ru/account/1011324881/", 1011324881)</f>
        <v>1011324881</v>
      </c>
      <c r="D18534">
        <v>0</v>
      </c>
    </row>
    <row r="18535" spans="1:4" x14ac:dyDescent="0.3">
      <c r="A18535" t="s">
        <v>1058</v>
      </c>
      <c r="B18535" t="s">
        <v>31</v>
      </c>
      <c r="C18535" s="1">
        <f>HYPERLINK("https://cao.dolgi.msk.ru/account/1011325251/", 1011325251)</f>
        <v>1011325251</v>
      </c>
      <c r="D18535">
        <v>9179.3799999999992</v>
      </c>
    </row>
    <row r="18536" spans="1:4" hidden="1" x14ac:dyDescent="0.3">
      <c r="A18536" t="s">
        <v>1058</v>
      </c>
      <c r="B18536" t="s">
        <v>9</v>
      </c>
      <c r="C18536" s="1">
        <f>HYPERLINK("https://cao.dolgi.msk.ru/account/1011325577/", 1011325577)</f>
        <v>1011325577</v>
      </c>
      <c r="D18536">
        <v>-970.16</v>
      </c>
    </row>
    <row r="18537" spans="1:4" hidden="1" x14ac:dyDescent="0.3">
      <c r="A18537" t="s">
        <v>1058</v>
      </c>
      <c r="B18537" t="s">
        <v>10</v>
      </c>
      <c r="C18537" s="1">
        <f>HYPERLINK("https://cao.dolgi.msk.ru/account/1011325059/", 1011325059)</f>
        <v>1011325059</v>
      </c>
      <c r="D18537">
        <v>0</v>
      </c>
    </row>
    <row r="18538" spans="1:4" hidden="1" x14ac:dyDescent="0.3">
      <c r="A18538" t="s">
        <v>1058</v>
      </c>
      <c r="B18538" t="s">
        <v>11</v>
      </c>
      <c r="C18538" s="1">
        <f>HYPERLINK("https://cao.dolgi.msk.ru/account/1011325067/", 1011325067)</f>
        <v>1011325067</v>
      </c>
      <c r="D18538">
        <v>-1698.34</v>
      </c>
    </row>
    <row r="18539" spans="1:4" hidden="1" x14ac:dyDescent="0.3">
      <c r="A18539" t="s">
        <v>1058</v>
      </c>
      <c r="B18539" t="s">
        <v>12</v>
      </c>
      <c r="C18539" s="1">
        <f>HYPERLINK("https://cao.dolgi.msk.ru/account/1011325358/", 1011325358)</f>
        <v>1011325358</v>
      </c>
      <c r="D18539">
        <v>0</v>
      </c>
    </row>
    <row r="18540" spans="1:4" hidden="1" x14ac:dyDescent="0.3">
      <c r="A18540" t="s">
        <v>1058</v>
      </c>
      <c r="B18540" t="s">
        <v>23</v>
      </c>
      <c r="C18540" s="1">
        <f>HYPERLINK("https://cao.dolgi.msk.ru/account/1011325374/", 1011325374)</f>
        <v>1011325374</v>
      </c>
      <c r="D18540">
        <v>0</v>
      </c>
    </row>
    <row r="18541" spans="1:4" hidden="1" x14ac:dyDescent="0.3">
      <c r="A18541" t="s">
        <v>1058</v>
      </c>
      <c r="B18541" t="s">
        <v>13</v>
      </c>
      <c r="C18541" s="1">
        <f>HYPERLINK("https://cao.dolgi.msk.ru/account/1011325534/", 1011325534)</f>
        <v>1011325534</v>
      </c>
      <c r="D18541">
        <v>-483.35</v>
      </c>
    </row>
    <row r="18542" spans="1:4" hidden="1" x14ac:dyDescent="0.3">
      <c r="A18542" t="s">
        <v>1058</v>
      </c>
      <c r="B18542" t="s">
        <v>14</v>
      </c>
      <c r="C18542" s="1">
        <f>HYPERLINK("https://cao.dolgi.msk.ru/account/1011324742/", 1011324742)</f>
        <v>1011324742</v>
      </c>
      <c r="D18542">
        <v>-512.85</v>
      </c>
    </row>
    <row r="18543" spans="1:4" hidden="1" x14ac:dyDescent="0.3">
      <c r="A18543" t="s">
        <v>1058</v>
      </c>
      <c r="B18543" t="s">
        <v>16</v>
      </c>
      <c r="C18543" s="1">
        <f>HYPERLINK("https://cao.dolgi.msk.ru/account/1011324902/", 1011324902)</f>
        <v>1011324902</v>
      </c>
      <c r="D18543">
        <v>0</v>
      </c>
    </row>
    <row r="18544" spans="1:4" hidden="1" x14ac:dyDescent="0.3">
      <c r="A18544" t="s">
        <v>1058</v>
      </c>
      <c r="B18544" t="s">
        <v>17</v>
      </c>
      <c r="C18544" s="1">
        <f>HYPERLINK("https://cao.dolgi.msk.ru/account/1011325446/", 1011325446)</f>
        <v>1011325446</v>
      </c>
      <c r="D18544">
        <v>-198.2</v>
      </c>
    </row>
    <row r="18545" spans="1:4" hidden="1" x14ac:dyDescent="0.3">
      <c r="A18545" t="s">
        <v>1058</v>
      </c>
      <c r="B18545" t="s">
        <v>18</v>
      </c>
      <c r="C18545" s="1">
        <f>HYPERLINK("https://cao.dolgi.msk.ru/account/1011324806/", 1011324806)</f>
        <v>1011324806</v>
      </c>
      <c r="D18545">
        <v>-89.74</v>
      </c>
    </row>
    <row r="18546" spans="1:4" hidden="1" x14ac:dyDescent="0.3">
      <c r="A18546" t="s">
        <v>1058</v>
      </c>
      <c r="B18546" t="s">
        <v>19</v>
      </c>
      <c r="C18546" s="1">
        <f>HYPERLINK("https://cao.dolgi.msk.ru/account/1011325585/", 1011325585)</f>
        <v>1011325585</v>
      </c>
      <c r="D18546">
        <v>0</v>
      </c>
    </row>
    <row r="18547" spans="1:4" hidden="1" x14ac:dyDescent="0.3">
      <c r="A18547" t="s">
        <v>1058</v>
      </c>
      <c r="B18547" t="s">
        <v>20</v>
      </c>
      <c r="C18547" s="1">
        <f>HYPERLINK("https://cao.dolgi.msk.ru/account/1011324785/", 1011324785)</f>
        <v>1011324785</v>
      </c>
      <c r="D18547">
        <v>0</v>
      </c>
    </row>
    <row r="18548" spans="1:4" hidden="1" x14ac:dyDescent="0.3">
      <c r="A18548" t="s">
        <v>1058</v>
      </c>
      <c r="B18548" t="s">
        <v>21</v>
      </c>
      <c r="C18548" s="1">
        <f>HYPERLINK("https://cao.dolgi.msk.ru/account/1011325454/", 1011325454)</f>
        <v>1011325454</v>
      </c>
      <c r="D18548">
        <v>0</v>
      </c>
    </row>
    <row r="18549" spans="1:4" x14ac:dyDescent="0.3">
      <c r="A18549" t="s">
        <v>1058</v>
      </c>
      <c r="B18549" t="s">
        <v>22</v>
      </c>
      <c r="C18549" s="1">
        <f>HYPERLINK("https://cao.dolgi.msk.ru/account/1011325024/", 1011325024)</f>
        <v>1011325024</v>
      </c>
      <c r="D18549">
        <v>102.4</v>
      </c>
    </row>
    <row r="18550" spans="1:4" x14ac:dyDescent="0.3">
      <c r="A18550" t="s">
        <v>1058</v>
      </c>
      <c r="B18550" t="s">
        <v>24</v>
      </c>
      <c r="C18550" s="1">
        <f>HYPERLINK("https://cao.dolgi.msk.ru/account/1011324937/", 1011324937)</f>
        <v>1011324937</v>
      </c>
      <c r="D18550">
        <v>41298.839999999997</v>
      </c>
    </row>
    <row r="18551" spans="1:4" x14ac:dyDescent="0.3">
      <c r="A18551" t="s">
        <v>1058</v>
      </c>
      <c r="B18551" t="s">
        <v>25</v>
      </c>
      <c r="C18551" s="1">
        <f>HYPERLINK("https://cao.dolgi.msk.ru/account/1011325286/", 1011325286)</f>
        <v>1011325286</v>
      </c>
      <c r="D18551">
        <v>9001.52</v>
      </c>
    </row>
    <row r="18552" spans="1:4" hidden="1" x14ac:dyDescent="0.3">
      <c r="A18552" t="s">
        <v>1058</v>
      </c>
      <c r="B18552" t="s">
        <v>26</v>
      </c>
      <c r="C18552" s="1">
        <f>HYPERLINK("https://cao.dolgi.msk.ru/account/1011324988/", 1011324988)</f>
        <v>1011324988</v>
      </c>
      <c r="D18552">
        <v>-5874.9</v>
      </c>
    </row>
    <row r="18553" spans="1:4" hidden="1" x14ac:dyDescent="0.3">
      <c r="A18553" t="s">
        <v>1058</v>
      </c>
      <c r="B18553" t="s">
        <v>27</v>
      </c>
      <c r="C18553" s="1">
        <f>HYPERLINK("https://cao.dolgi.msk.ru/account/1011325171/", 1011325171)</f>
        <v>1011325171</v>
      </c>
      <c r="D18553">
        <v>-18240.68</v>
      </c>
    </row>
    <row r="18554" spans="1:4" hidden="1" x14ac:dyDescent="0.3">
      <c r="A18554" t="s">
        <v>1058</v>
      </c>
      <c r="B18554" t="s">
        <v>29</v>
      </c>
      <c r="C18554" s="1">
        <f>HYPERLINK("https://cao.dolgi.msk.ru/account/1011325198/", 1011325198)</f>
        <v>1011325198</v>
      </c>
      <c r="D18554">
        <v>-16098.97</v>
      </c>
    </row>
    <row r="18555" spans="1:4" x14ac:dyDescent="0.3">
      <c r="A18555" t="s">
        <v>1058</v>
      </c>
      <c r="B18555" t="s">
        <v>38</v>
      </c>
      <c r="C18555" s="1">
        <f>HYPERLINK("https://cao.dolgi.msk.ru/account/1011324769/", 1011324769)</f>
        <v>1011324769</v>
      </c>
      <c r="D18555">
        <v>2337.8000000000002</v>
      </c>
    </row>
    <row r="18556" spans="1:4" hidden="1" x14ac:dyDescent="0.3">
      <c r="A18556" t="s">
        <v>1058</v>
      </c>
      <c r="B18556" t="s">
        <v>39</v>
      </c>
      <c r="C18556" s="1">
        <f>HYPERLINK("https://cao.dolgi.msk.ru/account/1011324849/", 1011324849)</f>
        <v>1011324849</v>
      </c>
      <c r="D18556">
        <v>-5002.6400000000003</v>
      </c>
    </row>
    <row r="18557" spans="1:4" hidden="1" x14ac:dyDescent="0.3">
      <c r="A18557" t="s">
        <v>1058</v>
      </c>
      <c r="B18557" t="s">
        <v>40</v>
      </c>
      <c r="C18557" s="1">
        <f>HYPERLINK("https://cao.dolgi.msk.ru/account/1011324961/", 1011324961)</f>
        <v>1011324961</v>
      </c>
      <c r="D18557">
        <v>-351.11</v>
      </c>
    </row>
    <row r="18558" spans="1:4" hidden="1" x14ac:dyDescent="0.3">
      <c r="A18558" t="s">
        <v>1058</v>
      </c>
      <c r="B18558" t="s">
        <v>41</v>
      </c>
      <c r="C18558" s="1">
        <f>HYPERLINK("https://cao.dolgi.msk.ru/account/1011324929/", 1011324929)</f>
        <v>1011324929</v>
      </c>
      <c r="D18558">
        <v>0</v>
      </c>
    </row>
    <row r="18559" spans="1:4" hidden="1" x14ac:dyDescent="0.3">
      <c r="A18559" t="s">
        <v>1058</v>
      </c>
      <c r="B18559" t="s">
        <v>51</v>
      </c>
      <c r="C18559" s="1">
        <f>HYPERLINK("https://cao.dolgi.msk.ru/account/1011325366/", 1011325366)</f>
        <v>1011325366</v>
      </c>
      <c r="D18559">
        <v>-4949.96</v>
      </c>
    </row>
    <row r="18560" spans="1:4" hidden="1" x14ac:dyDescent="0.3">
      <c r="A18560" t="s">
        <v>1058</v>
      </c>
      <c r="B18560" t="s">
        <v>52</v>
      </c>
      <c r="C18560" s="1">
        <f>HYPERLINK("https://cao.dolgi.msk.ru/account/1011325462/", 1011325462)</f>
        <v>1011325462</v>
      </c>
      <c r="D18560">
        <v>-6262.34</v>
      </c>
    </row>
    <row r="18561" spans="1:4" x14ac:dyDescent="0.3">
      <c r="A18561" t="s">
        <v>1058</v>
      </c>
      <c r="B18561" t="s">
        <v>53</v>
      </c>
      <c r="C18561" s="1">
        <f>HYPERLINK("https://cao.dolgi.msk.ru/account/1011325091/", 1011325091)</f>
        <v>1011325091</v>
      </c>
      <c r="D18561">
        <v>11293.56</v>
      </c>
    </row>
    <row r="18562" spans="1:4" hidden="1" x14ac:dyDescent="0.3">
      <c r="A18562" t="s">
        <v>1058</v>
      </c>
      <c r="B18562" t="s">
        <v>54</v>
      </c>
      <c r="C18562" s="1">
        <f>HYPERLINK("https://cao.dolgi.msk.ru/account/1011325382/", 1011325382)</f>
        <v>1011325382</v>
      </c>
      <c r="D18562">
        <v>0</v>
      </c>
    </row>
    <row r="18563" spans="1:4" hidden="1" x14ac:dyDescent="0.3">
      <c r="A18563" t="s">
        <v>1058</v>
      </c>
      <c r="B18563" t="s">
        <v>55</v>
      </c>
      <c r="C18563" s="1">
        <f>HYPERLINK("https://cao.dolgi.msk.ru/account/1011325411/", 1011325411)</f>
        <v>1011325411</v>
      </c>
      <c r="D18563">
        <v>0</v>
      </c>
    </row>
    <row r="18564" spans="1:4" hidden="1" x14ac:dyDescent="0.3">
      <c r="A18564" t="s">
        <v>1058</v>
      </c>
      <c r="B18564" t="s">
        <v>56</v>
      </c>
      <c r="C18564" s="1">
        <f>HYPERLINK("https://cao.dolgi.msk.ru/account/1011325542/", 1011325542)</f>
        <v>1011325542</v>
      </c>
      <c r="D18564">
        <v>-2033.42</v>
      </c>
    </row>
    <row r="18565" spans="1:4" hidden="1" x14ac:dyDescent="0.3">
      <c r="A18565" t="s">
        <v>1058</v>
      </c>
      <c r="B18565" t="s">
        <v>87</v>
      </c>
      <c r="C18565" s="1">
        <f>HYPERLINK("https://cao.dolgi.msk.ru/account/1011325016/", 1011325016)</f>
        <v>1011325016</v>
      </c>
      <c r="D18565">
        <v>-478.72</v>
      </c>
    </row>
    <row r="18566" spans="1:4" hidden="1" x14ac:dyDescent="0.3">
      <c r="A18566" t="s">
        <v>1058</v>
      </c>
      <c r="B18566" t="s">
        <v>88</v>
      </c>
      <c r="C18566" s="1">
        <f>HYPERLINK("https://cao.dolgi.msk.ru/account/1011325104/", 1011325104)</f>
        <v>1011325104</v>
      </c>
      <c r="D18566">
        <v>-86093.88</v>
      </c>
    </row>
    <row r="18567" spans="1:4" hidden="1" x14ac:dyDescent="0.3">
      <c r="A18567" t="s">
        <v>1058</v>
      </c>
      <c r="B18567" t="s">
        <v>89</v>
      </c>
      <c r="C18567" s="1">
        <f>HYPERLINK("https://cao.dolgi.msk.ru/account/1011325075/", 1011325075)</f>
        <v>1011325075</v>
      </c>
      <c r="D18567">
        <v>0</v>
      </c>
    </row>
    <row r="18568" spans="1:4" hidden="1" x14ac:dyDescent="0.3">
      <c r="A18568" t="s">
        <v>1058</v>
      </c>
      <c r="B18568" t="s">
        <v>89</v>
      </c>
      <c r="C18568" s="1">
        <f>HYPERLINK("https://cao.dolgi.msk.ru/account/1011325526/", 1011325526)</f>
        <v>1011325526</v>
      </c>
      <c r="D18568">
        <v>0</v>
      </c>
    </row>
    <row r="18569" spans="1:4" x14ac:dyDescent="0.3">
      <c r="A18569" t="s">
        <v>1058</v>
      </c>
      <c r="B18569" t="s">
        <v>90</v>
      </c>
      <c r="C18569" s="1">
        <f>HYPERLINK("https://cao.dolgi.msk.ru/account/1011325227/", 1011325227)</f>
        <v>1011325227</v>
      </c>
      <c r="D18569">
        <v>58.52</v>
      </c>
    </row>
    <row r="18570" spans="1:4" hidden="1" x14ac:dyDescent="0.3">
      <c r="A18570" t="s">
        <v>1058</v>
      </c>
      <c r="B18570" t="s">
        <v>96</v>
      </c>
      <c r="C18570" s="1">
        <f>HYPERLINK("https://cao.dolgi.msk.ru/account/1011325278/", 1011325278)</f>
        <v>1011325278</v>
      </c>
      <c r="D18570">
        <v>0</v>
      </c>
    </row>
    <row r="18571" spans="1:4" hidden="1" x14ac:dyDescent="0.3">
      <c r="A18571" t="s">
        <v>1058</v>
      </c>
      <c r="B18571" t="s">
        <v>97</v>
      </c>
      <c r="C18571" s="1">
        <f>HYPERLINK("https://cao.dolgi.msk.ru/account/1011324793/", 1011324793)</f>
        <v>1011324793</v>
      </c>
      <c r="D18571">
        <v>0</v>
      </c>
    </row>
    <row r="18572" spans="1:4" hidden="1" x14ac:dyDescent="0.3">
      <c r="A18572" t="s">
        <v>1058</v>
      </c>
      <c r="B18572" t="s">
        <v>98</v>
      </c>
      <c r="C18572" s="1">
        <f>HYPERLINK("https://cao.dolgi.msk.ru/account/1011324777/", 1011324777)</f>
        <v>1011324777</v>
      </c>
      <c r="D18572">
        <v>0</v>
      </c>
    </row>
    <row r="18573" spans="1:4" x14ac:dyDescent="0.3">
      <c r="A18573" t="s">
        <v>1058</v>
      </c>
      <c r="B18573" t="s">
        <v>58</v>
      </c>
      <c r="C18573" s="1">
        <f>HYPERLINK("https://cao.dolgi.msk.ru/account/1011325323/", 1011325323)</f>
        <v>1011325323</v>
      </c>
      <c r="D18573">
        <v>3174.25</v>
      </c>
    </row>
    <row r="18574" spans="1:4" x14ac:dyDescent="0.3">
      <c r="A18574" t="s">
        <v>1058</v>
      </c>
      <c r="B18574" t="s">
        <v>59</v>
      </c>
      <c r="C18574" s="1">
        <f>HYPERLINK("https://cao.dolgi.msk.ru/account/1011325489/", 1011325489)</f>
        <v>1011325489</v>
      </c>
      <c r="D18574">
        <v>5847.43</v>
      </c>
    </row>
    <row r="18575" spans="1:4" hidden="1" x14ac:dyDescent="0.3">
      <c r="A18575" t="s">
        <v>1058</v>
      </c>
      <c r="B18575" t="s">
        <v>60</v>
      </c>
      <c r="C18575" s="1">
        <f>HYPERLINK("https://cao.dolgi.msk.ru/account/1011325147/", 1011325147)</f>
        <v>1011325147</v>
      </c>
      <c r="D18575">
        <v>-5187.66</v>
      </c>
    </row>
    <row r="18576" spans="1:4" x14ac:dyDescent="0.3">
      <c r="A18576" t="s">
        <v>1058</v>
      </c>
      <c r="B18576" t="s">
        <v>61</v>
      </c>
      <c r="C18576" s="1">
        <f>HYPERLINK("https://cao.dolgi.msk.ru/account/1011324822/", 1011324822)</f>
        <v>1011324822</v>
      </c>
      <c r="D18576">
        <v>4440.74</v>
      </c>
    </row>
    <row r="18577" spans="1:4" hidden="1" x14ac:dyDescent="0.3">
      <c r="A18577" t="s">
        <v>1058</v>
      </c>
      <c r="B18577" t="s">
        <v>62</v>
      </c>
      <c r="C18577" s="1">
        <f>HYPERLINK("https://cao.dolgi.msk.ru/account/1011324945/", 1011324945)</f>
        <v>1011324945</v>
      </c>
      <c r="D18577">
        <v>-8490.1299999999992</v>
      </c>
    </row>
    <row r="18578" spans="1:4" hidden="1" x14ac:dyDescent="0.3">
      <c r="A18578" t="s">
        <v>1058</v>
      </c>
      <c r="B18578" t="s">
        <v>63</v>
      </c>
      <c r="C18578" s="1">
        <f>HYPERLINK("https://cao.dolgi.msk.ru/account/1011324734/", 1011324734)</f>
        <v>1011324734</v>
      </c>
      <c r="D18578">
        <v>-6908.06</v>
      </c>
    </row>
    <row r="18579" spans="1:4" hidden="1" x14ac:dyDescent="0.3">
      <c r="A18579" t="s">
        <v>1058</v>
      </c>
      <c r="B18579" t="s">
        <v>64</v>
      </c>
      <c r="C18579" s="1">
        <f>HYPERLINK("https://cao.dolgi.msk.ru/account/1011324814/", 1011324814)</f>
        <v>1011324814</v>
      </c>
      <c r="D18579">
        <v>0</v>
      </c>
    </row>
    <row r="18580" spans="1:4" hidden="1" x14ac:dyDescent="0.3">
      <c r="A18580" t="s">
        <v>1058</v>
      </c>
      <c r="B18580" t="s">
        <v>65</v>
      </c>
      <c r="C18580" s="1">
        <f>HYPERLINK("https://cao.dolgi.msk.ru/account/1011324857/", 1011324857)</f>
        <v>1011324857</v>
      </c>
      <c r="D18580">
        <v>-9062.02</v>
      </c>
    </row>
    <row r="18581" spans="1:4" hidden="1" x14ac:dyDescent="0.3">
      <c r="A18581" t="s">
        <v>1058</v>
      </c>
      <c r="B18581" t="s">
        <v>66</v>
      </c>
      <c r="C18581" s="1">
        <f>HYPERLINK("https://cao.dolgi.msk.ru/account/1011324865/", 1011324865)</f>
        <v>1011324865</v>
      </c>
      <c r="D18581">
        <v>-9556.8700000000008</v>
      </c>
    </row>
    <row r="18582" spans="1:4" hidden="1" x14ac:dyDescent="0.3">
      <c r="A18582" t="s">
        <v>1058</v>
      </c>
      <c r="B18582" t="s">
        <v>67</v>
      </c>
      <c r="C18582" s="1">
        <f>HYPERLINK("https://cao.dolgi.msk.ru/account/1011325112/", 1011325112)</f>
        <v>1011325112</v>
      </c>
      <c r="D18582">
        <v>-4958.51</v>
      </c>
    </row>
    <row r="18583" spans="1:4" hidden="1" x14ac:dyDescent="0.3">
      <c r="A18583" t="s">
        <v>1058</v>
      </c>
      <c r="B18583" t="s">
        <v>68</v>
      </c>
      <c r="C18583" s="1">
        <f>HYPERLINK("https://cao.dolgi.msk.ru/account/1011325294/", 1011325294)</f>
        <v>1011325294</v>
      </c>
      <c r="D18583">
        <v>0</v>
      </c>
    </row>
    <row r="18584" spans="1:4" hidden="1" x14ac:dyDescent="0.3">
      <c r="A18584" t="s">
        <v>1058</v>
      </c>
      <c r="B18584" t="s">
        <v>69</v>
      </c>
      <c r="C18584" s="1">
        <f>HYPERLINK("https://cao.dolgi.msk.ru/account/1011325497/", 1011325497)</f>
        <v>1011325497</v>
      </c>
      <c r="D18584">
        <v>-309.05</v>
      </c>
    </row>
    <row r="18585" spans="1:4" hidden="1" x14ac:dyDescent="0.3">
      <c r="A18585" t="s">
        <v>1058</v>
      </c>
      <c r="B18585" t="s">
        <v>70</v>
      </c>
      <c r="C18585" s="1">
        <f>HYPERLINK("https://cao.dolgi.msk.ru/account/1011325163/", 1011325163)</f>
        <v>1011325163</v>
      </c>
      <c r="D18585">
        <v>-767.88</v>
      </c>
    </row>
    <row r="18586" spans="1:4" hidden="1" x14ac:dyDescent="0.3">
      <c r="A18586" t="s">
        <v>1058</v>
      </c>
      <c r="B18586" t="s">
        <v>259</v>
      </c>
      <c r="C18586" s="1">
        <f>HYPERLINK("https://cao.dolgi.msk.ru/account/1011325518/", 1011325518)</f>
        <v>1011325518</v>
      </c>
      <c r="D18586">
        <v>-10892.8</v>
      </c>
    </row>
    <row r="18587" spans="1:4" hidden="1" x14ac:dyDescent="0.3">
      <c r="A18587" t="s">
        <v>1058</v>
      </c>
      <c r="B18587" t="s">
        <v>100</v>
      </c>
      <c r="C18587" s="1">
        <f>HYPERLINK("https://cao.dolgi.msk.ru/account/1011325403/", 1011325403)</f>
        <v>1011325403</v>
      </c>
      <c r="D18587">
        <v>0</v>
      </c>
    </row>
    <row r="18588" spans="1:4" x14ac:dyDescent="0.3">
      <c r="A18588" t="s">
        <v>1058</v>
      </c>
      <c r="B18588" t="s">
        <v>72</v>
      </c>
      <c r="C18588" s="1">
        <f>HYPERLINK("https://cao.dolgi.msk.ru/account/1011325438/", 1011325438)</f>
        <v>1011325438</v>
      </c>
      <c r="D18588">
        <v>3162.74</v>
      </c>
    </row>
    <row r="18589" spans="1:4" hidden="1" x14ac:dyDescent="0.3">
      <c r="A18589" t="s">
        <v>1058</v>
      </c>
      <c r="B18589" t="s">
        <v>73</v>
      </c>
      <c r="C18589" s="1">
        <f>HYPERLINK("https://cao.dolgi.msk.ru/account/1011325139/", 1011325139)</f>
        <v>1011325139</v>
      </c>
      <c r="D18589">
        <v>0</v>
      </c>
    </row>
    <row r="18590" spans="1:4" hidden="1" x14ac:dyDescent="0.3">
      <c r="A18590" t="s">
        <v>1058</v>
      </c>
      <c r="B18590" t="s">
        <v>74</v>
      </c>
      <c r="C18590" s="1">
        <f>HYPERLINK("https://cao.dolgi.msk.ru/account/1011324726/", 1011324726)</f>
        <v>1011324726</v>
      </c>
      <c r="D18590">
        <v>0</v>
      </c>
    </row>
    <row r="18591" spans="1:4" hidden="1" x14ac:dyDescent="0.3">
      <c r="A18591" t="s">
        <v>1058</v>
      </c>
      <c r="B18591" t="s">
        <v>75</v>
      </c>
      <c r="C18591" s="1">
        <f>HYPERLINK("https://cao.dolgi.msk.ru/account/1011324996/", 1011324996)</f>
        <v>1011324996</v>
      </c>
      <c r="D18591">
        <v>0</v>
      </c>
    </row>
    <row r="18592" spans="1:4" hidden="1" x14ac:dyDescent="0.3">
      <c r="A18592" t="s">
        <v>1058</v>
      </c>
      <c r="B18592" t="s">
        <v>75</v>
      </c>
      <c r="C18592" s="1">
        <f>HYPERLINK("https://cao.dolgi.msk.ru/account/1011325008/", 1011325008)</f>
        <v>1011325008</v>
      </c>
      <c r="D18592">
        <v>0</v>
      </c>
    </row>
    <row r="18593" spans="1:4" x14ac:dyDescent="0.3">
      <c r="A18593" t="s">
        <v>1058</v>
      </c>
      <c r="B18593" t="s">
        <v>76</v>
      </c>
      <c r="C18593" s="1">
        <f>HYPERLINK("https://cao.dolgi.msk.ru/account/1011325155/", 1011325155)</f>
        <v>1011325155</v>
      </c>
      <c r="D18593">
        <v>5897.31</v>
      </c>
    </row>
    <row r="18594" spans="1:4" hidden="1" x14ac:dyDescent="0.3">
      <c r="A18594" t="s">
        <v>1058</v>
      </c>
      <c r="B18594" t="s">
        <v>77</v>
      </c>
      <c r="C18594" s="1">
        <f>HYPERLINK("https://cao.dolgi.msk.ru/account/1011325307/", 1011325307)</f>
        <v>1011325307</v>
      </c>
      <c r="D18594">
        <v>-494.57</v>
      </c>
    </row>
    <row r="18595" spans="1:4" hidden="1" x14ac:dyDescent="0.3">
      <c r="A18595" t="s">
        <v>1058</v>
      </c>
      <c r="B18595" t="s">
        <v>78</v>
      </c>
      <c r="C18595" s="1">
        <f>HYPERLINK("https://cao.dolgi.msk.ru/account/1011324953/", 1011324953)</f>
        <v>1011324953</v>
      </c>
      <c r="D18595">
        <v>-7243.73</v>
      </c>
    </row>
    <row r="18596" spans="1:4" hidden="1" x14ac:dyDescent="0.3">
      <c r="A18596" t="s">
        <v>1058</v>
      </c>
      <c r="B18596" t="s">
        <v>79</v>
      </c>
      <c r="C18596" s="1">
        <f>HYPERLINK("https://cao.dolgi.msk.ru/account/1011325569/", 1011325569)</f>
        <v>1011325569</v>
      </c>
      <c r="D18596">
        <v>0</v>
      </c>
    </row>
    <row r="18597" spans="1:4" hidden="1" x14ac:dyDescent="0.3">
      <c r="A18597" t="s">
        <v>1058</v>
      </c>
      <c r="B18597" t="s">
        <v>80</v>
      </c>
      <c r="C18597" s="1">
        <f>HYPERLINK("https://cao.dolgi.msk.ru/account/1011325235/", 1011325235)</f>
        <v>1011325235</v>
      </c>
      <c r="D18597">
        <v>-833.5</v>
      </c>
    </row>
    <row r="18598" spans="1:4" hidden="1" x14ac:dyDescent="0.3">
      <c r="A18598" t="s">
        <v>1058</v>
      </c>
      <c r="B18598" t="s">
        <v>81</v>
      </c>
      <c r="C18598" s="1">
        <f>HYPERLINK("https://cao.dolgi.msk.ru/account/1011325083/", 1011325083)</f>
        <v>1011325083</v>
      </c>
      <c r="D18598">
        <v>-2761.95</v>
      </c>
    </row>
    <row r="18599" spans="1:4" hidden="1" x14ac:dyDescent="0.3">
      <c r="A18599" t="s">
        <v>1059</v>
      </c>
      <c r="B18599" t="s">
        <v>6</v>
      </c>
      <c r="C18599" s="1">
        <f>HYPERLINK("https://cao.dolgi.msk.ru/account/1010204941/", 1010204941)</f>
        <v>1010204941</v>
      </c>
      <c r="D18599">
        <v>-5661.59</v>
      </c>
    </row>
    <row r="18600" spans="1:4" hidden="1" x14ac:dyDescent="0.3">
      <c r="A18600" t="s">
        <v>1059</v>
      </c>
      <c r="B18600" t="s">
        <v>28</v>
      </c>
      <c r="C18600" s="1">
        <f>HYPERLINK("https://cao.dolgi.msk.ru/account/1010204968/", 1010204968)</f>
        <v>1010204968</v>
      </c>
      <c r="D18600">
        <v>0</v>
      </c>
    </row>
    <row r="18601" spans="1:4" hidden="1" x14ac:dyDescent="0.3">
      <c r="A18601" t="s">
        <v>1059</v>
      </c>
      <c r="B18601" t="s">
        <v>35</v>
      </c>
      <c r="C18601" s="1">
        <f>HYPERLINK("https://cao.dolgi.msk.ru/account/1010204976/", 1010204976)</f>
        <v>1010204976</v>
      </c>
      <c r="D18601">
        <v>0</v>
      </c>
    </row>
    <row r="18602" spans="1:4" hidden="1" x14ac:dyDescent="0.3">
      <c r="A18602" t="s">
        <v>1059</v>
      </c>
      <c r="B18602" t="s">
        <v>35</v>
      </c>
      <c r="C18602" s="1">
        <f>HYPERLINK("https://cao.dolgi.msk.ru/account/1019024568/", 1019024568)</f>
        <v>1019024568</v>
      </c>
      <c r="D18602">
        <v>0</v>
      </c>
    </row>
    <row r="18603" spans="1:4" x14ac:dyDescent="0.3">
      <c r="A18603" t="s">
        <v>1059</v>
      </c>
      <c r="B18603" t="s">
        <v>35</v>
      </c>
      <c r="C18603" s="1">
        <f>HYPERLINK("https://cao.dolgi.msk.ru/account/1019024576/", 1019024576)</f>
        <v>1019024576</v>
      </c>
      <c r="D18603">
        <v>254732.76</v>
      </c>
    </row>
    <row r="18604" spans="1:4" hidden="1" x14ac:dyDescent="0.3">
      <c r="A18604" t="s">
        <v>1059</v>
      </c>
      <c r="B18604" t="s">
        <v>5</v>
      </c>
      <c r="C18604" s="1">
        <f>HYPERLINK("https://cao.dolgi.msk.ru/account/1010204984/", 1010204984)</f>
        <v>1010204984</v>
      </c>
      <c r="D18604">
        <v>-6153</v>
      </c>
    </row>
    <row r="18605" spans="1:4" x14ac:dyDescent="0.3">
      <c r="A18605" t="s">
        <v>1059</v>
      </c>
      <c r="B18605" t="s">
        <v>7</v>
      </c>
      <c r="C18605" s="1">
        <f>HYPERLINK("https://cao.dolgi.msk.ru/account/1010204992/", 1010204992)</f>
        <v>1010204992</v>
      </c>
      <c r="D18605">
        <v>157972.5</v>
      </c>
    </row>
    <row r="18606" spans="1:4" hidden="1" x14ac:dyDescent="0.3">
      <c r="A18606" t="s">
        <v>1059</v>
      </c>
      <c r="B18606" t="s">
        <v>8</v>
      </c>
      <c r="C18606" s="1">
        <f>HYPERLINK("https://cao.dolgi.msk.ru/account/1010205004/", 1010205004)</f>
        <v>1010205004</v>
      </c>
      <c r="D18606">
        <v>0</v>
      </c>
    </row>
    <row r="18607" spans="1:4" hidden="1" x14ac:dyDescent="0.3">
      <c r="A18607" t="s">
        <v>1059</v>
      </c>
      <c r="B18607" t="s">
        <v>31</v>
      </c>
      <c r="C18607" s="1">
        <f>HYPERLINK("https://cao.dolgi.msk.ru/account/1010205012/", 1010205012)</f>
        <v>1010205012</v>
      </c>
      <c r="D18607">
        <v>-145.06</v>
      </c>
    </row>
    <row r="18608" spans="1:4" hidden="1" x14ac:dyDescent="0.3">
      <c r="A18608" t="s">
        <v>1059</v>
      </c>
      <c r="B18608" t="s">
        <v>31</v>
      </c>
      <c r="C18608" s="1">
        <f>HYPERLINK("https://cao.dolgi.msk.ru/account/1011065066/", 1011065066)</f>
        <v>1011065066</v>
      </c>
      <c r="D18608">
        <v>0</v>
      </c>
    </row>
    <row r="18609" spans="1:4" x14ac:dyDescent="0.3">
      <c r="A18609" t="s">
        <v>1059</v>
      </c>
      <c r="B18609" t="s">
        <v>9</v>
      </c>
      <c r="C18609" s="1">
        <f>HYPERLINK("https://cao.dolgi.msk.ru/account/1010205039/", 1010205039)</f>
        <v>1010205039</v>
      </c>
      <c r="D18609">
        <v>8333.82</v>
      </c>
    </row>
    <row r="18610" spans="1:4" hidden="1" x14ac:dyDescent="0.3">
      <c r="A18610" t="s">
        <v>1059</v>
      </c>
      <c r="B18610" t="s">
        <v>10</v>
      </c>
      <c r="C18610" s="1">
        <f>HYPERLINK("https://cao.dolgi.msk.ru/account/1010205047/", 1010205047)</f>
        <v>1010205047</v>
      </c>
      <c r="D18610">
        <v>0</v>
      </c>
    </row>
    <row r="18611" spans="1:4" hidden="1" x14ac:dyDescent="0.3">
      <c r="A18611" t="s">
        <v>1059</v>
      </c>
      <c r="B18611" t="s">
        <v>11</v>
      </c>
      <c r="C18611" s="1">
        <f>HYPERLINK("https://cao.dolgi.msk.ru/account/1010205055/", 1010205055)</f>
        <v>1010205055</v>
      </c>
      <c r="D18611">
        <v>-832.2</v>
      </c>
    </row>
    <row r="18612" spans="1:4" hidden="1" x14ac:dyDescent="0.3">
      <c r="A18612" t="s">
        <v>1059</v>
      </c>
      <c r="B18612" t="s">
        <v>12</v>
      </c>
      <c r="C18612" s="1">
        <f>HYPERLINK("https://cao.dolgi.msk.ru/account/1010205063/", 1010205063)</f>
        <v>1010205063</v>
      </c>
      <c r="D18612">
        <v>0</v>
      </c>
    </row>
    <row r="18613" spans="1:4" hidden="1" x14ac:dyDescent="0.3">
      <c r="A18613" t="s">
        <v>1059</v>
      </c>
      <c r="B18613" t="s">
        <v>23</v>
      </c>
      <c r="C18613" s="1">
        <f>HYPERLINK("https://cao.dolgi.msk.ru/account/1010205071/", 1010205071)</f>
        <v>1010205071</v>
      </c>
      <c r="D18613">
        <v>-6184.46</v>
      </c>
    </row>
    <row r="18614" spans="1:4" hidden="1" x14ac:dyDescent="0.3">
      <c r="A18614" t="s">
        <v>1059</v>
      </c>
      <c r="B18614" t="s">
        <v>13</v>
      </c>
      <c r="C18614" s="1">
        <f>HYPERLINK("https://cao.dolgi.msk.ru/account/1010205098/", 1010205098)</f>
        <v>1010205098</v>
      </c>
      <c r="D18614">
        <v>-31.5</v>
      </c>
    </row>
    <row r="18615" spans="1:4" hidden="1" x14ac:dyDescent="0.3">
      <c r="A18615" t="s">
        <v>1059</v>
      </c>
      <c r="B18615" t="s">
        <v>14</v>
      </c>
      <c r="C18615" s="1">
        <f>HYPERLINK("https://cao.dolgi.msk.ru/account/1010205119/", 1010205119)</f>
        <v>1010205119</v>
      </c>
      <c r="D18615">
        <v>-9.1300000000000008</v>
      </c>
    </row>
    <row r="18616" spans="1:4" hidden="1" x14ac:dyDescent="0.3">
      <c r="A18616" t="s">
        <v>1059</v>
      </c>
      <c r="B18616" t="s">
        <v>16</v>
      </c>
      <c r="C18616" s="1">
        <f>HYPERLINK("https://cao.dolgi.msk.ru/account/1010205127/", 1010205127)</f>
        <v>1010205127</v>
      </c>
      <c r="D18616">
        <v>0</v>
      </c>
    </row>
    <row r="18617" spans="1:4" hidden="1" x14ac:dyDescent="0.3">
      <c r="A18617" t="s">
        <v>1059</v>
      </c>
      <c r="B18617" t="s">
        <v>17</v>
      </c>
      <c r="C18617" s="1">
        <f>HYPERLINK("https://cao.dolgi.msk.ru/account/1010205135/", 1010205135)</f>
        <v>1010205135</v>
      </c>
      <c r="D18617">
        <v>0</v>
      </c>
    </row>
    <row r="18618" spans="1:4" hidden="1" x14ac:dyDescent="0.3">
      <c r="A18618" t="s">
        <v>1059</v>
      </c>
      <c r="B18618" t="s">
        <v>18</v>
      </c>
      <c r="C18618" s="1">
        <f>HYPERLINK("https://cao.dolgi.msk.ru/account/1010205143/", 1010205143)</f>
        <v>1010205143</v>
      </c>
      <c r="D18618">
        <v>-5138.2700000000004</v>
      </c>
    </row>
    <row r="18619" spans="1:4" hidden="1" x14ac:dyDescent="0.3">
      <c r="A18619" t="s">
        <v>1059</v>
      </c>
      <c r="B18619" t="s">
        <v>19</v>
      </c>
      <c r="C18619" s="1">
        <f>HYPERLINK("https://cao.dolgi.msk.ru/account/1010205151/", 1010205151)</f>
        <v>1010205151</v>
      </c>
      <c r="D18619">
        <v>0</v>
      </c>
    </row>
    <row r="18620" spans="1:4" x14ac:dyDescent="0.3">
      <c r="A18620" t="s">
        <v>1059</v>
      </c>
      <c r="B18620" t="s">
        <v>20</v>
      </c>
      <c r="C18620" s="1">
        <f>HYPERLINK("https://cao.dolgi.msk.ru/account/1010205178/", 1010205178)</f>
        <v>1010205178</v>
      </c>
      <c r="D18620">
        <v>26199.7</v>
      </c>
    </row>
    <row r="18621" spans="1:4" hidden="1" x14ac:dyDescent="0.3">
      <c r="A18621" t="s">
        <v>1059</v>
      </c>
      <c r="B18621" t="s">
        <v>21</v>
      </c>
      <c r="C18621" s="1">
        <f>HYPERLINK("https://cao.dolgi.msk.ru/account/1010205186/", 1010205186)</f>
        <v>1010205186</v>
      </c>
      <c r="D18621">
        <v>0</v>
      </c>
    </row>
    <row r="18622" spans="1:4" hidden="1" x14ac:dyDescent="0.3">
      <c r="A18622" t="s">
        <v>1059</v>
      </c>
      <c r="B18622" t="s">
        <v>22</v>
      </c>
      <c r="C18622" s="1">
        <f>HYPERLINK("https://cao.dolgi.msk.ru/account/1010205194/", 1010205194)</f>
        <v>1010205194</v>
      </c>
      <c r="D18622">
        <v>-0.17</v>
      </c>
    </row>
    <row r="18623" spans="1:4" hidden="1" x14ac:dyDescent="0.3">
      <c r="A18623" t="s">
        <v>1059</v>
      </c>
      <c r="B18623" t="s">
        <v>24</v>
      </c>
      <c r="C18623" s="1">
        <f>HYPERLINK("https://cao.dolgi.msk.ru/account/1010205207/", 1010205207)</f>
        <v>1010205207</v>
      </c>
      <c r="D18623">
        <v>-6382.63</v>
      </c>
    </row>
    <row r="18624" spans="1:4" hidden="1" x14ac:dyDescent="0.3">
      <c r="A18624" t="s">
        <v>1059</v>
      </c>
      <c r="B18624" t="s">
        <v>25</v>
      </c>
      <c r="C18624" s="1">
        <f>HYPERLINK("https://cao.dolgi.msk.ru/account/1010205215/", 1010205215)</f>
        <v>1010205215</v>
      </c>
      <c r="D18624">
        <v>-31.19</v>
      </c>
    </row>
    <row r="18625" spans="1:4" x14ac:dyDescent="0.3">
      <c r="A18625" t="s">
        <v>1059</v>
      </c>
      <c r="B18625" t="s">
        <v>26</v>
      </c>
      <c r="C18625" s="1">
        <f>HYPERLINK("https://cao.dolgi.msk.ru/account/1010205223/", 1010205223)</f>
        <v>1010205223</v>
      </c>
      <c r="D18625">
        <v>13693.38</v>
      </c>
    </row>
    <row r="18626" spans="1:4" hidden="1" x14ac:dyDescent="0.3">
      <c r="A18626" t="s">
        <v>1059</v>
      </c>
      <c r="B18626" t="s">
        <v>27</v>
      </c>
      <c r="C18626" s="1">
        <f>HYPERLINK("https://cao.dolgi.msk.ru/account/1010205231/", 1010205231)</f>
        <v>1010205231</v>
      </c>
      <c r="D18626">
        <v>0</v>
      </c>
    </row>
    <row r="18627" spans="1:4" x14ac:dyDescent="0.3">
      <c r="A18627" t="s">
        <v>1059</v>
      </c>
      <c r="B18627" t="s">
        <v>29</v>
      </c>
      <c r="C18627" s="1">
        <f>HYPERLINK("https://cao.dolgi.msk.ru/account/1010205258/", 1010205258)</f>
        <v>1010205258</v>
      </c>
      <c r="D18627">
        <v>5605.48</v>
      </c>
    </row>
    <row r="18628" spans="1:4" x14ac:dyDescent="0.3">
      <c r="A18628" t="s">
        <v>1059</v>
      </c>
      <c r="B18628" t="s">
        <v>38</v>
      </c>
      <c r="C18628" s="1">
        <f>HYPERLINK("https://cao.dolgi.msk.ru/account/1010205274/", 1010205274)</f>
        <v>1010205274</v>
      </c>
      <c r="D18628">
        <v>9009.39</v>
      </c>
    </row>
    <row r="18629" spans="1:4" hidden="1" x14ac:dyDescent="0.3">
      <c r="A18629" t="s">
        <v>1059</v>
      </c>
      <c r="B18629" t="s">
        <v>39</v>
      </c>
      <c r="C18629" s="1">
        <f>HYPERLINK("https://cao.dolgi.msk.ru/account/1010205282/", 1010205282)</f>
        <v>1010205282</v>
      </c>
      <c r="D18629">
        <v>0</v>
      </c>
    </row>
    <row r="18630" spans="1:4" hidden="1" x14ac:dyDescent="0.3">
      <c r="A18630" t="s">
        <v>1059</v>
      </c>
      <c r="B18630" t="s">
        <v>40</v>
      </c>
      <c r="C18630" s="1">
        <f>HYPERLINK("https://cao.dolgi.msk.ru/account/1010205303/", 1010205303)</f>
        <v>1010205303</v>
      </c>
      <c r="D18630">
        <v>-3732.01</v>
      </c>
    </row>
    <row r="18631" spans="1:4" hidden="1" x14ac:dyDescent="0.3">
      <c r="A18631" t="s">
        <v>1059</v>
      </c>
      <c r="B18631" t="s">
        <v>41</v>
      </c>
      <c r="C18631" s="1">
        <f>HYPERLINK("https://cao.dolgi.msk.ru/account/1010205311/", 1010205311)</f>
        <v>1010205311</v>
      </c>
      <c r="D18631">
        <v>-230</v>
      </c>
    </row>
    <row r="18632" spans="1:4" x14ac:dyDescent="0.3">
      <c r="A18632" t="s">
        <v>1059</v>
      </c>
      <c r="B18632" t="s">
        <v>51</v>
      </c>
      <c r="C18632" s="1">
        <f>HYPERLINK("https://cao.dolgi.msk.ru/account/1010205338/", 1010205338)</f>
        <v>1010205338</v>
      </c>
      <c r="D18632">
        <v>3798.44</v>
      </c>
    </row>
    <row r="18633" spans="1:4" hidden="1" x14ac:dyDescent="0.3">
      <c r="A18633" t="s">
        <v>1059</v>
      </c>
      <c r="B18633" t="s">
        <v>52</v>
      </c>
      <c r="C18633" s="1">
        <f>HYPERLINK("https://cao.dolgi.msk.ru/account/1010205346/", 1010205346)</f>
        <v>1010205346</v>
      </c>
      <c r="D18633">
        <v>-4899.43</v>
      </c>
    </row>
    <row r="18634" spans="1:4" hidden="1" x14ac:dyDescent="0.3">
      <c r="A18634" t="s">
        <v>1059</v>
      </c>
      <c r="B18634" t="s">
        <v>53</v>
      </c>
      <c r="C18634" s="1">
        <f>HYPERLINK("https://cao.dolgi.msk.ru/account/1010205354/", 1010205354)</f>
        <v>1010205354</v>
      </c>
      <c r="D18634">
        <v>0</v>
      </c>
    </row>
    <row r="18635" spans="1:4" hidden="1" x14ac:dyDescent="0.3">
      <c r="A18635" t="s">
        <v>1059</v>
      </c>
      <c r="B18635" t="s">
        <v>54</v>
      </c>
      <c r="C18635" s="1">
        <f>HYPERLINK("https://cao.dolgi.msk.ru/account/1010205362/", 1010205362)</f>
        <v>1010205362</v>
      </c>
      <c r="D18635">
        <v>-6.78</v>
      </c>
    </row>
    <row r="18636" spans="1:4" hidden="1" x14ac:dyDescent="0.3">
      <c r="A18636" t="s">
        <v>1059</v>
      </c>
      <c r="B18636" t="s">
        <v>55</v>
      </c>
      <c r="C18636" s="1">
        <f>HYPERLINK("https://cao.dolgi.msk.ru/account/1010205389/", 1010205389)</f>
        <v>1010205389</v>
      </c>
      <c r="D18636">
        <v>-49.92</v>
      </c>
    </row>
    <row r="18637" spans="1:4" hidden="1" x14ac:dyDescent="0.3">
      <c r="A18637" t="s">
        <v>1059</v>
      </c>
      <c r="B18637" t="s">
        <v>56</v>
      </c>
      <c r="C18637" s="1">
        <f>HYPERLINK("https://cao.dolgi.msk.ru/account/1010205397/", 1010205397)</f>
        <v>1010205397</v>
      </c>
      <c r="D18637">
        <v>0</v>
      </c>
    </row>
    <row r="18638" spans="1:4" hidden="1" x14ac:dyDescent="0.3">
      <c r="A18638" t="s">
        <v>1059</v>
      </c>
      <c r="B18638" t="s">
        <v>87</v>
      </c>
      <c r="C18638" s="1">
        <f>HYPERLINK("https://cao.dolgi.msk.ru/account/1010205426/", 1010205426)</f>
        <v>1010205426</v>
      </c>
      <c r="D18638">
        <v>-141.69</v>
      </c>
    </row>
    <row r="18639" spans="1:4" hidden="1" x14ac:dyDescent="0.3">
      <c r="A18639" t="s">
        <v>1059</v>
      </c>
      <c r="B18639" t="s">
        <v>88</v>
      </c>
      <c r="C18639" s="1">
        <f>HYPERLINK("https://cao.dolgi.msk.ru/account/1010205434/", 1010205434)</f>
        <v>1010205434</v>
      </c>
      <c r="D18639">
        <v>-64</v>
      </c>
    </row>
    <row r="18640" spans="1:4" x14ac:dyDescent="0.3">
      <c r="A18640" t="s">
        <v>1059</v>
      </c>
      <c r="B18640" t="s">
        <v>89</v>
      </c>
      <c r="C18640" s="1">
        <f>HYPERLINK("https://cao.dolgi.msk.ru/account/1010205442/", 1010205442)</f>
        <v>1010205442</v>
      </c>
      <c r="D18640">
        <v>4542.3100000000004</v>
      </c>
    </row>
    <row r="18641" spans="1:4" hidden="1" x14ac:dyDescent="0.3">
      <c r="A18641" t="s">
        <v>1059</v>
      </c>
      <c r="B18641" t="s">
        <v>90</v>
      </c>
      <c r="C18641" s="1">
        <f>HYPERLINK("https://cao.dolgi.msk.ru/account/1010205469/", 1010205469)</f>
        <v>1010205469</v>
      </c>
      <c r="D18641">
        <v>-6875.44</v>
      </c>
    </row>
    <row r="18642" spans="1:4" hidden="1" x14ac:dyDescent="0.3">
      <c r="A18642" t="s">
        <v>1059</v>
      </c>
      <c r="B18642" t="s">
        <v>96</v>
      </c>
      <c r="C18642" s="1">
        <f>HYPERLINK("https://cao.dolgi.msk.ru/account/1010205477/", 1010205477)</f>
        <v>1010205477</v>
      </c>
      <c r="D18642">
        <v>-8012.14</v>
      </c>
    </row>
    <row r="18643" spans="1:4" hidden="1" x14ac:dyDescent="0.3">
      <c r="A18643" t="s">
        <v>1059</v>
      </c>
      <c r="B18643" t="s">
        <v>97</v>
      </c>
      <c r="C18643" s="1">
        <f>HYPERLINK("https://cao.dolgi.msk.ru/account/1010205485/", 1010205485)</f>
        <v>1010205485</v>
      </c>
      <c r="D18643">
        <v>0</v>
      </c>
    </row>
    <row r="18644" spans="1:4" hidden="1" x14ac:dyDescent="0.3">
      <c r="A18644" t="s">
        <v>1059</v>
      </c>
      <c r="B18644" t="s">
        <v>98</v>
      </c>
      <c r="C18644" s="1">
        <f>HYPERLINK("https://cao.dolgi.msk.ru/account/1010205493/", 1010205493)</f>
        <v>1010205493</v>
      </c>
      <c r="D18644">
        <v>-3023.21</v>
      </c>
    </row>
    <row r="18645" spans="1:4" hidden="1" x14ac:dyDescent="0.3">
      <c r="A18645" t="s">
        <v>1059</v>
      </c>
      <c r="B18645" t="s">
        <v>58</v>
      </c>
      <c r="C18645" s="1">
        <f>HYPERLINK("https://cao.dolgi.msk.ru/account/1010205506/", 1010205506)</f>
        <v>1010205506</v>
      </c>
      <c r="D18645">
        <v>-64</v>
      </c>
    </row>
    <row r="18646" spans="1:4" hidden="1" x14ac:dyDescent="0.3">
      <c r="A18646" t="s">
        <v>1059</v>
      </c>
      <c r="B18646" t="s">
        <v>59</v>
      </c>
      <c r="C18646" s="1">
        <f>HYPERLINK("https://cao.dolgi.msk.ru/account/1010205514/", 1010205514)</f>
        <v>1010205514</v>
      </c>
      <c r="D18646">
        <v>-64</v>
      </c>
    </row>
    <row r="18647" spans="1:4" hidden="1" x14ac:dyDescent="0.3">
      <c r="A18647" t="s">
        <v>1059</v>
      </c>
      <c r="B18647" t="s">
        <v>60</v>
      </c>
      <c r="C18647" s="1">
        <f>HYPERLINK("https://cao.dolgi.msk.ru/account/1010205522/", 1010205522)</f>
        <v>1010205522</v>
      </c>
      <c r="D18647">
        <v>-361.98</v>
      </c>
    </row>
    <row r="18648" spans="1:4" hidden="1" x14ac:dyDescent="0.3">
      <c r="A18648" t="s">
        <v>1059</v>
      </c>
      <c r="B18648" t="s">
        <v>61</v>
      </c>
      <c r="C18648" s="1">
        <f>HYPERLINK("https://cao.dolgi.msk.ru/account/1010205549/", 1010205549)</f>
        <v>1010205549</v>
      </c>
      <c r="D18648">
        <v>-7133.29</v>
      </c>
    </row>
    <row r="18649" spans="1:4" hidden="1" x14ac:dyDescent="0.3">
      <c r="A18649" t="s">
        <v>1059</v>
      </c>
      <c r="B18649" t="s">
        <v>62</v>
      </c>
      <c r="C18649" s="1">
        <f>HYPERLINK("https://cao.dolgi.msk.ru/account/1010205557/", 1010205557)</f>
        <v>1010205557</v>
      </c>
      <c r="D18649">
        <v>-64</v>
      </c>
    </row>
    <row r="18650" spans="1:4" hidden="1" x14ac:dyDescent="0.3">
      <c r="A18650" t="s">
        <v>1059</v>
      </c>
      <c r="B18650" t="s">
        <v>63</v>
      </c>
      <c r="C18650" s="1">
        <f>HYPERLINK("https://cao.dolgi.msk.ru/account/1010205565/", 1010205565)</f>
        <v>1010205565</v>
      </c>
      <c r="D18650">
        <v>-4097.21</v>
      </c>
    </row>
    <row r="18651" spans="1:4" hidden="1" x14ac:dyDescent="0.3">
      <c r="A18651" t="s">
        <v>1059</v>
      </c>
      <c r="B18651" t="s">
        <v>64</v>
      </c>
      <c r="C18651" s="1">
        <f>HYPERLINK("https://cao.dolgi.msk.ru/account/1010205573/", 1010205573)</f>
        <v>1010205573</v>
      </c>
      <c r="D18651">
        <v>-64</v>
      </c>
    </row>
    <row r="18652" spans="1:4" hidden="1" x14ac:dyDescent="0.3">
      <c r="A18652" t="s">
        <v>1059</v>
      </c>
      <c r="B18652" t="s">
        <v>65</v>
      </c>
      <c r="C18652" s="1">
        <f>HYPERLINK("https://cao.dolgi.msk.ru/account/1010205581/", 1010205581)</f>
        <v>1010205581</v>
      </c>
      <c r="D18652">
        <v>-5772.8</v>
      </c>
    </row>
    <row r="18653" spans="1:4" x14ac:dyDescent="0.3">
      <c r="A18653" t="s">
        <v>1059</v>
      </c>
      <c r="B18653" t="s">
        <v>66</v>
      </c>
      <c r="C18653" s="1">
        <f>HYPERLINK("https://cao.dolgi.msk.ru/account/1010205602/", 1010205602)</f>
        <v>1010205602</v>
      </c>
      <c r="D18653">
        <v>277.93</v>
      </c>
    </row>
    <row r="18654" spans="1:4" x14ac:dyDescent="0.3">
      <c r="A18654" t="s">
        <v>1059</v>
      </c>
      <c r="B18654" t="s">
        <v>67</v>
      </c>
      <c r="C18654" s="1">
        <f>HYPERLINK("https://cao.dolgi.msk.ru/account/1010205629/", 1010205629)</f>
        <v>1010205629</v>
      </c>
      <c r="D18654">
        <v>5960.59</v>
      </c>
    </row>
    <row r="18655" spans="1:4" hidden="1" x14ac:dyDescent="0.3">
      <c r="A18655" t="s">
        <v>1059</v>
      </c>
      <c r="B18655" t="s">
        <v>68</v>
      </c>
      <c r="C18655" s="1">
        <f>HYPERLINK("https://cao.dolgi.msk.ru/account/1010205637/", 1010205637)</f>
        <v>1010205637</v>
      </c>
      <c r="D18655">
        <v>-11372.25</v>
      </c>
    </row>
    <row r="18656" spans="1:4" hidden="1" x14ac:dyDescent="0.3">
      <c r="A18656" t="s">
        <v>1059</v>
      </c>
      <c r="B18656" t="s">
        <v>69</v>
      </c>
      <c r="C18656" s="1">
        <f>HYPERLINK("https://cao.dolgi.msk.ru/account/1010205645/", 1010205645)</f>
        <v>1010205645</v>
      </c>
      <c r="D18656">
        <v>-69.38</v>
      </c>
    </row>
    <row r="18657" spans="1:4" hidden="1" x14ac:dyDescent="0.3">
      <c r="A18657" t="s">
        <v>1059</v>
      </c>
      <c r="B18657" t="s">
        <v>70</v>
      </c>
      <c r="C18657" s="1">
        <f>HYPERLINK("https://cao.dolgi.msk.ru/account/1010205653/", 1010205653)</f>
        <v>1010205653</v>
      </c>
      <c r="D18657">
        <v>0</v>
      </c>
    </row>
    <row r="18658" spans="1:4" hidden="1" x14ac:dyDescent="0.3">
      <c r="A18658" t="s">
        <v>1059</v>
      </c>
      <c r="B18658" t="s">
        <v>259</v>
      </c>
      <c r="C18658" s="1">
        <f>HYPERLINK("https://cao.dolgi.msk.ru/account/1010205688/", 1010205688)</f>
        <v>1010205688</v>
      </c>
      <c r="D18658">
        <v>-1439.38</v>
      </c>
    </row>
    <row r="18659" spans="1:4" hidden="1" x14ac:dyDescent="0.3">
      <c r="A18659" t="s">
        <v>1059</v>
      </c>
      <c r="B18659" t="s">
        <v>100</v>
      </c>
      <c r="C18659" s="1">
        <f>HYPERLINK("https://cao.dolgi.msk.ru/account/1010205696/", 1010205696)</f>
        <v>1010205696</v>
      </c>
      <c r="D18659">
        <v>-64</v>
      </c>
    </row>
    <row r="18660" spans="1:4" hidden="1" x14ac:dyDescent="0.3">
      <c r="A18660" t="s">
        <v>1059</v>
      </c>
      <c r="B18660" t="s">
        <v>72</v>
      </c>
      <c r="C18660" s="1">
        <f>HYPERLINK("https://cao.dolgi.msk.ru/account/1010205709/", 1010205709)</f>
        <v>1010205709</v>
      </c>
      <c r="D18660">
        <v>-64</v>
      </c>
    </row>
    <row r="18661" spans="1:4" hidden="1" x14ac:dyDescent="0.3">
      <c r="A18661" t="s">
        <v>1059</v>
      </c>
      <c r="B18661" t="s">
        <v>73</v>
      </c>
      <c r="C18661" s="1">
        <f>HYPERLINK("https://cao.dolgi.msk.ru/account/1010205717/", 1010205717)</f>
        <v>1010205717</v>
      </c>
      <c r="D18661">
        <v>-3445.69</v>
      </c>
    </row>
    <row r="18662" spans="1:4" hidden="1" x14ac:dyDescent="0.3">
      <c r="A18662" t="s">
        <v>1059</v>
      </c>
      <c r="B18662" t="s">
        <v>74</v>
      </c>
      <c r="C18662" s="1">
        <f>HYPERLINK("https://cao.dolgi.msk.ru/account/1010205725/", 1010205725)</f>
        <v>1010205725</v>
      </c>
      <c r="D18662">
        <v>-3274.32</v>
      </c>
    </row>
    <row r="18663" spans="1:4" hidden="1" x14ac:dyDescent="0.3">
      <c r="A18663" t="s">
        <v>1059</v>
      </c>
      <c r="B18663" t="s">
        <v>75</v>
      </c>
      <c r="C18663" s="1">
        <f>HYPERLINK("https://cao.dolgi.msk.ru/account/1010205733/", 1010205733)</f>
        <v>1010205733</v>
      </c>
      <c r="D18663">
        <v>-8472.0300000000007</v>
      </c>
    </row>
    <row r="18664" spans="1:4" hidden="1" x14ac:dyDescent="0.3">
      <c r="A18664" t="s">
        <v>1059</v>
      </c>
      <c r="B18664" t="s">
        <v>76</v>
      </c>
      <c r="C18664" s="1">
        <f>HYPERLINK("https://cao.dolgi.msk.ru/account/1010205741/", 1010205741)</f>
        <v>1010205741</v>
      </c>
      <c r="D18664">
        <v>-85.55</v>
      </c>
    </row>
    <row r="18665" spans="1:4" hidden="1" x14ac:dyDescent="0.3">
      <c r="A18665" t="s">
        <v>1059</v>
      </c>
      <c r="B18665" t="s">
        <v>77</v>
      </c>
      <c r="C18665" s="1">
        <f>HYPERLINK("https://cao.dolgi.msk.ru/account/1010205776/", 1010205776)</f>
        <v>1010205776</v>
      </c>
      <c r="D18665">
        <v>0</v>
      </c>
    </row>
    <row r="18666" spans="1:4" x14ac:dyDescent="0.3">
      <c r="A18666" t="s">
        <v>1059</v>
      </c>
      <c r="B18666" t="s">
        <v>78</v>
      </c>
      <c r="C18666" s="1">
        <f>HYPERLINK("https://cao.dolgi.msk.ru/account/1010205784/", 1010205784)</f>
        <v>1010205784</v>
      </c>
      <c r="D18666">
        <v>4491.2700000000004</v>
      </c>
    </row>
    <row r="18667" spans="1:4" hidden="1" x14ac:dyDescent="0.3">
      <c r="A18667" t="s">
        <v>1059</v>
      </c>
      <c r="B18667" t="s">
        <v>79</v>
      </c>
      <c r="C18667" s="1">
        <f>HYPERLINK("https://cao.dolgi.msk.ru/account/1010205792/", 1010205792)</f>
        <v>1010205792</v>
      </c>
      <c r="D18667">
        <v>-160.94</v>
      </c>
    </row>
    <row r="18668" spans="1:4" hidden="1" x14ac:dyDescent="0.3">
      <c r="A18668" t="s">
        <v>1059</v>
      </c>
      <c r="B18668" t="s">
        <v>79</v>
      </c>
      <c r="C18668" s="1">
        <f>HYPERLINK("https://cao.dolgi.msk.ru/account/1011130737/", 1011130737)</f>
        <v>1011130737</v>
      </c>
      <c r="D18668">
        <v>0</v>
      </c>
    </row>
    <row r="18669" spans="1:4" hidden="1" x14ac:dyDescent="0.3">
      <c r="A18669" t="s">
        <v>1059</v>
      </c>
      <c r="B18669" t="s">
        <v>80</v>
      </c>
      <c r="C18669" s="1">
        <f>HYPERLINK("https://cao.dolgi.msk.ru/account/1010205805/", 1010205805)</f>
        <v>1010205805</v>
      </c>
      <c r="D18669">
        <v>-2636.32</v>
      </c>
    </row>
    <row r="18670" spans="1:4" hidden="1" x14ac:dyDescent="0.3">
      <c r="A18670" t="s">
        <v>1059</v>
      </c>
      <c r="B18670" t="s">
        <v>81</v>
      </c>
      <c r="C18670" s="1">
        <f>HYPERLINK("https://cao.dolgi.msk.ru/account/1010205813/", 1010205813)</f>
        <v>1010205813</v>
      </c>
      <c r="D18670">
        <v>-64.989999999999995</v>
      </c>
    </row>
    <row r="18671" spans="1:4" hidden="1" x14ac:dyDescent="0.3">
      <c r="A18671" t="s">
        <v>1059</v>
      </c>
      <c r="B18671" t="s">
        <v>101</v>
      </c>
      <c r="C18671" s="1">
        <f>HYPERLINK("https://cao.dolgi.msk.ru/account/1010205821/", 1010205821)</f>
        <v>1010205821</v>
      </c>
      <c r="D18671">
        <v>-5996.83</v>
      </c>
    </row>
    <row r="18672" spans="1:4" hidden="1" x14ac:dyDescent="0.3">
      <c r="A18672" t="s">
        <v>1059</v>
      </c>
      <c r="B18672" t="s">
        <v>82</v>
      </c>
      <c r="C18672" s="1">
        <f>HYPERLINK("https://cao.dolgi.msk.ru/account/1010205848/", 1010205848)</f>
        <v>1010205848</v>
      </c>
      <c r="D18672">
        <v>-64</v>
      </c>
    </row>
    <row r="18673" spans="1:4" hidden="1" x14ac:dyDescent="0.3">
      <c r="A18673" t="s">
        <v>1059</v>
      </c>
      <c r="B18673" t="s">
        <v>83</v>
      </c>
      <c r="C18673" s="1">
        <f>HYPERLINK("https://cao.dolgi.msk.ru/account/1010205856/", 1010205856)</f>
        <v>1010205856</v>
      </c>
      <c r="D18673">
        <v>-175.28</v>
      </c>
    </row>
    <row r="18674" spans="1:4" hidden="1" x14ac:dyDescent="0.3">
      <c r="A18674" t="s">
        <v>1059</v>
      </c>
      <c r="B18674" t="s">
        <v>84</v>
      </c>
      <c r="C18674" s="1">
        <f>HYPERLINK("https://cao.dolgi.msk.ru/account/1010205864/", 1010205864)</f>
        <v>1010205864</v>
      </c>
      <c r="D18674">
        <v>0</v>
      </c>
    </row>
    <row r="18675" spans="1:4" x14ac:dyDescent="0.3">
      <c r="A18675" t="s">
        <v>1059</v>
      </c>
      <c r="B18675" t="s">
        <v>85</v>
      </c>
      <c r="C18675" s="1">
        <f>HYPERLINK("https://cao.dolgi.msk.ru/account/1010205872/", 1010205872)</f>
        <v>1010205872</v>
      </c>
      <c r="D18675">
        <v>18386.009999999998</v>
      </c>
    </row>
    <row r="18676" spans="1:4" hidden="1" x14ac:dyDescent="0.3">
      <c r="A18676" t="s">
        <v>1059</v>
      </c>
      <c r="B18676" t="s">
        <v>102</v>
      </c>
      <c r="C18676" s="1">
        <f>HYPERLINK("https://cao.dolgi.msk.ru/account/1010205899/", 1010205899)</f>
        <v>1010205899</v>
      </c>
      <c r="D18676">
        <v>0</v>
      </c>
    </row>
    <row r="18677" spans="1:4" hidden="1" x14ac:dyDescent="0.3">
      <c r="A18677" t="s">
        <v>1059</v>
      </c>
      <c r="B18677" t="s">
        <v>103</v>
      </c>
      <c r="C18677" s="1">
        <f>HYPERLINK("https://cao.dolgi.msk.ru/account/1010205901/", 1010205901)</f>
        <v>1010205901</v>
      </c>
      <c r="D18677">
        <v>0</v>
      </c>
    </row>
    <row r="18678" spans="1:4" hidden="1" x14ac:dyDescent="0.3">
      <c r="A18678" t="s">
        <v>1059</v>
      </c>
      <c r="B18678" t="s">
        <v>104</v>
      </c>
      <c r="C18678" s="1">
        <f>HYPERLINK("https://cao.dolgi.msk.ru/account/1010205928/", 1010205928)</f>
        <v>1010205928</v>
      </c>
      <c r="D18678">
        <v>0</v>
      </c>
    </row>
    <row r="18679" spans="1:4" hidden="1" x14ac:dyDescent="0.3">
      <c r="A18679" t="s">
        <v>1059</v>
      </c>
      <c r="B18679" t="s">
        <v>105</v>
      </c>
      <c r="C18679" s="1">
        <f>HYPERLINK("https://cao.dolgi.msk.ru/account/1010205936/", 1010205936)</f>
        <v>1010205936</v>
      </c>
      <c r="D18679">
        <v>0</v>
      </c>
    </row>
    <row r="18680" spans="1:4" hidden="1" x14ac:dyDescent="0.3">
      <c r="A18680" t="s">
        <v>1059</v>
      </c>
      <c r="B18680" t="s">
        <v>106</v>
      </c>
      <c r="C18680" s="1">
        <f>HYPERLINK("https://cao.dolgi.msk.ru/account/1010205944/", 1010205944)</f>
        <v>1010205944</v>
      </c>
      <c r="D18680">
        <v>0</v>
      </c>
    </row>
    <row r="18681" spans="1:4" x14ac:dyDescent="0.3">
      <c r="A18681" t="s">
        <v>1059</v>
      </c>
      <c r="B18681" t="s">
        <v>107</v>
      </c>
      <c r="C18681" s="1">
        <f>HYPERLINK("https://cao.dolgi.msk.ru/account/1010205979/", 1010205979)</f>
        <v>1010205979</v>
      </c>
      <c r="D18681">
        <v>6800.98</v>
      </c>
    </row>
    <row r="18682" spans="1:4" hidden="1" x14ac:dyDescent="0.3">
      <c r="A18682" t="s">
        <v>1059</v>
      </c>
      <c r="B18682" t="s">
        <v>108</v>
      </c>
      <c r="C18682" s="1">
        <f>HYPERLINK("https://cao.dolgi.msk.ru/account/1010205987/", 1010205987)</f>
        <v>1010205987</v>
      </c>
      <c r="D18682">
        <v>-254.45</v>
      </c>
    </row>
    <row r="18683" spans="1:4" hidden="1" x14ac:dyDescent="0.3">
      <c r="A18683" t="s">
        <v>1059</v>
      </c>
      <c r="B18683" t="s">
        <v>109</v>
      </c>
      <c r="C18683" s="1">
        <f>HYPERLINK("https://cao.dolgi.msk.ru/account/1010205995/", 1010205995)</f>
        <v>1010205995</v>
      </c>
      <c r="D18683">
        <v>0</v>
      </c>
    </row>
    <row r="18684" spans="1:4" hidden="1" x14ac:dyDescent="0.3">
      <c r="A18684" t="s">
        <v>1059</v>
      </c>
      <c r="B18684" t="s">
        <v>110</v>
      </c>
      <c r="C18684" s="1">
        <f>HYPERLINK("https://cao.dolgi.msk.ru/account/1010206007/", 1010206007)</f>
        <v>1010206007</v>
      </c>
      <c r="D18684">
        <v>-5311.02</v>
      </c>
    </row>
    <row r="18685" spans="1:4" hidden="1" x14ac:dyDescent="0.3">
      <c r="A18685" t="s">
        <v>1059</v>
      </c>
      <c r="B18685" t="s">
        <v>111</v>
      </c>
      <c r="C18685" s="1">
        <f>HYPERLINK("https://cao.dolgi.msk.ru/account/1010206015/", 1010206015)</f>
        <v>1010206015</v>
      </c>
      <c r="D18685">
        <v>-7347.23</v>
      </c>
    </row>
    <row r="18686" spans="1:4" hidden="1" x14ac:dyDescent="0.3">
      <c r="A18686" t="s">
        <v>1059</v>
      </c>
      <c r="B18686" t="s">
        <v>112</v>
      </c>
      <c r="C18686" s="1">
        <f>HYPERLINK("https://cao.dolgi.msk.ru/account/1010206023/", 1010206023)</f>
        <v>1010206023</v>
      </c>
      <c r="D18686">
        <v>0</v>
      </c>
    </row>
    <row r="18687" spans="1:4" hidden="1" x14ac:dyDescent="0.3">
      <c r="A18687" t="s">
        <v>1059</v>
      </c>
      <c r="B18687" t="s">
        <v>113</v>
      </c>
      <c r="C18687" s="1">
        <f>HYPERLINK("https://cao.dolgi.msk.ru/account/1010206031/", 1010206031)</f>
        <v>1010206031</v>
      </c>
      <c r="D18687">
        <v>-6459.75</v>
      </c>
    </row>
    <row r="18688" spans="1:4" hidden="1" x14ac:dyDescent="0.3">
      <c r="A18688" t="s">
        <v>1059</v>
      </c>
      <c r="B18688" t="s">
        <v>114</v>
      </c>
      <c r="C18688" s="1">
        <f>HYPERLINK("https://cao.dolgi.msk.ru/account/1010206058/", 1010206058)</f>
        <v>1010206058</v>
      </c>
      <c r="D18688">
        <v>-22.42</v>
      </c>
    </row>
    <row r="18689" spans="1:4" x14ac:dyDescent="0.3">
      <c r="A18689" t="s">
        <v>1059</v>
      </c>
      <c r="B18689" t="s">
        <v>115</v>
      </c>
      <c r="C18689" s="1">
        <f>HYPERLINK("https://cao.dolgi.msk.ru/account/1010206066/", 1010206066)</f>
        <v>1010206066</v>
      </c>
      <c r="D18689">
        <v>13338.05</v>
      </c>
    </row>
    <row r="18690" spans="1:4" hidden="1" x14ac:dyDescent="0.3">
      <c r="A18690" t="s">
        <v>1059</v>
      </c>
      <c r="B18690" t="s">
        <v>116</v>
      </c>
      <c r="C18690" s="1">
        <f>HYPERLINK("https://cao.dolgi.msk.ru/account/1010206074/", 1010206074)</f>
        <v>1010206074</v>
      </c>
      <c r="D18690">
        <v>0</v>
      </c>
    </row>
    <row r="18691" spans="1:4" x14ac:dyDescent="0.3">
      <c r="A18691" t="s">
        <v>1059</v>
      </c>
      <c r="B18691" t="s">
        <v>266</v>
      </c>
      <c r="C18691" s="1">
        <f>HYPERLINK("https://cao.dolgi.msk.ru/account/1010206082/", 1010206082)</f>
        <v>1010206082</v>
      </c>
      <c r="D18691">
        <v>22829.67</v>
      </c>
    </row>
    <row r="18692" spans="1:4" x14ac:dyDescent="0.3">
      <c r="A18692" t="s">
        <v>1059</v>
      </c>
      <c r="B18692" t="s">
        <v>266</v>
      </c>
      <c r="C18692" s="1">
        <f>HYPERLINK("https://cao.dolgi.msk.ru/account/1019020591/", 1019020591)</f>
        <v>1019020591</v>
      </c>
      <c r="D18692">
        <v>19409.37</v>
      </c>
    </row>
    <row r="18693" spans="1:4" x14ac:dyDescent="0.3">
      <c r="A18693" t="s">
        <v>1059</v>
      </c>
      <c r="B18693" t="s">
        <v>117</v>
      </c>
      <c r="C18693" s="1">
        <f>HYPERLINK("https://cao.dolgi.msk.ru/account/1010206103/", 1010206103)</f>
        <v>1010206103</v>
      </c>
      <c r="D18693">
        <v>3309.98</v>
      </c>
    </row>
    <row r="18694" spans="1:4" x14ac:dyDescent="0.3">
      <c r="A18694" t="s">
        <v>1059</v>
      </c>
      <c r="B18694" t="s">
        <v>118</v>
      </c>
      <c r="C18694" s="1">
        <f>HYPERLINK("https://cao.dolgi.msk.ru/account/1010206111/", 1010206111)</f>
        <v>1010206111</v>
      </c>
      <c r="D18694">
        <v>49312.85</v>
      </c>
    </row>
    <row r="18695" spans="1:4" hidden="1" x14ac:dyDescent="0.3">
      <c r="A18695" t="s">
        <v>1059</v>
      </c>
      <c r="B18695" t="s">
        <v>119</v>
      </c>
      <c r="C18695" s="1">
        <f>HYPERLINK("https://cao.dolgi.msk.ru/account/1010206138/", 1010206138)</f>
        <v>1010206138</v>
      </c>
      <c r="D18695">
        <v>-8223.61</v>
      </c>
    </row>
    <row r="18696" spans="1:4" hidden="1" x14ac:dyDescent="0.3">
      <c r="A18696" t="s">
        <v>1059</v>
      </c>
      <c r="B18696" t="s">
        <v>120</v>
      </c>
      <c r="C18696" s="1">
        <f>HYPERLINK("https://cao.dolgi.msk.ru/account/1010206146/", 1010206146)</f>
        <v>1010206146</v>
      </c>
      <c r="D18696">
        <v>0</v>
      </c>
    </row>
    <row r="18697" spans="1:4" x14ac:dyDescent="0.3">
      <c r="A18697" t="s">
        <v>1059</v>
      </c>
      <c r="B18697" t="s">
        <v>121</v>
      </c>
      <c r="C18697" s="1">
        <f>HYPERLINK("https://cao.dolgi.msk.ru/account/1010206154/", 1010206154)</f>
        <v>1010206154</v>
      </c>
      <c r="D18697">
        <v>22730.99</v>
      </c>
    </row>
    <row r="18698" spans="1:4" hidden="1" x14ac:dyDescent="0.3">
      <c r="A18698" t="s">
        <v>1059</v>
      </c>
      <c r="B18698" t="s">
        <v>122</v>
      </c>
      <c r="C18698" s="1">
        <f>HYPERLINK("https://cao.dolgi.msk.ru/account/1010206162/", 1010206162)</f>
        <v>1010206162</v>
      </c>
      <c r="D18698">
        <v>-6854.01</v>
      </c>
    </row>
    <row r="18699" spans="1:4" hidden="1" x14ac:dyDescent="0.3">
      <c r="A18699" t="s">
        <v>1059</v>
      </c>
      <c r="B18699" t="s">
        <v>123</v>
      </c>
      <c r="C18699" s="1">
        <f>HYPERLINK("https://cao.dolgi.msk.ru/account/1010206189/", 1010206189)</f>
        <v>1010206189</v>
      </c>
      <c r="D18699">
        <v>0</v>
      </c>
    </row>
    <row r="18700" spans="1:4" hidden="1" x14ac:dyDescent="0.3">
      <c r="A18700" t="s">
        <v>1059</v>
      </c>
      <c r="B18700" t="s">
        <v>124</v>
      </c>
      <c r="C18700" s="1">
        <f>HYPERLINK("https://cao.dolgi.msk.ru/account/1010206197/", 1010206197)</f>
        <v>1010206197</v>
      </c>
      <c r="D18700">
        <v>-26398.49</v>
      </c>
    </row>
    <row r="18701" spans="1:4" hidden="1" x14ac:dyDescent="0.3">
      <c r="A18701" t="s">
        <v>1059</v>
      </c>
      <c r="B18701" t="s">
        <v>125</v>
      </c>
      <c r="C18701" s="1">
        <f>HYPERLINK("https://cao.dolgi.msk.ru/account/1010206218/", 1010206218)</f>
        <v>1010206218</v>
      </c>
      <c r="D18701">
        <v>-724.23</v>
      </c>
    </row>
    <row r="18702" spans="1:4" hidden="1" x14ac:dyDescent="0.3">
      <c r="A18702" t="s">
        <v>1059</v>
      </c>
      <c r="B18702" t="s">
        <v>126</v>
      </c>
      <c r="C18702" s="1">
        <f>HYPERLINK("https://cao.dolgi.msk.ru/account/1010206226/", 1010206226)</f>
        <v>1010206226</v>
      </c>
      <c r="D18702">
        <v>-9340.33</v>
      </c>
    </row>
    <row r="18703" spans="1:4" hidden="1" x14ac:dyDescent="0.3">
      <c r="A18703" t="s">
        <v>1059</v>
      </c>
      <c r="B18703" t="s">
        <v>127</v>
      </c>
      <c r="C18703" s="1">
        <f>HYPERLINK("https://cao.dolgi.msk.ru/account/1010206234/", 1010206234)</f>
        <v>1010206234</v>
      </c>
      <c r="D18703">
        <v>0</v>
      </c>
    </row>
    <row r="18704" spans="1:4" hidden="1" x14ac:dyDescent="0.3">
      <c r="A18704" t="s">
        <v>1059</v>
      </c>
      <c r="B18704" t="s">
        <v>262</v>
      </c>
      <c r="C18704" s="1">
        <f>HYPERLINK("https://cao.dolgi.msk.ru/account/1010206242/", 1010206242)</f>
        <v>1010206242</v>
      </c>
      <c r="D18704">
        <v>0</v>
      </c>
    </row>
    <row r="18705" spans="1:4" hidden="1" x14ac:dyDescent="0.3">
      <c r="A18705" t="s">
        <v>1059</v>
      </c>
      <c r="B18705" t="s">
        <v>128</v>
      </c>
      <c r="C18705" s="1">
        <f>HYPERLINK("https://cao.dolgi.msk.ru/account/1010206269/", 1010206269)</f>
        <v>1010206269</v>
      </c>
      <c r="D18705">
        <v>-70.75</v>
      </c>
    </row>
    <row r="18706" spans="1:4" hidden="1" x14ac:dyDescent="0.3">
      <c r="A18706" t="s">
        <v>1059</v>
      </c>
      <c r="B18706" t="s">
        <v>129</v>
      </c>
      <c r="C18706" s="1">
        <f>HYPERLINK("https://cao.dolgi.msk.ru/account/1010206277/", 1010206277)</f>
        <v>1010206277</v>
      </c>
      <c r="D18706">
        <v>-11.12</v>
      </c>
    </row>
    <row r="18707" spans="1:4" hidden="1" x14ac:dyDescent="0.3">
      <c r="A18707" t="s">
        <v>1059</v>
      </c>
      <c r="B18707" t="s">
        <v>130</v>
      </c>
      <c r="C18707" s="1">
        <f>HYPERLINK("https://cao.dolgi.msk.ru/account/1010206285/", 1010206285)</f>
        <v>1010206285</v>
      </c>
      <c r="D18707">
        <v>-32.46</v>
      </c>
    </row>
    <row r="18708" spans="1:4" hidden="1" x14ac:dyDescent="0.3">
      <c r="A18708" t="s">
        <v>1059</v>
      </c>
      <c r="B18708" t="s">
        <v>131</v>
      </c>
      <c r="C18708" s="1">
        <f>HYPERLINK("https://cao.dolgi.msk.ru/account/1010206306/", 1010206306)</f>
        <v>1010206306</v>
      </c>
      <c r="D18708">
        <v>0</v>
      </c>
    </row>
    <row r="18709" spans="1:4" hidden="1" x14ac:dyDescent="0.3">
      <c r="A18709" t="s">
        <v>1059</v>
      </c>
      <c r="B18709" t="s">
        <v>132</v>
      </c>
      <c r="C18709" s="1">
        <f>HYPERLINK("https://cao.dolgi.msk.ru/account/1010206314/", 1010206314)</f>
        <v>1010206314</v>
      </c>
      <c r="D18709">
        <v>0</v>
      </c>
    </row>
    <row r="18710" spans="1:4" hidden="1" x14ac:dyDescent="0.3">
      <c r="A18710" t="s">
        <v>1059</v>
      </c>
      <c r="B18710" t="s">
        <v>133</v>
      </c>
      <c r="C18710" s="1">
        <f>HYPERLINK("https://cao.dolgi.msk.ru/account/1010206322/", 1010206322)</f>
        <v>1010206322</v>
      </c>
      <c r="D18710">
        <v>-6432.12</v>
      </c>
    </row>
    <row r="18711" spans="1:4" hidden="1" x14ac:dyDescent="0.3">
      <c r="A18711" t="s">
        <v>1059</v>
      </c>
      <c r="B18711" t="s">
        <v>134</v>
      </c>
      <c r="C18711" s="1">
        <f>HYPERLINK("https://cao.dolgi.msk.ru/account/1010206349/", 1010206349)</f>
        <v>1010206349</v>
      </c>
      <c r="D18711">
        <v>0</v>
      </c>
    </row>
    <row r="18712" spans="1:4" x14ac:dyDescent="0.3">
      <c r="A18712" t="s">
        <v>1059</v>
      </c>
      <c r="B18712" t="s">
        <v>135</v>
      </c>
      <c r="C18712" s="1">
        <f>HYPERLINK("https://cao.dolgi.msk.ru/account/1010206357/", 1010206357)</f>
        <v>1010206357</v>
      </c>
      <c r="D18712">
        <v>17769.45</v>
      </c>
    </row>
    <row r="18713" spans="1:4" hidden="1" x14ac:dyDescent="0.3">
      <c r="A18713" t="s">
        <v>1059</v>
      </c>
      <c r="B18713" t="s">
        <v>264</v>
      </c>
      <c r="C18713" s="1">
        <f>HYPERLINK("https://cao.dolgi.msk.ru/account/1010206365/", 1010206365)</f>
        <v>1010206365</v>
      </c>
      <c r="D18713">
        <v>-7121.62</v>
      </c>
    </row>
    <row r="18714" spans="1:4" x14ac:dyDescent="0.3">
      <c r="A18714" t="s">
        <v>1059</v>
      </c>
      <c r="B18714" t="s">
        <v>136</v>
      </c>
      <c r="C18714" s="1">
        <f>HYPERLINK("https://cao.dolgi.msk.ru/account/1010206373/", 1010206373)</f>
        <v>1010206373</v>
      </c>
      <c r="D18714">
        <v>1160.08</v>
      </c>
    </row>
    <row r="18715" spans="1:4" hidden="1" x14ac:dyDescent="0.3">
      <c r="A18715" t="s">
        <v>1059</v>
      </c>
      <c r="B18715" t="s">
        <v>137</v>
      </c>
      <c r="C18715" s="1">
        <f>HYPERLINK("https://cao.dolgi.msk.ru/account/1010206381/", 1010206381)</f>
        <v>1010206381</v>
      </c>
      <c r="D18715">
        <v>-2702.12</v>
      </c>
    </row>
    <row r="18716" spans="1:4" hidden="1" x14ac:dyDescent="0.3">
      <c r="A18716" t="s">
        <v>1059</v>
      </c>
      <c r="B18716" t="s">
        <v>138</v>
      </c>
      <c r="C18716" s="1">
        <f>HYPERLINK("https://cao.dolgi.msk.ru/account/1010206402/", 1010206402)</f>
        <v>1010206402</v>
      </c>
      <c r="D18716">
        <v>0</v>
      </c>
    </row>
    <row r="18717" spans="1:4" hidden="1" x14ac:dyDescent="0.3">
      <c r="A18717" t="s">
        <v>1059</v>
      </c>
      <c r="B18717" t="s">
        <v>139</v>
      </c>
      <c r="C18717" s="1">
        <f>HYPERLINK("https://cao.dolgi.msk.ru/account/1010206429/", 1010206429)</f>
        <v>1010206429</v>
      </c>
      <c r="D18717">
        <v>-64</v>
      </c>
    </row>
    <row r="18718" spans="1:4" hidden="1" x14ac:dyDescent="0.3">
      <c r="A18718" t="s">
        <v>1059</v>
      </c>
      <c r="B18718" t="s">
        <v>140</v>
      </c>
      <c r="C18718" s="1">
        <f>HYPERLINK("https://cao.dolgi.msk.ru/account/1010206437/", 1010206437)</f>
        <v>1010206437</v>
      </c>
      <c r="D18718">
        <v>-5391.56</v>
      </c>
    </row>
    <row r="18719" spans="1:4" hidden="1" x14ac:dyDescent="0.3">
      <c r="A18719" t="s">
        <v>1059</v>
      </c>
      <c r="B18719" t="s">
        <v>141</v>
      </c>
      <c r="C18719" s="1">
        <f>HYPERLINK("https://cao.dolgi.msk.ru/account/1010206445/", 1010206445)</f>
        <v>1010206445</v>
      </c>
      <c r="D18719">
        <v>-5137.9799999999996</v>
      </c>
    </row>
    <row r="18720" spans="1:4" hidden="1" x14ac:dyDescent="0.3">
      <c r="A18720" t="s">
        <v>1059</v>
      </c>
      <c r="B18720" t="s">
        <v>142</v>
      </c>
      <c r="C18720" s="1">
        <f>HYPERLINK("https://cao.dolgi.msk.ru/account/1010206453/", 1010206453)</f>
        <v>1010206453</v>
      </c>
      <c r="D18720">
        <v>-257.87</v>
      </c>
    </row>
    <row r="18721" spans="1:4" hidden="1" x14ac:dyDescent="0.3">
      <c r="A18721" t="s">
        <v>1059</v>
      </c>
      <c r="B18721" t="s">
        <v>143</v>
      </c>
      <c r="C18721" s="1">
        <f>HYPERLINK("https://cao.dolgi.msk.ru/account/1010206461/", 1010206461)</f>
        <v>1010206461</v>
      </c>
      <c r="D18721">
        <v>-64</v>
      </c>
    </row>
    <row r="18722" spans="1:4" hidden="1" x14ac:dyDescent="0.3">
      <c r="A18722" t="s">
        <v>1059</v>
      </c>
      <c r="B18722" t="s">
        <v>144</v>
      </c>
      <c r="C18722" s="1">
        <f>HYPERLINK("https://cao.dolgi.msk.ru/account/1010206488/", 1010206488)</f>
        <v>1010206488</v>
      </c>
      <c r="D18722">
        <v>-117.9</v>
      </c>
    </row>
    <row r="18723" spans="1:4" hidden="1" x14ac:dyDescent="0.3">
      <c r="A18723" t="s">
        <v>1059</v>
      </c>
      <c r="B18723" t="s">
        <v>145</v>
      </c>
      <c r="C18723" s="1">
        <f>HYPERLINK("https://cao.dolgi.msk.ru/account/1010206496/", 1010206496)</f>
        <v>1010206496</v>
      </c>
      <c r="D18723">
        <v>0</v>
      </c>
    </row>
    <row r="18724" spans="1:4" hidden="1" x14ac:dyDescent="0.3">
      <c r="A18724" t="s">
        <v>1059</v>
      </c>
      <c r="B18724" t="s">
        <v>146</v>
      </c>
      <c r="C18724" s="1">
        <f>HYPERLINK("https://cao.dolgi.msk.ru/account/1010206509/", 1010206509)</f>
        <v>1010206509</v>
      </c>
      <c r="D18724">
        <v>-64</v>
      </c>
    </row>
    <row r="18725" spans="1:4" x14ac:dyDescent="0.3">
      <c r="A18725" t="s">
        <v>1059</v>
      </c>
      <c r="B18725" t="s">
        <v>147</v>
      </c>
      <c r="C18725" s="1">
        <f>HYPERLINK("https://cao.dolgi.msk.ru/account/1010206517/", 1010206517)</f>
        <v>1010206517</v>
      </c>
      <c r="D18725">
        <v>8299.77</v>
      </c>
    </row>
    <row r="18726" spans="1:4" x14ac:dyDescent="0.3">
      <c r="A18726" t="s">
        <v>1059</v>
      </c>
      <c r="B18726" t="s">
        <v>148</v>
      </c>
      <c r="C18726" s="1">
        <f>HYPERLINK("https://cao.dolgi.msk.ru/account/1010206525/", 1010206525)</f>
        <v>1010206525</v>
      </c>
      <c r="D18726">
        <v>369.28</v>
      </c>
    </row>
    <row r="18727" spans="1:4" hidden="1" x14ac:dyDescent="0.3">
      <c r="A18727" t="s">
        <v>1059</v>
      </c>
      <c r="B18727" t="s">
        <v>149</v>
      </c>
      <c r="C18727" s="1">
        <f>HYPERLINK("https://cao.dolgi.msk.ru/account/1010206533/", 1010206533)</f>
        <v>1010206533</v>
      </c>
      <c r="D18727">
        <v>-64</v>
      </c>
    </row>
    <row r="18728" spans="1:4" hidden="1" x14ac:dyDescent="0.3">
      <c r="A18728" t="s">
        <v>1059</v>
      </c>
      <c r="B18728" t="s">
        <v>150</v>
      </c>
      <c r="C18728" s="1">
        <f>HYPERLINK("https://cao.dolgi.msk.ru/account/1010206541/", 1010206541)</f>
        <v>1010206541</v>
      </c>
      <c r="D18728">
        <v>-6196.92</v>
      </c>
    </row>
    <row r="18729" spans="1:4" hidden="1" x14ac:dyDescent="0.3">
      <c r="A18729" t="s">
        <v>1059</v>
      </c>
      <c r="B18729" t="s">
        <v>151</v>
      </c>
      <c r="C18729" s="1">
        <f>HYPERLINK("https://cao.dolgi.msk.ru/account/1010206568/", 1010206568)</f>
        <v>1010206568</v>
      </c>
      <c r="D18729">
        <v>-64</v>
      </c>
    </row>
    <row r="18730" spans="1:4" hidden="1" x14ac:dyDescent="0.3">
      <c r="A18730" t="s">
        <v>1059</v>
      </c>
      <c r="B18730" t="s">
        <v>152</v>
      </c>
      <c r="C18730" s="1">
        <f>HYPERLINK("https://cao.dolgi.msk.ru/account/1010206576/", 1010206576)</f>
        <v>1010206576</v>
      </c>
      <c r="D18730">
        <v>-573</v>
      </c>
    </row>
    <row r="18731" spans="1:4" hidden="1" x14ac:dyDescent="0.3">
      <c r="A18731" t="s">
        <v>1059</v>
      </c>
      <c r="B18731" t="s">
        <v>152</v>
      </c>
      <c r="C18731" s="1">
        <f>HYPERLINK("https://cao.dolgi.msk.ru/account/1011027502/", 1011027502)</f>
        <v>1011027502</v>
      </c>
      <c r="D18731">
        <v>0</v>
      </c>
    </row>
    <row r="18732" spans="1:4" hidden="1" x14ac:dyDescent="0.3">
      <c r="A18732" t="s">
        <v>1059</v>
      </c>
      <c r="B18732" t="s">
        <v>153</v>
      </c>
      <c r="C18732" s="1">
        <f>HYPERLINK("https://cao.dolgi.msk.ru/account/1010206584/", 1010206584)</f>
        <v>1010206584</v>
      </c>
      <c r="D18732">
        <v>-4708.1400000000003</v>
      </c>
    </row>
    <row r="18733" spans="1:4" hidden="1" x14ac:dyDescent="0.3">
      <c r="A18733" t="s">
        <v>1059</v>
      </c>
      <c r="B18733" t="s">
        <v>154</v>
      </c>
      <c r="C18733" s="1">
        <f>HYPERLINK("https://cao.dolgi.msk.ru/account/1010206592/", 1010206592)</f>
        <v>1010206592</v>
      </c>
      <c r="D18733">
        <v>-4989.3900000000003</v>
      </c>
    </row>
    <row r="18734" spans="1:4" hidden="1" x14ac:dyDescent="0.3">
      <c r="A18734" t="s">
        <v>1059</v>
      </c>
      <c r="B18734" t="s">
        <v>155</v>
      </c>
      <c r="C18734" s="1">
        <f>HYPERLINK("https://cao.dolgi.msk.ru/account/1010206605/", 1010206605)</f>
        <v>1010206605</v>
      </c>
      <c r="D18734">
        <v>0</v>
      </c>
    </row>
    <row r="18735" spans="1:4" hidden="1" x14ac:dyDescent="0.3">
      <c r="A18735" t="s">
        <v>1059</v>
      </c>
      <c r="B18735" t="s">
        <v>156</v>
      </c>
      <c r="C18735" s="1">
        <f>HYPERLINK("https://cao.dolgi.msk.ru/account/1010206613/", 1010206613)</f>
        <v>1010206613</v>
      </c>
      <c r="D18735">
        <v>-606.89</v>
      </c>
    </row>
    <row r="18736" spans="1:4" hidden="1" x14ac:dyDescent="0.3">
      <c r="A18736" t="s">
        <v>1059</v>
      </c>
      <c r="B18736" t="s">
        <v>157</v>
      </c>
      <c r="C18736" s="1">
        <f>HYPERLINK("https://cao.dolgi.msk.ru/account/1010206621/", 1010206621)</f>
        <v>1010206621</v>
      </c>
      <c r="D18736">
        <v>0</v>
      </c>
    </row>
    <row r="18737" spans="1:4" hidden="1" x14ac:dyDescent="0.3">
      <c r="A18737" t="s">
        <v>1059</v>
      </c>
      <c r="B18737" t="s">
        <v>158</v>
      </c>
      <c r="C18737" s="1">
        <f>HYPERLINK("https://cao.dolgi.msk.ru/account/1010206648/", 1010206648)</f>
        <v>1010206648</v>
      </c>
      <c r="D18737">
        <v>-5697.1</v>
      </c>
    </row>
    <row r="18738" spans="1:4" x14ac:dyDescent="0.3">
      <c r="A18738" t="s">
        <v>1059</v>
      </c>
      <c r="B18738" t="s">
        <v>159</v>
      </c>
      <c r="C18738" s="1">
        <f>HYPERLINK("https://cao.dolgi.msk.ru/account/1010206664/", 1010206664)</f>
        <v>1010206664</v>
      </c>
      <c r="D18738">
        <v>11861.54</v>
      </c>
    </row>
    <row r="18739" spans="1:4" hidden="1" x14ac:dyDescent="0.3">
      <c r="A18739" t="s">
        <v>1059</v>
      </c>
      <c r="B18739" t="s">
        <v>160</v>
      </c>
      <c r="C18739" s="1">
        <f>HYPERLINK("https://cao.dolgi.msk.ru/account/1010206672/", 1010206672)</f>
        <v>1010206672</v>
      </c>
      <c r="D18739">
        <v>-14035.47</v>
      </c>
    </row>
    <row r="18740" spans="1:4" hidden="1" x14ac:dyDescent="0.3">
      <c r="A18740" t="s">
        <v>1059</v>
      </c>
      <c r="B18740" t="s">
        <v>161</v>
      </c>
      <c r="C18740" s="1">
        <f>HYPERLINK("https://cao.dolgi.msk.ru/account/1010206699/", 1010206699)</f>
        <v>1010206699</v>
      </c>
      <c r="D18740">
        <v>0</v>
      </c>
    </row>
    <row r="18741" spans="1:4" x14ac:dyDescent="0.3">
      <c r="A18741" t="s">
        <v>1059</v>
      </c>
      <c r="B18741" t="s">
        <v>162</v>
      </c>
      <c r="C18741" s="1">
        <f>HYPERLINK("https://cao.dolgi.msk.ru/account/1011127765/", 1011127765)</f>
        <v>1011127765</v>
      </c>
      <c r="D18741">
        <v>17444.13</v>
      </c>
    </row>
    <row r="18742" spans="1:4" x14ac:dyDescent="0.3">
      <c r="A18742" t="s">
        <v>1059</v>
      </c>
      <c r="B18742" t="s">
        <v>163</v>
      </c>
      <c r="C18742" s="1">
        <f>HYPERLINK("https://cao.dolgi.msk.ru/account/1010206728/", 1010206728)</f>
        <v>1010206728</v>
      </c>
      <c r="D18742">
        <v>5693.27</v>
      </c>
    </row>
    <row r="18743" spans="1:4" hidden="1" x14ac:dyDescent="0.3">
      <c r="A18743" t="s">
        <v>1059</v>
      </c>
      <c r="B18743" t="s">
        <v>164</v>
      </c>
      <c r="C18743" s="1">
        <f>HYPERLINK("https://cao.dolgi.msk.ru/account/1010206736/", 1010206736)</f>
        <v>1010206736</v>
      </c>
      <c r="D18743">
        <v>-3.2</v>
      </c>
    </row>
    <row r="18744" spans="1:4" hidden="1" x14ac:dyDescent="0.3">
      <c r="A18744" t="s">
        <v>1059</v>
      </c>
      <c r="B18744" t="s">
        <v>165</v>
      </c>
      <c r="C18744" s="1">
        <f>HYPERLINK("https://cao.dolgi.msk.ru/account/1010206744/", 1010206744)</f>
        <v>1010206744</v>
      </c>
      <c r="D18744">
        <v>-64</v>
      </c>
    </row>
    <row r="18745" spans="1:4" hidden="1" x14ac:dyDescent="0.3">
      <c r="A18745" t="s">
        <v>1059</v>
      </c>
      <c r="B18745" t="s">
        <v>166</v>
      </c>
      <c r="C18745" s="1">
        <f>HYPERLINK("https://cao.dolgi.msk.ru/account/1010206752/", 1010206752)</f>
        <v>1010206752</v>
      </c>
      <c r="D18745">
        <v>-64</v>
      </c>
    </row>
    <row r="18746" spans="1:4" hidden="1" x14ac:dyDescent="0.3">
      <c r="A18746" t="s">
        <v>1059</v>
      </c>
      <c r="B18746" t="s">
        <v>167</v>
      </c>
      <c r="C18746" s="1">
        <f>HYPERLINK("https://cao.dolgi.msk.ru/account/1010206779/", 1010206779)</f>
        <v>1010206779</v>
      </c>
      <c r="D18746">
        <v>-33520.83</v>
      </c>
    </row>
    <row r="18747" spans="1:4" x14ac:dyDescent="0.3">
      <c r="A18747" t="s">
        <v>1059</v>
      </c>
      <c r="B18747" t="s">
        <v>168</v>
      </c>
      <c r="C18747" s="1">
        <f>HYPERLINK("https://cao.dolgi.msk.ru/account/1010206787/", 1010206787)</f>
        <v>1010206787</v>
      </c>
      <c r="D18747">
        <v>42035.85</v>
      </c>
    </row>
    <row r="18748" spans="1:4" hidden="1" x14ac:dyDescent="0.3">
      <c r="A18748" t="s">
        <v>1059</v>
      </c>
      <c r="B18748" t="s">
        <v>169</v>
      </c>
      <c r="C18748" s="1">
        <f>HYPERLINK("https://cao.dolgi.msk.ru/account/1010206795/", 1010206795)</f>
        <v>1010206795</v>
      </c>
      <c r="D18748">
        <v>-34.76</v>
      </c>
    </row>
    <row r="18749" spans="1:4" hidden="1" x14ac:dyDescent="0.3">
      <c r="A18749" t="s">
        <v>1060</v>
      </c>
      <c r="B18749" t="s">
        <v>7</v>
      </c>
      <c r="C18749" s="1">
        <f>HYPERLINK("https://cao.dolgi.msk.ru/account/1010223114/", 1010223114)</f>
        <v>1010223114</v>
      </c>
      <c r="D18749">
        <v>0</v>
      </c>
    </row>
    <row r="18750" spans="1:4" hidden="1" x14ac:dyDescent="0.3">
      <c r="A18750" t="s">
        <v>1060</v>
      </c>
      <c r="B18750" t="s">
        <v>8</v>
      </c>
      <c r="C18750" s="1">
        <f>HYPERLINK("https://cao.dolgi.msk.ru/account/1010223157/", 1010223157)</f>
        <v>1010223157</v>
      </c>
      <c r="D18750">
        <v>-91.82</v>
      </c>
    </row>
    <row r="18751" spans="1:4" hidden="1" x14ac:dyDescent="0.3">
      <c r="A18751" t="s">
        <v>1060</v>
      </c>
      <c r="B18751" t="s">
        <v>8</v>
      </c>
      <c r="C18751" s="1">
        <f>HYPERLINK("https://cao.dolgi.msk.ru/account/1011011957/", 1011011957)</f>
        <v>1011011957</v>
      </c>
      <c r="D18751">
        <v>-3333.22</v>
      </c>
    </row>
    <row r="18752" spans="1:4" hidden="1" x14ac:dyDescent="0.3">
      <c r="A18752" t="s">
        <v>1060</v>
      </c>
      <c r="B18752" t="s">
        <v>8</v>
      </c>
      <c r="C18752" s="1">
        <f>HYPERLINK("https://cao.dolgi.msk.ru/account/1011504268/", 1011504268)</f>
        <v>1011504268</v>
      </c>
      <c r="D18752">
        <v>-2822.57</v>
      </c>
    </row>
    <row r="18753" spans="1:4" hidden="1" x14ac:dyDescent="0.3">
      <c r="A18753" t="s">
        <v>1060</v>
      </c>
      <c r="B18753" t="s">
        <v>8</v>
      </c>
      <c r="C18753" s="1">
        <f>HYPERLINK("https://cao.dolgi.msk.ru/account/1011504276/", 1011504276)</f>
        <v>1011504276</v>
      </c>
      <c r="D18753">
        <v>-2822.57</v>
      </c>
    </row>
    <row r="18754" spans="1:4" hidden="1" x14ac:dyDescent="0.3">
      <c r="A18754" t="s">
        <v>1060</v>
      </c>
      <c r="B18754" t="s">
        <v>8</v>
      </c>
      <c r="C18754" s="1">
        <f>HYPERLINK("https://cao.dolgi.msk.ru/account/1011504284/", 1011504284)</f>
        <v>1011504284</v>
      </c>
      <c r="D18754">
        <v>0</v>
      </c>
    </row>
    <row r="18755" spans="1:4" hidden="1" x14ac:dyDescent="0.3">
      <c r="A18755" t="s">
        <v>1060</v>
      </c>
      <c r="B18755" t="s">
        <v>9</v>
      </c>
      <c r="C18755" s="1">
        <f>HYPERLINK("https://cao.dolgi.msk.ru/account/1010223173/", 1010223173)</f>
        <v>1010223173</v>
      </c>
      <c r="D18755">
        <v>-665.12</v>
      </c>
    </row>
    <row r="18756" spans="1:4" hidden="1" x14ac:dyDescent="0.3">
      <c r="A18756" t="s">
        <v>1060</v>
      </c>
      <c r="B18756" t="s">
        <v>9</v>
      </c>
      <c r="C18756" s="1">
        <f>HYPERLINK("https://cao.dolgi.msk.ru/account/1010223181/", 1010223181)</f>
        <v>1010223181</v>
      </c>
      <c r="D18756">
        <v>-1.1399999999999999</v>
      </c>
    </row>
    <row r="18757" spans="1:4" hidden="1" x14ac:dyDescent="0.3">
      <c r="A18757" t="s">
        <v>1060</v>
      </c>
      <c r="B18757" t="s">
        <v>10</v>
      </c>
      <c r="C18757" s="1">
        <f>HYPERLINK("https://cao.dolgi.msk.ru/account/1010223237/", 1010223237)</f>
        <v>1010223237</v>
      </c>
      <c r="D18757">
        <v>-2503.73</v>
      </c>
    </row>
    <row r="18758" spans="1:4" hidden="1" x14ac:dyDescent="0.3">
      <c r="A18758" t="s">
        <v>1060</v>
      </c>
      <c r="B18758" t="s">
        <v>10</v>
      </c>
      <c r="C18758" s="1">
        <f>HYPERLINK("https://cao.dolgi.msk.ru/account/1011013952/", 1011013952)</f>
        <v>1011013952</v>
      </c>
      <c r="D18758">
        <v>-2473.23</v>
      </c>
    </row>
    <row r="18759" spans="1:4" hidden="1" x14ac:dyDescent="0.3">
      <c r="A18759" t="s">
        <v>1061</v>
      </c>
      <c r="B18759" t="s">
        <v>6</v>
      </c>
      <c r="C18759" s="1">
        <f>HYPERLINK("https://cao.dolgi.msk.ru/account/1011069593/", 1011069593)</f>
        <v>1011069593</v>
      </c>
      <c r="D18759">
        <v>0</v>
      </c>
    </row>
    <row r="18760" spans="1:4" hidden="1" x14ac:dyDescent="0.3">
      <c r="A18760" t="s">
        <v>1061</v>
      </c>
      <c r="B18760" t="s">
        <v>28</v>
      </c>
      <c r="C18760" s="1">
        <f>HYPERLINK("https://cao.dolgi.msk.ru/account/1011069622/", 1011069622)</f>
        <v>1011069622</v>
      </c>
      <c r="D18760">
        <v>0</v>
      </c>
    </row>
    <row r="18761" spans="1:4" hidden="1" x14ac:dyDescent="0.3">
      <c r="A18761" t="s">
        <v>1061</v>
      </c>
      <c r="B18761" t="s">
        <v>35</v>
      </c>
      <c r="C18761" s="1">
        <f>HYPERLINK("https://cao.dolgi.msk.ru/account/1011069649/", 1011069649)</f>
        <v>1011069649</v>
      </c>
      <c r="D18761">
        <v>0</v>
      </c>
    </row>
    <row r="18762" spans="1:4" hidden="1" x14ac:dyDescent="0.3">
      <c r="A18762" t="s">
        <v>1061</v>
      </c>
      <c r="B18762" t="s">
        <v>5</v>
      </c>
      <c r="C18762" s="1">
        <f>HYPERLINK("https://cao.dolgi.msk.ru/account/1011069657/", 1011069657)</f>
        <v>1011069657</v>
      </c>
      <c r="D18762">
        <v>0</v>
      </c>
    </row>
    <row r="18763" spans="1:4" hidden="1" x14ac:dyDescent="0.3">
      <c r="A18763" t="s">
        <v>1061</v>
      </c>
      <c r="B18763" t="s">
        <v>7</v>
      </c>
      <c r="C18763" s="1">
        <f>HYPERLINK("https://cao.dolgi.msk.ru/account/1011069606/", 1011069606)</f>
        <v>1011069606</v>
      </c>
      <c r="D18763">
        <v>0</v>
      </c>
    </row>
    <row r="18764" spans="1:4" hidden="1" x14ac:dyDescent="0.3">
      <c r="A18764" t="s">
        <v>1061</v>
      </c>
      <c r="B18764" t="s">
        <v>8</v>
      </c>
      <c r="C18764" s="1">
        <f>HYPERLINK("https://cao.dolgi.msk.ru/account/1011069614/", 1011069614)</f>
        <v>1011069614</v>
      </c>
      <c r="D18764">
        <v>0</v>
      </c>
    </row>
    <row r="18765" spans="1:4" hidden="1" x14ac:dyDescent="0.3">
      <c r="A18765" t="s">
        <v>1061</v>
      </c>
      <c r="B18765" t="s">
        <v>31</v>
      </c>
      <c r="C18765" s="1">
        <f>HYPERLINK("https://cao.dolgi.msk.ru/account/1011069665/", 1011069665)</f>
        <v>1011069665</v>
      </c>
      <c r="D18765">
        <v>0</v>
      </c>
    </row>
    <row r="18766" spans="1:4" hidden="1" x14ac:dyDescent="0.3">
      <c r="A18766" t="s">
        <v>1061</v>
      </c>
      <c r="B18766" t="s">
        <v>9</v>
      </c>
      <c r="C18766" s="1">
        <f>HYPERLINK("https://cao.dolgi.msk.ru/account/1011069673/", 1011069673)</f>
        <v>1011069673</v>
      </c>
      <c r="D18766">
        <v>0</v>
      </c>
    </row>
    <row r="18767" spans="1:4" hidden="1" x14ac:dyDescent="0.3">
      <c r="A18767" t="s">
        <v>1062</v>
      </c>
      <c r="B18767" t="s">
        <v>27</v>
      </c>
      <c r="C18767" s="1">
        <f>HYPERLINK("https://cao.dolgi.msk.ru/account/1010221207/", 1010221207)</f>
        <v>1010221207</v>
      </c>
      <c r="D18767">
        <v>0</v>
      </c>
    </row>
    <row r="18768" spans="1:4" hidden="1" x14ac:dyDescent="0.3">
      <c r="A18768" t="s">
        <v>1062</v>
      </c>
      <c r="B18768" t="s">
        <v>27</v>
      </c>
      <c r="C18768" s="1">
        <f>HYPERLINK("https://cao.dolgi.msk.ru/account/1010223245/", 1010223245)</f>
        <v>1010223245</v>
      </c>
      <c r="D18768">
        <v>-11.02</v>
      </c>
    </row>
    <row r="18769" spans="1:4" hidden="1" x14ac:dyDescent="0.3">
      <c r="A18769" t="s">
        <v>1062</v>
      </c>
      <c r="B18769" t="s">
        <v>27</v>
      </c>
      <c r="C18769" s="1">
        <f>HYPERLINK("https://cao.dolgi.msk.ru/account/1010223261/", 1010223261)</f>
        <v>1010223261</v>
      </c>
      <c r="D18769">
        <v>-60.46</v>
      </c>
    </row>
    <row r="18770" spans="1:4" hidden="1" x14ac:dyDescent="0.3">
      <c r="A18770" t="s">
        <v>1062</v>
      </c>
      <c r="B18770" t="s">
        <v>27</v>
      </c>
      <c r="C18770" s="1">
        <f>HYPERLINK("https://cao.dolgi.msk.ru/account/1010223413/", 1010223413)</f>
        <v>1010223413</v>
      </c>
      <c r="D18770">
        <v>-2333.67</v>
      </c>
    </row>
    <row r="18771" spans="1:4" hidden="1" x14ac:dyDescent="0.3">
      <c r="A18771" t="s">
        <v>1062</v>
      </c>
      <c r="B18771" t="s">
        <v>29</v>
      </c>
      <c r="C18771" s="1">
        <f>HYPERLINK("https://cao.dolgi.msk.ru/account/1011511054/", 1011511054)</f>
        <v>1011511054</v>
      </c>
      <c r="D18771">
        <v>-17851.12</v>
      </c>
    </row>
    <row r="18772" spans="1:4" hidden="1" x14ac:dyDescent="0.3">
      <c r="A18772" t="s">
        <v>1062</v>
      </c>
      <c r="B18772" t="s">
        <v>38</v>
      </c>
      <c r="C18772" s="1">
        <f>HYPERLINK("https://cao.dolgi.msk.ru/account/1011514124/", 1011514124)</f>
        <v>1011514124</v>
      </c>
      <c r="D18772">
        <v>0</v>
      </c>
    </row>
    <row r="18773" spans="1:4" hidden="1" x14ac:dyDescent="0.3">
      <c r="A18773" t="s">
        <v>1062</v>
      </c>
      <c r="B18773" t="s">
        <v>39</v>
      </c>
      <c r="C18773" s="1">
        <f>HYPERLINK("https://cao.dolgi.msk.ru/account/1011541763/", 1011541763)</f>
        <v>1011541763</v>
      </c>
      <c r="D18773">
        <v>0</v>
      </c>
    </row>
    <row r="18774" spans="1:4" hidden="1" x14ac:dyDescent="0.3">
      <c r="A18774" t="s">
        <v>1062</v>
      </c>
      <c r="B18774" t="s">
        <v>40</v>
      </c>
      <c r="C18774" s="1">
        <f>HYPERLINK("https://cao.dolgi.msk.ru/account/1010223333/", 1010223333)</f>
        <v>1010223333</v>
      </c>
      <c r="D18774">
        <v>-4539.66</v>
      </c>
    </row>
    <row r="18775" spans="1:4" x14ac:dyDescent="0.3">
      <c r="A18775" t="s">
        <v>1062</v>
      </c>
      <c r="B18775" t="s">
        <v>40</v>
      </c>
      <c r="C18775" s="1">
        <f>HYPERLINK("https://cao.dolgi.msk.ru/account/1010223421/", 1010223421)</f>
        <v>1010223421</v>
      </c>
      <c r="D18775">
        <v>2705.04</v>
      </c>
    </row>
    <row r="18776" spans="1:4" hidden="1" x14ac:dyDescent="0.3">
      <c r="A18776" t="s">
        <v>1062</v>
      </c>
      <c r="B18776" t="s">
        <v>40</v>
      </c>
      <c r="C18776" s="1">
        <f>HYPERLINK("https://cao.dolgi.msk.ru/account/1011089228/", 1011089228)</f>
        <v>1011089228</v>
      </c>
      <c r="D18776">
        <v>0</v>
      </c>
    </row>
    <row r="18777" spans="1:4" hidden="1" x14ac:dyDescent="0.3">
      <c r="A18777" t="s">
        <v>1062</v>
      </c>
      <c r="B18777" t="s">
        <v>40</v>
      </c>
      <c r="C18777" s="1">
        <f>HYPERLINK("https://cao.dolgi.msk.ru/account/1011110533/", 1011110533)</f>
        <v>1011110533</v>
      </c>
      <c r="D18777">
        <v>0</v>
      </c>
    </row>
    <row r="18778" spans="1:4" hidden="1" x14ac:dyDescent="0.3">
      <c r="A18778" t="s">
        <v>1062</v>
      </c>
      <c r="B18778" t="s">
        <v>41</v>
      </c>
      <c r="C18778" s="1">
        <f>HYPERLINK("https://cao.dolgi.msk.ru/account/1010223376/", 1010223376)</f>
        <v>1010223376</v>
      </c>
      <c r="D18778">
        <v>0</v>
      </c>
    </row>
    <row r="18779" spans="1:4" hidden="1" x14ac:dyDescent="0.3">
      <c r="A18779" t="s">
        <v>1063</v>
      </c>
      <c r="B18779" t="s">
        <v>6</v>
      </c>
      <c r="C18779" s="1">
        <f>HYPERLINK("https://cao.dolgi.msk.ru/account/1010272143/", 1010272143)</f>
        <v>1010272143</v>
      </c>
      <c r="D18779">
        <v>-996.9</v>
      </c>
    </row>
    <row r="18780" spans="1:4" x14ac:dyDescent="0.3">
      <c r="A18780" t="s">
        <v>1063</v>
      </c>
      <c r="B18780" t="s">
        <v>28</v>
      </c>
      <c r="C18780" s="1">
        <f>HYPERLINK("https://cao.dolgi.msk.ru/account/1010272186/", 1010272186)</f>
        <v>1010272186</v>
      </c>
      <c r="D18780">
        <v>19399.89</v>
      </c>
    </row>
    <row r="18781" spans="1:4" hidden="1" x14ac:dyDescent="0.3">
      <c r="A18781" t="s">
        <v>1063</v>
      </c>
      <c r="B18781" t="s">
        <v>35</v>
      </c>
      <c r="C18781" s="1">
        <f>HYPERLINK("https://cao.dolgi.msk.ru/account/1010272194/", 1010272194)</f>
        <v>1010272194</v>
      </c>
      <c r="D18781">
        <v>0</v>
      </c>
    </row>
    <row r="18782" spans="1:4" hidden="1" x14ac:dyDescent="0.3">
      <c r="A18782" t="s">
        <v>1063</v>
      </c>
      <c r="B18782" t="s">
        <v>5</v>
      </c>
      <c r="C18782" s="1">
        <f>HYPERLINK("https://cao.dolgi.msk.ru/account/1010272207/", 1010272207)</f>
        <v>1010272207</v>
      </c>
      <c r="D18782">
        <v>0</v>
      </c>
    </row>
    <row r="18783" spans="1:4" hidden="1" x14ac:dyDescent="0.3">
      <c r="A18783" t="s">
        <v>1063</v>
      </c>
      <c r="B18783" t="s">
        <v>7</v>
      </c>
      <c r="C18783" s="1">
        <f>HYPERLINK("https://cao.dolgi.msk.ru/account/1010272215/", 1010272215)</f>
        <v>1010272215</v>
      </c>
      <c r="D18783">
        <v>-18730.23</v>
      </c>
    </row>
    <row r="18784" spans="1:4" hidden="1" x14ac:dyDescent="0.3">
      <c r="A18784" t="s">
        <v>1063</v>
      </c>
      <c r="B18784" t="s">
        <v>8</v>
      </c>
      <c r="C18784" s="1">
        <f>HYPERLINK("https://cao.dolgi.msk.ru/account/1010272223/", 1010272223)</f>
        <v>1010272223</v>
      </c>
      <c r="D18784">
        <v>-15523.64</v>
      </c>
    </row>
    <row r="18785" spans="1:4" hidden="1" x14ac:dyDescent="0.3">
      <c r="A18785" t="s">
        <v>1063</v>
      </c>
      <c r="B18785" t="s">
        <v>31</v>
      </c>
      <c r="C18785" s="1">
        <f>HYPERLINK("https://cao.dolgi.msk.ru/account/1010272231/", 1010272231)</f>
        <v>1010272231</v>
      </c>
      <c r="D18785">
        <v>0</v>
      </c>
    </row>
    <row r="18786" spans="1:4" x14ac:dyDescent="0.3">
      <c r="A18786" t="s">
        <v>1063</v>
      </c>
      <c r="B18786" t="s">
        <v>9</v>
      </c>
      <c r="C18786" s="1">
        <f>HYPERLINK("https://cao.dolgi.msk.ru/account/1010272258/", 1010272258)</f>
        <v>1010272258</v>
      </c>
      <c r="D18786">
        <v>64</v>
      </c>
    </row>
    <row r="18787" spans="1:4" hidden="1" x14ac:dyDescent="0.3">
      <c r="A18787" t="s">
        <v>1063</v>
      </c>
      <c r="B18787" t="s">
        <v>10</v>
      </c>
      <c r="C18787" s="1">
        <f>HYPERLINK("https://cao.dolgi.msk.ru/account/1010272266/", 1010272266)</f>
        <v>1010272266</v>
      </c>
      <c r="D18787">
        <v>0</v>
      </c>
    </row>
    <row r="18788" spans="1:4" hidden="1" x14ac:dyDescent="0.3">
      <c r="A18788" t="s">
        <v>1063</v>
      </c>
      <c r="B18788" t="s">
        <v>11</v>
      </c>
      <c r="C18788" s="1">
        <f>HYPERLINK("https://cao.dolgi.msk.ru/account/1010272274/", 1010272274)</f>
        <v>1010272274</v>
      </c>
      <c r="D18788">
        <v>0</v>
      </c>
    </row>
    <row r="18789" spans="1:4" x14ac:dyDescent="0.3">
      <c r="A18789" t="s">
        <v>1063</v>
      </c>
      <c r="B18789" t="s">
        <v>12</v>
      </c>
      <c r="C18789" s="1">
        <f>HYPERLINK("https://cao.dolgi.msk.ru/account/1010272282/", 1010272282)</f>
        <v>1010272282</v>
      </c>
      <c r="D18789">
        <v>27943.21</v>
      </c>
    </row>
    <row r="18790" spans="1:4" x14ac:dyDescent="0.3">
      <c r="A18790" t="s">
        <v>1063</v>
      </c>
      <c r="B18790" t="s">
        <v>23</v>
      </c>
      <c r="C18790" s="1">
        <f>HYPERLINK("https://cao.dolgi.msk.ru/account/1010272303/", 1010272303)</f>
        <v>1010272303</v>
      </c>
      <c r="D18790">
        <v>34508.339999999997</v>
      </c>
    </row>
    <row r="18791" spans="1:4" x14ac:dyDescent="0.3">
      <c r="A18791" t="s">
        <v>1063</v>
      </c>
      <c r="B18791" t="s">
        <v>13</v>
      </c>
      <c r="C18791" s="1">
        <f>HYPERLINK("https://cao.dolgi.msk.ru/account/1010272311/", 1010272311)</f>
        <v>1010272311</v>
      </c>
      <c r="D18791">
        <v>23450.82</v>
      </c>
    </row>
    <row r="18792" spans="1:4" hidden="1" x14ac:dyDescent="0.3">
      <c r="A18792" t="s">
        <v>1063</v>
      </c>
      <c r="B18792" t="s">
        <v>14</v>
      </c>
      <c r="C18792" s="1">
        <f>HYPERLINK("https://cao.dolgi.msk.ru/account/1010272338/", 1010272338)</f>
        <v>1010272338</v>
      </c>
      <c r="D18792">
        <v>-8390.9</v>
      </c>
    </row>
    <row r="18793" spans="1:4" hidden="1" x14ac:dyDescent="0.3">
      <c r="A18793" t="s">
        <v>1063</v>
      </c>
      <c r="B18793" t="s">
        <v>16</v>
      </c>
      <c r="C18793" s="1">
        <f>HYPERLINK("https://cao.dolgi.msk.ru/account/1010272346/", 1010272346)</f>
        <v>1010272346</v>
      </c>
      <c r="D18793">
        <v>0</v>
      </c>
    </row>
    <row r="18794" spans="1:4" x14ac:dyDescent="0.3">
      <c r="A18794" t="s">
        <v>1063</v>
      </c>
      <c r="B18794" t="s">
        <v>17</v>
      </c>
      <c r="C18794" s="1">
        <f>HYPERLINK("https://cao.dolgi.msk.ru/account/1010272354/", 1010272354)</f>
        <v>1010272354</v>
      </c>
      <c r="D18794">
        <v>158704.20000000001</v>
      </c>
    </row>
    <row r="18795" spans="1:4" x14ac:dyDescent="0.3">
      <c r="A18795" t="s">
        <v>1063</v>
      </c>
      <c r="B18795" t="s">
        <v>18</v>
      </c>
      <c r="C18795" s="1">
        <f>HYPERLINK("https://cao.dolgi.msk.ru/account/1010272362/", 1010272362)</f>
        <v>1010272362</v>
      </c>
      <c r="D18795">
        <v>10988.04</v>
      </c>
    </row>
    <row r="18796" spans="1:4" hidden="1" x14ac:dyDescent="0.3">
      <c r="A18796" t="s">
        <v>1063</v>
      </c>
      <c r="B18796" t="s">
        <v>19</v>
      </c>
      <c r="C18796" s="1">
        <f>HYPERLINK("https://cao.dolgi.msk.ru/account/1010272389/", 1010272389)</f>
        <v>1010272389</v>
      </c>
      <c r="D18796">
        <v>0</v>
      </c>
    </row>
    <row r="18797" spans="1:4" hidden="1" x14ac:dyDescent="0.3">
      <c r="A18797" t="s">
        <v>1063</v>
      </c>
      <c r="B18797" t="s">
        <v>20</v>
      </c>
      <c r="C18797" s="1">
        <f>HYPERLINK("https://cao.dolgi.msk.ru/account/1010272397/", 1010272397)</f>
        <v>1010272397</v>
      </c>
      <c r="D18797">
        <v>0</v>
      </c>
    </row>
    <row r="18798" spans="1:4" hidden="1" x14ac:dyDescent="0.3">
      <c r="A18798" t="s">
        <v>1063</v>
      </c>
      <c r="B18798" t="s">
        <v>21</v>
      </c>
      <c r="C18798" s="1">
        <f>HYPERLINK("https://cao.dolgi.msk.ru/account/1010272418/", 1010272418)</f>
        <v>1010272418</v>
      </c>
      <c r="D18798">
        <v>-18253.93</v>
      </c>
    </row>
    <row r="18799" spans="1:4" hidden="1" x14ac:dyDescent="0.3">
      <c r="A18799" t="s">
        <v>1063</v>
      </c>
      <c r="B18799" t="s">
        <v>22</v>
      </c>
      <c r="C18799" s="1">
        <f>HYPERLINK("https://cao.dolgi.msk.ru/account/1010272426/", 1010272426)</f>
        <v>1010272426</v>
      </c>
      <c r="D18799">
        <v>0</v>
      </c>
    </row>
    <row r="18800" spans="1:4" hidden="1" x14ac:dyDescent="0.3">
      <c r="A18800" t="s">
        <v>1063</v>
      </c>
      <c r="B18800" t="s">
        <v>24</v>
      </c>
      <c r="C18800" s="1">
        <f>HYPERLINK("https://cao.dolgi.msk.ru/account/1010272434/", 1010272434)</f>
        <v>1010272434</v>
      </c>
      <c r="D18800">
        <v>0</v>
      </c>
    </row>
    <row r="18801" spans="1:4" hidden="1" x14ac:dyDescent="0.3">
      <c r="A18801" t="s">
        <v>1063</v>
      </c>
      <c r="B18801" t="s">
        <v>25</v>
      </c>
      <c r="C18801" s="1">
        <f>HYPERLINK("https://cao.dolgi.msk.ru/account/1010272442/", 1010272442)</f>
        <v>1010272442</v>
      </c>
      <c r="D18801">
        <v>0</v>
      </c>
    </row>
    <row r="18802" spans="1:4" x14ac:dyDescent="0.3">
      <c r="A18802" t="s">
        <v>1063</v>
      </c>
      <c r="B18802" t="s">
        <v>26</v>
      </c>
      <c r="C18802" s="1">
        <f>HYPERLINK("https://cao.dolgi.msk.ru/account/1010272469/", 1010272469)</f>
        <v>1010272469</v>
      </c>
      <c r="D18802">
        <v>57154.15</v>
      </c>
    </row>
    <row r="18803" spans="1:4" hidden="1" x14ac:dyDescent="0.3">
      <c r="A18803" t="s">
        <v>1063</v>
      </c>
      <c r="B18803" t="s">
        <v>27</v>
      </c>
      <c r="C18803" s="1">
        <f>HYPERLINK("https://cao.dolgi.msk.ru/account/1010272477/", 1010272477)</f>
        <v>1010272477</v>
      </c>
      <c r="D18803">
        <v>-6421.63</v>
      </c>
    </row>
    <row r="18804" spans="1:4" hidden="1" x14ac:dyDescent="0.3">
      <c r="A18804" t="s">
        <v>1063</v>
      </c>
      <c r="B18804" t="s">
        <v>29</v>
      </c>
      <c r="C18804" s="1">
        <f>HYPERLINK("https://cao.dolgi.msk.ru/account/1010272485/", 1010272485)</f>
        <v>1010272485</v>
      </c>
      <c r="D18804">
        <v>-6442.01</v>
      </c>
    </row>
    <row r="18805" spans="1:4" hidden="1" x14ac:dyDescent="0.3">
      <c r="A18805" t="s">
        <v>1063</v>
      </c>
      <c r="B18805" t="s">
        <v>38</v>
      </c>
      <c r="C18805" s="1">
        <f>HYPERLINK("https://cao.dolgi.msk.ru/account/1010272493/", 1010272493)</f>
        <v>1010272493</v>
      </c>
      <c r="D18805">
        <v>-12666.78</v>
      </c>
    </row>
    <row r="18806" spans="1:4" hidden="1" x14ac:dyDescent="0.3">
      <c r="A18806" t="s">
        <v>1063</v>
      </c>
      <c r="B18806" t="s">
        <v>39</v>
      </c>
      <c r="C18806" s="1">
        <f>HYPERLINK("https://cao.dolgi.msk.ru/account/1010272506/", 1010272506)</f>
        <v>1010272506</v>
      </c>
      <c r="D18806">
        <v>0</v>
      </c>
    </row>
    <row r="18807" spans="1:4" x14ac:dyDescent="0.3">
      <c r="A18807" t="s">
        <v>1063</v>
      </c>
      <c r="B18807" t="s">
        <v>40</v>
      </c>
      <c r="C18807" s="1">
        <f>HYPERLINK("https://cao.dolgi.msk.ru/account/1010272514/", 1010272514)</f>
        <v>1010272514</v>
      </c>
      <c r="D18807">
        <v>7016.71</v>
      </c>
    </row>
    <row r="18808" spans="1:4" hidden="1" x14ac:dyDescent="0.3">
      <c r="A18808" t="s">
        <v>1063</v>
      </c>
      <c r="B18808" t="s">
        <v>41</v>
      </c>
      <c r="C18808" s="1">
        <f>HYPERLINK("https://cao.dolgi.msk.ru/account/1010272522/", 1010272522)</f>
        <v>1010272522</v>
      </c>
      <c r="D18808">
        <v>-9537.57</v>
      </c>
    </row>
    <row r="18809" spans="1:4" hidden="1" x14ac:dyDescent="0.3">
      <c r="A18809" t="s">
        <v>1063</v>
      </c>
      <c r="B18809" t="s">
        <v>51</v>
      </c>
      <c r="C18809" s="1">
        <f>HYPERLINK("https://cao.dolgi.msk.ru/account/1011015528/", 1011015528)</f>
        <v>1011015528</v>
      </c>
      <c r="D18809">
        <v>-246477.19</v>
      </c>
    </row>
    <row r="18810" spans="1:4" hidden="1" x14ac:dyDescent="0.3">
      <c r="A18810" t="s">
        <v>1063</v>
      </c>
      <c r="B18810" t="s">
        <v>52</v>
      </c>
      <c r="C18810" s="1">
        <f>HYPERLINK("https://cao.dolgi.msk.ru/account/1010272557/", 1010272557)</f>
        <v>1010272557</v>
      </c>
      <c r="D18810">
        <v>0</v>
      </c>
    </row>
    <row r="18811" spans="1:4" hidden="1" x14ac:dyDescent="0.3">
      <c r="A18811" t="s">
        <v>1063</v>
      </c>
      <c r="B18811" t="s">
        <v>53</v>
      </c>
      <c r="C18811" s="1">
        <f>HYPERLINK("https://cao.dolgi.msk.ru/account/1010272573/", 1010272573)</f>
        <v>1010272573</v>
      </c>
      <c r="D18811">
        <v>0</v>
      </c>
    </row>
    <row r="18812" spans="1:4" hidden="1" x14ac:dyDescent="0.3">
      <c r="A18812" t="s">
        <v>1063</v>
      </c>
      <c r="B18812" t="s">
        <v>54</v>
      </c>
      <c r="C18812" s="1">
        <f>HYPERLINK("https://cao.dolgi.msk.ru/account/1010272581/", 1010272581)</f>
        <v>1010272581</v>
      </c>
      <c r="D18812">
        <v>0</v>
      </c>
    </row>
    <row r="18813" spans="1:4" hidden="1" x14ac:dyDescent="0.3">
      <c r="A18813" t="s">
        <v>1063</v>
      </c>
      <c r="B18813" t="s">
        <v>55</v>
      </c>
      <c r="C18813" s="1">
        <f>HYPERLINK("https://cao.dolgi.msk.ru/account/1010272602/", 1010272602)</f>
        <v>1010272602</v>
      </c>
      <c r="D18813">
        <v>0</v>
      </c>
    </row>
    <row r="18814" spans="1:4" hidden="1" x14ac:dyDescent="0.3">
      <c r="A18814" t="s">
        <v>1063</v>
      </c>
      <c r="B18814" t="s">
        <v>56</v>
      </c>
      <c r="C18814" s="1">
        <f>HYPERLINK("https://cao.dolgi.msk.ru/account/1010272629/", 1010272629)</f>
        <v>1010272629</v>
      </c>
      <c r="D18814">
        <v>0</v>
      </c>
    </row>
    <row r="18815" spans="1:4" hidden="1" x14ac:dyDescent="0.3">
      <c r="A18815" t="s">
        <v>1063</v>
      </c>
      <c r="B18815" t="s">
        <v>87</v>
      </c>
      <c r="C18815" s="1">
        <f>HYPERLINK("https://cao.dolgi.msk.ru/account/1010272637/", 1010272637)</f>
        <v>1010272637</v>
      </c>
      <c r="D18815">
        <v>0</v>
      </c>
    </row>
    <row r="18816" spans="1:4" x14ac:dyDescent="0.3">
      <c r="A18816" t="s">
        <v>1063</v>
      </c>
      <c r="B18816" t="s">
        <v>88</v>
      </c>
      <c r="C18816" s="1">
        <f>HYPERLINK("https://cao.dolgi.msk.ru/account/1010272645/", 1010272645)</f>
        <v>1010272645</v>
      </c>
      <c r="D18816">
        <v>10870.22</v>
      </c>
    </row>
    <row r="18817" spans="1:4" hidden="1" x14ac:dyDescent="0.3">
      <c r="A18817" t="s">
        <v>1063</v>
      </c>
      <c r="B18817" t="s">
        <v>89</v>
      </c>
      <c r="C18817" s="1">
        <f>HYPERLINK("https://cao.dolgi.msk.ru/account/1011505703/", 1011505703)</f>
        <v>1011505703</v>
      </c>
      <c r="D18817">
        <v>0</v>
      </c>
    </row>
    <row r="18818" spans="1:4" hidden="1" x14ac:dyDescent="0.3">
      <c r="A18818" t="s">
        <v>1063</v>
      </c>
      <c r="B18818" t="s">
        <v>90</v>
      </c>
      <c r="C18818" s="1">
        <f>HYPERLINK("https://cao.dolgi.msk.ru/account/1010272661/", 1010272661)</f>
        <v>1010272661</v>
      </c>
      <c r="D18818">
        <v>0</v>
      </c>
    </row>
    <row r="18819" spans="1:4" hidden="1" x14ac:dyDescent="0.3">
      <c r="A18819" t="s">
        <v>1063</v>
      </c>
      <c r="B18819" t="s">
        <v>96</v>
      </c>
      <c r="C18819" s="1">
        <f>HYPERLINK("https://cao.dolgi.msk.ru/account/1010272688/", 1010272688)</f>
        <v>1010272688</v>
      </c>
      <c r="D18819">
        <v>0</v>
      </c>
    </row>
    <row r="18820" spans="1:4" hidden="1" x14ac:dyDescent="0.3">
      <c r="A18820" t="s">
        <v>1063</v>
      </c>
      <c r="B18820" t="s">
        <v>97</v>
      </c>
      <c r="C18820" s="1">
        <f>HYPERLINK("https://cao.dolgi.msk.ru/account/1010272696/", 1010272696)</f>
        <v>1010272696</v>
      </c>
      <c r="D18820">
        <v>0</v>
      </c>
    </row>
    <row r="18821" spans="1:4" hidden="1" x14ac:dyDescent="0.3">
      <c r="A18821" t="s">
        <v>1063</v>
      </c>
      <c r="B18821" t="s">
        <v>98</v>
      </c>
      <c r="C18821" s="1">
        <f>HYPERLINK("https://cao.dolgi.msk.ru/account/1010272709/", 1010272709)</f>
        <v>1010272709</v>
      </c>
      <c r="D18821">
        <v>-12817.05</v>
      </c>
    </row>
    <row r="18822" spans="1:4" hidden="1" x14ac:dyDescent="0.3">
      <c r="A18822" t="s">
        <v>1063</v>
      </c>
      <c r="B18822" t="s">
        <v>59</v>
      </c>
      <c r="C18822" s="1">
        <f>HYPERLINK("https://cao.dolgi.msk.ru/account/1010272725/", 1010272725)</f>
        <v>1010272725</v>
      </c>
      <c r="D18822">
        <v>0</v>
      </c>
    </row>
    <row r="18823" spans="1:4" hidden="1" x14ac:dyDescent="0.3">
      <c r="A18823" t="s">
        <v>1063</v>
      </c>
      <c r="B18823" t="s">
        <v>60</v>
      </c>
      <c r="C18823" s="1">
        <f>HYPERLINK("https://cao.dolgi.msk.ru/account/1010272733/", 1010272733)</f>
        <v>1010272733</v>
      </c>
      <c r="D18823">
        <v>0</v>
      </c>
    </row>
    <row r="18824" spans="1:4" hidden="1" x14ac:dyDescent="0.3">
      <c r="A18824" t="s">
        <v>1063</v>
      </c>
      <c r="B18824" t="s">
        <v>61</v>
      </c>
      <c r="C18824" s="1">
        <f>HYPERLINK("https://cao.dolgi.msk.ru/account/1010272741/", 1010272741)</f>
        <v>1010272741</v>
      </c>
      <c r="D18824">
        <v>0</v>
      </c>
    </row>
    <row r="18825" spans="1:4" hidden="1" x14ac:dyDescent="0.3">
      <c r="A18825" t="s">
        <v>1063</v>
      </c>
      <c r="B18825" t="s">
        <v>62</v>
      </c>
      <c r="C18825" s="1">
        <f>HYPERLINK("https://cao.dolgi.msk.ru/account/1010272768/", 1010272768)</f>
        <v>1010272768</v>
      </c>
      <c r="D18825">
        <v>0</v>
      </c>
    </row>
    <row r="18826" spans="1:4" hidden="1" x14ac:dyDescent="0.3">
      <c r="A18826" t="s">
        <v>1063</v>
      </c>
      <c r="B18826" t="s">
        <v>63</v>
      </c>
      <c r="C18826" s="1">
        <f>HYPERLINK("https://cao.dolgi.msk.ru/account/1010272776/", 1010272776)</f>
        <v>1010272776</v>
      </c>
      <c r="D18826">
        <v>0</v>
      </c>
    </row>
    <row r="18827" spans="1:4" hidden="1" x14ac:dyDescent="0.3">
      <c r="A18827" t="s">
        <v>1063</v>
      </c>
      <c r="B18827" t="s">
        <v>64</v>
      </c>
      <c r="C18827" s="1">
        <f>HYPERLINK("https://cao.dolgi.msk.ru/account/1010272784/", 1010272784)</f>
        <v>1010272784</v>
      </c>
      <c r="D18827">
        <v>-14676.71</v>
      </c>
    </row>
    <row r="18828" spans="1:4" hidden="1" x14ac:dyDescent="0.3">
      <c r="A18828" t="s">
        <v>1063</v>
      </c>
      <c r="B18828" t="s">
        <v>65</v>
      </c>
      <c r="C18828" s="1">
        <f>HYPERLINK("https://cao.dolgi.msk.ru/account/1010272792/", 1010272792)</f>
        <v>1010272792</v>
      </c>
      <c r="D18828">
        <v>0</v>
      </c>
    </row>
    <row r="18829" spans="1:4" hidden="1" x14ac:dyDescent="0.3">
      <c r="A18829" t="s">
        <v>1063</v>
      </c>
      <c r="B18829" t="s">
        <v>66</v>
      </c>
      <c r="C18829" s="1">
        <f>HYPERLINK("https://cao.dolgi.msk.ru/account/1010272805/", 1010272805)</f>
        <v>1010272805</v>
      </c>
      <c r="D18829">
        <v>-1092.55</v>
      </c>
    </row>
    <row r="18830" spans="1:4" x14ac:dyDescent="0.3">
      <c r="A18830" t="s">
        <v>1063</v>
      </c>
      <c r="B18830" t="s">
        <v>67</v>
      </c>
      <c r="C18830" s="1">
        <f>HYPERLINK("https://cao.dolgi.msk.ru/account/1010272813/", 1010272813)</f>
        <v>1010272813</v>
      </c>
      <c r="D18830">
        <v>89971.98</v>
      </c>
    </row>
    <row r="18831" spans="1:4" hidden="1" x14ac:dyDescent="0.3">
      <c r="A18831" t="s">
        <v>1064</v>
      </c>
      <c r="B18831" t="s">
        <v>6</v>
      </c>
      <c r="C18831" s="1">
        <f>HYPERLINK("https://cao.dolgi.msk.ru/account/1011369895/", 1011369895)</f>
        <v>1011369895</v>
      </c>
      <c r="D18831">
        <v>-4908.97</v>
      </c>
    </row>
    <row r="18832" spans="1:4" hidden="1" x14ac:dyDescent="0.3">
      <c r="A18832" t="s">
        <v>1064</v>
      </c>
      <c r="B18832" t="s">
        <v>6</v>
      </c>
      <c r="C18832" s="1">
        <f>HYPERLINK("https://cao.dolgi.msk.ru/account/1011369983/", 1011369983)</f>
        <v>1011369983</v>
      </c>
      <c r="D18832">
        <v>-2052.92</v>
      </c>
    </row>
    <row r="18833" spans="1:4" hidden="1" x14ac:dyDescent="0.3">
      <c r="A18833" t="s">
        <v>1064</v>
      </c>
      <c r="B18833" t="s">
        <v>6</v>
      </c>
      <c r="C18833" s="1">
        <f>HYPERLINK("https://cao.dolgi.msk.ru/account/1011370028/", 1011370028)</f>
        <v>1011370028</v>
      </c>
      <c r="D18833">
        <v>-3169.16</v>
      </c>
    </row>
    <row r="18834" spans="1:4" hidden="1" x14ac:dyDescent="0.3">
      <c r="A18834" t="s">
        <v>1064</v>
      </c>
      <c r="B18834" t="s">
        <v>6</v>
      </c>
      <c r="C18834" s="1">
        <f>HYPERLINK("https://cao.dolgi.msk.ru/account/1011370044/", 1011370044)</f>
        <v>1011370044</v>
      </c>
      <c r="D18834">
        <v>-2314.77</v>
      </c>
    </row>
    <row r="18835" spans="1:4" hidden="1" x14ac:dyDescent="0.3">
      <c r="A18835" t="s">
        <v>1064</v>
      </c>
      <c r="B18835" t="s">
        <v>6</v>
      </c>
      <c r="C18835" s="1">
        <f>HYPERLINK("https://cao.dolgi.msk.ru/account/1011370108/", 1011370108)</f>
        <v>1011370108</v>
      </c>
      <c r="D18835">
        <v>0</v>
      </c>
    </row>
    <row r="18836" spans="1:4" hidden="1" x14ac:dyDescent="0.3">
      <c r="A18836" t="s">
        <v>1064</v>
      </c>
      <c r="B18836" t="s">
        <v>6</v>
      </c>
      <c r="C18836" s="1">
        <f>HYPERLINK("https://cao.dolgi.msk.ru/account/1011370167/", 1011370167)</f>
        <v>1011370167</v>
      </c>
      <c r="D18836">
        <v>-141.78</v>
      </c>
    </row>
    <row r="18837" spans="1:4" hidden="1" x14ac:dyDescent="0.3">
      <c r="A18837" t="s">
        <v>1064</v>
      </c>
      <c r="B18837" t="s">
        <v>28</v>
      </c>
      <c r="C18837" s="1">
        <f>HYPERLINK("https://cao.dolgi.msk.ru/account/1011369991/", 1011369991)</f>
        <v>1011369991</v>
      </c>
      <c r="D18837">
        <v>-19.61</v>
      </c>
    </row>
    <row r="18838" spans="1:4" hidden="1" x14ac:dyDescent="0.3">
      <c r="A18838" t="s">
        <v>1064</v>
      </c>
      <c r="B18838" t="s">
        <v>35</v>
      </c>
      <c r="C18838" s="1">
        <f>HYPERLINK("https://cao.dolgi.msk.ru/account/1011370079/", 1011370079)</f>
        <v>1011370079</v>
      </c>
      <c r="D18838">
        <v>-102.4</v>
      </c>
    </row>
    <row r="18839" spans="1:4" hidden="1" x14ac:dyDescent="0.3">
      <c r="A18839" t="s">
        <v>1064</v>
      </c>
      <c r="B18839" t="s">
        <v>5</v>
      </c>
      <c r="C18839" s="1">
        <f>HYPERLINK("https://cao.dolgi.msk.ru/account/1011369908/", 1011369908)</f>
        <v>1011369908</v>
      </c>
      <c r="D18839">
        <v>-3619.56</v>
      </c>
    </row>
    <row r="18840" spans="1:4" hidden="1" x14ac:dyDescent="0.3">
      <c r="A18840" t="s">
        <v>1064</v>
      </c>
      <c r="B18840" t="s">
        <v>5</v>
      </c>
      <c r="C18840" s="1">
        <f>HYPERLINK("https://cao.dolgi.msk.ru/account/1011369916/", 1011369916)</f>
        <v>1011369916</v>
      </c>
      <c r="D18840">
        <v>-1141.9000000000001</v>
      </c>
    </row>
    <row r="18841" spans="1:4" x14ac:dyDescent="0.3">
      <c r="A18841" t="s">
        <v>1064</v>
      </c>
      <c r="B18841" t="s">
        <v>5</v>
      </c>
      <c r="C18841" s="1">
        <f>HYPERLINK("https://cao.dolgi.msk.ru/account/1011369967/", 1011369967)</f>
        <v>1011369967</v>
      </c>
      <c r="D18841">
        <v>3586.55</v>
      </c>
    </row>
    <row r="18842" spans="1:4" hidden="1" x14ac:dyDescent="0.3">
      <c r="A18842" t="s">
        <v>1064</v>
      </c>
      <c r="B18842" t="s">
        <v>5</v>
      </c>
      <c r="C18842" s="1">
        <f>HYPERLINK("https://cao.dolgi.msk.ru/account/1011370116/", 1011370116)</f>
        <v>1011370116</v>
      </c>
      <c r="D18842">
        <v>0</v>
      </c>
    </row>
    <row r="18843" spans="1:4" hidden="1" x14ac:dyDescent="0.3">
      <c r="A18843" t="s">
        <v>1064</v>
      </c>
      <c r="B18843" t="s">
        <v>5</v>
      </c>
      <c r="C18843" s="1">
        <f>HYPERLINK("https://cao.dolgi.msk.ru/account/1011379268/", 1011379268)</f>
        <v>1011379268</v>
      </c>
      <c r="D18843">
        <v>0</v>
      </c>
    </row>
    <row r="18844" spans="1:4" x14ac:dyDescent="0.3">
      <c r="A18844" t="s">
        <v>1064</v>
      </c>
      <c r="B18844" t="s">
        <v>7</v>
      </c>
      <c r="C18844" s="1">
        <f>HYPERLINK("https://cao.dolgi.msk.ru/account/1011370124/", 1011370124)</f>
        <v>1011370124</v>
      </c>
      <c r="D18844">
        <v>492449.55</v>
      </c>
    </row>
    <row r="18845" spans="1:4" hidden="1" x14ac:dyDescent="0.3">
      <c r="A18845" t="s">
        <v>1064</v>
      </c>
      <c r="B18845" t="s">
        <v>8</v>
      </c>
      <c r="C18845" s="1">
        <f>HYPERLINK("https://cao.dolgi.msk.ru/account/1011369932/", 1011369932)</f>
        <v>1011369932</v>
      </c>
      <c r="D18845">
        <v>-53.24</v>
      </c>
    </row>
    <row r="18846" spans="1:4" x14ac:dyDescent="0.3">
      <c r="A18846" t="s">
        <v>1064</v>
      </c>
      <c r="B18846" t="s">
        <v>31</v>
      </c>
      <c r="C18846" s="1">
        <f>HYPERLINK("https://cao.dolgi.msk.ru/account/1011369959/", 1011369959)</f>
        <v>1011369959</v>
      </c>
      <c r="D18846">
        <v>151628.70000000001</v>
      </c>
    </row>
    <row r="18847" spans="1:4" hidden="1" x14ac:dyDescent="0.3">
      <c r="A18847" t="s">
        <v>1064</v>
      </c>
      <c r="B18847" t="s">
        <v>9</v>
      </c>
      <c r="C18847" s="1">
        <f>HYPERLINK("https://cao.dolgi.msk.ru/account/1011370036/", 1011370036)</f>
        <v>1011370036</v>
      </c>
      <c r="D18847">
        <v>-20.12</v>
      </c>
    </row>
    <row r="18848" spans="1:4" x14ac:dyDescent="0.3">
      <c r="A18848" t="s">
        <v>1064</v>
      </c>
      <c r="B18848" t="s">
        <v>10</v>
      </c>
      <c r="C18848" s="1">
        <f>HYPERLINK("https://cao.dolgi.msk.ru/account/1011369924/", 1011369924)</f>
        <v>1011369924</v>
      </c>
      <c r="D18848">
        <v>852773.14</v>
      </c>
    </row>
    <row r="18849" spans="1:4" hidden="1" x14ac:dyDescent="0.3">
      <c r="A18849" t="s">
        <v>1064</v>
      </c>
      <c r="B18849" t="s">
        <v>11</v>
      </c>
      <c r="C18849" s="1">
        <f>HYPERLINK("https://cao.dolgi.msk.ru/account/1011369975/", 1011369975)</f>
        <v>1011369975</v>
      </c>
      <c r="D18849">
        <v>0</v>
      </c>
    </row>
    <row r="18850" spans="1:4" hidden="1" x14ac:dyDescent="0.3">
      <c r="A18850" t="s">
        <v>1064</v>
      </c>
      <c r="B18850" t="s">
        <v>12</v>
      </c>
      <c r="C18850" s="1">
        <f>HYPERLINK("https://cao.dolgi.msk.ru/account/1011370159/", 1011370159)</f>
        <v>1011370159</v>
      </c>
      <c r="D18850">
        <v>-40.36</v>
      </c>
    </row>
    <row r="18851" spans="1:4" hidden="1" x14ac:dyDescent="0.3">
      <c r="A18851" t="s">
        <v>1064</v>
      </c>
      <c r="B18851" t="s">
        <v>23</v>
      </c>
      <c r="C18851" s="1">
        <f>HYPERLINK("https://cao.dolgi.msk.ru/account/1011370001/", 1011370001)</f>
        <v>1011370001</v>
      </c>
      <c r="D18851">
        <v>-4.07</v>
      </c>
    </row>
    <row r="18852" spans="1:4" hidden="1" x14ac:dyDescent="0.3">
      <c r="A18852" t="s">
        <v>1064</v>
      </c>
      <c r="B18852" t="s">
        <v>23</v>
      </c>
      <c r="C18852" s="1">
        <f>HYPERLINK("https://cao.dolgi.msk.ru/account/1011370052/", 1011370052)</f>
        <v>1011370052</v>
      </c>
      <c r="D18852">
        <v>-10.72</v>
      </c>
    </row>
    <row r="18853" spans="1:4" hidden="1" x14ac:dyDescent="0.3">
      <c r="A18853" t="s">
        <v>1064</v>
      </c>
      <c r="B18853" t="s">
        <v>23</v>
      </c>
      <c r="C18853" s="1">
        <f>HYPERLINK("https://cao.dolgi.msk.ru/account/1011370087/", 1011370087)</f>
        <v>1011370087</v>
      </c>
      <c r="D18853">
        <v>-4.46</v>
      </c>
    </row>
    <row r="18854" spans="1:4" x14ac:dyDescent="0.3">
      <c r="A18854" t="s">
        <v>1064</v>
      </c>
      <c r="B18854" t="s">
        <v>23</v>
      </c>
      <c r="C18854" s="1">
        <f>HYPERLINK("https://cao.dolgi.msk.ru/account/1011370095/", 1011370095)</f>
        <v>1011370095</v>
      </c>
      <c r="D18854">
        <v>1920.36</v>
      </c>
    </row>
    <row r="18855" spans="1:4" hidden="1" x14ac:dyDescent="0.3">
      <c r="A18855" t="s">
        <v>1064</v>
      </c>
      <c r="B18855" t="s">
        <v>23</v>
      </c>
      <c r="C18855" s="1">
        <f>HYPERLINK("https://cao.dolgi.msk.ru/account/1011370132/", 1011370132)</f>
        <v>1011370132</v>
      </c>
      <c r="D18855">
        <v>-4.22</v>
      </c>
    </row>
    <row r="18856" spans="1:4" hidden="1" x14ac:dyDescent="0.3">
      <c r="A18856" t="s">
        <v>1064</v>
      </c>
      <c r="B18856" t="s">
        <v>23</v>
      </c>
      <c r="C18856" s="1">
        <f>HYPERLINK("https://cao.dolgi.msk.ru/account/1011486362/", 1011486362)</f>
        <v>1011486362</v>
      </c>
      <c r="D18856">
        <v>-3.86</v>
      </c>
    </row>
    <row r="18857" spans="1:4" x14ac:dyDescent="0.3">
      <c r="A18857" t="s">
        <v>1065</v>
      </c>
      <c r="B18857" t="s">
        <v>41</v>
      </c>
      <c r="C18857" s="1">
        <f>HYPERLINK("https://cao.dolgi.msk.ru/account/1011391013/", 1011391013)</f>
        <v>1011391013</v>
      </c>
      <c r="D18857">
        <v>18310.34</v>
      </c>
    </row>
    <row r="18858" spans="1:4" hidden="1" x14ac:dyDescent="0.3">
      <c r="A18858" t="s">
        <v>1065</v>
      </c>
      <c r="B18858" t="s">
        <v>51</v>
      </c>
      <c r="C18858" s="1">
        <f>HYPERLINK("https://cao.dolgi.msk.ru/account/1011391072/", 1011391072)</f>
        <v>1011391072</v>
      </c>
      <c r="D18858">
        <v>-8818.73</v>
      </c>
    </row>
    <row r="18859" spans="1:4" hidden="1" x14ac:dyDescent="0.3">
      <c r="A18859" t="s">
        <v>1065</v>
      </c>
      <c r="B18859" t="s">
        <v>52</v>
      </c>
      <c r="C18859" s="1">
        <f>HYPERLINK("https://cao.dolgi.msk.ru/account/1011390846/", 1011390846)</f>
        <v>1011390846</v>
      </c>
      <c r="D18859">
        <v>-15.15</v>
      </c>
    </row>
    <row r="18860" spans="1:4" hidden="1" x14ac:dyDescent="0.3">
      <c r="A18860" t="s">
        <v>1065</v>
      </c>
      <c r="B18860" t="s">
        <v>53</v>
      </c>
      <c r="C18860" s="1">
        <f>HYPERLINK("https://cao.dolgi.msk.ru/account/1011390731/", 1011390731)</f>
        <v>1011390731</v>
      </c>
      <c r="D18860">
        <v>-60120.65</v>
      </c>
    </row>
    <row r="18861" spans="1:4" hidden="1" x14ac:dyDescent="0.3">
      <c r="A18861" t="s">
        <v>1065</v>
      </c>
      <c r="B18861" t="s">
        <v>54</v>
      </c>
      <c r="C18861" s="1">
        <f>HYPERLINK("https://cao.dolgi.msk.ru/account/1011391144/", 1011391144)</f>
        <v>1011391144</v>
      </c>
      <c r="D18861">
        <v>0</v>
      </c>
    </row>
    <row r="18862" spans="1:4" hidden="1" x14ac:dyDescent="0.3">
      <c r="A18862" t="s">
        <v>1065</v>
      </c>
      <c r="B18862" t="s">
        <v>55</v>
      </c>
      <c r="C18862" s="1">
        <f>HYPERLINK("https://cao.dolgi.msk.ru/account/1011390758/", 1011390758)</f>
        <v>1011390758</v>
      </c>
      <c r="D18862">
        <v>0</v>
      </c>
    </row>
    <row r="18863" spans="1:4" hidden="1" x14ac:dyDescent="0.3">
      <c r="A18863" t="s">
        <v>1065</v>
      </c>
      <c r="B18863" t="s">
        <v>55</v>
      </c>
      <c r="C18863" s="1">
        <f>HYPERLINK("https://cao.dolgi.msk.ru/account/1011390897/", 1011390897)</f>
        <v>1011390897</v>
      </c>
      <c r="D18863">
        <v>0</v>
      </c>
    </row>
    <row r="18864" spans="1:4" hidden="1" x14ac:dyDescent="0.3">
      <c r="A18864" t="s">
        <v>1065</v>
      </c>
      <c r="B18864" t="s">
        <v>55</v>
      </c>
      <c r="C18864" s="1">
        <f>HYPERLINK("https://cao.dolgi.msk.ru/account/1011390934/", 1011390934)</f>
        <v>1011390934</v>
      </c>
      <c r="D18864">
        <v>0</v>
      </c>
    </row>
    <row r="18865" spans="1:4" hidden="1" x14ac:dyDescent="0.3">
      <c r="A18865" t="s">
        <v>1065</v>
      </c>
      <c r="B18865" t="s">
        <v>56</v>
      </c>
      <c r="C18865" s="1">
        <f>HYPERLINK("https://cao.dolgi.msk.ru/account/1011390635/", 1011390635)</f>
        <v>1011390635</v>
      </c>
      <c r="D18865">
        <v>0</v>
      </c>
    </row>
    <row r="18866" spans="1:4" hidden="1" x14ac:dyDescent="0.3">
      <c r="A18866" t="s">
        <v>1065</v>
      </c>
      <c r="B18866" t="s">
        <v>87</v>
      </c>
      <c r="C18866" s="1">
        <f>HYPERLINK("https://cao.dolgi.msk.ru/account/1011391048/", 1011391048)</f>
        <v>1011391048</v>
      </c>
      <c r="D18866">
        <v>0</v>
      </c>
    </row>
    <row r="18867" spans="1:4" hidden="1" x14ac:dyDescent="0.3">
      <c r="A18867" t="s">
        <v>1065</v>
      </c>
      <c r="B18867" t="s">
        <v>88</v>
      </c>
      <c r="C18867" s="1">
        <f>HYPERLINK("https://cao.dolgi.msk.ru/account/1011390985/", 1011390985)</f>
        <v>1011390985</v>
      </c>
      <c r="D18867">
        <v>-8710.49</v>
      </c>
    </row>
    <row r="18868" spans="1:4" hidden="1" x14ac:dyDescent="0.3">
      <c r="A18868" t="s">
        <v>1065</v>
      </c>
      <c r="B18868" t="s">
        <v>89</v>
      </c>
      <c r="C18868" s="1">
        <f>HYPERLINK("https://cao.dolgi.msk.ru/account/1011390862/", 1011390862)</f>
        <v>1011390862</v>
      </c>
      <c r="D18868">
        <v>0</v>
      </c>
    </row>
    <row r="18869" spans="1:4" hidden="1" x14ac:dyDescent="0.3">
      <c r="A18869" t="s">
        <v>1065</v>
      </c>
      <c r="B18869" t="s">
        <v>90</v>
      </c>
      <c r="C18869" s="1">
        <f>HYPERLINK("https://cao.dolgi.msk.ru/account/1011391021/", 1011391021)</f>
        <v>1011391021</v>
      </c>
      <c r="D18869">
        <v>-11380.93</v>
      </c>
    </row>
    <row r="18870" spans="1:4" x14ac:dyDescent="0.3">
      <c r="A18870" t="s">
        <v>1065</v>
      </c>
      <c r="B18870" t="s">
        <v>96</v>
      </c>
      <c r="C18870" s="1">
        <f>HYPERLINK("https://cao.dolgi.msk.ru/account/1011390678/", 1011390678)</f>
        <v>1011390678</v>
      </c>
      <c r="D18870">
        <v>3080.76</v>
      </c>
    </row>
    <row r="18871" spans="1:4" x14ac:dyDescent="0.3">
      <c r="A18871" t="s">
        <v>1065</v>
      </c>
      <c r="B18871" t="s">
        <v>96</v>
      </c>
      <c r="C18871" s="1">
        <f>HYPERLINK("https://cao.dolgi.msk.ru/account/1011390993/", 1011390993)</f>
        <v>1011390993</v>
      </c>
      <c r="D18871">
        <v>5479.09</v>
      </c>
    </row>
    <row r="18872" spans="1:4" hidden="1" x14ac:dyDescent="0.3">
      <c r="A18872" t="s">
        <v>1065</v>
      </c>
      <c r="B18872" t="s">
        <v>97</v>
      </c>
      <c r="C18872" s="1">
        <f>HYPERLINK("https://cao.dolgi.msk.ru/account/1011390782/", 1011390782)</f>
        <v>1011390782</v>
      </c>
      <c r="D18872">
        <v>-5668.79</v>
      </c>
    </row>
    <row r="18873" spans="1:4" hidden="1" x14ac:dyDescent="0.3">
      <c r="A18873" t="s">
        <v>1065</v>
      </c>
      <c r="B18873" t="s">
        <v>98</v>
      </c>
      <c r="C18873" s="1">
        <f>HYPERLINK("https://cao.dolgi.msk.ru/account/1011390918/", 1011390918)</f>
        <v>1011390918</v>
      </c>
      <c r="D18873">
        <v>0</v>
      </c>
    </row>
    <row r="18874" spans="1:4" hidden="1" x14ac:dyDescent="0.3">
      <c r="A18874" t="s">
        <v>1065</v>
      </c>
      <c r="B18874" t="s">
        <v>98</v>
      </c>
      <c r="C18874" s="1">
        <f>HYPERLINK("https://cao.dolgi.msk.ru/account/1011391056/", 1011391056)</f>
        <v>1011391056</v>
      </c>
      <c r="D18874">
        <v>0</v>
      </c>
    </row>
    <row r="18875" spans="1:4" x14ac:dyDescent="0.3">
      <c r="A18875" t="s">
        <v>1065</v>
      </c>
      <c r="B18875" t="s">
        <v>58</v>
      </c>
      <c r="C18875" s="1">
        <f>HYPERLINK("https://cao.dolgi.msk.ru/account/1011390838/", 1011390838)</f>
        <v>1011390838</v>
      </c>
      <c r="D18875">
        <v>8465.2999999999993</v>
      </c>
    </row>
    <row r="18876" spans="1:4" hidden="1" x14ac:dyDescent="0.3">
      <c r="A18876" t="s">
        <v>1065</v>
      </c>
      <c r="B18876" t="s">
        <v>59</v>
      </c>
      <c r="C18876" s="1">
        <f>HYPERLINK("https://cao.dolgi.msk.ru/account/1011391005/", 1011391005)</f>
        <v>1011391005</v>
      </c>
      <c r="D18876">
        <v>-13281.96</v>
      </c>
    </row>
    <row r="18877" spans="1:4" x14ac:dyDescent="0.3">
      <c r="A18877" t="s">
        <v>1065</v>
      </c>
      <c r="B18877" t="s">
        <v>60</v>
      </c>
      <c r="C18877" s="1">
        <f>HYPERLINK("https://cao.dolgi.msk.ru/account/1011391152/", 1011391152)</f>
        <v>1011391152</v>
      </c>
      <c r="D18877">
        <v>9225.9699999999993</v>
      </c>
    </row>
    <row r="18878" spans="1:4" hidden="1" x14ac:dyDescent="0.3">
      <c r="A18878" t="s">
        <v>1065</v>
      </c>
      <c r="B18878" t="s">
        <v>61</v>
      </c>
      <c r="C18878" s="1">
        <f>HYPERLINK("https://cao.dolgi.msk.ru/account/1011391187/", 1011391187)</f>
        <v>1011391187</v>
      </c>
      <c r="D18878">
        <v>-1213.93</v>
      </c>
    </row>
    <row r="18879" spans="1:4" hidden="1" x14ac:dyDescent="0.3">
      <c r="A18879" t="s">
        <v>1065</v>
      </c>
      <c r="B18879" t="s">
        <v>62</v>
      </c>
      <c r="C18879" s="1">
        <f>HYPERLINK("https://cao.dolgi.msk.ru/account/1011390715/", 1011390715)</f>
        <v>1011390715</v>
      </c>
      <c r="D18879">
        <v>0</v>
      </c>
    </row>
    <row r="18880" spans="1:4" hidden="1" x14ac:dyDescent="0.3">
      <c r="A18880" t="s">
        <v>1065</v>
      </c>
      <c r="B18880" t="s">
        <v>63</v>
      </c>
      <c r="C18880" s="1">
        <f>HYPERLINK("https://cao.dolgi.msk.ru/account/1011390686/", 1011390686)</f>
        <v>1011390686</v>
      </c>
      <c r="D18880">
        <v>0</v>
      </c>
    </row>
    <row r="18881" spans="1:4" hidden="1" x14ac:dyDescent="0.3">
      <c r="A18881" t="s">
        <v>1065</v>
      </c>
      <c r="B18881" t="s">
        <v>64</v>
      </c>
      <c r="C18881" s="1">
        <f>HYPERLINK("https://cao.dolgi.msk.ru/account/1011390627/", 1011390627)</f>
        <v>1011390627</v>
      </c>
      <c r="D18881">
        <v>0</v>
      </c>
    </row>
    <row r="18882" spans="1:4" hidden="1" x14ac:dyDescent="0.3">
      <c r="A18882" t="s">
        <v>1065</v>
      </c>
      <c r="B18882" t="s">
        <v>65</v>
      </c>
      <c r="C18882" s="1">
        <f>HYPERLINK("https://cao.dolgi.msk.ru/account/1011391179/", 1011391179)</f>
        <v>1011391179</v>
      </c>
      <c r="D18882">
        <v>0</v>
      </c>
    </row>
    <row r="18883" spans="1:4" hidden="1" x14ac:dyDescent="0.3">
      <c r="A18883" t="s">
        <v>1065</v>
      </c>
      <c r="B18883" t="s">
        <v>66</v>
      </c>
      <c r="C18883" s="1">
        <f>HYPERLINK("https://cao.dolgi.msk.ru/account/1011390643/", 1011390643)</f>
        <v>1011390643</v>
      </c>
      <c r="D18883">
        <v>0</v>
      </c>
    </row>
    <row r="18884" spans="1:4" hidden="1" x14ac:dyDescent="0.3">
      <c r="A18884" t="s">
        <v>1065</v>
      </c>
      <c r="B18884" t="s">
        <v>67</v>
      </c>
      <c r="C18884" s="1">
        <f>HYPERLINK("https://cao.dolgi.msk.ru/account/1011390854/", 1011390854)</f>
        <v>1011390854</v>
      </c>
      <c r="D18884">
        <v>0</v>
      </c>
    </row>
    <row r="18885" spans="1:4" hidden="1" x14ac:dyDescent="0.3">
      <c r="A18885" t="s">
        <v>1065</v>
      </c>
      <c r="B18885" t="s">
        <v>68</v>
      </c>
      <c r="C18885" s="1">
        <f>HYPERLINK("https://cao.dolgi.msk.ru/account/1011390942/", 1011390942)</f>
        <v>1011390942</v>
      </c>
      <c r="D18885">
        <v>-5457.12</v>
      </c>
    </row>
    <row r="18886" spans="1:4" hidden="1" x14ac:dyDescent="0.3">
      <c r="A18886" t="s">
        <v>1065</v>
      </c>
      <c r="B18886" t="s">
        <v>69</v>
      </c>
      <c r="C18886" s="1">
        <f>HYPERLINK("https://cao.dolgi.msk.ru/account/1011390694/", 1011390694)</f>
        <v>1011390694</v>
      </c>
      <c r="D18886">
        <v>0</v>
      </c>
    </row>
    <row r="18887" spans="1:4" x14ac:dyDescent="0.3">
      <c r="A18887" t="s">
        <v>1065</v>
      </c>
      <c r="B18887" t="s">
        <v>70</v>
      </c>
      <c r="C18887" s="1">
        <f>HYPERLINK("https://cao.dolgi.msk.ru/account/1011390889/", 1011390889)</f>
        <v>1011390889</v>
      </c>
      <c r="D18887">
        <v>11063.62</v>
      </c>
    </row>
    <row r="18888" spans="1:4" hidden="1" x14ac:dyDescent="0.3">
      <c r="A18888" t="s">
        <v>1065</v>
      </c>
      <c r="B18888" t="s">
        <v>259</v>
      </c>
      <c r="C18888" s="1">
        <f>HYPERLINK("https://cao.dolgi.msk.ru/account/1011391136/", 1011391136)</f>
        <v>1011391136</v>
      </c>
      <c r="D18888">
        <v>0</v>
      </c>
    </row>
    <row r="18889" spans="1:4" hidden="1" x14ac:dyDescent="0.3">
      <c r="A18889" t="s">
        <v>1065</v>
      </c>
      <c r="B18889" t="s">
        <v>100</v>
      </c>
      <c r="C18889" s="1">
        <f>HYPERLINK("https://cao.dolgi.msk.ru/account/1011391064/", 1011391064)</f>
        <v>1011391064</v>
      </c>
      <c r="D18889">
        <v>0</v>
      </c>
    </row>
    <row r="18890" spans="1:4" hidden="1" x14ac:dyDescent="0.3">
      <c r="A18890" t="s">
        <v>1065</v>
      </c>
      <c r="B18890" t="s">
        <v>72</v>
      </c>
      <c r="C18890" s="1">
        <f>HYPERLINK("https://cao.dolgi.msk.ru/account/1011390651/", 1011390651)</f>
        <v>1011390651</v>
      </c>
      <c r="D18890">
        <v>0</v>
      </c>
    </row>
    <row r="18891" spans="1:4" x14ac:dyDescent="0.3">
      <c r="A18891" t="s">
        <v>1065</v>
      </c>
      <c r="B18891" t="s">
        <v>73</v>
      </c>
      <c r="C18891" s="1">
        <f>HYPERLINK("https://cao.dolgi.msk.ru/account/1011390803/", 1011390803)</f>
        <v>1011390803</v>
      </c>
      <c r="D18891">
        <v>174682.13</v>
      </c>
    </row>
    <row r="18892" spans="1:4" x14ac:dyDescent="0.3">
      <c r="A18892" t="s">
        <v>1065</v>
      </c>
      <c r="B18892" t="s">
        <v>73</v>
      </c>
      <c r="C18892" s="1">
        <f>HYPERLINK("https://cao.dolgi.msk.ru/account/1011391128/", 1011391128)</f>
        <v>1011391128</v>
      </c>
      <c r="D18892">
        <v>236729.58</v>
      </c>
    </row>
    <row r="18893" spans="1:4" hidden="1" x14ac:dyDescent="0.3">
      <c r="A18893" t="s">
        <v>1065</v>
      </c>
      <c r="B18893" t="s">
        <v>74</v>
      </c>
      <c r="C18893" s="1">
        <f>HYPERLINK("https://cao.dolgi.msk.ru/account/1011390811/", 1011390811)</f>
        <v>1011390811</v>
      </c>
      <c r="D18893">
        <v>0</v>
      </c>
    </row>
    <row r="18894" spans="1:4" hidden="1" x14ac:dyDescent="0.3">
      <c r="A18894" t="s">
        <v>1065</v>
      </c>
      <c r="B18894" t="s">
        <v>75</v>
      </c>
      <c r="C18894" s="1">
        <f>HYPERLINK("https://cao.dolgi.msk.ru/account/1011391099/", 1011391099)</f>
        <v>1011391099</v>
      </c>
      <c r="D18894">
        <v>0</v>
      </c>
    </row>
    <row r="18895" spans="1:4" hidden="1" x14ac:dyDescent="0.3">
      <c r="A18895" t="s">
        <v>1065</v>
      </c>
      <c r="B18895" t="s">
        <v>76</v>
      </c>
      <c r="C18895" s="1">
        <f>HYPERLINK("https://cao.dolgi.msk.ru/account/1011390766/", 1011390766)</f>
        <v>1011390766</v>
      </c>
      <c r="D18895">
        <v>0</v>
      </c>
    </row>
    <row r="18896" spans="1:4" hidden="1" x14ac:dyDescent="0.3">
      <c r="A18896" t="s">
        <v>1065</v>
      </c>
      <c r="B18896" t="s">
        <v>77</v>
      </c>
      <c r="C18896" s="1">
        <f>HYPERLINK("https://cao.dolgi.msk.ru/account/1011390926/", 1011390926)</f>
        <v>1011390926</v>
      </c>
      <c r="D18896">
        <v>0</v>
      </c>
    </row>
    <row r="18897" spans="1:4" hidden="1" x14ac:dyDescent="0.3">
      <c r="A18897" t="s">
        <v>1065</v>
      </c>
      <c r="B18897" t="s">
        <v>78</v>
      </c>
      <c r="C18897" s="1">
        <f>HYPERLINK("https://cao.dolgi.msk.ru/account/1011390774/", 1011390774)</f>
        <v>1011390774</v>
      </c>
      <c r="D18897">
        <v>-8559.4599999999991</v>
      </c>
    </row>
    <row r="18898" spans="1:4" hidden="1" x14ac:dyDescent="0.3">
      <c r="A18898" t="s">
        <v>1065</v>
      </c>
      <c r="B18898" t="s">
        <v>79</v>
      </c>
      <c r="C18898" s="1">
        <f>HYPERLINK("https://cao.dolgi.msk.ru/account/1011390707/", 1011390707)</f>
        <v>1011390707</v>
      </c>
      <c r="D18898">
        <v>-88.3</v>
      </c>
    </row>
    <row r="18899" spans="1:4" x14ac:dyDescent="0.3">
      <c r="A18899" t="s">
        <v>1065</v>
      </c>
      <c r="B18899" t="s">
        <v>80</v>
      </c>
      <c r="C18899" s="1">
        <f>HYPERLINK("https://cao.dolgi.msk.ru/account/1011390977/", 1011390977)</f>
        <v>1011390977</v>
      </c>
      <c r="D18899">
        <v>6851.99</v>
      </c>
    </row>
    <row r="18900" spans="1:4" hidden="1" x14ac:dyDescent="0.3">
      <c r="A18900" t="s">
        <v>1065</v>
      </c>
      <c r="B18900" t="s">
        <v>81</v>
      </c>
      <c r="C18900" s="1">
        <f>HYPERLINK("https://cao.dolgi.msk.ru/account/1011390969/", 1011390969)</f>
        <v>1011390969</v>
      </c>
      <c r="D18900">
        <v>-1961.35</v>
      </c>
    </row>
    <row r="18901" spans="1:4" hidden="1" x14ac:dyDescent="0.3">
      <c r="A18901" t="s">
        <v>1065</v>
      </c>
      <c r="B18901" t="s">
        <v>101</v>
      </c>
      <c r="C18901" s="1">
        <f>HYPERLINK("https://cao.dolgi.msk.ru/account/1011390723/", 1011390723)</f>
        <v>1011390723</v>
      </c>
      <c r="D18901">
        <v>-827.55</v>
      </c>
    </row>
    <row r="18902" spans="1:4" hidden="1" x14ac:dyDescent="0.3">
      <c r="A18902" t="s">
        <v>1065</v>
      </c>
      <c r="B18902" t="s">
        <v>101</v>
      </c>
      <c r="C18902" s="1">
        <f>HYPERLINK("https://cao.dolgi.msk.ru/account/1011541341/", 1011541341)</f>
        <v>1011541341</v>
      </c>
      <c r="D18902">
        <v>-2027.97</v>
      </c>
    </row>
    <row r="18903" spans="1:4" hidden="1" x14ac:dyDescent="0.3">
      <c r="A18903" t="s">
        <v>1066</v>
      </c>
      <c r="B18903" t="s">
        <v>35</v>
      </c>
      <c r="C18903" s="1">
        <f>HYPERLINK("https://cao.dolgi.msk.ru/account/1011429915/", 1011429915)</f>
        <v>1011429915</v>
      </c>
      <c r="D18903">
        <v>-23043.72</v>
      </c>
    </row>
    <row r="18904" spans="1:4" hidden="1" x14ac:dyDescent="0.3">
      <c r="A18904" t="s">
        <v>1066</v>
      </c>
      <c r="B18904" t="s">
        <v>5</v>
      </c>
      <c r="C18904" s="1">
        <f>HYPERLINK("https://cao.dolgi.msk.ru/account/1011429878/", 1011429878)</f>
        <v>1011429878</v>
      </c>
      <c r="D18904">
        <v>0</v>
      </c>
    </row>
    <row r="18905" spans="1:4" hidden="1" x14ac:dyDescent="0.3">
      <c r="A18905" t="s">
        <v>1066</v>
      </c>
      <c r="B18905" t="s">
        <v>7</v>
      </c>
      <c r="C18905" s="1">
        <f>HYPERLINK("https://cao.dolgi.msk.ru/account/1011526096/", 1011526096)</f>
        <v>1011526096</v>
      </c>
      <c r="D18905">
        <v>0</v>
      </c>
    </row>
    <row r="18906" spans="1:4" x14ac:dyDescent="0.3">
      <c r="A18906" t="s">
        <v>1066</v>
      </c>
      <c r="B18906" t="s">
        <v>8</v>
      </c>
      <c r="C18906" s="1">
        <f>HYPERLINK("https://cao.dolgi.msk.ru/account/1011429763/", 1011429763)</f>
        <v>1011429763</v>
      </c>
      <c r="D18906">
        <v>16017.09</v>
      </c>
    </row>
    <row r="18907" spans="1:4" x14ac:dyDescent="0.3">
      <c r="A18907" t="s">
        <v>1066</v>
      </c>
      <c r="B18907" t="s">
        <v>31</v>
      </c>
      <c r="C18907" s="1">
        <f>HYPERLINK("https://cao.dolgi.msk.ru/account/1011429771/", 1011429771)</f>
        <v>1011429771</v>
      </c>
      <c r="D18907">
        <v>1526.58</v>
      </c>
    </row>
    <row r="18908" spans="1:4" x14ac:dyDescent="0.3">
      <c r="A18908" t="s">
        <v>1066</v>
      </c>
      <c r="B18908" t="s">
        <v>31</v>
      </c>
      <c r="C18908" s="1">
        <f>HYPERLINK("https://cao.dolgi.msk.ru/account/1011429843/", 1011429843)</f>
        <v>1011429843</v>
      </c>
      <c r="D18908">
        <v>269121.21999999997</v>
      </c>
    </row>
    <row r="18909" spans="1:4" hidden="1" x14ac:dyDescent="0.3">
      <c r="A18909" t="s">
        <v>1066</v>
      </c>
      <c r="B18909" t="s">
        <v>31</v>
      </c>
      <c r="C18909" s="1">
        <f>HYPERLINK("https://cao.dolgi.msk.ru/account/1011505199/", 1011505199)</f>
        <v>1011505199</v>
      </c>
      <c r="D18909">
        <v>0</v>
      </c>
    </row>
    <row r="18910" spans="1:4" hidden="1" x14ac:dyDescent="0.3">
      <c r="A18910" t="s">
        <v>1066</v>
      </c>
      <c r="B18910" t="s">
        <v>9</v>
      </c>
      <c r="C18910" s="1">
        <f>HYPERLINK("https://cao.dolgi.msk.ru/account/1011429798/", 1011429798)</f>
        <v>1011429798</v>
      </c>
      <c r="D18910">
        <v>0</v>
      </c>
    </row>
    <row r="18911" spans="1:4" hidden="1" x14ac:dyDescent="0.3">
      <c r="A18911" t="s">
        <v>1066</v>
      </c>
      <c r="B18911" t="s">
        <v>10</v>
      </c>
      <c r="C18911" s="1">
        <f>HYPERLINK("https://cao.dolgi.msk.ru/account/1011429907/", 1011429907)</f>
        <v>1011429907</v>
      </c>
      <c r="D18911">
        <v>0</v>
      </c>
    </row>
    <row r="18912" spans="1:4" hidden="1" x14ac:dyDescent="0.3">
      <c r="A18912" t="s">
        <v>1066</v>
      </c>
      <c r="B18912" t="s">
        <v>11</v>
      </c>
      <c r="C18912" s="1">
        <f>HYPERLINK("https://cao.dolgi.msk.ru/account/1011429755/", 1011429755)</f>
        <v>1011429755</v>
      </c>
      <c r="D18912">
        <v>0</v>
      </c>
    </row>
    <row r="18913" spans="1:4" hidden="1" x14ac:dyDescent="0.3">
      <c r="A18913" t="s">
        <v>1066</v>
      </c>
      <c r="B18913" t="s">
        <v>23</v>
      </c>
      <c r="C18913" s="1">
        <f>HYPERLINK("https://cao.dolgi.msk.ru/account/1011429827/", 1011429827)</f>
        <v>1011429827</v>
      </c>
      <c r="D18913">
        <v>-116.86</v>
      </c>
    </row>
    <row r="18914" spans="1:4" hidden="1" x14ac:dyDescent="0.3">
      <c r="A18914" t="s">
        <v>1066</v>
      </c>
      <c r="B18914" t="s">
        <v>13</v>
      </c>
      <c r="C18914" s="1">
        <f>HYPERLINK("https://cao.dolgi.msk.ru/account/1011429923/", 1011429923)</f>
        <v>1011429923</v>
      </c>
      <c r="D18914">
        <v>-42905.7</v>
      </c>
    </row>
    <row r="18915" spans="1:4" hidden="1" x14ac:dyDescent="0.3">
      <c r="A18915" t="s">
        <v>1066</v>
      </c>
      <c r="B18915" t="s">
        <v>14</v>
      </c>
      <c r="C18915" s="1">
        <f>HYPERLINK("https://cao.dolgi.msk.ru/account/1011429958/", 1011429958)</f>
        <v>1011429958</v>
      </c>
      <c r="D18915">
        <v>0</v>
      </c>
    </row>
    <row r="18916" spans="1:4" hidden="1" x14ac:dyDescent="0.3">
      <c r="A18916" t="s">
        <v>1066</v>
      </c>
      <c r="B18916" t="s">
        <v>16</v>
      </c>
      <c r="C18916" s="1">
        <f>HYPERLINK("https://cao.dolgi.msk.ru/account/1011429851/", 1011429851)</f>
        <v>1011429851</v>
      </c>
      <c r="D18916">
        <v>-23481.24</v>
      </c>
    </row>
    <row r="18917" spans="1:4" hidden="1" x14ac:dyDescent="0.3">
      <c r="A18917" t="s">
        <v>1067</v>
      </c>
      <c r="B18917" t="s">
        <v>6</v>
      </c>
      <c r="C18917" s="1">
        <f>HYPERLINK("https://cao.dolgi.msk.ru/account/1011059387/", 1011059387)</f>
        <v>1011059387</v>
      </c>
      <c r="D18917">
        <v>0</v>
      </c>
    </row>
    <row r="18918" spans="1:4" hidden="1" x14ac:dyDescent="0.3">
      <c r="A18918" t="s">
        <v>1067</v>
      </c>
      <c r="B18918" t="s">
        <v>799</v>
      </c>
      <c r="C18918" s="1">
        <f>HYPERLINK("https://cao.dolgi.msk.ru/account/1011059635/", 1011059635)</f>
        <v>1011059635</v>
      </c>
      <c r="D18918">
        <v>-3854.02</v>
      </c>
    </row>
    <row r="18919" spans="1:4" hidden="1" x14ac:dyDescent="0.3">
      <c r="A18919" t="s">
        <v>1067</v>
      </c>
      <c r="B18919" t="s">
        <v>604</v>
      </c>
      <c r="C18919" s="1">
        <f>HYPERLINK("https://cao.dolgi.msk.ru/account/1011059491/", 1011059491)</f>
        <v>1011059491</v>
      </c>
      <c r="D18919">
        <v>0</v>
      </c>
    </row>
    <row r="18920" spans="1:4" x14ac:dyDescent="0.3">
      <c r="A18920" t="s">
        <v>1067</v>
      </c>
      <c r="B18920" t="s">
        <v>28</v>
      </c>
      <c r="C18920" s="1">
        <f>HYPERLINK("https://cao.dolgi.msk.ru/account/1011060206/", 1011060206)</f>
        <v>1011060206</v>
      </c>
      <c r="D18920">
        <v>10</v>
      </c>
    </row>
    <row r="18921" spans="1:4" hidden="1" x14ac:dyDescent="0.3">
      <c r="A18921" t="s">
        <v>1067</v>
      </c>
      <c r="B18921" t="s">
        <v>35</v>
      </c>
      <c r="C18921" s="1">
        <f>HYPERLINK("https://cao.dolgi.msk.ru/account/1011059918/", 1011059918)</f>
        <v>1011059918</v>
      </c>
      <c r="D18921">
        <v>0</v>
      </c>
    </row>
    <row r="18922" spans="1:4" hidden="1" x14ac:dyDescent="0.3">
      <c r="A18922" t="s">
        <v>1067</v>
      </c>
      <c r="B18922" t="s">
        <v>5</v>
      </c>
      <c r="C18922" s="1">
        <f>HYPERLINK("https://cao.dolgi.msk.ru/account/1011059694/", 1011059694)</f>
        <v>1011059694</v>
      </c>
      <c r="D18922">
        <v>0</v>
      </c>
    </row>
    <row r="18923" spans="1:4" hidden="1" x14ac:dyDescent="0.3">
      <c r="A18923" t="s">
        <v>1067</v>
      </c>
      <c r="B18923" t="s">
        <v>7</v>
      </c>
      <c r="C18923" s="1">
        <f>HYPERLINK("https://cao.dolgi.msk.ru/account/1011060089/", 1011060089)</f>
        <v>1011060089</v>
      </c>
      <c r="D18923">
        <v>0</v>
      </c>
    </row>
    <row r="18924" spans="1:4" hidden="1" x14ac:dyDescent="0.3">
      <c r="A18924" t="s">
        <v>1067</v>
      </c>
      <c r="B18924" t="s">
        <v>7</v>
      </c>
      <c r="C18924" s="1">
        <f>HYPERLINK("https://cao.dolgi.msk.ru/account/1011130825/", 1011130825)</f>
        <v>1011130825</v>
      </c>
      <c r="D18924">
        <v>0</v>
      </c>
    </row>
    <row r="18925" spans="1:4" hidden="1" x14ac:dyDescent="0.3">
      <c r="A18925" t="s">
        <v>1067</v>
      </c>
      <c r="B18925" t="s">
        <v>8</v>
      </c>
      <c r="C18925" s="1">
        <f>HYPERLINK("https://cao.dolgi.msk.ru/account/1011059803/", 1011059803)</f>
        <v>1011059803</v>
      </c>
      <c r="D18925">
        <v>0</v>
      </c>
    </row>
    <row r="18926" spans="1:4" hidden="1" x14ac:dyDescent="0.3">
      <c r="A18926" t="s">
        <v>1067</v>
      </c>
      <c r="B18926" t="s">
        <v>31</v>
      </c>
      <c r="C18926" s="1">
        <f>HYPERLINK("https://cao.dolgi.msk.ru/account/1011059619/", 1011059619)</f>
        <v>1011059619</v>
      </c>
      <c r="D18926">
        <v>-254.33</v>
      </c>
    </row>
    <row r="18927" spans="1:4" hidden="1" x14ac:dyDescent="0.3">
      <c r="A18927" t="s">
        <v>1067</v>
      </c>
      <c r="B18927" t="s">
        <v>31</v>
      </c>
      <c r="C18927" s="1">
        <f>HYPERLINK("https://cao.dolgi.msk.ru/account/1011060142/", 1011060142)</f>
        <v>1011060142</v>
      </c>
      <c r="D18927">
        <v>-1017.25</v>
      </c>
    </row>
    <row r="18928" spans="1:4" x14ac:dyDescent="0.3">
      <c r="A18928" t="s">
        <v>1067</v>
      </c>
      <c r="B18928" t="s">
        <v>9</v>
      </c>
      <c r="C18928" s="1">
        <f>HYPERLINK("https://cao.dolgi.msk.ru/account/1011060281/", 1011060281)</f>
        <v>1011060281</v>
      </c>
      <c r="D18928">
        <v>18303.77</v>
      </c>
    </row>
    <row r="18929" spans="1:4" hidden="1" x14ac:dyDescent="0.3">
      <c r="A18929" t="s">
        <v>1067</v>
      </c>
      <c r="B18929" t="s">
        <v>10</v>
      </c>
      <c r="C18929" s="1">
        <f>HYPERLINK("https://cao.dolgi.msk.ru/account/1011060177/", 1011060177)</f>
        <v>1011060177</v>
      </c>
      <c r="D18929">
        <v>-0.59</v>
      </c>
    </row>
    <row r="18930" spans="1:4" hidden="1" x14ac:dyDescent="0.3">
      <c r="A18930" t="s">
        <v>1067</v>
      </c>
      <c r="B18930" t="s">
        <v>11</v>
      </c>
      <c r="C18930" s="1">
        <f>HYPERLINK("https://cao.dolgi.msk.ru/account/1011060185/", 1011060185)</f>
        <v>1011060185</v>
      </c>
      <c r="D18930">
        <v>0</v>
      </c>
    </row>
    <row r="18931" spans="1:4" hidden="1" x14ac:dyDescent="0.3">
      <c r="A18931" t="s">
        <v>1067</v>
      </c>
      <c r="B18931" t="s">
        <v>12</v>
      </c>
      <c r="C18931" s="1">
        <f>HYPERLINK("https://cao.dolgi.msk.ru/account/1011059504/", 1011059504)</f>
        <v>1011059504</v>
      </c>
      <c r="D18931">
        <v>-62.54</v>
      </c>
    </row>
    <row r="18932" spans="1:4" hidden="1" x14ac:dyDescent="0.3">
      <c r="A18932" t="s">
        <v>1067</v>
      </c>
      <c r="B18932" t="s">
        <v>23</v>
      </c>
      <c r="C18932" s="1">
        <f>HYPERLINK("https://cao.dolgi.msk.ru/account/1011060193/", 1011060193)</f>
        <v>1011060193</v>
      </c>
      <c r="D18932">
        <v>0</v>
      </c>
    </row>
    <row r="18933" spans="1:4" hidden="1" x14ac:dyDescent="0.3">
      <c r="A18933" t="s">
        <v>1067</v>
      </c>
      <c r="B18933" t="s">
        <v>13</v>
      </c>
      <c r="C18933" s="1">
        <f>HYPERLINK("https://cao.dolgi.msk.ru/account/1011059395/", 1011059395)</f>
        <v>1011059395</v>
      </c>
      <c r="D18933">
        <v>0</v>
      </c>
    </row>
    <row r="18934" spans="1:4" hidden="1" x14ac:dyDescent="0.3">
      <c r="A18934" t="s">
        <v>1067</v>
      </c>
      <c r="B18934" t="s">
        <v>14</v>
      </c>
      <c r="C18934" s="1">
        <f>HYPERLINK("https://cao.dolgi.msk.ru/account/1011059731/", 1011059731)</f>
        <v>1011059731</v>
      </c>
      <c r="D18934">
        <v>-28111.11</v>
      </c>
    </row>
    <row r="18935" spans="1:4" hidden="1" x14ac:dyDescent="0.3">
      <c r="A18935" t="s">
        <v>1067</v>
      </c>
      <c r="B18935" t="s">
        <v>16</v>
      </c>
      <c r="C18935" s="1">
        <f>HYPERLINK("https://cao.dolgi.msk.ru/account/1011060302/", 1011060302)</f>
        <v>1011060302</v>
      </c>
      <c r="D18935">
        <v>0</v>
      </c>
    </row>
    <row r="18936" spans="1:4" hidden="1" x14ac:dyDescent="0.3">
      <c r="A18936" t="s">
        <v>1067</v>
      </c>
      <c r="B18936" t="s">
        <v>17</v>
      </c>
      <c r="C18936" s="1">
        <f>HYPERLINK("https://cao.dolgi.msk.ru/account/1011059408/", 1011059408)</f>
        <v>1011059408</v>
      </c>
      <c r="D18936">
        <v>-2.1800000000000002</v>
      </c>
    </row>
    <row r="18937" spans="1:4" x14ac:dyDescent="0.3">
      <c r="A18937" t="s">
        <v>1067</v>
      </c>
      <c r="B18937" t="s">
        <v>18</v>
      </c>
      <c r="C18937" s="1">
        <f>HYPERLINK("https://cao.dolgi.msk.ru/account/1011059512/", 1011059512)</f>
        <v>1011059512</v>
      </c>
      <c r="D18937">
        <v>56164.71</v>
      </c>
    </row>
    <row r="18938" spans="1:4" hidden="1" x14ac:dyDescent="0.3">
      <c r="A18938" t="s">
        <v>1067</v>
      </c>
      <c r="B18938" t="s">
        <v>19</v>
      </c>
      <c r="C18938" s="1">
        <f>HYPERLINK("https://cao.dolgi.msk.ru/account/1011060329/", 1011060329)</f>
        <v>1011060329</v>
      </c>
      <c r="D18938">
        <v>0</v>
      </c>
    </row>
    <row r="18939" spans="1:4" x14ac:dyDescent="0.3">
      <c r="A18939" t="s">
        <v>1067</v>
      </c>
      <c r="B18939" t="s">
        <v>19</v>
      </c>
      <c r="C18939" s="1">
        <f>HYPERLINK("https://cao.dolgi.msk.ru/account/1011526205/", 1011526205)</f>
        <v>1011526205</v>
      </c>
      <c r="D18939">
        <v>2137.59</v>
      </c>
    </row>
    <row r="18940" spans="1:4" x14ac:dyDescent="0.3">
      <c r="A18940" t="s">
        <v>1067</v>
      </c>
      <c r="B18940" t="s">
        <v>20</v>
      </c>
      <c r="C18940" s="1">
        <f>HYPERLINK("https://cao.dolgi.msk.ru/account/1011059862/", 1011059862)</f>
        <v>1011059862</v>
      </c>
      <c r="D18940">
        <v>9887.91</v>
      </c>
    </row>
    <row r="18941" spans="1:4" hidden="1" x14ac:dyDescent="0.3">
      <c r="A18941" t="s">
        <v>1067</v>
      </c>
      <c r="B18941" t="s">
        <v>21</v>
      </c>
      <c r="C18941" s="1">
        <f>HYPERLINK("https://cao.dolgi.msk.ru/account/1011060214/", 1011060214)</f>
        <v>1011060214</v>
      </c>
      <c r="D18941">
        <v>-34797.120000000003</v>
      </c>
    </row>
    <row r="18942" spans="1:4" hidden="1" x14ac:dyDescent="0.3">
      <c r="A18942" t="s">
        <v>1067</v>
      </c>
      <c r="B18942" t="s">
        <v>22</v>
      </c>
      <c r="C18942" s="1">
        <f>HYPERLINK("https://cao.dolgi.msk.ru/account/1011059643/", 1011059643)</f>
        <v>1011059643</v>
      </c>
      <c r="D18942">
        <v>-5967.43</v>
      </c>
    </row>
    <row r="18943" spans="1:4" hidden="1" x14ac:dyDescent="0.3">
      <c r="A18943" t="s">
        <v>1067</v>
      </c>
      <c r="B18943" t="s">
        <v>24</v>
      </c>
      <c r="C18943" s="1">
        <f>HYPERLINK("https://cao.dolgi.msk.ru/account/1011059539/", 1011059539)</f>
        <v>1011059539</v>
      </c>
      <c r="D18943">
        <v>-8671.86</v>
      </c>
    </row>
    <row r="18944" spans="1:4" x14ac:dyDescent="0.3">
      <c r="A18944" t="s">
        <v>1067</v>
      </c>
      <c r="B18944" t="s">
        <v>25</v>
      </c>
      <c r="C18944" s="1">
        <f>HYPERLINK("https://cao.dolgi.msk.ru/account/1011059416/", 1011059416)</f>
        <v>1011059416</v>
      </c>
      <c r="D18944">
        <v>21180.66</v>
      </c>
    </row>
    <row r="18945" spans="1:4" x14ac:dyDescent="0.3">
      <c r="A18945" t="s">
        <v>1067</v>
      </c>
      <c r="B18945" t="s">
        <v>25</v>
      </c>
      <c r="C18945" s="1">
        <f>HYPERLINK("https://cao.dolgi.msk.ru/account/1011059651/", 1011059651)</f>
        <v>1011059651</v>
      </c>
      <c r="D18945">
        <v>4212.0600000000004</v>
      </c>
    </row>
    <row r="18946" spans="1:4" hidden="1" x14ac:dyDescent="0.3">
      <c r="A18946" t="s">
        <v>1067</v>
      </c>
      <c r="B18946" t="s">
        <v>26</v>
      </c>
      <c r="C18946" s="1">
        <f>HYPERLINK("https://cao.dolgi.msk.ru/account/1011059889/", 1011059889)</f>
        <v>1011059889</v>
      </c>
      <c r="D18946">
        <v>0</v>
      </c>
    </row>
    <row r="18947" spans="1:4" hidden="1" x14ac:dyDescent="0.3">
      <c r="A18947" t="s">
        <v>1067</v>
      </c>
      <c r="B18947" t="s">
        <v>27</v>
      </c>
      <c r="C18947" s="1">
        <f>HYPERLINK("https://cao.dolgi.msk.ru/account/1011060011/", 1011060011)</f>
        <v>1011060011</v>
      </c>
      <c r="D18947">
        <v>-9930.69</v>
      </c>
    </row>
    <row r="18948" spans="1:4" hidden="1" x14ac:dyDescent="0.3">
      <c r="A18948" t="s">
        <v>1067</v>
      </c>
      <c r="B18948" t="s">
        <v>29</v>
      </c>
      <c r="C18948" s="1">
        <f>HYPERLINK("https://cao.dolgi.msk.ru/account/1011060038/", 1011060038)</f>
        <v>1011060038</v>
      </c>
      <c r="D18948">
        <v>0</v>
      </c>
    </row>
    <row r="18949" spans="1:4" hidden="1" x14ac:dyDescent="0.3">
      <c r="A18949" t="s">
        <v>1067</v>
      </c>
      <c r="B18949" t="s">
        <v>38</v>
      </c>
      <c r="C18949" s="1">
        <f>HYPERLINK("https://cao.dolgi.msk.ru/account/1011060222/", 1011060222)</f>
        <v>1011060222</v>
      </c>
      <c r="D18949">
        <v>-2386.29</v>
      </c>
    </row>
    <row r="18950" spans="1:4" hidden="1" x14ac:dyDescent="0.3">
      <c r="A18950" t="s">
        <v>1067</v>
      </c>
      <c r="B18950" t="s">
        <v>39</v>
      </c>
      <c r="C18950" s="1">
        <f>HYPERLINK("https://cao.dolgi.msk.ru/account/1011060046/", 1011060046)</f>
        <v>1011060046</v>
      </c>
      <c r="D18950">
        <v>-6293.49</v>
      </c>
    </row>
    <row r="18951" spans="1:4" hidden="1" x14ac:dyDescent="0.3">
      <c r="A18951" t="s">
        <v>1067</v>
      </c>
      <c r="B18951" t="s">
        <v>40</v>
      </c>
      <c r="C18951" s="1">
        <f>HYPERLINK("https://cao.dolgi.msk.ru/account/1011059897/", 1011059897)</f>
        <v>1011059897</v>
      </c>
      <c r="D18951">
        <v>0</v>
      </c>
    </row>
    <row r="18952" spans="1:4" x14ac:dyDescent="0.3">
      <c r="A18952" t="s">
        <v>1067</v>
      </c>
      <c r="B18952" t="s">
        <v>41</v>
      </c>
      <c r="C18952" s="1">
        <f>HYPERLINK("https://cao.dolgi.msk.ru/account/1011060054/", 1011060054)</f>
        <v>1011060054</v>
      </c>
      <c r="D18952">
        <v>26735.65</v>
      </c>
    </row>
    <row r="18953" spans="1:4" hidden="1" x14ac:dyDescent="0.3">
      <c r="A18953" t="s">
        <v>1067</v>
      </c>
      <c r="B18953" t="s">
        <v>51</v>
      </c>
      <c r="C18953" s="1">
        <f>HYPERLINK("https://cao.dolgi.msk.ru/account/1011059926/", 1011059926)</f>
        <v>1011059926</v>
      </c>
      <c r="D18953">
        <v>0</v>
      </c>
    </row>
    <row r="18954" spans="1:4" hidden="1" x14ac:dyDescent="0.3">
      <c r="A18954" t="s">
        <v>1067</v>
      </c>
      <c r="B18954" t="s">
        <v>52</v>
      </c>
      <c r="C18954" s="1">
        <f>HYPERLINK("https://cao.dolgi.msk.ru/account/1011060062/", 1011060062)</f>
        <v>1011060062</v>
      </c>
      <c r="D18954">
        <v>0</v>
      </c>
    </row>
    <row r="18955" spans="1:4" hidden="1" x14ac:dyDescent="0.3">
      <c r="A18955" t="s">
        <v>1067</v>
      </c>
      <c r="B18955" t="s">
        <v>53</v>
      </c>
      <c r="C18955" s="1">
        <f>HYPERLINK("https://cao.dolgi.msk.ru/account/1011059686/", 1011059686)</f>
        <v>1011059686</v>
      </c>
      <c r="D18955">
        <v>0</v>
      </c>
    </row>
    <row r="18956" spans="1:4" hidden="1" x14ac:dyDescent="0.3">
      <c r="A18956" t="s">
        <v>1067</v>
      </c>
      <c r="B18956" t="s">
        <v>54</v>
      </c>
      <c r="C18956" s="1">
        <f>HYPERLINK("https://cao.dolgi.msk.ru/account/1011059424/", 1011059424)</f>
        <v>1011059424</v>
      </c>
      <c r="D18956">
        <v>0</v>
      </c>
    </row>
    <row r="18957" spans="1:4" hidden="1" x14ac:dyDescent="0.3">
      <c r="A18957" t="s">
        <v>1067</v>
      </c>
      <c r="B18957" t="s">
        <v>54</v>
      </c>
      <c r="C18957" s="1">
        <f>HYPERLINK("https://cao.dolgi.msk.ru/account/1011060337/", 1011060337)</f>
        <v>1011060337</v>
      </c>
      <c r="D18957">
        <v>0</v>
      </c>
    </row>
    <row r="18958" spans="1:4" hidden="1" x14ac:dyDescent="0.3">
      <c r="A18958" t="s">
        <v>1067</v>
      </c>
      <c r="B18958" t="s">
        <v>54</v>
      </c>
      <c r="C18958" s="1">
        <f>HYPERLINK("https://cao.dolgi.msk.ru/account/1011065728/", 1011065728)</f>
        <v>1011065728</v>
      </c>
      <c r="D18958">
        <v>0</v>
      </c>
    </row>
    <row r="18959" spans="1:4" hidden="1" x14ac:dyDescent="0.3">
      <c r="A18959" t="s">
        <v>1067</v>
      </c>
      <c r="B18959" t="s">
        <v>55</v>
      </c>
      <c r="C18959" s="1">
        <f>HYPERLINK("https://cao.dolgi.msk.ru/account/1011059547/", 1011059547)</f>
        <v>1011059547</v>
      </c>
      <c r="D18959">
        <v>-12512.44</v>
      </c>
    </row>
    <row r="18960" spans="1:4" hidden="1" x14ac:dyDescent="0.3">
      <c r="A18960" t="s">
        <v>1067</v>
      </c>
      <c r="B18960" t="s">
        <v>56</v>
      </c>
      <c r="C18960" s="1">
        <f>HYPERLINK("https://cao.dolgi.msk.ru/account/1011060345/", 1011060345)</f>
        <v>1011060345</v>
      </c>
      <c r="D18960">
        <v>0</v>
      </c>
    </row>
    <row r="18961" spans="1:4" hidden="1" x14ac:dyDescent="0.3">
      <c r="A18961" t="s">
        <v>1067</v>
      </c>
      <c r="B18961" t="s">
        <v>87</v>
      </c>
      <c r="C18961" s="1">
        <f>HYPERLINK("https://cao.dolgi.msk.ru/account/1011059555/", 1011059555)</f>
        <v>1011059555</v>
      </c>
      <c r="D18961">
        <v>0</v>
      </c>
    </row>
    <row r="18962" spans="1:4" hidden="1" x14ac:dyDescent="0.3">
      <c r="A18962" t="s">
        <v>1067</v>
      </c>
      <c r="B18962" t="s">
        <v>88</v>
      </c>
      <c r="C18962" s="1">
        <f>HYPERLINK("https://cao.dolgi.msk.ru/account/1011059758/", 1011059758)</f>
        <v>1011059758</v>
      </c>
      <c r="D18962">
        <v>0</v>
      </c>
    </row>
    <row r="18963" spans="1:4" hidden="1" x14ac:dyDescent="0.3">
      <c r="A18963" t="s">
        <v>1067</v>
      </c>
      <c r="B18963" t="s">
        <v>88</v>
      </c>
      <c r="C18963" s="1">
        <f>HYPERLINK("https://cao.dolgi.msk.ru/account/1011060249/", 1011060249)</f>
        <v>1011060249</v>
      </c>
      <c r="D18963">
        <v>-653.23</v>
      </c>
    </row>
    <row r="18964" spans="1:4" hidden="1" x14ac:dyDescent="0.3">
      <c r="A18964" t="s">
        <v>1067</v>
      </c>
      <c r="B18964" t="s">
        <v>89</v>
      </c>
      <c r="C18964" s="1">
        <f>HYPERLINK("https://cao.dolgi.msk.ru/account/1011059432/", 1011059432)</f>
        <v>1011059432</v>
      </c>
      <c r="D18964">
        <v>0</v>
      </c>
    </row>
    <row r="18965" spans="1:4" hidden="1" x14ac:dyDescent="0.3">
      <c r="A18965" t="s">
        <v>1067</v>
      </c>
      <c r="B18965" t="s">
        <v>90</v>
      </c>
      <c r="C18965" s="1">
        <f>HYPERLINK("https://cao.dolgi.msk.ru/account/1011060353/", 1011060353)</f>
        <v>1011060353</v>
      </c>
      <c r="D18965">
        <v>0</v>
      </c>
    </row>
    <row r="18966" spans="1:4" hidden="1" x14ac:dyDescent="0.3">
      <c r="A18966" t="s">
        <v>1067</v>
      </c>
      <c r="B18966" t="s">
        <v>96</v>
      </c>
      <c r="C18966" s="1">
        <f>HYPERLINK("https://cao.dolgi.msk.ru/account/1011059707/", 1011059707)</f>
        <v>1011059707</v>
      </c>
      <c r="D18966">
        <v>0</v>
      </c>
    </row>
    <row r="18967" spans="1:4" hidden="1" x14ac:dyDescent="0.3">
      <c r="A18967" t="s">
        <v>1067</v>
      </c>
      <c r="B18967" t="s">
        <v>97</v>
      </c>
      <c r="C18967" s="1">
        <f>HYPERLINK("https://cao.dolgi.msk.ru/account/1011059563/", 1011059563)</f>
        <v>1011059563</v>
      </c>
      <c r="D18967">
        <v>0</v>
      </c>
    </row>
    <row r="18968" spans="1:4" x14ac:dyDescent="0.3">
      <c r="A18968" t="s">
        <v>1067</v>
      </c>
      <c r="B18968" t="s">
        <v>97</v>
      </c>
      <c r="C18968" s="1">
        <f>HYPERLINK("https://cao.dolgi.msk.ru/account/1011059766/", 1011059766)</f>
        <v>1011059766</v>
      </c>
      <c r="D18968">
        <v>58733.85</v>
      </c>
    </row>
    <row r="18969" spans="1:4" hidden="1" x14ac:dyDescent="0.3">
      <c r="A18969" t="s">
        <v>1067</v>
      </c>
      <c r="B18969" t="s">
        <v>97</v>
      </c>
      <c r="C18969" s="1">
        <f>HYPERLINK("https://cao.dolgi.msk.ru/account/1011059934/", 1011059934)</f>
        <v>1011059934</v>
      </c>
      <c r="D18969">
        <v>0</v>
      </c>
    </row>
    <row r="18970" spans="1:4" x14ac:dyDescent="0.3">
      <c r="A18970" t="s">
        <v>1067</v>
      </c>
      <c r="B18970" t="s">
        <v>98</v>
      </c>
      <c r="C18970" s="1">
        <f>HYPERLINK("https://cao.dolgi.msk.ru/account/1011059715/", 1011059715)</f>
        <v>1011059715</v>
      </c>
      <c r="D18970">
        <v>89.64</v>
      </c>
    </row>
    <row r="18971" spans="1:4" hidden="1" x14ac:dyDescent="0.3">
      <c r="A18971" t="s">
        <v>1067</v>
      </c>
      <c r="B18971" t="s">
        <v>58</v>
      </c>
      <c r="C18971" s="1">
        <f>HYPERLINK("https://cao.dolgi.msk.ru/account/1011060361/", 1011060361)</f>
        <v>1011060361</v>
      </c>
      <c r="D18971">
        <v>0</v>
      </c>
    </row>
    <row r="18972" spans="1:4" hidden="1" x14ac:dyDescent="0.3">
      <c r="A18972" t="s">
        <v>1067</v>
      </c>
      <c r="B18972" t="s">
        <v>59</v>
      </c>
      <c r="C18972" s="1">
        <f>HYPERLINK("https://cao.dolgi.msk.ru/account/1011059774/", 1011059774)</f>
        <v>1011059774</v>
      </c>
      <c r="D18972">
        <v>-2726.55</v>
      </c>
    </row>
    <row r="18973" spans="1:4" hidden="1" x14ac:dyDescent="0.3">
      <c r="A18973" t="s">
        <v>1067</v>
      </c>
      <c r="B18973" t="s">
        <v>60</v>
      </c>
      <c r="C18973" s="1">
        <f>HYPERLINK("https://cao.dolgi.msk.ru/account/1011059571/", 1011059571)</f>
        <v>1011059571</v>
      </c>
      <c r="D18973">
        <v>0</v>
      </c>
    </row>
    <row r="18974" spans="1:4" hidden="1" x14ac:dyDescent="0.3">
      <c r="A18974" t="s">
        <v>1067</v>
      </c>
      <c r="B18974" t="s">
        <v>61</v>
      </c>
      <c r="C18974" s="1">
        <f>HYPERLINK("https://cao.dolgi.msk.ru/account/1011060257/", 1011060257)</f>
        <v>1011060257</v>
      </c>
      <c r="D18974">
        <v>-480.83</v>
      </c>
    </row>
    <row r="18975" spans="1:4" x14ac:dyDescent="0.3">
      <c r="A18975" t="s">
        <v>1067</v>
      </c>
      <c r="B18975" t="s">
        <v>62</v>
      </c>
      <c r="C18975" s="1">
        <f>HYPERLINK("https://cao.dolgi.msk.ru/account/1011060388/", 1011060388)</f>
        <v>1011060388</v>
      </c>
      <c r="D18975">
        <v>22671.83</v>
      </c>
    </row>
    <row r="18976" spans="1:4" hidden="1" x14ac:dyDescent="0.3">
      <c r="A18976" t="s">
        <v>1067</v>
      </c>
      <c r="B18976" t="s">
        <v>63</v>
      </c>
      <c r="C18976" s="1">
        <f>HYPERLINK("https://cao.dolgi.msk.ru/account/1011059942/", 1011059942)</f>
        <v>1011059942</v>
      </c>
      <c r="D18976">
        <v>0</v>
      </c>
    </row>
    <row r="18977" spans="1:4" hidden="1" x14ac:dyDescent="0.3">
      <c r="A18977" t="s">
        <v>1067</v>
      </c>
      <c r="B18977" t="s">
        <v>64</v>
      </c>
      <c r="C18977" s="1">
        <f>HYPERLINK("https://cao.dolgi.msk.ru/account/1011059459/", 1011059459)</f>
        <v>1011059459</v>
      </c>
      <c r="D18977">
        <v>0</v>
      </c>
    </row>
    <row r="18978" spans="1:4" hidden="1" x14ac:dyDescent="0.3">
      <c r="A18978" t="s">
        <v>1067</v>
      </c>
      <c r="B18978" t="s">
        <v>65</v>
      </c>
      <c r="C18978" s="1">
        <f>HYPERLINK("https://cao.dolgi.msk.ru/account/1011059467/", 1011059467)</f>
        <v>1011059467</v>
      </c>
      <c r="D18978">
        <v>0</v>
      </c>
    </row>
    <row r="18979" spans="1:4" x14ac:dyDescent="0.3">
      <c r="A18979" t="s">
        <v>1067</v>
      </c>
      <c r="B18979" t="s">
        <v>66</v>
      </c>
      <c r="C18979" s="1">
        <f>HYPERLINK("https://cao.dolgi.msk.ru/account/1011059969/", 1011059969)</f>
        <v>1011059969</v>
      </c>
      <c r="D18979">
        <v>291670.95</v>
      </c>
    </row>
    <row r="18980" spans="1:4" hidden="1" x14ac:dyDescent="0.3">
      <c r="A18980" t="s">
        <v>1067</v>
      </c>
      <c r="B18980" t="s">
        <v>67</v>
      </c>
      <c r="C18980" s="1">
        <f>HYPERLINK("https://cao.dolgi.msk.ru/account/1011060118/", 1011060118)</f>
        <v>1011060118</v>
      </c>
      <c r="D18980">
        <v>0</v>
      </c>
    </row>
    <row r="18981" spans="1:4" hidden="1" x14ac:dyDescent="0.3">
      <c r="A18981" t="s">
        <v>1067</v>
      </c>
      <c r="B18981" t="s">
        <v>68</v>
      </c>
      <c r="C18981" s="1">
        <f>HYPERLINK("https://cao.dolgi.msk.ru/account/1011059782/", 1011059782)</f>
        <v>1011059782</v>
      </c>
      <c r="D18981">
        <v>0</v>
      </c>
    </row>
    <row r="18982" spans="1:4" x14ac:dyDescent="0.3">
      <c r="A18982" t="s">
        <v>1067</v>
      </c>
      <c r="B18982" t="s">
        <v>69</v>
      </c>
      <c r="C18982" s="1">
        <f>HYPERLINK("https://cao.dolgi.msk.ru/account/1011060396/", 1011060396)</f>
        <v>1011060396</v>
      </c>
      <c r="D18982">
        <v>8249.51</v>
      </c>
    </row>
    <row r="18983" spans="1:4" x14ac:dyDescent="0.3">
      <c r="A18983" t="s">
        <v>1067</v>
      </c>
      <c r="B18983" t="s">
        <v>70</v>
      </c>
      <c r="C18983" s="1">
        <f>HYPERLINK("https://cao.dolgi.msk.ru/account/1011059475/", 1011059475)</f>
        <v>1011059475</v>
      </c>
      <c r="D18983">
        <v>27777.119999999999</v>
      </c>
    </row>
    <row r="18984" spans="1:4" hidden="1" x14ac:dyDescent="0.3">
      <c r="A18984" t="s">
        <v>1067</v>
      </c>
      <c r="B18984" t="s">
        <v>259</v>
      </c>
      <c r="C18984" s="1">
        <f>HYPERLINK("https://cao.dolgi.msk.ru/account/1011060265/", 1011060265)</f>
        <v>1011060265</v>
      </c>
      <c r="D18984">
        <v>-13579.72</v>
      </c>
    </row>
    <row r="18985" spans="1:4" hidden="1" x14ac:dyDescent="0.3">
      <c r="A18985" t="s">
        <v>1067</v>
      </c>
      <c r="B18985" t="s">
        <v>100</v>
      </c>
      <c r="C18985" s="1">
        <f>HYPERLINK("https://cao.dolgi.msk.ru/account/1011059598/", 1011059598)</f>
        <v>1011059598</v>
      </c>
      <c r="D18985">
        <v>-1286.94</v>
      </c>
    </row>
    <row r="18986" spans="1:4" hidden="1" x14ac:dyDescent="0.3">
      <c r="A18986" t="s">
        <v>1067</v>
      </c>
      <c r="B18986" t="s">
        <v>100</v>
      </c>
      <c r="C18986" s="1">
        <f>HYPERLINK("https://cao.dolgi.msk.ru/account/1011059977/", 1011059977)</f>
        <v>1011059977</v>
      </c>
      <c r="D18986">
        <v>0</v>
      </c>
    </row>
    <row r="18987" spans="1:4" hidden="1" x14ac:dyDescent="0.3">
      <c r="A18987" t="s">
        <v>1067</v>
      </c>
      <c r="B18987" t="s">
        <v>100</v>
      </c>
      <c r="C18987" s="1">
        <f>HYPERLINK("https://cao.dolgi.msk.ru/account/1011060126/", 1011060126)</f>
        <v>1011060126</v>
      </c>
      <c r="D18987">
        <v>-1291.24</v>
      </c>
    </row>
    <row r="18988" spans="1:4" hidden="1" x14ac:dyDescent="0.3">
      <c r="A18988" t="s">
        <v>1067</v>
      </c>
      <c r="B18988" t="s">
        <v>72</v>
      </c>
      <c r="C18988" s="1">
        <f>HYPERLINK("https://cao.dolgi.msk.ru/account/1011059723/", 1011059723)</f>
        <v>1011059723</v>
      </c>
      <c r="D18988">
        <v>-1448.76</v>
      </c>
    </row>
    <row r="18989" spans="1:4" hidden="1" x14ac:dyDescent="0.3">
      <c r="A18989" t="s">
        <v>1067</v>
      </c>
      <c r="B18989" t="s">
        <v>72</v>
      </c>
      <c r="C18989" s="1">
        <f>HYPERLINK("https://cao.dolgi.msk.ru/account/1011060273/", 1011060273)</f>
        <v>1011060273</v>
      </c>
      <c r="D18989">
        <v>0</v>
      </c>
    </row>
    <row r="18990" spans="1:4" hidden="1" x14ac:dyDescent="0.3">
      <c r="A18990" t="s">
        <v>1067</v>
      </c>
      <c r="B18990" t="s">
        <v>73</v>
      </c>
      <c r="C18990" s="1">
        <f>HYPERLINK("https://cao.dolgi.msk.ru/account/1011059811/", 1011059811)</f>
        <v>1011059811</v>
      </c>
      <c r="D18990">
        <v>-11032.9</v>
      </c>
    </row>
    <row r="18991" spans="1:4" hidden="1" x14ac:dyDescent="0.3">
      <c r="A18991" t="s">
        <v>1067</v>
      </c>
      <c r="B18991" t="s">
        <v>74</v>
      </c>
      <c r="C18991" s="1">
        <f>HYPERLINK("https://cao.dolgi.msk.ru/account/1011059838/", 1011059838)</f>
        <v>1011059838</v>
      </c>
      <c r="D18991">
        <v>-10864.89</v>
      </c>
    </row>
    <row r="18992" spans="1:4" hidden="1" x14ac:dyDescent="0.3">
      <c r="A18992" t="s">
        <v>1067</v>
      </c>
      <c r="B18992" t="s">
        <v>75</v>
      </c>
      <c r="C18992" s="1">
        <f>HYPERLINK("https://cao.dolgi.msk.ru/account/1011060409/", 1011060409)</f>
        <v>1011060409</v>
      </c>
      <c r="D18992">
        <v>-183.08</v>
      </c>
    </row>
    <row r="18993" spans="1:4" hidden="1" x14ac:dyDescent="0.3">
      <c r="A18993" t="s">
        <v>1067</v>
      </c>
      <c r="B18993" t="s">
        <v>76</v>
      </c>
      <c r="C18993" s="1">
        <f>HYPERLINK("https://cao.dolgi.msk.ru/account/1011060134/", 1011060134)</f>
        <v>1011060134</v>
      </c>
      <c r="D18993">
        <v>-9924.83</v>
      </c>
    </row>
    <row r="18994" spans="1:4" hidden="1" x14ac:dyDescent="0.3">
      <c r="A18994" t="s">
        <v>1067</v>
      </c>
      <c r="B18994" t="s">
        <v>77</v>
      </c>
      <c r="C18994" s="1">
        <f>HYPERLINK("https://cao.dolgi.msk.ru/account/1011059985/", 1011059985)</f>
        <v>1011059985</v>
      </c>
      <c r="D18994">
        <v>0</v>
      </c>
    </row>
    <row r="18995" spans="1:4" x14ac:dyDescent="0.3">
      <c r="A18995" t="s">
        <v>1067</v>
      </c>
      <c r="B18995" t="s">
        <v>78</v>
      </c>
      <c r="C18995" s="1">
        <f>HYPERLINK("https://cao.dolgi.msk.ru/account/1011059993/", 1011059993)</f>
        <v>1011059993</v>
      </c>
      <c r="D18995">
        <v>20896.04</v>
      </c>
    </row>
    <row r="18996" spans="1:4" hidden="1" x14ac:dyDescent="0.3">
      <c r="A18996" t="s">
        <v>1067</v>
      </c>
      <c r="B18996" t="s">
        <v>79</v>
      </c>
      <c r="C18996" s="1">
        <f>HYPERLINK("https://cao.dolgi.msk.ru/account/1011060417/", 1011060417)</f>
        <v>1011060417</v>
      </c>
      <c r="D18996">
        <v>0</v>
      </c>
    </row>
    <row r="18997" spans="1:4" hidden="1" x14ac:dyDescent="0.3">
      <c r="A18997" t="s">
        <v>1067</v>
      </c>
      <c r="B18997" t="s">
        <v>80</v>
      </c>
      <c r="C18997" s="1">
        <f>HYPERLINK("https://cao.dolgi.msk.ru/account/1011059483/", 1011059483)</f>
        <v>1011059483</v>
      </c>
      <c r="D18997">
        <v>0</v>
      </c>
    </row>
    <row r="18998" spans="1:4" hidden="1" x14ac:dyDescent="0.3">
      <c r="A18998" t="s">
        <v>1067</v>
      </c>
      <c r="B18998" t="s">
        <v>81</v>
      </c>
      <c r="C18998" s="1">
        <f>HYPERLINK("https://cao.dolgi.msk.ru/account/1011059846/", 1011059846)</f>
        <v>1011059846</v>
      </c>
      <c r="D18998">
        <v>0</v>
      </c>
    </row>
    <row r="18999" spans="1:4" x14ac:dyDescent="0.3">
      <c r="A18999" t="s">
        <v>1067</v>
      </c>
      <c r="B18999" t="s">
        <v>101</v>
      </c>
      <c r="C18999" s="1">
        <f>HYPERLINK("https://cao.dolgi.msk.ru/account/1011059854/", 1011059854)</f>
        <v>1011059854</v>
      </c>
      <c r="D18999">
        <v>7673.27</v>
      </c>
    </row>
    <row r="19000" spans="1:4" x14ac:dyDescent="0.3">
      <c r="A19000" t="s">
        <v>1067</v>
      </c>
      <c r="B19000" t="s">
        <v>82</v>
      </c>
      <c r="C19000" s="1">
        <f>HYPERLINK("https://cao.dolgi.msk.ru/account/1011059627/", 1011059627)</f>
        <v>1011059627</v>
      </c>
      <c r="D19000">
        <v>29915.78</v>
      </c>
    </row>
    <row r="19001" spans="1:4" x14ac:dyDescent="0.3">
      <c r="A19001" t="s">
        <v>1067</v>
      </c>
      <c r="B19001" t="s">
        <v>82</v>
      </c>
      <c r="C19001" s="1">
        <f>HYPERLINK("https://cao.dolgi.msk.ru/account/1011060169/", 1011060169)</f>
        <v>1011060169</v>
      </c>
      <c r="D19001">
        <v>409813.41</v>
      </c>
    </row>
    <row r="19002" spans="1:4" x14ac:dyDescent="0.3">
      <c r="A19002" t="s">
        <v>1068</v>
      </c>
      <c r="B19002" t="s">
        <v>83</v>
      </c>
      <c r="C19002" s="1">
        <f>HYPERLINK("https://cao.dolgi.msk.ru/account/1011514781/", 1011514781)</f>
        <v>1011514781</v>
      </c>
      <c r="D19002">
        <v>8981.06</v>
      </c>
    </row>
    <row r="19003" spans="1:4" x14ac:dyDescent="0.3">
      <c r="A19003" t="s">
        <v>1068</v>
      </c>
      <c r="B19003" t="s">
        <v>84</v>
      </c>
      <c r="C19003" s="1">
        <f>HYPERLINK("https://cao.dolgi.msk.ru/account/1011391208/", 1011391208)</f>
        <v>1011391208</v>
      </c>
      <c r="D19003">
        <v>32957.47</v>
      </c>
    </row>
    <row r="19004" spans="1:4" hidden="1" x14ac:dyDescent="0.3">
      <c r="A19004" t="s">
        <v>1068</v>
      </c>
      <c r="B19004" t="s">
        <v>85</v>
      </c>
      <c r="C19004" s="1">
        <f>HYPERLINK("https://cao.dolgi.msk.ru/account/1011391291/", 1011391291)</f>
        <v>1011391291</v>
      </c>
      <c r="D19004">
        <v>-28.22</v>
      </c>
    </row>
    <row r="19005" spans="1:4" hidden="1" x14ac:dyDescent="0.3">
      <c r="A19005" t="s">
        <v>1068</v>
      </c>
      <c r="B19005" t="s">
        <v>85</v>
      </c>
      <c r="C19005" s="1">
        <f>HYPERLINK("https://cao.dolgi.msk.ru/account/1011391312/", 1011391312)</f>
        <v>1011391312</v>
      </c>
      <c r="D19005">
        <v>0</v>
      </c>
    </row>
    <row r="19006" spans="1:4" hidden="1" x14ac:dyDescent="0.3">
      <c r="A19006" t="s">
        <v>1068</v>
      </c>
      <c r="B19006" t="s">
        <v>85</v>
      </c>
      <c r="C19006" s="1">
        <f>HYPERLINK("https://cao.dolgi.msk.ru/account/1011391697/", 1011391697)</f>
        <v>1011391697</v>
      </c>
      <c r="D19006">
        <v>-10004.26</v>
      </c>
    </row>
    <row r="19007" spans="1:4" x14ac:dyDescent="0.3">
      <c r="A19007" t="s">
        <v>1068</v>
      </c>
      <c r="B19007" t="s">
        <v>102</v>
      </c>
      <c r="C19007" s="1">
        <f>HYPERLINK("https://cao.dolgi.msk.ru/account/1011391515/", 1011391515)</f>
        <v>1011391515</v>
      </c>
      <c r="D19007">
        <v>24679.5</v>
      </c>
    </row>
    <row r="19008" spans="1:4" hidden="1" x14ac:dyDescent="0.3">
      <c r="A19008" t="s">
        <v>1068</v>
      </c>
      <c r="B19008" t="s">
        <v>103</v>
      </c>
      <c r="C19008" s="1">
        <f>HYPERLINK("https://cao.dolgi.msk.ru/account/1011391304/", 1011391304)</f>
        <v>1011391304</v>
      </c>
      <c r="D19008">
        <v>0</v>
      </c>
    </row>
    <row r="19009" spans="1:4" x14ac:dyDescent="0.3">
      <c r="A19009" t="s">
        <v>1068</v>
      </c>
      <c r="B19009" t="s">
        <v>104</v>
      </c>
      <c r="C19009" s="1">
        <f>HYPERLINK("https://cao.dolgi.msk.ru/account/1011391275/", 1011391275)</f>
        <v>1011391275</v>
      </c>
      <c r="D19009">
        <v>14001.18</v>
      </c>
    </row>
    <row r="19010" spans="1:4" hidden="1" x14ac:dyDescent="0.3">
      <c r="A19010" t="s">
        <v>1068</v>
      </c>
      <c r="B19010" t="s">
        <v>104</v>
      </c>
      <c r="C19010" s="1">
        <f>HYPERLINK("https://cao.dolgi.msk.ru/account/1011391558/", 1011391558)</f>
        <v>1011391558</v>
      </c>
      <c r="D19010">
        <v>-87.29</v>
      </c>
    </row>
    <row r="19011" spans="1:4" hidden="1" x14ac:dyDescent="0.3">
      <c r="A19011" t="s">
        <v>1068</v>
      </c>
      <c r="B19011" t="s">
        <v>105</v>
      </c>
      <c r="C19011" s="1">
        <f>HYPERLINK("https://cao.dolgi.msk.ru/account/1011391646/", 1011391646)</f>
        <v>1011391646</v>
      </c>
      <c r="D19011">
        <v>0</v>
      </c>
    </row>
    <row r="19012" spans="1:4" hidden="1" x14ac:dyDescent="0.3">
      <c r="A19012" t="s">
        <v>1068</v>
      </c>
      <c r="B19012" t="s">
        <v>106</v>
      </c>
      <c r="C19012" s="1">
        <f>HYPERLINK("https://cao.dolgi.msk.ru/account/1011391398/", 1011391398)</f>
        <v>1011391398</v>
      </c>
      <c r="D19012">
        <v>0</v>
      </c>
    </row>
    <row r="19013" spans="1:4" x14ac:dyDescent="0.3">
      <c r="A19013" t="s">
        <v>1068</v>
      </c>
      <c r="B19013" t="s">
        <v>106</v>
      </c>
      <c r="C19013" s="1">
        <f>HYPERLINK("https://cao.dolgi.msk.ru/account/1011391478/", 1011391478)</f>
        <v>1011391478</v>
      </c>
      <c r="D19013">
        <v>34292.36</v>
      </c>
    </row>
    <row r="19014" spans="1:4" x14ac:dyDescent="0.3">
      <c r="A19014" t="s">
        <v>1068</v>
      </c>
      <c r="B19014" t="s">
        <v>107</v>
      </c>
      <c r="C19014" s="1">
        <f>HYPERLINK("https://cao.dolgi.msk.ru/account/1011391339/", 1011391339)</f>
        <v>1011391339</v>
      </c>
      <c r="D19014">
        <v>9211.11</v>
      </c>
    </row>
    <row r="19015" spans="1:4" hidden="1" x14ac:dyDescent="0.3">
      <c r="A19015" t="s">
        <v>1068</v>
      </c>
      <c r="B19015" t="s">
        <v>108</v>
      </c>
      <c r="C19015" s="1">
        <f>HYPERLINK("https://cao.dolgi.msk.ru/account/1011391566/", 1011391566)</f>
        <v>1011391566</v>
      </c>
      <c r="D19015">
        <v>0</v>
      </c>
    </row>
    <row r="19016" spans="1:4" x14ac:dyDescent="0.3">
      <c r="A19016" t="s">
        <v>1068</v>
      </c>
      <c r="B19016" t="s">
        <v>110</v>
      </c>
      <c r="C19016" s="1">
        <f>HYPERLINK("https://cao.dolgi.msk.ru/account/1011391232/", 1011391232)</f>
        <v>1011391232</v>
      </c>
      <c r="D19016">
        <v>326.16000000000003</v>
      </c>
    </row>
    <row r="19017" spans="1:4" hidden="1" x14ac:dyDescent="0.3">
      <c r="A19017" t="s">
        <v>1068</v>
      </c>
      <c r="B19017" t="s">
        <v>110</v>
      </c>
      <c r="C19017" s="1">
        <f>HYPERLINK("https://cao.dolgi.msk.ru/account/1011391435/", 1011391435)</f>
        <v>1011391435</v>
      </c>
      <c r="D19017">
        <v>-1644.83</v>
      </c>
    </row>
    <row r="19018" spans="1:4" hidden="1" x14ac:dyDescent="0.3">
      <c r="A19018" t="s">
        <v>1068</v>
      </c>
      <c r="B19018" t="s">
        <v>110</v>
      </c>
      <c r="C19018" s="1">
        <f>HYPERLINK("https://cao.dolgi.msk.ru/account/1011391718/", 1011391718)</f>
        <v>1011391718</v>
      </c>
      <c r="D19018">
        <v>-6166.38</v>
      </c>
    </row>
    <row r="19019" spans="1:4" hidden="1" x14ac:dyDescent="0.3">
      <c r="A19019" t="s">
        <v>1068</v>
      </c>
      <c r="B19019" t="s">
        <v>111</v>
      </c>
      <c r="C19019" s="1">
        <f>HYPERLINK("https://cao.dolgi.msk.ru/account/1011391363/", 1011391363)</f>
        <v>1011391363</v>
      </c>
      <c r="D19019">
        <v>-7564.17</v>
      </c>
    </row>
    <row r="19020" spans="1:4" hidden="1" x14ac:dyDescent="0.3">
      <c r="A19020" t="s">
        <v>1068</v>
      </c>
      <c r="B19020" t="s">
        <v>111</v>
      </c>
      <c r="C19020" s="1">
        <f>HYPERLINK("https://cao.dolgi.msk.ru/account/1011391531/", 1011391531)</f>
        <v>1011391531</v>
      </c>
      <c r="D19020">
        <v>-3079.01</v>
      </c>
    </row>
    <row r="19021" spans="1:4" x14ac:dyDescent="0.3">
      <c r="A19021" t="s">
        <v>1068</v>
      </c>
      <c r="B19021" t="s">
        <v>111</v>
      </c>
      <c r="C19021" s="1">
        <f>HYPERLINK("https://cao.dolgi.msk.ru/account/1011391689/", 1011391689)</f>
        <v>1011391689</v>
      </c>
      <c r="D19021">
        <v>10584.88</v>
      </c>
    </row>
    <row r="19022" spans="1:4" x14ac:dyDescent="0.3">
      <c r="A19022" t="s">
        <v>1068</v>
      </c>
      <c r="B19022" t="s">
        <v>112</v>
      </c>
      <c r="C19022" s="1">
        <f>HYPERLINK("https://cao.dolgi.msk.ru/account/1011391195/", 1011391195)</f>
        <v>1011391195</v>
      </c>
      <c r="D19022">
        <v>59298.66</v>
      </c>
    </row>
    <row r="19023" spans="1:4" hidden="1" x14ac:dyDescent="0.3">
      <c r="A19023" t="s">
        <v>1068</v>
      </c>
      <c r="B19023" t="s">
        <v>112</v>
      </c>
      <c r="C19023" s="1">
        <f>HYPERLINK("https://cao.dolgi.msk.ru/account/1011391267/", 1011391267)</f>
        <v>1011391267</v>
      </c>
      <c r="D19023">
        <v>0</v>
      </c>
    </row>
    <row r="19024" spans="1:4" x14ac:dyDescent="0.3">
      <c r="A19024" t="s">
        <v>1068</v>
      </c>
      <c r="B19024" t="s">
        <v>113</v>
      </c>
      <c r="C19024" s="1">
        <f>HYPERLINK("https://cao.dolgi.msk.ru/account/1011391638/", 1011391638)</f>
        <v>1011391638</v>
      </c>
      <c r="D19024">
        <v>3346.62</v>
      </c>
    </row>
    <row r="19025" spans="1:4" x14ac:dyDescent="0.3">
      <c r="A19025" t="s">
        <v>1068</v>
      </c>
      <c r="B19025" t="s">
        <v>114</v>
      </c>
      <c r="C19025" s="1">
        <f>HYPERLINK("https://cao.dolgi.msk.ru/account/1011391451/", 1011391451)</f>
        <v>1011391451</v>
      </c>
      <c r="D19025">
        <v>55829.11</v>
      </c>
    </row>
    <row r="19026" spans="1:4" hidden="1" x14ac:dyDescent="0.3">
      <c r="A19026" t="s">
        <v>1068</v>
      </c>
      <c r="B19026" t="s">
        <v>115</v>
      </c>
      <c r="C19026" s="1">
        <f>HYPERLINK("https://cao.dolgi.msk.ru/account/1011391355/", 1011391355)</f>
        <v>1011391355</v>
      </c>
      <c r="D19026">
        <v>-40.78</v>
      </c>
    </row>
    <row r="19027" spans="1:4" hidden="1" x14ac:dyDescent="0.3">
      <c r="A19027" t="s">
        <v>1068</v>
      </c>
      <c r="B19027" t="s">
        <v>116</v>
      </c>
      <c r="C19027" s="1">
        <f>HYPERLINK("https://cao.dolgi.msk.ru/account/1011391419/", 1011391419)</f>
        <v>1011391419</v>
      </c>
      <c r="D19027">
        <v>-136.49</v>
      </c>
    </row>
    <row r="19028" spans="1:4" x14ac:dyDescent="0.3">
      <c r="A19028" t="s">
        <v>1068</v>
      </c>
      <c r="B19028" t="s">
        <v>266</v>
      </c>
      <c r="C19028" s="1">
        <f>HYPERLINK("https://cao.dolgi.msk.ru/account/1011391443/", 1011391443)</f>
        <v>1011391443</v>
      </c>
      <c r="D19028">
        <v>10136.6</v>
      </c>
    </row>
    <row r="19029" spans="1:4" hidden="1" x14ac:dyDescent="0.3">
      <c r="A19029" t="s">
        <v>1068</v>
      </c>
      <c r="B19029" t="s">
        <v>117</v>
      </c>
      <c r="C19029" s="1">
        <f>HYPERLINK("https://cao.dolgi.msk.ru/account/1011391283/", 1011391283)</f>
        <v>1011391283</v>
      </c>
      <c r="D19029">
        <v>-36.96</v>
      </c>
    </row>
    <row r="19030" spans="1:4" x14ac:dyDescent="0.3">
      <c r="A19030" t="s">
        <v>1068</v>
      </c>
      <c r="B19030" t="s">
        <v>117</v>
      </c>
      <c r="C19030" s="1">
        <f>HYPERLINK("https://cao.dolgi.msk.ru/account/1011391582/", 1011391582)</f>
        <v>1011391582</v>
      </c>
      <c r="D19030">
        <v>14098.34</v>
      </c>
    </row>
    <row r="19031" spans="1:4" hidden="1" x14ac:dyDescent="0.3">
      <c r="A19031" t="s">
        <v>1068</v>
      </c>
      <c r="B19031" t="s">
        <v>118</v>
      </c>
      <c r="C19031" s="1">
        <f>HYPERLINK("https://cao.dolgi.msk.ru/account/1011391507/", 1011391507)</f>
        <v>1011391507</v>
      </c>
      <c r="D19031">
        <v>-7274.55</v>
      </c>
    </row>
    <row r="19032" spans="1:4" hidden="1" x14ac:dyDescent="0.3">
      <c r="A19032" t="s">
        <v>1068</v>
      </c>
      <c r="B19032" t="s">
        <v>119</v>
      </c>
      <c r="C19032" s="1">
        <f>HYPERLINK("https://cao.dolgi.msk.ru/account/1011391216/", 1011391216)</f>
        <v>1011391216</v>
      </c>
      <c r="D19032">
        <v>-2975.81</v>
      </c>
    </row>
    <row r="19033" spans="1:4" hidden="1" x14ac:dyDescent="0.3">
      <c r="A19033" t="s">
        <v>1068</v>
      </c>
      <c r="B19033" t="s">
        <v>119</v>
      </c>
      <c r="C19033" s="1">
        <f>HYPERLINK("https://cao.dolgi.msk.ru/account/1011391371/", 1011391371)</f>
        <v>1011391371</v>
      </c>
      <c r="D19033">
        <v>0</v>
      </c>
    </row>
    <row r="19034" spans="1:4" hidden="1" x14ac:dyDescent="0.3">
      <c r="A19034" t="s">
        <v>1068</v>
      </c>
      <c r="B19034" t="s">
        <v>119</v>
      </c>
      <c r="C19034" s="1">
        <f>HYPERLINK("https://cao.dolgi.msk.ru/account/1011391486/", 1011391486)</f>
        <v>1011391486</v>
      </c>
      <c r="D19034">
        <v>-3153.93</v>
      </c>
    </row>
    <row r="19035" spans="1:4" hidden="1" x14ac:dyDescent="0.3">
      <c r="A19035" t="s">
        <v>1068</v>
      </c>
      <c r="B19035" t="s">
        <v>120</v>
      </c>
      <c r="C19035" s="1">
        <f>HYPERLINK("https://cao.dolgi.msk.ru/account/1011391611/", 1011391611)</f>
        <v>1011391611</v>
      </c>
      <c r="D19035">
        <v>-8686.06</v>
      </c>
    </row>
    <row r="19036" spans="1:4" hidden="1" x14ac:dyDescent="0.3">
      <c r="A19036" t="s">
        <v>1068</v>
      </c>
      <c r="B19036" t="s">
        <v>121</v>
      </c>
      <c r="C19036" s="1">
        <f>HYPERLINK("https://cao.dolgi.msk.ru/account/1011391494/", 1011391494)</f>
        <v>1011391494</v>
      </c>
      <c r="D19036">
        <v>0</v>
      </c>
    </row>
    <row r="19037" spans="1:4" hidden="1" x14ac:dyDescent="0.3">
      <c r="A19037" t="s">
        <v>1068</v>
      </c>
      <c r="B19037" t="s">
        <v>122</v>
      </c>
      <c r="C19037" s="1">
        <f>HYPERLINK("https://cao.dolgi.msk.ru/account/1011391259/", 1011391259)</f>
        <v>1011391259</v>
      </c>
      <c r="D19037">
        <v>0</v>
      </c>
    </row>
    <row r="19038" spans="1:4" hidden="1" x14ac:dyDescent="0.3">
      <c r="A19038" t="s">
        <v>1068</v>
      </c>
      <c r="B19038" t="s">
        <v>123</v>
      </c>
      <c r="C19038" s="1">
        <f>HYPERLINK("https://cao.dolgi.msk.ru/account/1011391427/", 1011391427)</f>
        <v>1011391427</v>
      </c>
      <c r="D19038">
        <v>-239.8</v>
      </c>
    </row>
    <row r="19039" spans="1:4" hidden="1" x14ac:dyDescent="0.3">
      <c r="A19039" t="s">
        <v>1068</v>
      </c>
      <c r="B19039" t="s">
        <v>124</v>
      </c>
      <c r="C19039" s="1">
        <f>HYPERLINK("https://cao.dolgi.msk.ru/account/1011391654/", 1011391654)</f>
        <v>1011391654</v>
      </c>
      <c r="D19039">
        <v>-9226.6299999999992</v>
      </c>
    </row>
    <row r="19040" spans="1:4" hidden="1" x14ac:dyDescent="0.3">
      <c r="A19040" t="s">
        <v>1068</v>
      </c>
      <c r="B19040" t="s">
        <v>125</v>
      </c>
      <c r="C19040" s="1">
        <f>HYPERLINK("https://cao.dolgi.msk.ru/account/1011391523/", 1011391523)</f>
        <v>1011391523</v>
      </c>
      <c r="D19040">
        <v>-21.06</v>
      </c>
    </row>
    <row r="19041" spans="1:4" hidden="1" x14ac:dyDescent="0.3">
      <c r="A19041" t="s">
        <v>1068</v>
      </c>
      <c r="B19041" t="s">
        <v>126</v>
      </c>
      <c r="C19041" s="1">
        <f>HYPERLINK("https://cao.dolgi.msk.ru/account/1011391224/", 1011391224)</f>
        <v>1011391224</v>
      </c>
      <c r="D19041">
        <v>0</v>
      </c>
    </row>
    <row r="19042" spans="1:4" hidden="1" x14ac:dyDescent="0.3">
      <c r="A19042" t="s">
        <v>1068</v>
      </c>
      <c r="B19042" t="s">
        <v>126</v>
      </c>
      <c r="C19042" s="1">
        <f>HYPERLINK("https://cao.dolgi.msk.ru/account/1011391574/", 1011391574)</f>
        <v>1011391574</v>
      </c>
      <c r="D19042">
        <v>0</v>
      </c>
    </row>
    <row r="19043" spans="1:4" hidden="1" x14ac:dyDescent="0.3">
      <c r="A19043" t="s">
        <v>1068</v>
      </c>
      <c r="B19043" t="s">
        <v>127</v>
      </c>
      <c r="C19043" s="1">
        <f>HYPERLINK("https://cao.dolgi.msk.ru/account/1011391603/", 1011391603)</f>
        <v>1011391603</v>
      </c>
      <c r="D19043">
        <v>-3440.13</v>
      </c>
    </row>
    <row r="19044" spans="1:4" hidden="1" x14ac:dyDescent="0.3">
      <c r="A19044" t="s">
        <v>1068</v>
      </c>
      <c r="B19044" t="s">
        <v>262</v>
      </c>
      <c r="C19044" s="1">
        <f>HYPERLINK("https://cao.dolgi.msk.ru/account/1011391662/", 1011391662)</f>
        <v>1011391662</v>
      </c>
      <c r="D19044">
        <v>0</v>
      </c>
    </row>
    <row r="19045" spans="1:4" hidden="1" x14ac:dyDescent="0.3">
      <c r="A19045" t="s">
        <v>1069</v>
      </c>
      <c r="B19045" t="s">
        <v>129</v>
      </c>
      <c r="C19045" s="1">
        <f>HYPERLINK("https://cao.dolgi.msk.ru/account/1011391929/", 1011391929)</f>
        <v>1011391929</v>
      </c>
      <c r="D19045">
        <v>-8267.7000000000007</v>
      </c>
    </row>
    <row r="19046" spans="1:4" x14ac:dyDescent="0.3">
      <c r="A19046" t="s">
        <v>1069</v>
      </c>
      <c r="B19046" t="s">
        <v>130</v>
      </c>
      <c r="C19046" s="1">
        <f>HYPERLINK("https://cao.dolgi.msk.ru/account/1011391945/", 1011391945)</f>
        <v>1011391945</v>
      </c>
      <c r="D19046">
        <v>13323.51</v>
      </c>
    </row>
    <row r="19047" spans="1:4" hidden="1" x14ac:dyDescent="0.3">
      <c r="A19047" t="s">
        <v>1069</v>
      </c>
      <c r="B19047" t="s">
        <v>131</v>
      </c>
      <c r="C19047" s="1">
        <f>HYPERLINK("https://cao.dolgi.msk.ru/account/1011391793/", 1011391793)</f>
        <v>1011391793</v>
      </c>
      <c r="D19047">
        <v>-6147.25</v>
      </c>
    </row>
    <row r="19048" spans="1:4" hidden="1" x14ac:dyDescent="0.3">
      <c r="A19048" t="s">
        <v>1069</v>
      </c>
      <c r="B19048" t="s">
        <v>132</v>
      </c>
      <c r="C19048" s="1">
        <f>HYPERLINK("https://cao.dolgi.msk.ru/account/1011391742/", 1011391742)</f>
        <v>1011391742</v>
      </c>
      <c r="D19048">
        <v>-3081.43</v>
      </c>
    </row>
    <row r="19049" spans="1:4" hidden="1" x14ac:dyDescent="0.3">
      <c r="A19049" t="s">
        <v>1069</v>
      </c>
      <c r="B19049" t="s">
        <v>132</v>
      </c>
      <c r="C19049" s="1">
        <f>HYPERLINK("https://cao.dolgi.msk.ru/account/1011391988/", 1011391988)</f>
        <v>1011391988</v>
      </c>
      <c r="D19049">
        <v>0</v>
      </c>
    </row>
    <row r="19050" spans="1:4" hidden="1" x14ac:dyDescent="0.3">
      <c r="A19050" t="s">
        <v>1069</v>
      </c>
      <c r="B19050" t="s">
        <v>132</v>
      </c>
      <c r="C19050" s="1">
        <f>HYPERLINK("https://cao.dolgi.msk.ru/account/1011392032/", 1011392032)</f>
        <v>1011392032</v>
      </c>
      <c r="D19050">
        <v>-7195.26</v>
      </c>
    </row>
    <row r="19051" spans="1:4" hidden="1" x14ac:dyDescent="0.3">
      <c r="A19051" t="s">
        <v>1069</v>
      </c>
      <c r="B19051" t="s">
        <v>133</v>
      </c>
      <c r="C19051" s="1">
        <f>HYPERLINK("https://cao.dolgi.msk.ru/account/1011391857/", 1011391857)</f>
        <v>1011391857</v>
      </c>
      <c r="D19051">
        <v>0</v>
      </c>
    </row>
    <row r="19052" spans="1:4" hidden="1" x14ac:dyDescent="0.3">
      <c r="A19052" t="s">
        <v>1069</v>
      </c>
      <c r="B19052" t="s">
        <v>134</v>
      </c>
      <c r="C19052" s="1">
        <f>HYPERLINK("https://cao.dolgi.msk.ru/account/1011391777/", 1011391777)</f>
        <v>1011391777</v>
      </c>
      <c r="D19052">
        <v>-12585.84</v>
      </c>
    </row>
    <row r="19053" spans="1:4" hidden="1" x14ac:dyDescent="0.3">
      <c r="A19053" t="s">
        <v>1069</v>
      </c>
      <c r="B19053" t="s">
        <v>135</v>
      </c>
      <c r="C19053" s="1">
        <f>HYPERLINK("https://cao.dolgi.msk.ru/account/1011391937/", 1011391937)</f>
        <v>1011391937</v>
      </c>
      <c r="D19053">
        <v>-187.96</v>
      </c>
    </row>
    <row r="19054" spans="1:4" hidden="1" x14ac:dyDescent="0.3">
      <c r="A19054" t="s">
        <v>1069</v>
      </c>
      <c r="B19054" t="s">
        <v>264</v>
      </c>
      <c r="C19054" s="1">
        <f>HYPERLINK("https://cao.dolgi.msk.ru/account/1011391961/", 1011391961)</f>
        <v>1011391961</v>
      </c>
      <c r="D19054">
        <v>-13675.34</v>
      </c>
    </row>
    <row r="19055" spans="1:4" x14ac:dyDescent="0.3">
      <c r="A19055" t="s">
        <v>1069</v>
      </c>
      <c r="B19055" t="s">
        <v>136</v>
      </c>
      <c r="C19055" s="1">
        <f>HYPERLINK("https://cao.dolgi.msk.ru/account/1011391734/", 1011391734)</f>
        <v>1011391734</v>
      </c>
      <c r="D19055">
        <v>6416.37</v>
      </c>
    </row>
    <row r="19056" spans="1:4" hidden="1" x14ac:dyDescent="0.3">
      <c r="A19056" t="s">
        <v>1069</v>
      </c>
      <c r="B19056" t="s">
        <v>137</v>
      </c>
      <c r="C19056" s="1">
        <f>HYPERLINK("https://cao.dolgi.msk.ru/account/1011391953/", 1011391953)</f>
        <v>1011391953</v>
      </c>
      <c r="D19056">
        <v>0</v>
      </c>
    </row>
    <row r="19057" spans="1:4" hidden="1" x14ac:dyDescent="0.3">
      <c r="A19057" t="s">
        <v>1069</v>
      </c>
      <c r="B19057" t="s">
        <v>138</v>
      </c>
      <c r="C19057" s="1">
        <f>HYPERLINK("https://cao.dolgi.msk.ru/account/1011392016/", 1011392016)</f>
        <v>1011392016</v>
      </c>
      <c r="D19057">
        <v>0</v>
      </c>
    </row>
    <row r="19058" spans="1:4" hidden="1" x14ac:dyDescent="0.3">
      <c r="A19058" t="s">
        <v>1069</v>
      </c>
      <c r="B19058" t="s">
        <v>139</v>
      </c>
      <c r="C19058" s="1">
        <f>HYPERLINK("https://cao.dolgi.msk.ru/account/1011391865/", 1011391865)</f>
        <v>1011391865</v>
      </c>
      <c r="D19058">
        <v>0</v>
      </c>
    </row>
    <row r="19059" spans="1:4" x14ac:dyDescent="0.3">
      <c r="A19059" t="s">
        <v>1069</v>
      </c>
      <c r="B19059" t="s">
        <v>140</v>
      </c>
      <c r="C19059" s="1">
        <f>HYPERLINK("https://cao.dolgi.msk.ru/account/1011391769/", 1011391769)</f>
        <v>1011391769</v>
      </c>
      <c r="D19059">
        <v>12837.53</v>
      </c>
    </row>
    <row r="19060" spans="1:4" hidden="1" x14ac:dyDescent="0.3">
      <c r="A19060" t="s">
        <v>1069</v>
      </c>
      <c r="B19060" t="s">
        <v>141</v>
      </c>
      <c r="C19060" s="1">
        <f>HYPERLINK("https://cao.dolgi.msk.ru/account/1011391785/", 1011391785)</f>
        <v>1011391785</v>
      </c>
      <c r="D19060">
        <v>0</v>
      </c>
    </row>
    <row r="19061" spans="1:4" hidden="1" x14ac:dyDescent="0.3">
      <c r="A19061" t="s">
        <v>1069</v>
      </c>
      <c r="B19061" t="s">
        <v>142</v>
      </c>
      <c r="C19061" s="1">
        <f>HYPERLINK("https://cao.dolgi.msk.ru/account/1011391881/", 1011391881)</f>
        <v>1011391881</v>
      </c>
      <c r="D19061">
        <v>0</v>
      </c>
    </row>
    <row r="19062" spans="1:4" hidden="1" x14ac:dyDescent="0.3">
      <c r="A19062" t="s">
        <v>1069</v>
      </c>
      <c r="B19062" t="s">
        <v>143</v>
      </c>
      <c r="C19062" s="1">
        <f>HYPERLINK("https://cao.dolgi.msk.ru/account/1011392024/", 1011392024)</f>
        <v>1011392024</v>
      </c>
      <c r="D19062">
        <v>0</v>
      </c>
    </row>
    <row r="19063" spans="1:4" x14ac:dyDescent="0.3">
      <c r="A19063" t="s">
        <v>1069</v>
      </c>
      <c r="B19063" t="s">
        <v>144</v>
      </c>
      <c r="C19063" s="1">
        <f>HYPERLINK("https://cao.dolgi.msk.ru/account/1011391806/", 1011391806)</f>
        <v>1011391806</v>
      </c>
      <c r="D19063">
        <v>5024.59</v>
      </c>
    </row>
    <row r="19064" spans="1:4" hidden="1" x14ac:dyDescent="0.3">
      <c r="A19064" t="s">
        <v>1069</v>
      </c>
      <c r="B19064" t="s">
        <v>145</v>
      </c>
      <c r="C19064" s="1">
        <f>HYPERLINK("https://cao.dolgi.msk.ru/account/1011391814/", 1011391814)</f>
        <v>1011391814</v>
      </c>
      <c r="D19064">
        <v>0</v>
      </c>
    </row>
    <row r="19065" spans="1:4" hidden="1" x14ac:dyDescent="0.3">
      <c r="A19065" t="s">
        <v>1069</v>
      </c>
      <c r="B19065" t="s">
        <v>146</v>
      </c>
      <c r="C19065" s="1">
        <f>HYPERLINK("https://cao.dolgi.msk.ru/account/1011391873/", 1011391873)</f>
        <v>1011391873</v>
      </c>
      <c r="D19065">
        <v>0</v>
      </c>
    </row>
    <row r="19066" spans="1:4" hidden="1" x14ac:dyDescent="0.3">
      <c r="A19066" t="s">
        <v>1069</v>
      </c>
      <c r="B19066" t="s">
        <v>147</v>
      </c>
      <c r="C19066" s="1">
        <f>HYPERLINK("https://cao.dolgi.msk.ru/account/1011391849/", 1011391849)</f>
        <v>1011391849</v>
      </c>
      <c r="D19066">
        <v>0</v>
      </c>
    </row>
    <row r="19067" spans="1:4" hidden="1" x14ac:dyDescent="0.3">
      <c r="A19067" t="s">
        <v>1069</v>
      </c>
      <c r="B19067" t="s">
        <v>148</v>
      </c>
      <c r="C19067" s="1">
        <f>HYPERLINK("https://cao.dolgi.msk.ru/account/1011391822/", 1011391822)</f>
        <v>1011391822</v>
      </c>
      <c r="D19067">
        <v>0</v>
      </c>
    </row>
    <row r="19068" spans="1:4" hidden="1" x14ac:dyDescent="0.3">
      <c r="A19068" t="s">
        <v>1069</v>
      </c>
      <c r="B19068" t="s">
        <v>149</v>
      </c>
      <c r="C19068" s="1">
        <f>HYPERLINK("https://cao.dolgi.msk.ru/account/1011391902/", 1011391902)</f>
        <v>1011391902</v>
      </c>
      <c r="D19068">
        <v>0</v>
      </c>
    </row>
    <row r="19069" spans="1:4" hidden="1" x14ac:dyDescent="0.3">
      <c r="A19069" t="s">
        <v>1069</v>
      </c>
      <c r="B19069" t="s">
        <v>150</v>
      </c>
      <c r="C19069" s="1">
        <f>HYPERLINK("https://cao.dolgi.msk.ru/account/1011391996/", 1011391996)</f>
        <v>1011391996</v>
      </c>
      <c r="D19069">
        <v>0</v>
      </c>
    </row>
    <row r="19070" spans="1:4" hidden="1" x14ac:dyDescent="0.3">
      <c r="A19070" t="s">
        <v>1069</v>
      </c>
      <c r="B19070" t="s">
        <v>151</v>
      </c>
      <c r="C19070" s="1">
        <f>HYPERLINK("https://cao.dolgi.msk.ru/account/1011392008/", 1011392008)</f>
        <v>1011392008</v>
      </c>
      <c r="D19070">
        <v>0</v>
      </c>
    </row>
    <row r="19071" spans="1:4" hidden="1" x14ac:dyDescent="0.3">
      <c r="A19071" t="s">
        <v>1070</v>
      </c>
      <c r="B19071" t="s">
        <v>152</v>
      </c>
      <c r="C19071" s="1">
        <f>HYPERLINK("https://cao.dolgi.msk.ru/account/1011392059/", 1011392059)</f>
        <v>1011392059</v>
      </c>
      <c r="D19071">
        <v>0</v>
      </c>
    </row>
    <row r="19072" spans="1:4" hidden="1" x14ac:dyDescent="0.3">
      <c r="A19072" t="s">
        <v>1070</v>
      </c>
      <c r="B19072" t="s">
        <v>153</v>
      </c>
      <c r="C19072" s="1">
        <f>HYPERLINK("https://cao.dolgi.msk.ru/account/1011392286/", 1011392286)</f>
        <v>1011392286</v>
      </c>
      <c r="D19072">
        <v>0</v>
      </c>
    </row>
    <row r="19073" spans="1:4" x14ac:dyDescent="0.3">
      <c r="A19073" t="s">
        <v>1070</v>
      </c>
      <c r="B19073" t="s">
        <v>153</v>
      </c>
      <c r="C19073" s="1">
        <f>HYPERLINK("https://cao.dolgi.msk.ru/account/1011392374/", 1011392374)</f>
        <v>1011392374</v>
      </c>
      <c r="D19073">
        <v>3812.79</v>
      </c>
    </row>
    <row r="19074" spans="1:4" x14ac:dyDescent="0.3">
      <c r="A19074" t="s">
        <v>1070</v>
      </c>
      <c r="B19074" t="s">
        <v>153</v>
      </c>
      <c r="C19074" s="1">
        <f>HYPERLINK("https://cao.dolgi.msk.ru/account/1011392569/", 1011392569)</f>
        <v>1011392569</v>
      </c>
      <c r="D19074">
        <v>48306.239999999998</v>
      </c>
    </row>
    <row r="19075" spans="1:4" x14ac:dyDescent="0.3">
      <c r="A19075" t="s">
        <v>1070</v>
      </c>
      <c r="B19075" t="s">
        <v>154</v>
      </c>
      <c r="C19075" s="1">
        <f>HYPERLINK("https://cao.dolgi.msk.ru/account/1011392171/", 1011392171)</f>
        <v>1011392171</v>
      </c>
      <c r="D19075">
        <v>12702.34</v>
      </c>
    </row>
    <row r="19076" spans="1:4" x14ac:dyDescent="0.3">
      <c r="A19076" t="s">
        <v>1070</v>
      </c>
      <c r="B19076" t="s">
        <v>154</v>
      </c>
      <c r="C19076" s="1">
        <f>HYPERLINK("https://cao.dolgi.msk.ru/account/1011392382/", 1011392382)</f>
        <v>1011392382</v>
      </c>
      <c r="D19076">
        <v>5252.58</v>
      </c>
    </row>
    <row r="19077" spans="1:4" hidden="1" x14ac:dyDescent="0.3">
      <c r="A19077" t="s">
        <v>1070</v>
      </c>
      <c r="B19077" t="s">
        <v>155</v>
      </c>
      <c r="C19077" s="1">
        <f>HYPERLINK("https://cao.dolgi.msk.ru/account/1011392198/", 1011392198)</f>
        <v>1011392198</v>
      </c>
      <c r="D19077">
        <v>0</v>
      </c>
    </row>
    <row r="19078" spans="1:4" hidden="1" x14ac:dyDescent="0.3">
      <c r="A19078" t="s">
        <v>1070</v>
      </c>
      <c r="B19078" t="s">
        <v>156</v>
      </c>
      <c r="C19078" s="1">
        <f>HYPERLINK("https://cao.dolgi.msk.ru/account/1011392518/", 1011392518)</f>
        <v>1011392518</v>
      </c>
      <c r="D19078">
        <v>-6772.48</v>
      </c>
    </row>
    <row r="19079" spans="1:4" hidden="1" x14ac:dyDescent="0.3">
      <c r="A19079" t="s">
        <v>1070</v>
      </c>
      <c r="B19079" t="s">
        <v>157</v>
      </c>
      <c r="C19079" s="1">
        <f>HYPERLINK("https://cao.dolgi.msk.ru/account/1011392075/", 1011392075)</f>
        <v>1011392075</v>
      </c>
      <c r="D19079">
        <v>0</v>
      </c>
    </row>
    <row r="19080" spans="1:4" x14ac:dyDescent="0.3">
      <c r="A19080" t="s">
        <v>1070</v>
      </c>
      <c r="B19080" t="s">
        <v>158</v>
      </c>
      <c r="C19080" s="1">
        <f>HYPERLINK("https://cao.dolgi.msk.ru/account/1011392446/", 1011392446)</f>
        <v>1011392446</v>
      </c>
      <c r="D19080">
        <v>20557.16</v>
      </c>
    </row>
    <row r="19081" spans="1:4" hidden="1" x14ac:dyDescent="0.3">
      <c r="A19081" t="s">
        <v>1070</v>
      </c>
      <c r="B19081" t="s">
        <v>159</v>
      </c>
      <c r="C19081" s="1">
        <f>HYPERLINK("https://cao.dolgi.msk.ru/account/1011392526/", 1011392526)</f>
        <v>1011392526</v>
      </c>
      <c r="D19081">
        <v>0</v>
      </c>
    </row>
    <row r="19082" spans="1:4" hidden="1" x14ac:dyDescent="0.3">
      <c r="A19082" t="s">
        <v>1070</v>
      </c>
      <c r="B19082" t="s">
        <v>160</v>
      </c>
      <c r="C19082" s="1">
        <f>HYPERLINK("https://cao.dolgi.msk.ru/account/1011392438/", 1011392438)</f>
        <v>1011392438</v>
      </c>
      <c r="D19082">
        <v>-423.73</v>
      </c>
    </row>
    <row r="19083" spans="1:4" hidden="1" x14ac:dyDescent="0.3">
      <c r="A19083" t="s">
        <v>1070</v>
      </c>
      <c r="B19083" t="s">
        <v>161</v>
      </c>
      <c r="C19083" s="1">
        <f>HYPERLINK("https://cao.dolgi.msk.ru/account/1011392497/", 1011392497)</f>
        <v>1011392497</v>
      </c>
      <c r="D19083">
        <v>-2582.4</v>
      </c>
    </row>
    <row r="19084" spans="1:4" x14ac:dyDescent="0.3">
      <c r="A19084" t="s">
        <v>1070</v>
      </c>
      <c r="B19084" t="s">
        <v>162</v>
      </c>
      <c r="C19084" s="1">
        <f>HYPERLINK("https://cao.dolgi.msk.ru/account/1011392577/", 1011392577)</f>
        <v>1011392577</v>
      </c>
      <c r="D19084">
        <v>99003.35</v>
      </c>
    </row>
    <row r="19085" spans="1:4" hidden="1" x14ac:dyDescent="0.3">
      <c r="A19085" t="s">
        <v>1070</v>
      </c>
      <c r="B19085" t="s">
        <v>163</v>
      </c>
      <c r="C19085" s="1">
        <f>HYPERLINK("https://cao.dolgi.msk.ru/account/1011392219/", 1011392219)</f>
        <v>1011392219</v>
      </c>
      <c r="D19085">
        <v>0</v>
      </c>
    </row>
    <row r="19086" spans="1:4" hidden="1" x14ac:dyDescent="0.3">
      <c r="A19086" t="s">
        <v>1070</v>
      </c>
      <c r="B19086" t="s">
        <v>164</v>
      </c>
      <c r="C19086" s="1">
        <f>HYPERLINK("https://cao.dolgi.msk.ru/account/1011392163/", 1011392163)</f>
        <v>1011392163</v>
      </c>
      <c r="D19086">
        <v>-3364.7</v>
      </c>
    </row>
    <row r="19087" spans="1:4" hidden="1" x14ac:dyDescent="0.3">
      <c r="A19087" t="s">
        <v>1070</v>
      </c>
      <c r="B19087" t="s">
        <v>164</v>
      </c>
      <c r="C19087" s="1">
        <f>HYPERLINK("https://cao.dolgi.msk.ru/account/1011507688/", 1011507688)</f>
        <v>1011507688</v>
      </c>
      <c r="D19087">
        <v>0</v>
      </c>
    </row>
    <row r="19088" spans="1:4" hidden="1" x14ac:dyDescent="0.3">
      <c r="A19088" t="s">
        <v>1070</v>
      </c>
      <c r="B19088" t="s">
        <v>165</v>
      </c>
      <c r="C19088" s="1">
        <f>HYPERLINK("https://cao.dolgi.msk.ru/account/1011392104/", 1011392104)</f>
        <v>1011392104</v>
      </c>
      <c r="D19088">
        <v>0</v>
      </c>
    </row>
    <row r="19089" spans="1:4" hidden="1" x14ac:dyDescent="0.3">
      <c r="A19089" t="s">
        <v>1070</v>
      </c>
      <c r="B19089" t="s">
        <v>166</v>
      </c>
      <c r="C19089" s="1">
        <f>HYPERLINK("https://cao.dolgi.msk.ru/account/1011392489/", 1011392489)</f>
        <v>1011392489</v>
      </c>
      <c r="D19089">
        <v>-7947.75</v>
      </c>
    </row>
    <row r="19090" spans="1:4" x14ac:dyDescent="0.3">
      <c r="A19090" t="s">
        <v>1070</v>
      </c>
      <c r="B19090" t="s">
        <v>167</v>
      </c>
      <c r="C19090" s="1">
        <f>HYPERLINK("https://cao.dolgi.msk.ru/account/1011392606/", 1011392606)</f>
        <v>1011392606</v>
      </c>
      <c r="D19090">
        <v>16756.22</v>
      </c>
    </row>
    <row r="19091" spans="1:4" hidden="1" x14ac:dyDescent="0.3">
      <c r="A19091" t="s">
        <v>1070</v>
      </c>
      <c r="B19091" t="s">
        <v>168</v>
      </c>
      <c r="C19091" s="1">
        <f>HYPERLINK("https://cao.dolgi.msk.ru/account/1011392112/", 1011392112)</f>
        <v>1011392112</v>
      </c>
      <c r="D19091">
        <v>0</v>
      </c>
    </row>
    <row r="19092" spans="1:4" hidden="1" x14ac:dyDescent="0.3">
      <c r="A19092" t="s">
        <v>1070</v>
      </c>
      <c r="B19092" t="s">
        <v>169</v>
      </c>
      <c r="C19092" s="1">
        <f>HYPERLINK("https://cao.dolgi.msk.ru/account/1011392331/", 1011392331)</f>
        <v>1011392331</v>
      </c>
      <c r="D19092">
        <v>0</v>
      </c>
    </row>
    <row r="19093" spans="1:4" hidden="1" x14ac:dyDescent="0.3">
      <c r="A19093" t="s">
        <v>1070</v>
      </c>
      <c r="B19093" t="s">
        <v>170</v>
      </c>
      <c r="C19093" s="1">
        <f>HYPERLINK("https://cao.dolgi.msk.ru/account/1011392534/", 1011392534)</f>
        <v>1011392534</v>
      </c>
      <c r="D19093">
        <v>0</v>
      </c>
    </row>
    <row r="19094" spans="1:4" hidden="1" x14ac:dyDescent="0.3">
      <c r="A19094" t="s">
        <v>1070</v>
      </c>
      <c r="B19094" t="s">
        <v>171</v>
      </c>
      <c r="C19094" s="1">
        <f>HYPERLINK("https://cao.dolgi.msk.ru/account/1011392235/", 1011392235)</f>
        <v>1011392235</v>
      </c>
      <c r="D19094">
        <v>0</v>
      </c>
    </row>
    <row r="19095" spans="1:4" hidden="1" x14ac:dyDescent="0.3">
      <c r="A19095" t="s">
        <v>1070</v>
      </c>
      <c r="B19095" t="s">
        <v>172</v>
      </c>
      <c r="C19095" s="1">
        <f>HYPERLINK("https://cao.dolgi.msk.ru/account/1011392585/", 1011392585)</f>
        <v>1011392585</v>
      </c>
      <c r="D19095">
        <v>0</v>
      </c>
    </row>
    <row r="19096" spans="1:4" x14ac:dyDescent="0.3">
      <c r="A19096" t="s">
        <v>1070</v>
      </c>
      <c r="B19096" t="s">
        <v>173</v>
      </c>
      <c r="C19096" s="1">
        <f>HYPERLINK("https://cao.dolgi.msk.ru/account/1011392411/", 1011392411)</f>
        <v>1011392411</v>
      </c>
      <c r="D19096">
        <v>9908.18</v>
      </c>
    </row>
    <row r="19097" spans="1:4" hidden="1" x14ac:dyDescent="0.3">
      <c r="A19097" t="s">
        <v>1070</v>
      </c>
      <c r="B19097" t="s">
        <v>174</v>
      </c>
      <c r="C19097" s="1">
        <f>HYPERLINK("https://cao.dolgi.msk.ru/account/1011392139/", 1011392139)</f>
        <v>1011392139</v>
      </c>
      <c r="D19097">
        <v>-56018.64</v>
      </c>
    </row>
    <row r="19098" spans="1:4" hidden="1" x14ac:dyDescent="0.3">
      <c r="A19098" t="s">
        <v>1070</v>
      </c>
      <c r="B19098" t="s">
        <v>175</v>
      </c>
      <c r="C19098" s="1">
        <f>HYPERLINK("https://cao.dolgi.msk.ru/account/1011392278/", 1011392278)</f>
        <v>1011392278</v>
      </c>
      <c r="D19098">
        <v>-10078.200000000001</v>
      </c>
    </row>
    <row r="19099" spans="1:4" x14ac:dyDescent="0.3">
      <c r="A19099" t="s">
        <v>1070</v>
      </c>
      <c r="B19099" t="s">
        <v>176</v>
      </c>
      <c r="C19099" s="1">
        <f>HYPERLINK("https://cao.dolgi.msk.ru/account/1011392083/", 1011392083)</f>
        <v>1011392083</v>
      </c>
      <c r="D19099">
        <v>9207.8700000000008</v>
      </c>
    </row>
    <row r="19100" spans="1:4" hidden="1" x14ac:dyDescent="0.3">
      <c r="A19100" t="s">
        <v>1070</v>
      </c>
      <c r="B19100" t="s">
        <v>177</v>
      </c>
      <c r="C19100" s="1">
        <f>HYPERLINK("https://cao.dolgi.msk.ru/account/1011392307/", 1011392307)</f>
        <v>1011392307</v>
      </c>
      <c r="D19100">
        <v>-616.98</v>
      </c>
    </row>
    <row r="19101" spans="1:4" hidden="1" x14ac:dyDescent="0.3">
      <c r="A19101" t="s">
        <v>1070</v>
      </c>
      <c r="B19101" t="s">
        <v>177</v>
      </c>
      <c r="C19101" s="1">
        <f>HYPERLINK("https://cao.dolgi.msk.ru/account/1011392614/", 1011392614)</f>
        <v>1011392614</v>
      </c>
      <c r="D19101">
        <v>-419.74</v>
      </c>
    </row>
    <row r="19102" spans="1:4" hidden="1" x14ac:dyDescent="0.3">
      <c r="A19102" t="s">
        <v>1070</v>
      </c>
      <c r="B19102" t="s">
        <v>178</v>
      </c>
      <c r="C19102" s="1">
        <f>HYPERLINK("https://cao.dolgi.msk.ru/account/1011392243/", 1011392243)</f>
        <v>1011392243</v>
      </c>
      <c r="D19102">
        <v>-536.34</v>
      </c>
    </row>
    <row r="19103" spans="1:4" hidden="1" x14ac:dyDescent="0.3">
      <c r="A19103" t="s">
        <v>1070</v>
      </c>
      <c r="B19103" t="s">
        <v>179</v>
      </c>
      <c r="C19103" s="1">
        <f>HYPERLINK("https://cao.dolgi.msk.ru/account/1011392454/", 1011392454)</f>
        <v>1011392454</v>
      </c>
      <c r="D19103">
        <v>-2962.76</v>
      </c>
    </row>
    <row r="19104" spans="1:4" hidden="1" x14ac:dyDescent="0.3">
      <c r="A19104" t="s">
        <v>1070</v>
      </c>
      <c r="B19104" t="s">
        <v>273</v>
      </c>
      <c r="C19104" s="1">
        <f>HYPERLINK("https://cao.dolgi.msk.ru/account/1011392315/", 1011392315)</f>
        <v>1011392315</v>
      </c>
      <c r="D19104">
        <v>0</v>
      </c>
    </row>
    <row r="19105" spans="1:4" hidden="1" x14ac:dyDescent="0.3">
      <c r="A19105" t="s">
        <v>1070</v>
      </c>
      <c r="B19105" t="s">
        <v>180</v>
      </c>
      <c r="C19105" s="1">
        <f>HYPERLINK("https://cao.dolgi.msk.ru/account/1011392403/", 1011392403)</f>
        <v>1011392403</v>
      </c>
      <c r="D19105">
        <v>0</v>
      </c>
    </row>
    <row r="19106" spans="1:4" x14ac:dyDescent="0.3">
      <c r="A19106" t="s">
        <v>1070</v>
      </c>
      <c r="B19106" t="s">
        <v>181</v>
      </c>
      <c r="C19106" s="1">
        <f>HYPERLINK("https://cao.dolgi.msk.ru/account/1011392294/", 1011392294)</f>
        <v>1011392294</v>
      </c>
      <c r="D19106">
        <v>130030.96</v>
      </c>
    </row>
    <row r="19107" spans="1:4" x14ac:dyDescent="0.3">
      <c r="A19107" t="s">
        <v>1070</v>
      </c>
      <c r="B19107" t="s">
        <v>182</v>
      </c>
      <c r="C19107" s="1">
        <f>HYPERLINK("https://cao.dolgi.msk.ru/account/1011392649/", 1011392649)</f>
        <v>1011392649</v>
      </c>
      <c r="D19107">
        <v>14725.85</v>
      </c>
    </row>
    <row r="19108" spans="1:4" hidden="1" x14ac:dyDescent="0.3">
      <c r="A19108" t="s">
        <v>1070</v>
      </c>
      <c r="B19108" t="s">
        <v>183</v>
      </c>
      <c r="C19108" s="1">
        <f>HYPERLINK("https://cao.dolgi.msk.ru/account/1011392147/", 1011392147)</f>
        <v>1011392147</v>
      </c>
      <c r="D19108">
        <v>-525.5</v>
      </c>
    </row>
    <row r="19109" spans="1:4" hidden="1" x14ac:dyDescent="0.3">
      <c r="A19109" t="s">
        <v>1070</v>
      </c>
      <c r="B19109" t="s">
        <v>184</v>
      </c>
      <c r="C19109" s="1">
        <f>HYPERLINK("https://cao.dolgi.msk.ru/account/1011392323/", 1011392323)</f>
        <v>1011392323</v>
      </c>
      <c r="D19109">
        <v>0</v>
      </c>
    </row>
    <row r="19110" spans="1:4" x14ac:dyDescent="0.3">
      <c r="A19110" t="s">
        <v>1070</v>
      </c>
      <c r="B19110" t="s">
        <v>185</v>
      </c>
      <c r="C19110" s="1">
        <f>HYPERLINK("https://cao.dolgi.msk.ru/account/1011392358/", 1011392358)</f>
        <v>1011392358</v>
      </c>
      <c r="D19110">
        <v>5599.51</v>
      </c>
    </row>
    <row r="19111" spans="1:4" x14ac:dyDescent="0.3">
      <c r="A19111" t="s">
        <v>1070</v>
      </c>
      <c r="B19111" t="s">
        <v>185</v>
      </c>
      <c r="C19111" s="1">
        <f>HYPERLINK("https://cao.dolgi.msk.ru/account/1011392622/", 1011392622)</f>
        <v>1011392622</v>
      </c>
      <c r="D19111">
        <v>1284.94</v>
      </c>
    </row>
    <row r="19112" spans="1:4" hidden="1" x14ac:dyDescent="0.3">
      <c r="A19112" t="s">
        <v>1070</v>
      </c>
      <c r="B19112" t="s">
        <v>274</v>
      </c>
      <c r="C19112" s="1">
        <f>HYPERLINK("https://cao.dolgi.msk.ru/account/1011392593/", 1011392593)</f>
        <v>1011392593</v>
      </c>
      <c r="D19112">
        <v>-1012.62</v>
      </c>
    </row>
    <row r="19113" spans="1:4" hidden="1" x14ac:dyDescent="0.3">
      <c r="A19113" t="s">
        <v>1070</v>
      </c>
      <c r="B19113" t="s">
        <v>186</v>
      </c>
      <c r="C19113" s="1">
        <f>HYPERLINK("https://cao.dolgi.msk.ru/account/1011392462/", 1011392462)</f>
        <v>1011392462</v>
      </c>
      <c r="D19113">
        <v>0</v>
      </c>
    </row>
    <row r="19114" spans="1:4" x14ac:dyDescent="0.3">
      <c r="A19114" t="s">
        <v>1070</v>
      </c>
      <c r="B19114" t="s">
        <v>187</v>
      </c>
      <c r="C19114" s="1">
        <f>HYPERLINK("https://cao.dolgi.msk.ru/account/1011392091/", 1011392091)</f>
        <v>1011392091</v>
      </c>
      <c r="D19114">
        <v>18883.36</v>
      </c>
    </row>
    <row r="19115" spans="1:4" hidden="1" x14ac:dyDescent="0.3">
      <c r="A19115" t="s">
        <v>1070</v>
      </c>
      <c r="B19115" t="s">
        <v>188</v>
      </c>
      <c r="C19115" s="1">
        <f>HYPERLINK("https://cao.dolgi.msk.ru/account/1011392366/", 1011392366)</f>
        <v>1011392366</v>
      </c>
      <c r="D19115">
        <v>0</v>
      </c>
    </row>
    <row r="19116" spans="1:4" hidden="1" x14ac:dyDescent="0.3">
      <c r="A19116" t="s">
        <v>1070</v>
      </c>
      <c r="B19116" t="s">
        <v>189</v>
      </c>
      <c r="C19116" s="1">
        <f>HYPERLINK("https://cao.dolgi.msk.ru/account/1011392251/", 1011392251)</f>
        <v>1011392251</v>
      </c>
      <c r="D19116">
        <v>-1162.96</v>
      </c>
    </row>
    <row r="19117" spans="1:4" hidden="1" x14ac:dyDescent="0.3">
      <c r="A19117" t="s">
        <v>1070</v>
      </c>
      <c r="B19117" t="s">
        <v>190</v>
      </c>
      <c r="C19117" s="1">
        <f>HYPERLINK("https://cao.dolgi.msk.ru/account/1011392155/", 1011392155)</f>
        <v>1011392155</v>
      </c>
      <c r="D19117">
        <v>-8166.28</v>
      </c>
    </row>
    <row r="19118" spans="1:4" hidden="1" x14ac:dyDescent="0.3">
      <c r="A19118" t="s">
        <v>1070</v>
      </c>
      <c r="B19118" t="s">
        <v>191</v>
      </c>
      <c r="C19118" s="1">
        <f>HYPERLINK("https://cao.dolgi.msk.ru/account/1011392227/", 1011392227)</f>
        <v>1011392227</v>
      </c>
      <c r="D19118">
        <v>0</v>
      </c>
    </row>
    <row r="19119" spans="1:4" x14ac:dyDescent="0.3">
      <c r="A19119" t="s">
        <v>1070</v>
      </c>
      <c r="B19119" t="s">
        <v>192</v>
      </c>
      <c r="C19119" s="1">
        <f>HYPERLINK("https://cao.dolgi.msk.ru/account/1011392067/", 1011392067)</f>
        <v>1011392067</v>
      </c>
      <c r="D19119">
        <v>1691.71</v>
      </c>
    </row>
    <row r="19120" spans="1:4" x14ac:dyDescent="0.3">
      <c r="A19120" t="s">
        <v>1070</v>
      </c>
      <c r="B19120" t="s">
        <v>325</v>
      </c>
      <c r="C19120" s="1">
        <f>HYPERLINK("https://cao.dolgi.msk.ru/account/1011392542/", 1011392542)</f>
        <v>1011392542</v>
      </c>
      <c r="D19120">
        <v>24732.02</v>
      </c>
    </row>
    <row r="19121" spans="1:4" hidden="1" x14ac:dyDescent="0.3">
      <c r="A19121" t="s">
        <v>1071</v>
      </c>
      <c r="B19121" t="s">
        <v>197</v>
      </c>
      <c r="C19121" s="1">
        <f>HYPERLINK("https://cao.dolgi.msk.ru/account/1011191257/", 1011191257)</f>
        <v>1011191257</v>
      </c>
      <c r="D19121">
        <v>0</v>
      </c>
    </row>
    <row r="19122" spans="1:4" hidden="1" x14ac:dyDescent="0.3">
      <c r="A19122" t="s">
        <v>1071</v>
      </c>
      <c r="B19122" t="s">
        <v>198</v>
      </c>
      <c r="C19122" s="1">
        <f>HYPERLINK("https://cao.dolgi.msk.ru/account/1011191185/", 1011191185)</f>
        <v>1011191185</v>
      </c>
      <c r="D19122">
        <v>-3572.16</v>
      </c>
    </row>
    <row r="19123" spans="1:4" x14ac:dyDescent="0.3">
      <c r="A19123" t="s">
        <v>1071</v>
      </c>
      <c r="B19123" t="s">
        <v>199</v>
      </c>
      <c r="C19123" s="1">
        <f>HYPERLINK("https://cao.dolgi.msk.ru/account/1011191337/", 1011191337)</f>
        <v>1011191337</v>
      </c>
      <c r="D19123">
        <v>7735.99</v>
      </c>
    </row>
    <row r="19124" spans="1:4" hidden="1" x14ac:dyDescent="0.3">
      <c r="A19124" t="s">
        <v>1071</v>
      </c>
      <c r="B19124" t="s">
        <v>200</v>
      </c>
      <c r="C19124" s="1">
        <f>HYPERLINK("https://cao.dolgi.msk.ru/account/1011191169/", 1011191169)</f>
        <v>1011191169</v>
      </c>
      <c r="D19124">
        <v>0</v>
      </c>
    </row>
    <row r="19125" spans="1:4" hidden="1" x14ac:dyDescent="0.3">
      <c r="A19125" t="s">
        <v>1071</v>
      </c>
      <c r="B19125" t="s">
        <v>201</v>
      </c>
      <c r="C19125" s="1">
        <f>HYPERLINK("https://cao.dolgi.msk.ru/account/1011191222/", 1011191222)</f>
        <v>1011191222</v>
      </c>
      <c r="D19125">
        <v>-499.81</v>
      </c>
    </row>
    <row r="19126" spans="1:4" hidden="1" x14ac:dyDescent="0.3">
      <c r="A19126" t="s">
        <v>1071</v>
      </c>
      <c r="B19126" t="s">
        <v>202</v>
      </c>
      <c r="C19126" s="1">
        <f>HYPERLINK("https://cao.dolgi.msk.ru/account/1011191089/", 1011191089)</f>
        <v>1011191089</v>
      </c>
      <c r="D19126">
        <v>0</v>
      </c>
    </row>
    <row r="19127" spans="1:4" x14ac:dyDescent="0.3">
      <c r="A19127" t="s">
        <v>1071</v>
      </c>
      <c r="B19127" t="s">
        <v>203</v>
      </c>
      <c r="C19127" s="1">
        <f>HYPERLINK("https://cao.dolgi.msk.ru/account/1011191302/", 1011191302)</f>
        <v>1011191302</v>
      </c>
      <c r="D19127">
        <v>5211.7</v>
      </c>
    </row>
    <row r="19128" spans="1:4" x14ac:dyDescent="0.3">
      <c r="A19128" t="s">
        <v>1071</v>
      </c>
      <c r="B19128" t="s">
        <v>203</v>
      </c>
      <c r="C19128" s="1">
        <f>HYPERLINK("https://cao.dolgi.msk.ru/account/1011191345/", 1011191345)</f>
        <v>1011191345</v>
      </c>
      <c r="D19128">
        <v>4105.04</v>
      </c>
    </row>
    <row r="19129" spans="1:4" x14ac:dyDescent="0.3">
      <c r="A19129" t="s">
        <v>1071</v>
      </c>
      <c r="B19129" t="s">
        <v>203</v>
      </c>
      <c r="C19129" s="1">
        <f>HYPERLINK("https://cao.dolgi.msk.ru/account/1011191396/", 1011191396)</f>
        <v>1011191396</v>
      </c>
      <c r="D19129">
        <v>3453.61</v>
      </c>
    </row>
    <row r="19130" spans="1:4" hidden="1" x14ac:dyDescent="0.3">
      <c r="A19130" t="s">
        <v>1071</v>
      </c>
      <c r="B19130" t="s">
        <v>326</v>
      </c>
      <c r="C19130" s="1">
        <f>HYPERLINK("https://cao.dolgi.msk.ru/account/1011191097/", 1011191097)</f>
        <v>1011191097</v>
      </c>
      <c r="D19130">
        <v>-11035.82</v>
      </c>
    </row>
    <row r="19131" spans="1:4" hidden="1" x14ac:dyDescent="0.3">
      <c r="A19131" t="s">
        <v>1071</v>
      </c>
      <c r="B19131" t="s">
        <v>204</v>
      </c>
      <c r="C19131" s="1">
        <f>HYPERLINK("https://cao.dolgi.msk.ru/account/1011191177/", 1011191177)</f>
        <v>1011191177</v>
      </c>
      <c r="D19131">
        <v>0</v>
      </c>
    </row>
    <row r="19132" spans="1:4" hidden="1" x14ac:dyDescent="0.3">
      <c r="A19132" t="s">
        <v>1071</v>
      </c>
      <c r="B19132" t="s">
        <v>205</v>
      </c>
      <c r="C19132" s="1">
        <f>HYPERLINK("https://cao.dolgi.msk.ru/account/1011191193/", 1011191193)</f>
        <v>1011191193</v>
      </c>
      <c r="D19132">
        <v>-8197.07</v>
      </c>
    </row>
    <row r="19133" spans="1:4" x14ac:dyDescent="0.3">
      <c r="A19133" t="s">
        <v>1071</v>
      </c>
      <c r="B19133" t="s">
        <v>206</v>
      </c>
      <c r="C19133" s="1">
        <f>HYPERLINK("https://cao.dolgi.msk.ru/account/1011191118/", 1011191118)</f>
        <v>1011191118</v>
      </c>
      <c r="D19133">
        <v>526.41999999999996</v>
      </c>
    </row>
    <row r="19134" spans="1:4" hidden="1" x14ac:dyDescent="0.3">
      <c r="A19134" t="s">
        <v>1071</v>
      </c>
      <c r="B19134" t="s">
        <v>207</v>
      </c>
      <c r="C19134" s="1">
        <f>HYPERLINK("https://cao.dolgi.msk.ru/account/1011191353/", 1011191353)</f>
        <v>1011191353</v>
      </c>
      <c r="D19134">
        <v>0</v>
      </c>
    </row>
    <row r="19135" spans="1:4" hidden="1" x14ac:dyDescent="0.3">
      <c r="A19135" t="s">
        <v>1071</v>
      </c>
      <c r="B19135" t="s">
        <v>294</v>
      </c>
      <c r="C19135" s="1">
        <f>HYPERLINK("https://cao.dolgi.msk.ru/account/1011191126/", 1011191126)</f>
        <v>1011191126</v>
      </c>
      <c r="D19135">
        <v>0</v>
      </c>
    </row>
    <row r="19136" spans="1:4" x14ac:dyDescent="0.3">
      <c r="A19136" t="s">
        <v>1071</v>
      </c>
      <c r="B19136" t="s">
        <v>295</v>
      </c>
      <c r="C19136" s="1">
        <f>HYPERLINK("https://cao.dolgi.msk.ru/account/1011191265/", 1011191265)</f>
        <v>1011191265</v>
      </c>
      <c r="D19136">
        <v>9134.67</v>
      </c>
    </row>
    <row r="19137" spans="1:4" hidden="1" x14ac:dyDescent="0.3">
      <c r="A19137" t="s">
        <v>1071</v>
      </c>
      <c r="B19137" t="s">
        <v>296</v>
      </c>
      <c r="C19137" s="1">
        <f>HYPERLINK("https://cao.dolgi.msk.ru/account/1011191273/", 1011191273)</f>
        <v>1011191273</v>
      </c>
      <c r="D19137">
        <v>0</v>
      </c>
    </row>
    <row r="19138" spans="1:4" hidden="1" x14ac:dyDescent="0.3">
      <c r="A19138" t="s">
        <v>1071</v>
      </c>
      <c r="B19138" t="s">
        <v>297</v>
      </c>
      <c r="C19138" s="1">
        <f>HYPERLINK("https://cao.dolgi.msk.ru/account/1011191361/", 1011191361)</f>
        <v>1011191361</v>
      </c>
      <c r="D19138">
        <v>0</v>
      </c>
    </row>
    <row r="19139" spans="1:4" hidden="1" x14ac:dyDescent="0.3">
      <c r="A19139" t="s">
        <v>1071</v>
      </c>
      <c r="B19139" t="s">
        <v>298</v>
      </c>
      <c r="C19139" s="1">
        <f>HYPERLINK("https://cao.dolgi.msk.ru/account/1011191134/", 1011191134)</f>
        <v>1011191134</v>
      </c>
      <c r="D19139">
        <v>0</v>
      </c>
    </row>
    <row r="19140" spans="1:4" hidden="1" x14ac:dyDescent="0.3">
      <c r="A19140" t="s">
        <v>1071</v>
      </c>
      <c r="B19140" t="s">
        <v>299</v>
      </c>
      <c r="C19140" s="1">
        <f>HYPERLINK("https://cao.dolgi.msk.ru/account/1011191388/", 1011191388)</f>
        <v>1011191388</v>
      </c>
      <c r="D19140">
        <v>-185590.69</v>
      </c>
    </row>
    <row r="19141" spans="1:4" hidden="1" x14ac:dyDescent="0.3">
      <c r="A19141" t="s">
        <v>1071</v>
      </c>
      <c r="B19141" t="s">
        <v>300</v>
      </c>
      <c r="C19141" s="1">
        <f>HYPERLINK("https://cao.dolgi.msk.ru/account/1011191409/", 1011191409)</f>
        <v>1011191409</v>
      </c>
      <c r="D19141">
        <v>-4047.73</v>
      </c>
    </row>
    <row r="19142" spans="1:4" hidden="1" x14ac:dyDescent="0.3">
      <c r="A19142" t="s">
        <v>1071</v>
      </c>
      <c r="B19142" t="s">
        <v>301</v>
      </c>
      <c r="C19142" s="1">
        <f>HYPERLINK("https://cao.dolgi.msk.ru/account/1011191142/", 1011191142)</f>
        <v>1011191142</v>
      </c>
      <c r="D19142">
        <v>0</v>
      </c>
    </row>
    <row r="19143" spans="1:4" hidden="1" x14ac:dyDescent="0.3">
      <c r="A19143" t="s">
        <v>1071</v>
      </c>
      <c r="B19143" t="s">
        <v>302</v>
      </c>
      <c r="C19143" s="1">
        <f>HYPERLINK("https://cao.dolgi.msk.ru/account/1011191206/", 1011191206)</f>
        <v>1011191206</v>
      </c>
      <c r="D19143">
        <v>-9450.93</v>
      </c>
    </row>
    <row r="19144" spans="1:4" hidden="1" x14ac:dyDescent="0.3">
      <c r="A19144" t="s">
        <v>1071</v>
      </c>
      <c r="B19144" t="s">
        <v>303</v>
      </c>
      <c r="C19144" s="1">
        <f>HYPERLINK("https://cao.dolgi.msk.ru/account/1011191417/", 1011191417)</f>
        <v>1011191417</v>
      </c>
      <c r="D19144">
        <v>-2639.23</v>
      </c>
    </row>
    <row r="19145" spans="1:4" hidden="1" x14ac:dyDescent="0.3">
      <c r="A19145" t="s">
        <v>1071</v>
      </c>
      <c r="B19145" t="s">
        <v>304</v>
      </c>
      <c r="C19145" s="1">
        <f>HYPERLINK("https://cao.dolgi.msk.ru/account/1011191214/", 1011191214)</f>
        <v>1011191214</v>
      </c>
      <c r="D19145">
        <v>0</v>
      </c>
    </row>
    <row r="19146" spans="1:4" hidden="1" x14ac:dyDescent="0.3">
      <c r="A19146" t="s">
        <v>1071</v>
      </c>
      <c r="B19146" t="s">
        <v>305</v>
      </c>
      <c r="C19146" s="1">
        <f>HYPERLINK("https://cao.dolgi.msk.ru/account/1011191281/", 1011191281)</f>
        <v>1011191281</v>
      </c>
      <c r="D19146">
        <v>0</v>
      </c>
    </row>
    <row r="19147" spans="1:4" hidden="1" x14ac:dyDescent="0.3">
      <c r="A19147" t="s">
        <v>1071</v>
      </c>
      <c r="B19147" t="s">
        <v>306</v>
      </c>
      <c r="C19147" s="1">
        <f>HYPERLINK("https://cao.dolgi.msk.ru/account/1011191249/", 1011191249)</f>
        <v>1011191249</v>
      </c>
      <c r="D19147">
        <v>0</v>
      </c>
    </row>
    <row r="19148" spans="1:4" hidden="1" x14ac:dyDescent="0.3">
      <c r="A19148" t="s">
        <v>1072</v>
      </c>
      <c r="B19148" t="s">
        <v>307</v>
      </c>
      <c r="C19148" s="1">
        <f>HYPERLINK("https://cao.dolgi.msk.ru/account/1011191425/", 1011191425)</f>
        <v>1011191425</v>
      </c>
      <c r="D19148">
        <v>0</v>
      </c>
    </row>
    <row r="19149" spans="1:4" hidden="1" x14ac:dyDescent="0.3">
      <c r="A19149" t="s">
        <v>1072</v>
      </c>
      <c r="B19149" t="s">
        <v>308</v>
      </c>
      <c r="C19149" s="1">
        <f>HYPERLINK("https://cao.dolgi.msk.ru/account/1011191636/", 1011191636)</f>
        <v>1011191636</v>
      </c>
      <c r="D19149">
        <v>-7.77</v>
      </c>
    </row>
    <row r="19150" spans="1:4" hidden="1" x14ac:dyDescent="0.3">
      <c r="A19150" t="s">
        <v>1072</v>
      </c>
      <c r="B19150" t="s">
        <v>309</v>
      </c>
      <c r="C19150" s="1">
        <f>HYPERLINK("https://cao.dolgi.msk.ru/account/1011191433/", 1011191433)</f>
        <v>1011191433</v>
      </c>
      <c r="D19150">
        <v>0</v>
      </c>
    </row>
    <row r="19151" spans="1:4" hidden="1" x14ac:dyDescent="0.3">
      <c r="A19151" t="s">
        <v>1072</v>
      </c>
      <c r="B19151" t="s">
        <v>310</v>
      </c>
      <c r="C19151" s="1">
        <f>HYPERLINK("https://cao.dolgi.msk.ru/account/1011191484/", 1011191484)</f>
        <v>1011191484</v>
      </c>
      <c r="D19151">
        <v>0</v>
      </c>
    </row>
    <row r="19152" spans="1:4" hidden="1" x14ac:dyDescent="0.3">
      <c r="A19152" t="s">
        <v>1072</v>
      </c>
      <c r="B19152" t="s">
        <v>311</v>
      </c>
      <c r="C19152" s="1">
        <f>HYPERLINK("https://cao.dolgi.msk.ru/account/1011191759/", 1011191759)</f>
        <v>1011191759</v>
      </c>
      <c r="D19152">
        <v>0</v>
      </c>
    </row>
    <row r="19153" spans="1:4" hidden="1" x14ac:dyDescent="0.3">
      <c r="A19153" t="s">
        <v>1072</v>
      </c>
      <c r="B19153" t="s">
        <v>312</v>
      </c>
      <c r="C19153" s="1">
        <f>HYPERLINK("https://cao.dolgi.msk.ru/account/1011191935/", 1011191935)</f>
        <v>1011191935</v>
      </c>
      <c r="D19153">
        <v>0</v>
      </c>
    </row>
    <row r="19154" spans="1:4" hidden="1" x14ac:dyDescent="0.3">
      <c r="A19154" t="s">
        <v>1072</v>
      </c>
      <c r="B19154" t="s">
        <v>313</v>
      </c>
      <c r="C19154" s="1">
        <f>HYPERLINK("https://cao.dolgi.msk.ru/account/1011191644/", 1011191644)</f>
        <v>1011191644</v>
      </c>
      <c r="D19154">
        <v>-6228.08</v>
      </c>
    </row>
    <row r="19155" spans="1:4" hidden="1" x14ac:dyDescent="0.3">
      <c r="A19155" t="s">
        <v>1072</v>
      </c>
      <c r="B19155" t="s">
        <v>314</v>
      </c>
      <c r="C19155" s="1">
        <f>HYPERLINK("https://cao.dolgi.msk.ru/account/1011191943/", 1011191943)</f>
        <v>1011191943</v>
      </c>
      <c r="D19155">
        <v>0</v>
      </c>
    </row>
    <row r="19156" spans="1:4" hidden="1" x14ac:dyDescent="0.3">
      <c r="A19156" t="s">
        <v>1072</v>
      </c>
      <c r="B19156" t="s">
        <v>315</v>
      </c>
      <c r="C19156" s="1">
        <f>HYPERLINK("https://cao.dolgi.msk.ru/account/1011191951/", 1011191951)</f>
        <v>1011191951</v>
      </c>
      <c r="D19156">
        <v>-8606.01</v>
      </c>
    </row>
    <row r="19157" spans="1:4" hidden="1" x14ac:dyDescent="0.3">
      <c r="A19157" t="s">
        <v>1072</v>
      </c>
      <c r="B19157" t="s">
        <v>316</v>
      </c>
      <c r="C19157" s="1">
        <f>HYPERLINK("https://cao.dolgi.msk.ru/account/1011191767/", 1011191767)</f>
        <v>1011191767</v>
      </c>
      <c r="D19157">
        <v>0</v>
      </c>
    </row>
    <row r="19158" spans="1:4" x14ac:dyDescent="0.3">
      <c r="A19158" t="s">
        <v>1072</v>
      </c>
      <c r="B19158" t="s">
        <v>317</v>
      </c>
      <c r="C19158" s="1">
        <f>HYPERLINK("https://cao.dolgi.msk.ru/account/1011191492/", 1011191492)</f>
        <v>1011191492</v>
      </c>
      <c r="D19158">
        <v>11313.01</v>
      </c>
    </row>
    <row r="19159" spans="1:4" hidden="1" x14ac:dyDescent="0.3">
      <c r="A19159" t="s">
        <v>1072</v>
      </c>
      <c r="B19159" t="s">
        <v>318</v>
      </c>
      <c r="C19159" s="1">
        <f>HYPERLINK("https://cao.dolgi.msk.ru/account/1011191724/", 1011191724)</f>
        <v>1011191724</v>
      </c>
      <c r="D19159">
        <v>-10605.73</v>
      </c>
    </row>
    <row r="19160" spans="1:4" hidden="1" x14ac:dyDescent="0.3">
      <c r="A19160" t="s">
        <v>1072</v>
      </c>
      <c r="B19160" t="s">
        <v>319</v>
      </c>
      <c r="C19160" s="1">
        <f>HYPERLINK("https://cao.dolgi.msk.ru/account/1011191804/", 1011191804)</f>
        <v>1011191804</v>
      </c>
      <c r="D19160">
        <v>0</v>
      </c>
    </row>
    <row r="19161" spans="1:4" hidden="1" x14ac:dyDescent="0.3">
      <c r="A19161" t="s">
        <v>1072</v>
      </c>
      <c r="B19161" t="s">
        <v>320</v>
      </c>
      <c r="C19161" s="1">
        <f>HYPERLINK("https://cao.dolgi.msk.ru/account/1011191986/", 1011191986)</f>
        <v>1011191986</v>
      </c>
      <c r="D19161">
        <v>0</v>
      </c>
    </row>
    <row r="19162" spans="1:4" hidden="1" x14ac:dyDescent="0.3">
      <c r="A19162" t="s">
        <v>1072</v>
      </c>
      <c r="B19162" t="s">
        <v>321</v>
      </c>
      <c r="C19162" s="1">
        <f>HYPERLINK("https://cao.dolgi.msk.ru/account/1011191556/", 1011191556)</f>
        <v>1011191556</v>
      </c>
      <c r="D19162">
        <v>0</v>
      </c>
    </row>
    <row r="19163" spans="1:4" hidden="1" x14ac:dyDescent="0.3">
      <c r="A19163" t="s">
        <v>1072</v>
      </c>
      <c r="B19163" t="s">
        <v>322</v>
      </c>
      <c r="C19163" s="1">
        <f>HYPERLINK("https://cao.dolgi.msk.ru/account/1011191441/", 1011191441)</f>
        <v>1011191441</v>
      </c>
      <c r="D19163">
        <v>-4458.1899999999996</v>
      </c>
    </row>
    <row r="19164" spans="1:4" x14ac:dyDescent="0.3">
      <c r="A19164" t="s">
        <v>1072</v>
      </c>
      <c r="B19164" t="s">
        <v>322</v>
      </c>
      <c r="C19164" s="1">
        <f>HYPERLINK("https://cao.dolgi.msk.ru/account/1011191652/", 1011191652)</f>
        <v>1011191652</v>
      </c>
      <c r="D19164">
        <v>4452.25</v>
      </c>
    </row>
    <row r="19165" spans="1:4" hidden="1" x14ac:dyDescent="0.3">
      <c r="A19165" t="s">
        <v>1072</v>
      </c>
      <c r="B19165" t="s">
        <v>350</v>
      </c>
      <c r="C19165" s="1">
        <f>HYPERLINK("https://cao.dolgi.msk.ru/account/1011191505/", 1011191505)</f>
        <v>1011191505</v>
      </c>
      <c r="D19165">
        <v>0</v>
      </c>
    </row>
    <row r="19166" spans="1:4" x14ac:dyDescent="0.3">
      <c r="A19166" t="s">
        <v>1072</v>
      </c>
      <c r="B19166" t="s">
        <v>351</v>
      </c>
      <c r="C19166" s="1">
        <f>HYPERLINK("https://cao.dolgi.msk.ru/account/1011191775/", 1011191775)</f>
        <v>1011191775</v>
      </c>
      <c r="D19166">
        <v>8023.23</v>
      </c>
    </row>
    <row r="19167" spans="1:4" hidden="1" x14ac:dyDescent="0.3">
      <c r="A19167" t="s">
        <v>1072</v>
      </c>
      <c r="B19167" t="s">
        <v>352</v>
      </c>
      <c r="C19167" s="1">
        <f>HYPERLINK("https://cao.dolgi.msk.ru/account/1011191564/", 1011191564)</f>
        <v>1011191564</v>
      </c>
      <c r="D19167">
        <v>-4468.53</v>
      </c>
    </row>
    <row r="19168" spans="1:4" hidden="1" x14ac:dyDescent="0.3">
      <c r="A19168" t="s">
        <v>1072</v>
      </c>
      <c r="B19168" t="s">
        <v>353</v>
      </c>
      <c r="C19168" s="1">
        <f>HYPERLINK("https://cao.dolgi.msk.ru/account/1011191679/", 1011191679)</f>
        <v>1011191679</v>
      </c>
      <c r="D19168">
        <v>0</v>
      </c>
    </row>
    <row r="19169" spans="1:4" hidden="1" x14ac:dyDescent="0.3">
      <c r="A19169" t="s">
        <v>1072</v>
      </c>
      <c r="B19169" t="s">
        <v>354</v>
      </c>
      <c r="C19169" s="1">
        <f>HYPERLINK("https://cao.dolgi.msk.ru/account/1011191812/", 1011191812)</f>
        <v>1011191812</v>
      </c>
      <c r="D19169">
        <v>-376.15</v>
      </c>
    </row>
    <row r="19170" spans="1:4" hidden="1" x14ac:dyDescent="0.3">
      <c r="A19170" t="s">
        <v>1072</v>
      </c>
      <c r="B19170" t="s">
        <v>355</v>
      </c>
      <c r="C19170" s="1">
        <f>HYPERLINK("https://cao.dolgi.msk.ru/account/1011191863/", 1011191863)</f>
        <v>1011191863</v>
      </c>
      <c r="D19170">
        <v>0</v>
      </c>
    </row>
    <row r="19171" spans="1:4" hidden="1" x14ac:dyDescent="0.3">
      <c r="A19171" t="s">
        <v>1072</v>
      </c>
      <c r="B19171" t="s">
        <v>356</v>
      </c>
      <c r="C19171" s="1">
        <f>HYPERLINK("https://cao.dolgi.msk.ru/account/1011191783/", 1011191783)</f>
        <v>1011191783</v>
      </c>
      <c r="D19171">
        <v>-2.33</v>
      </c>
    </row>
    <row r="19172" spans="1:4" hidden="1" x14ac:dyDescent="0.3">
      <c r="A19172" t="s">
        <v>1072</v>
      </c>
      <c r="B19172" t="s">
        <v>357</v>
      </c>
      <c r="C19172" s="1">
        <f>HYPERLINK("https://cao.dolgi.msk.ru/account/1011191994/", 1011191994)</f>
        <v>1011191994</v>
      </c>
      <c r="D19172">
        <v>0</v>
      </c>
    </row>
    <row r="19173" spans="1:4" hidden="1" x14ac:dyDescent="0.3">
      <c r="A19173" t="s">
        <v>1072</v>
      </c>
      <c r="B19173" t="s">
        <v>358</v>
      </c>
      <c r="C19173" s="1">
        <f>HYPERLINK("https://cao.dolgi.msk.ru/account/1011191572/", 1011191572)</f>
        <v>1011191572</v>
      </c>
      <c r="D19173">
        <v>0</v>
      </c>
    </row>
    <row r="19174" spans="1:4" hidden="1" x14ac:dyDescent="0.3">
      <c r="A19174" t="s">
        <v>1072</v>
      </c>
      <c r="B19174" t="s">
        <v>359</v>
      </c>
      <c r="C19174" s="1">
        <f>HYPERLINK("https://cao.dolgi.msk.ru/account/1011191871/", 1011191871)</f>
        <v>1011191871</v>
      </c>
      <c r="D19174">
        <v>0</v>
      </c>
    </row>
    <row r="19175" spans="1:4" hidden="1" x14ac:dyDescent="0.3">
      <c r="A19175" t="s">
        <v>1072</v>
      </c>
      <c r="B19175" t="s">
        <v>360</v>
      </c>
      <c r="C19175" s="1">
        <f>HYPERLINK("https://cao.dolgi.msk.ru/account/1011191839/", 1011191839)</f>
        <v>1011191839</v>
      </c>
      <c r="D19175">
        <v>-5519.12</v>
      </c>
    </row>
    <row r="19176" spans="1:4" hidden="1" x14ac:dyDescent="0.3">
      <c r="A19176" t="s">
        <v>1072</v>
      </c>
      <c r="B19176" t="s">
        <v>361</v>
      </c>
      <c r="C19176" s="1">
        <f>HYPERLINK("https://cao.dolgi.msk.ru/account/1011191548/", 1011191548)</f>
        <v>1011191548</v>
      </c>
      <c r="D19176">
        <v>0</v>
      </c>
    </row>
    <row r="19177" spans="1:4" hidden="1" x14ac:dyDescent="0.3">
      <c r="A19177" t="s">
        <v>1072</v>
      </c>
      <c r="B19177" t="s">
        <v>361</v>
      </c>
      <c r="C19177" s="1">
        <f>HYPERLINK("https://cao.dolgi.msk.ru/account/1011191599/", 1011191599)</f>
        <v>1011191599</v>
      </c>
      <c r="D19177">
        <v>0</v>
      </c>
    </row>
    <row r="19178" spans="1:4" hidden="1" x14ac:dyDescent="0.3">
      <c r="A19178" t="s">
        <v>1072</v>
      </c>
      <c r="B19178" t="s">
        <v>362</v>
      </c>
      <c r="C19178" s="1">
        <f>HYPERLINK("https://cao.dolgi.msk.ru/account/1011191687/", 1011191687)</f>
        <v>1011191687</v>
      </c>
      <c r="D19178">
        <v>-19728.650000000001</v>
      </c>
    </row>
    <row r="19179" spans="1:4" x14ac:dyDescent="0.3">
      <c r="A19179" t="s">
        <v>1072</v>
      </c>
      <c r="B19179" t="s">
        <v>363</v>
      </c>
      <c r="C19179" s="1">
        <f>HYPERLINK("https://cao.dolgi.msk.ru/account/1011191847/", 1011191847)</f>
        <v>1011191847</v>
      </c>
      <c r="D19179">
        <v>49314.15</v>
      </c>
    </row>
    <row r="19180" spans="1:4" hidden="1" x14ac:dyDescent="0.3">
      <c r="A19180" t="s">
        <v>1072</v>
      </c>
      <c r="B19180" t="s">
        <v>364</v>
      </c>
      <c r="C19180" s="1">
        <f>HYPERLINK("https://cao.dolgi.msk.ru/account/1011191468/", 1011191468)</f>
        <v>1011191468</v>
      </c>
      <c r="D19180">
        <v>-3551.39</v>
      </c>
    </row>
    <row r="19181" spans="1:4" hidden="1" x14ac:dyDescent="0.3">
      <c r="A19181" t="s">
        <v>1072</v>
      </c>
      <c r="B19181" t="s">
        <v>365</v>
      </c>
      <c r="C19181" s="1">
        <f>HYPERLINK("https://cao.dolgi.msk.ru/account/1011191898/", 1011191898)</f>
        <v>1011191898</v>
      </c>
      <c r="D19181">
        <v>-75.08</v>
      </c>
    </row>
    <row r="19182" spans="1:4" hidden="1" x14ac:dyDescent="0.3">
      <c r="A19182" t="s">
        <v>1072</v>
      </c>
      <c r="B19182" t="s">
        <v>366</v>
      </c>
      <c r="C19182" s="1">
        <f>HYPERLINK("https://cao.dolgi.msk.ru/account/1011191791/", 1011191791)</f>
        <v>1011191791</v>
      </c>
      <c r="D19182">
        <v>0</v>
      </c>
    </row>
    <row r="19183" spans="1:4" hidden="1" x14ac:dyDescent="0.3">
      <c r="A19183" t="s">
        <v>1072</v>
      </c>
      <c r="B19183" t="s">
        <v>367</v>
      </c>
      <c r="C19183" s="1">
        <f>HYPERLINK("https://cao.dolgi.msk.ru/account/1011191695/", 1011191695)</f>
        <v>1011191695</v>
      </c>
      <c r="D19183">
        <v>0</v>
      </c>
    </row>
    <row r="19184" spans="1:4" hidden="1" x14ac:dyDescent="0.3">
      <c r="A19184" t="s">
        <v>1072</v>
      </c>
      <c r="B19184" t="s">
        <v>368</v>
      </c>
      <c r="C19184" s="1">
        <f>HYPERLINK("https://cao.dolgi.msk.ru/account/1011192006/", 1011192006)</f>
        <v>1011192006</v>
      </c>
      <c r="D19184">
        <v>-6255.93</v>
      </c>
    </row>
    <row r="19185" spans="1:4" hidden="1" x14ac:dyDescent="0.3">
      <c r="A19185" t="s">
        <v>1072</v>
      </c>
      <c r="B19185" t="s">
        <v>369</v>
      </c>
      <c r="C19185" s="1">
        <f>HYPERLINK("https://cao.dolgi.msk.ru/account/1011191521/", 1011191521)</f>
        <v>1011191521</v>
      </c>
      <c r="D19185">
        <v>0</v>
      </c>
    </row>
    <row r="19186" spans="1:4" hidden="1" x14ac:dyDescent="0.3">
      <c r="A19186" t="s">
        <v>1072</v>
      </c>
      <c r="B19186" t="s">
        <v>370</v>
      </c>
      <c r="C19186" s="1">
        <f>HYPERLINK("https://cao.dolgi.msk.ru/account/1011191476/", 1011191476)</f>
        <v>1011191476</v>
      </c>
      <c r="D19186">
        <v>-40.32</v>
      </c>
    </row>
    <row r="19187" spans="1:4" hidden="1" x14ac:dyDescent="0.3">
      <c r="A19187" t="s">
        <v>1072</v>
      </c>
      <c r="B19187" t="s">
        <v>371</v>
      </c>
      <c r="C19187" s="1">
        <f>HYPERLINK("https://cao.dolgi.msk.ru/account/1011191919/", 1011191919)</f>
        <v>1011191919</v>
      </c>
      <c r="D19187">
        <v>-4484.47</v>
      </c>
    </row>
    <row r="19188" spans="1:4" x14ac:dyDescent="0.3">
      <c r="A19188" t="s">
        <v>1072</v>
      </c>
      <c r="B19188" t="s">
        <v>372</v>
      </c>
      <c r="C19188" s="1">
        <f>HYPERLINK("https://cao.dolgi.msk.ru/account/1011191601/", 1011191601)</f>
        <v>1011191601</v>
      </c>
      <c r="D19188">
        <v>8633.31</v>
      </c>
    </row>
    <row r="19189" spans="1:4" hidden="1" x14ac:dyDescent="0.3">
      <c r="A19189" t="s">
        <v>1072</v>
      </c>
      <c r="B19189" t="s">
        <v>373</v>
      </c>
      <c r="C19189" s="1">
        <f>HYPERLINK("https://cao.dolgi.msk.ru/account/1011191708/", 1011191708)</f>
        <v>1011191708</v>
      </c>
      <c r="D19189">
        <v>0</v>
      </c>
    </row>
    <row r="19190" spans="1:4" hidden="1" x14ac:dyDescent="0.3">
      <c r="A19190" t="s">
        <v>1072</v>
      </c>
      <c r="B19190" t="s">
        <v>374</v>
      </c>
      <c r="C19190" s="1">
        <f>HYPERLINK("https://cao.dolgi.msk.ru/account/1011191628/", 1011191628)</f>
        <v>1011191628</v>
      </c>
      <c r="D19190">
        <v>-82.05</v>
      </c>
    </row>
    <row r="19191" spans="1:4" hidden="1" x14ac:dyDescent="0.3">
      <c r="A19191" t="s">
        <v>1072</v>
      </c>
      <c r="B19191" t="s">
        <v>375</v>
      </c>
      <c r="C19191" s="1">
        <f>HYPERLINK("https://cao.dolgi.msk.ru/account/1011191513/", 1011191513)</f>
        <v>1011191513</v>
      </c>
      <c r="D19191">
        <v>0</v>
      </c>
    </row>
    <row r="19192" spans="1:4" hidden="1" x14ac:dyDescent="0.3">
      <c r="A19192" t="s">
        <v>1072</v>
      </c>
      <c r="B19192" t="s">
        <v>376</v>
      </c>
      <c r="C19192" s="1">
        <f>HYPERLINK("https://cao.dolgi.msk.ru/account/1011191716/", 1011191716)</f>
        <v>1011191716</v>
      </c>
      <c r="D19192">
        <v>-39.14</v>
      </c>
    </row>
    <row r="19193" spans="1:4" hidden="1" x14ac:dyDescent="0.3">
      <c r="A19193" t="s">
        <v>1072</v>
      </c>
      <c r="B19193" t="s">
        <v>377</v>
      </c>
      <c r="C19193" s="1">
        <f>HYPERLINK("https://cao.dolgi.msk.ru/account/1011191927/", 1011191927)</f>
        <v>1011191927</v>
      </c>
      <c r="D19193">
        <v>0</v>
      </c>
    </row>
    <row r="19194" spans="1:4" hidden="1" x14ac:dyDescent="0.3">
      <c r="A19194" t="s">
        <v>1073</v>
      </c>
      <c r="B19194" t="s">
        <v>35</v>
      </c>
      <c r="C19194" s="1">
        <f>HYPERLINK("https://cao.dolgi.msk.ru/account/1010220597/", 1010220597)</f>
        <v>1010220597</v>
      </c>
      <c r="D19194">
        <v>0</v>
      </c>
    </row>
    <row r="19195" spans="1:4" hidden="1" x14ac:dyDescent="0.3">
      <c r="A19195" t="s">
        <v>1073</v>
      </c>
      <c r="B19195" t="s">
        <v>5</v>
      </c>
      <c r="C19195" s="1">
        <f>HYPERLINK("https://cao.dolgi.msk.ru/account/1010221178/", 1010221178)</f>
        <v>1010221178</v>
      </c>
      <c r="D19195">
        <v>-7912.31</v>
      </c>
    </row>
    <row r="19196" spans="1:4" hidden="1" x14ac:dyDescent="0.3">
      <c r="A19196" t="s">
        <v>1073</v>
      </c>
      <c r="B19196" t="s">
        <v>7</v>
      </c>
      <c r="C19196" s="1">
        <f>HYPERLINK("https://cao.dolgi.msk.ru/account/1010220618/", 1010220618)</f>
        <v>1010220618</v>
      </c>
      <c r="D19196">
        <v>-165.5</v>
      </c>
    </row>
    <row r="19197" spans="1:4" hidden="1" x14ac:dyDescent="0.3">
      <c r="A19197" t="s">
        <v>1073</v>
      </c>
      <c r="B19197" t="s">
        <v>8</v>
      </c>
      <c r="C19197" s="1">
        <f>HYPERLINK("https://cao.dolgi.msk.ru/account/1010220634/", 1010220634)</f>
        <v>1010220634</v>
      </c>
      <c r="D19197">
        <v>-194.05</v>
      </c>
    </row>
    <row r="19198" spans="1:4" hidden="1" x14ac:dyDescent="0.3">
      <c r="A19198" t="s">
        <v>1073</v>
      </c>
      <c r="B19198" t="s">
        <v>31</v>
      </c>
      <c r="C19198" s="1">
        <f>HYPERLINK("https://cao.dolgi.msk.ru/account/1010220669/", 1010220669)</f>
        <v>1010220669</v>
      </c>
      <c r="D19198">
        <v>0</v>
      </c>
    </row>
    <row r="19199" spans="1:4" hidden="1" x14ac:dyDescent="0.3">
      <c r="A19199" t="s">
        <v>1073</v>
      </c>
      <c r="B19199" t="s">
        <v>9</v>
      </c>
      <c r="C19199" s="1">
        <f>HYPERLINK("https://cao.dolgi.msk.ru/account/1010220677/", 1010220677)</f>
        <v>1010220677</v>
      </c>
      <c r="D19199">
        <v>-341.92</v>
      </c>
    </row>
    <row r="19200" spans="1:4" hidden="1" x14ac:dyDescent="0.3">
      <c r="A19200" t="s">
        <v>1073</v>
      </c>
      <c r="B19200" t="s">
        <v>10</v>
      </c>
      <c r="C19200" s="1">
        <f>HYPERLINK("https://cao.dolgi.msk.ru/account/1010220685/", 1010220685)</f>
        <v>1010220685</v>
      </c>
      <c r="D19200">
        <v>-8869.7800000000007</v>
      </c>
    </row>
    <row r="19201" spans="1:4" hidden="1" x14ac:dyDescent="0.3">
      <c r="A19201" t="s">
        <v>1073</v>
      </c>
      <c r="B19201" t="s">
        <v>11</v>
      </c>
      <c r="C19201" s="1">
        <f>HYPERLINK("https://cao.dolgi.msk.ru/account/1010220693/", 1010220693)</f>
        <v>1010220693</v>
      </c>
      <c r="D19201">
        <v>-237.49</v>
      </c>
    </row>
    <row r="19202" spans="1:4" hidden="1" x14ac:dyDescent="0.3">
      <c r="A19202" t="s">
        <v>1073</v>
      </c>
      <c r="B19202" t="s">
        <v>12</v>
      </c>
      <c r="C19202" s="1">
        <f>HYPERLINK("https://cao.dolgi.msk.ru/account/1010220714/", 1010220714)</f>
        <v>1010220714</v>
      </c>
      <c r="D19202">
        <v>0</v>
      </c>
    </row>
    <row r="19203" spans="1:4" hidden="1" x14ac:dyDescent="0.3">
      <c r="A19203" t="s">
        <v>1073</v>
      </c>
      <c r="B19203" t="s">
        <v>12</v>
      </c>
      <c r="C19203" s="1">
        <f>HYPERLINK("https://cao.dolgi.msk.ru/account/1011135829/", 1011135829)</f>
        <v>1011135829</v>
      </c>
      <c r="D19203">
        <v>0</v>
      </c>
    </row>
    <row r="19204" spans="1:4" hidden="1" x14ac:dyDescent="0.3">
      <c r="A19204" t="s">
        <v>1073</v>
      </c>
      <c r="B19204" t="s">
        <v>23</v>
      </c>
      <c r="C19204" s="1">
        <f>HYPERLINK("https://cao.dolgi.msk.ru/account/1010220722/", 1010220722)</f>
        <v>1010220722</v>
      </c>
      <c r="D19204">
        <v>-15.43</v>
      </c>
    </row>
    <row r="19205" spans="1:4" hidden="1" x14ac:dyDescent="0.3">
      <c r="A19205" t="s">
        <v>1073</v>
      </c>
      <c r="B19205" t="s">
        <v>13</v>
      </c>
      <c r="C19205" s="1">
        <f>HYPERLINK("https://cao.dolgi.msk.ru/account/1010220749/", 1010220749)</f>
        <v>1010220749</v>
      </c>
      <c r="D19205">
        <v>0</v>
      </c>
    </row>
    <row r="19206" spans="1:4" hidden="1" x14ac:dyDescent="0.3">
      <c r="A19206" t="s">
        <v>1073</v>
      </c>
      <c r="B19206" t="s">
        <v>14</v>
      </c>
      <c r="C19206" s="1">
        <f>HYPERLINK("https://cao.dolgi.msk.ru/account/1010220765/", 1010220765)</f>
        <v>1010220765</v>
      </c>
      <c r="D19206">
        <v>0</v>
      </c>
    </row>
    <row r="19207" spans="1:4" hidden="1" x14ac:dyDescent="0.3">
      <c r="A19207" t="s">
        <v>1073</v>
      </c>
      <c r="B19207" t="s">
        <v>16</v>
      </c>
      <c r="C19207" s="1">
        <f>HYPERLINK("https://cao.dolgi.msk.ru/account/1010220773/", 1010220773)</f>
        <v>1010220773</v>
      </c>
      <c r="D19207">
        <v>-230</v>
      </c>
    </row>
    <row r="19208" spans="1:4" x14ac:dyDescent="0.3">
      <c r="A19208" t="s">
        <v>1073</v>
      </c>
      <c r="B19208" t="s">
        <v>17</v>
      </c>
      <c r="C19208" s="1">
        <f>HYPERLINK("https://cao.dolgi.msk.ru/account/1010220781/", 1010220781)</f>
        <v>1010220781</v>
      </c>
      <c r="D19208">
        <v>6310.26</v>
      </c>
    </row>
    <row r="19209" spans="1:4" hidden="1" x14ac:dyDescent="0.3">
      <c r="A19209" t="s">
        <v>1073</v>
      </c>
      <c r="B19209" t="s">
        <v>18</v>
      </c>
      <c r="C19209" s="1">
        <f>HYPERLINK("https://cao.dolgi.msk.ru/account/1010220802/", 1010220802)</f>
        <v>1010220802</v>
      </c>
      <c r="D19209">
        <v>-487.71</v>
      </c>
    </row>
    <row r="19210" spans="1:4" hidden="1" x14ac:dyDescent="0.3">
      <c r="A19210" t="s">
        <v>1073</v>
      </c>
      <c r="B19210" t="s">
        <v>19</v>
      </c>
      <c r="C19210" s="1">
        <f>HYPERLINK("https://cao.dolgi.msk.ru/account/1010220829/", 1010220829)</f>
        <v>1010220829</v>
      </c>
      <c r="D19210">
        <v>-189.09</v>
      </c>
    </row>
    <row r="19211" spans="1:4" hidden="1" x14ac:dyDescent="0.3">
      <c r="A19211" t="s">
        <v>1073</v>
      </c>
      <c r="B19211" t="s">
        <v>20</v>
      </c>
      <c r="C19211" s="1">
        <f>HYPERLINK("https://cao.dolgi.msk.ru/account/1010220837/", 1010220837)</f>
        <v>1010220837</v>
      </c>
      <c r="D19211">
        <v>0</v>
      </c>
    </row>
    <row r="19212" spans="1:4" hidden="1" x14ac:dyDescent="0.3">
      <c r="A19212" t="s">
        <v>1073</v>
      </c>
      <c r="B19212" t="s">
        <v>21</v>
      </c>
      <c r="C19212" s="1">
        <f>HYPERLINK("https://cao.dolgi.msk.ru/account/1010221186/", 1010221186)</f>
        <v>1010221186</v>
      </c>
      <c r="D19212">
        <v>0</v>
      </c>
    </row>
    <row r="19213" spans="1:4" hidden="1" x14ac:dyDescent="0.3">
      <c r="A19213" t="s">
        <v>1073</v>
      </c>
      <c r="B19213" t="s">
        <v>22</v>
      </c>
      <c r="C19213" s="1">
        <f>HYPERLINK("https://cao.dolgi.msk.ru/account/1010220845/", 1010220845)</f>
        <v>1010220845</v>
      </c>
      <c r="D19213">
        <v>-6690.11</v>
      </c>
    </row>
    <row r="19214" spans="1:4" hidden="1" x14ac:dyDescent="0.3">
      <c r="A19214" t="s">
        <v>1073</v>
      </c>
      <c r="B19214" t="s">
        <v>25</v>
      </c>
      <c r="C19214" s="1">
        <f>HYPERLINK("https://cao.dolgi.msk.ru/account/1010220896/", 1010220896)</f>
        <v>1010220896</v>
      </c>
      <c r="D19214">
        <v>-143.71</v>
      </c>
    </row>
    <row r="19215" spans="1:4" hidden="1" x14ac:dyDescent="0.3">
      <c r="A19215" t="s">
        <v>1073</v>
      </c>
      <c r="B19215" t="s">
        <v>26</v>
      </c>
      <c r="C19215" s="1">
        <f>HYPERLINK("https://cao.dolgi.msk.ru/account/1010220909/", 1010220909)</f>
        <v>1010220909</v>
      </c>
      <c r="D19215">
        <v>-80.540000000000006</v>
      </c>
    </row>
    <row r="19216" spans="1:4" hidden="1" x14ac:dyDescent="0.3">
      <c r="A19216" t="s">
        <v>1073</v>
      </c>
      <c r="B19216" t="s">
        <v>27</v>
      </c>
      <c r="C19216" s="1">
        <f>HYPERLINK("https://cao.dolgi.msk.ru/account/1010220917/", 1010220917)</f>
        <v>1010220917</v>
      </c>
      <c r="D19216">
        <v>0</v>
      </c>
    </row>
    <row r="19217" spans="1:4" hidden="1" x14ac:dyDescent="0.3">
      <c r="A19217" t="s">
        <v>1073</v>
      </c>
      <c r="B19217" t="s">
        <v>29</v>
      </c>
      <c r="C19217" s="1">
        <f>HYPERLINK("https://cao.dolgi.msk.ru/account/1010220925/", 1010220925)</f>
        <v>1010220925</v>
      </c>
      <c r="D19217">
        <v>-5424.4</v>
      </c>
    </row>
    <row r="19218" spans="1:4" hidden="1" x14ac:dyDescent="0.3">
      <c r="A19218" t="s">
        <v>1073</v>
      </c>
      <c r="B19218" t="s">
        <v>38</v>
      </c>
      <c r="C19218" s="1">
        <f>HYPERLINK("https://cao.dolgi.msk.ru/account/1010220933/", 1010220933)</f>
        <v>1010220933</v>
      </c>
      <c r="D19218">
        <v>-4276.04</v>
      </c>
    </row>
    <row r="19219" spans="1:4" hidden="1" x14ac:dyDescent="0.3">
      <c r="A19219" t="s">
        <v>1073</v>
      </c>
      <c r="B19219" t="s">
        <v>39</v>
      </c>
      <c r="C19219" s="1">
        <f>HYPERLINK("https://cao.dolgi.msk.ru/account/1010220941/", 1010220941)</f>
        <v>1010220941</v>
      </c>
      <c r="D19219">
        <v>-6511.31</v>
      </c>
    </row>
    <row r="19220" spans="1:4" hidden="1" x14ac:dyDescent="0.3">
      <c r="A19220" t="s">
        <v>1073</v>
      </c>
      <c r="B19220" t="s">
        <v>40</v>
      </c>
      <c r="C19220" s="1">
        <f>HYPERLINK("https://cao.dolgi.msk.ru/account/1010220968/", 1010220968)</f>
        <v>1010220968</v>
      </c>
      <c r="D19220">
        <v>0</v>
      </c>
    </row>
    <row r="19221" spans="1:4" x14ac:dyDescent="0.3">
      <c r="A19221" t="s">
        <v>1073</v>
      </c>
      <c r="B19221" t="s">
        <v>41</v>
      </c>
      <c r="C19221" s="1">
        <f>HYPERLINK("https://cao.dolgi.msk.ru/account/1010220976/", 1010220976)</f>
        <v>1010220976</v>
      </c>
      <c r="D19221">
        <v>31548.87</v>
      </c>
    </row>
    <row r="19222" spans="1:4" hidden="1" x14ac:dyDescent="0.3">
      <c r="A19222" t="s">
        <v>1073</v>
      </c>
      <c r="B19222" t="s">
        <v>51</v>
      </c>
      <c r="C19222" s="1">
        <f>HYPERLINK("https://cao.dolgi.msk.ru/account/1010220984/", 1010220984)</f>
        <v>1010220984</v>
      </c>
      <c r="D19222">
        <v>-167.31</v>
      </c>
    </row>
    <row r="19223" spans="1:4" hidden="1" x14ac:dyDescent="0.3">
      <c r="A19223" t="s">
        <v>1073</v>
      </c>
      <c r="B19223" t="s">
        <v>52</v>
      </c>
      <c r="C19223" s="1">
        <f>HYPERLINK("https://cao.dolgi.msk.ru/account/1010220992/", 1010220992)</f>
        <v>1010220992</v>
      </c>
      <c r="D19223">
        <v>0</v>
      </c>
    </row>
    <row r="19224" spans="1:4" x14ac:dyDescent="0.3">
      <c r="A19224" t="s">
        <v>1073</v>
      </c>
      <c r="B19224" t="s">
        <v>53</v>
      </c>
      <c r="C19224" s="1">
        <f>HYPERLINK("https://cao.dolgi.msk.ru/account/1011533974/", 1011533974)</f>
        <v>1011533974</v>
      </c>
      <c r="D19224">
        <v>8699.31</v>
      </c>
    </row>
    <row r="19225" spans="1:4" hidden="1" x14ac:dyDescent="0.3">
      <c r="A19225" t="s">
        <v>1073</v>
      </c>
      <c r="B19225" t="s">
        <v>54</v>
      </c>
      <c r="C19225" s="1">
        <f>HYPERLINK("https://cao.dolgi.msk.ru/account/1010221047/", 1010221047)</f>
        <v>1010221047</v>
      </c>
      <c r="D19225">
        <v>-135.06</v>
      </c>
    </row>
    <row r="19226" spans="1:4" hidden="1" x14ac:dyDescent="0.3">
      <c r="A19226" t="s">
        <v>1073</v>
      </c>
      <c r="B19226" t="s">
        <v>55</v>
      </c>
      <c r="C19226" s="1">
        <f>HYPERLINK("https://cao.dolgi.msk.ru/account/1010221055/", 1010221055)</f>
        <v>1010221055</v>
      </c>
      <c r="D19226">
        <v>0</v>
      </c>
    </row>
    <row r="19227" spans="1:4" hidden="1" x14ac:dyDescent="0.3">
      <c r="A19227" t="s">
        <v>1073</v>
      </c>
      <c r="B19227" t="s">
        <v>56</v>
      </c>
      <c r="C19227" s="1">
        <f>HYPERLINK("https://cao.dolgi.msk.ru/account/1010221063/", 1010221063)</f>
        <v>1010221063</v>
      </c>
      <c r="D19227">
        <v>-9139.48</v>
      </c>
    </row>
    <row r="19228" spans="1:4" hidden="1" x14ac:dyDescent="0.3">
      <c r="A19228" t="s">
        <v>1073</v>
      </c>
      <c r="B19228" t="s">
        <v>87</v>
      </c>
      <c r="C19228" s="1">
        <f>HYPERLINK("https://cao.dolgi.msk.ru/account/1010221071/", 1010221071)</f>
        <v>1010221071</v>
      </c>
      <c r="D19228">
        <v>-6752.02</v>
      </c>
    </row>
    <row r="19229" spans="1:4" hidden="1" x14ac:dyDescent="0.3">
      <c r="A19229" t="s">
        <v>1073</v>
      </c>
      <c r="B19229" t="s">
        <v>88</v>
      </c>
      <c r="C19229" s="1">
        <f>HYPERLINK("https://cao.dolgi.msk.ru/account/1010221098/", 1010221098)</f>
        <v>1010221098</v>
      </c>
      <c r="D19229">
        <v>-7403.57</v>
      </c>
    </row>
    <row r="19230" spans="1:4" hidden="1" x14ac:dyDescent="0.3">
      <c r="A19230" t="s">
        <v>1073</v>
      </c>
      <c r="B19230" t="s">
        <v>89</v>
      </c>
      <c r="C19230" s="1">
        <f>HYPERLINK("https://cao.dolgi.msk.ru/account/1010221119/", 1010221119)</f>
        <v>1010221119</v>
      </c>
      <c r="D19230">
        <v>0</v>
      </c>
    </row>
    <row r="19231" spans="1:4" hidden="1" x14ac:dyDescent="0.3">
      <c r="A19231" t="s">
        <v>1073</v>
      </c>
      <c r="B19231" t="s">
        <v>90</v>
      </c>
      <c r="C19231" s="1">
        <f>HYPERLINK("https://cao.dolgi.msk.ru/account/1010221127/", 1010221127)</f>
        <v>1010221127</v>
      </c>
      <c r="D19231">
        <v>0</v>
      </c>
    </row>
    <row r="19232" spans="1:4" hidden="1" x14ac:dyDescent="0.3">
      <c r="A19232" t="s">
        <v>1073</v>
      </c>
      <c r="B19232" t="s">
        <v>96</v>
      </c>
      <c r="C19232" s="1">
        <f>HYPERLINK("https://cao.dolgi.msk.ru/account/1010221135/", 1010221135)</f>
        <v>1010221135</v>
      </c>
      <c r="D19232">
        <v>-368.28</v>
      </c>
    </row>
    <row r="19233" spans="1:4" hidden="1" x14ac:dyDescent="0.3">
      <c r="A19233" t="s">
        <v>1073</v>
      </c>
      <c r="B19233" t="s">
        <v>97</v>
      </c>
      <c r="C19233" s="1">
        <f>HYPERLINK("https://cao.dolgi.msk.ru/account/1010221143/", 1010221143)</f>
        <v>1010221143</v>
      </c>
      <c r="D19233">
        <v>-11633.48</v>
      </c>
    </row>
    <row r="19234" spans="1:4" x14ac:dyDescent="0.3">
      <c r="A19234" t="s">
        <v>1074</v>
      </c>
      <c r="B19234" t="s">
        <v>6</v>
      </c>
      <c r="C19234" s="1">
        <f>HYPERLINK("https://cao.dolgi.msk.ru/account/1011128071/", 1011128071)</f>
        <v>1011128071</v>
      </c>
      <c r="D19234">
        <v>66712.960000000006</v>
      </c>
    </row>
    <row r="19235" spans="1:4" hidden="1" x14ac:dyDescent="0.3">
      <c r="A19235" t="s">
        <v>1074</v>
      </c>
      <c r="B19235" t="s">
        <v>6</v>
      </c>
      <c r="C19235" s="1">
        <f>HYPERLINK("https://cao.dolgi.msk.ru/account/1011128493/", 1011128493)</f>
        <v>1011128493</v>
      </c>
      <c r="D19235">
        <v>0</v>
      </c>
    </row>
    <row r="19236" spans="1:4" hidden="1" x14ac:dyDescent="0.3">
      <c r="A19236" t="s">
        <v>1074</v>
      </c>
      <c r="B19236" t="s">
        <v>28</v>
      </c>
      <c r="C19236" s="1">
        <f>HYPERLINK("https://cao.dolgi.msk.ru/account/1011128506/", 1011128506)</f>
        <v>1011128506</v>
      </c>
      <c r="D19236">
        <v>0</v>
      </c>
    </row>
    <row r="19237" spans="1:4" hidden="1" x14ac:dyDescent="0.3">
      <c r="A19237" t="s">
        <v>1074</v>
      </c>
      <c r="B19237" t="s">
        <v>35</v>
      </c>
      <c r="C19237" s="1">
        <f>HYPERLINK("https://cao.dolgi.msk.ru/account/1011128178/", 1011128178)</f>
        <v>1011128178</v>
      </c>
      <c r="D19237">
        <v>0</v>
      </c>
    </row>
    <row r="19238" spans="1:4" hidden="1" x14ac:dyDescent="0.3">
      <c r="A19238" t="s">
        <v>1074</v>
      </c>
      <c r="B19238" t="s">
        <v>5</v>
      </c>
      <c r="C19238" s="1">
        <f>HYPERLINK("https://cao.dolgi.msk.ru/account/1011128514/", 1011128514)</f>
        <v>1011128514</v>
      </c>
      <c r="D19238">
        <v>0</v>
      </c>
    </row>
    <row r="19239" spans="1:4" hidden="1" x14ac:dyDescent="0.3">
      <c r="A19239" t="s">
        <v>1074</v>
      </c>
      <c r="B19239" t="s">
        <v>7</v>
      </c>
      <c r="C19239" s="1">
        <f>HYPERLINK("https://cao.dolgi.msk.ru/account/1011128231/", 1011128231)</f>
        <v>1011128231</v>
      </c>
      <c r="D19239">
        <v>-3037.18</v>
      </c>
    </row>
    <row r="19240" spans="1:4" hidden="1" x14ac:dyDescent="0.3">
      <c r="A19240" t="s">
        <v>1074</v>
      </c>
      <c r="B19240" t="s">
        <v>7</v>
      </c>
      <c r="C19240" s="1">
        <f>HYPERLINK("https://cao.dolgi.msk.ru/account/1011128565/", 1011128565)</f>
        <v>1011128565</v>
      </c>
      <c r="D19240">
        <v>-8228.9699999999993</v>
      </c>
    </row>
    <row r="19241" spans="1:4" hidden="1" x14ac:dyDescent="0.3">
      <c r="A19241" t="s">
        <v>1074</v>
      </c>
      <c r="B19241" t="s">
        <v>8</v>
      </c>
      <c r="C19241" s="1">
        <f>HYPERLINK("https://cao.dolgi.msk.ru/account/1011128258/", 1011128258)</f>
        <v>1011128258</v>
      </c>
      <c r="D19241">
        <v>-8716.2199999999993</v>
      </c>
    </row>
    <row r="19242" spans="1:4" hidden="1" x14ac:dyDescent="0.3">
      <c r="A19242" t="s">
        <v>1074</v>
      </c>
      <c r="B19242" t="s">
        <v>31</v>
      </c>
      <c r="C19242" s="1">
        <f>HYPERLINK("https://cao.dolgi.msk.ru/account/1011128098/", 1011128098)</f>
        <v>1011128098</v>
      </c>
      <c r="D19242">
        <v>0</v>
      </c>
    </row>
    <row r="19243" spans="1:4" hidden="1" x14ac:dyDescent="0.3">
      <c r="A19243" t="s">
        <v>1074</v>
      </c>
      <c r="B19243" t="s">
        <v>31</v>
      </c>
      <c r="C19243" s="1">
        <f>HYPERLINK("https://cao.dolgi.msk.ru/account/1011128194/", 1011128194)</f>
        <v>1011128194</v>
      </c>
      <c r="D19243">
        <v>0</v>
      </c>
    </row>
    <row r="19244" spans="1:4" hidden="1" x14ac:dyDescent="0.3">
      <c r="A19244" t="s">
        <v>1074</v>
      </c>
      <c r="B19244" t="s">
        <v>31</v>
      </c>
      <c r="C19244" s="1">
        <f>HYPERLINK("https://cao.dolgi.msk.ru/account/1011128346/", 1011128346)</f>
        <v>1011128346</v>
      </c>
      <c r="D19244">
        <v>0</v>
      </c>
    </row>
    <row r="19245" spans="1:4" x14ac:dyDescent="0.3">
      <c r="A19245" t="s">
        <v>1074</v>
      </c>
      <c r="B19245" t="s">
        <v>9</v>
      </c>
      <c r="C19245" s="1">
        <f>HYPERLINK("https://cao.dolgi.msk.ru/account/1011128573/", 1011128573)</f>
        <v>1011128573</v>
      </c>
      <c r="D19245">
        <v>29892.12</v>
      </c>
    </row>
    <row r="19246" spans="1:4" hidden="1" x14ac:dyDescent="0.3">
      <c r="A19246" t="s">
        <v>1074</v>
      </c>
      <c r="B19246" t="s">
        <v>10</v>
      </c>
      <c r="C19246" s="1">
        <f>HYPERLINK("https://cao.dolgi.msk.ru/account/1011128119/", 1011128119)</f>
        <v>1011128119</v>
      </c>
      <c r="D19246">
        <v>-5691.12</v>
      </c>
    </row>
    <row r="19247" spans="1:4" x14ac:dyDescent="0.3">
      <c r="A19247" t="s">
        <v>1074</v>
      </c>
      <c r="B19247" t="s">
        <v>10</v>
      </c>
      <c r="C19247" s="1">
        <f>HYPERLINK("https://cao.dolgi.msk.ru/account/1011128389/", 1011128389)</f>
        <v>1011128389</v>
      </c>
      <c r="D19247">
        <v>2466.1</v>
      </c>
    </row>
    <row r="19248" spans="1:4" hidden="1" x14ac:dyDescent="0.3">
      <c r="A19248" t="s">
        <v>1074</v>
      </c>
      <c r="B19248" t="s">
        <v>10</v>
      </c>
      <c r="C19248" s="1">
        <f>HYPERLINK("https://cao.dolgi.msk.ru/account/1011128637/", 1011128637)</f>
        <v>1011128637</v>
      </c>
      <c r="D19248">
        <v>-3804.78</v>
      </c>
    </row>
    <row r="19249" spans="1:4" x14ac:dyDescent="0.3">
      <c r="A19249" t="s">
        <v>1074</v>
      </c>
      <c r="B19249" t="s">
        <v>11</v>
      </c>
      <c r="C19249" s="1">
        <f>HYPERLINK("https://cao.dolgi.msk.ru/account/1011128266/", 1011128266)</f>
        <v>1011128266</v>
      </c>
      <c r="D19249">
        <v>6747.35</v>
      </c>
    </row>
    <row r="19250" spans="1:4" hidden="1" x14ac:dyDescent="0.3">
      <c r="A19250" t="s">
        <v>1074</v>
      </c>
      <c r="B19250" t="s">
        <v>12</v>
      </c>
      <c r="C19250" s="1">
        <f>HYPERLINK("https://cao.dolgi.msk.ru/account/1011128274/", 1011128274)</f>
        <v>1011128274</v>
      </c>
      <c r="D19250">
        <v>0</v>
      </c>
    </row>
    <row r="19251" spans="1:4" hidden="1" x14ac:dyDescent="0.3">
      <c r="A19251" t="s">
        <v>1074</v>
      </c>
      <c r="B19251" t="s">
        <v>23</v>
      </c>
      <c r="C19251" s="1">
        <f>HYPERLINK("https://cao.dolgi.msk.ru/account/1011128207/", 1011128207)</f>
        <v>1011128207</v>
      </c>
      <c r="D19251">
        <v>-1197.1400000000001</v>
      </c>
    </row>
    <row r="19252" spans="1:4" hidden="1" x14ac:dyDescent="0.3">
      <c r="A19252" t="s">
        <v>1074</v>
      </c>
      <c r="B19252" t="s">
        <v>13</v>
      </c>
      <c r="C19252" s="1">
        <f>HYPERLINK("https://cao.dolgi.msk.ru/account/1011128127/", 1011128127)</f>
        <v>1011128127</v>
      </c>
      <c r="D19252">
        <v>0</v>
      </c>
    </row>
    <row r="19253" spans="1:4" hidden="1" x14ac:dyDescent="0.3">
      <c r="A19253" t="s">
        <v>1074</v>
      </c>
      <c r="B19253" t="s">
        <v>13</v>
      </c>
      <c r="C19253" s="1">
        <f>HYPERLINK("https://cao.dolgi.msk.ru/account/1011128135/", 1011128135)</f>
        <v>1011128135</v>
      </c>
      <c r="D19253">
        <v>0</v>
      </c>
    </row>
    <row r="19254" spans="1:4" hidden="1" x14ac:dyDescent="0.3">
      <c r="A19254" t="s">
        <v>1074</v>
      </c>
      <c r="B19254" t="s">
        <v>13</v>
      </c>
      <c r="C19254" s="1">
        <f>HYPERLINK("https://cao.dolgi.msk.ru/account/1011128354/", 1011128354)</f>
        <v>1011128354</v>
      </c>
      <c r="D19254">
        <v>0</v>
      </c>
    </row>
    <row r="19255" spans="1:4" hidden="1" x14ac:dyDescent="0.3">
      <c r="A19255" t="s">
        <v>1074</v>
      </c>
      <c r="B19255" t="s">
        <v>13</v>
      </c>
      <c r="C19255" s="1">
        <f>HYPERLINK("https://cao.dolgi.msk.ru/account/1011128549/", 1011128549)</f>
        <v>1011128549</v>
      </c>
      <c r="D19255">
        <v>0</v>
      </c>
    </row>
    <row r="19256" spans="1:4" x14ac:dyDescent="0.3">
      <c r="A19256" t="s">
        <v>1074</v>
      </c>
      <c r="B19256" t="s">
        <v>14</v>
      </c>
      <c r="C19256" s="1">
        <f>HYPERLINK("https://cao.dolgi.msk.ru/account/1011128397/", 1011128397)</f>
        <v>1011128397</v>
      </c>
      <c r="D19256">
        <v>11744.09</v>
      </c>
    </row>
    <row r="19257" spans="1:4" x14ac:dyDescent="0.3">
      <c r="A19257" t="s">
        <v>1074</v>
      </c>
      <c r="B19257" t="s">
        <v>16</v>
      </c>
      <c r="C19257" s="1">
        <f>HYPERLINK("https://cao.dolgi.msk.ru/account/1011128557/", 1011128557)</f>
        <v>1011128557</v>
      </c>
      <c r="D19257">
        <v>21626.92</v>
      </c>
    </row>
    <row r="19258" spans="1:4" hidden="1" x14ac:dyDescent="0.3">
      <c r="A19258" t="s">
        <v>1074</v>
      </c>
      <c r="B19258" t="s">
        <v>17</v>
      </c>
      <c r="C19258" s="1">
        <f>HYPERLINK("https://cao.dolgi.msk.ru/account/1011128143/", 1011128143)</f>
        <v>1011128143</v>
      </c>
      <c r="D19258">
        <v>0</v>
      </c>
    </row>
    <row r="19259" spans="1:4" hidden="1" x14ac:dyDescent="0.3">
      <c r="A19259" t="s">
        <v>1074</v>
      </c>
      <c r="B19259" t="s">
        <v>18</v>
      </c>
      <c r="C19259" s="1">
        <f>HYPERLINK("https://cao.dolgi.msk.ru/account/1011128282/", 1011128282)</f>
        <v>1011128282</v>
      </c>
      <c r="D19259">
        <v>-10359.35</v>
      </c>
    </row>
    <row r="19260" spans="1:4" hidden="1" x14ac:dyDescent="0.3">
      <c r="A19260" t="s">
        <v>1074</v>
      </c>
      <c r="B19260" t="s">
        <v>19</v>
      </c>
      <c r="C19260" s="1">
        <f>HYPERLINK("https://cao.dolgi.msk.ru/account/1011128215/", 1011128215)</f>
        <v>1011128215</v>
      </c>
      <c r="D19260">
        <v>0</v>
      </c>
    </row>
    <row r="19261" spans="1:4" hidden="1" x14ac:dyDescent="0.3">
      <c r="A19261" t="s">
        <v>1074</v>
      </c>
      <c r="B19261" t="s">
        <v>19</v>
      </c>
      <c r="C19261" s="1">
        <f>HYPERLINK("https://cao.dolgi.msk.ru/account/1011128581/", 1011128581)</f>
        <v>1011128581</v>
      </c>
      <c r="D19261">
        <v>0</v>
      </c>
    </row>
    <row r="19262" spans="1:4" hidden="1" x14ac:dyDescent="0.3">
      <c r="A19262" t="s">
        <v>1074</v>
      </c>
      <c r="B19262" t="s">
        <v>20</v>
      </c>
      <c r="C19262" s="1">
        <f>HYPERLINK("https://cao.dolgi.msk.ru/account/1011128418/", 1011128418)</f>
        <v>1011128418</v>
      </c>
      <c r="D19262">
        <v>0</v>
      </c>
    </row>
    <row r="19263" spans="1:4" hidden="1" x14ac:dyDescent="0.3">
      <c r="A19263" t="s">
        <v>1074</v>
      </c>
      <c r="B19263" t="s">
        <v>21</v>
      </c>
      <c r="C19263" s="1">
        <f>HYPERLINK("https://cao.dolgi.msk.ru/account/1011128303/", 1011128303)</f>
        <v>1011128303</v>
      </c>
      <c r="D19263">
        <v>-4044.27</v>
      </c>
    </row>
    <row r="19264" spans="1:4" hidden="1" x14ac:dyDescent="0.3">
      <c r="A19264" t="s">
        <v>1074</v>
      </c>
      <c r="B19264" t="s">
        <v>21</v>
      </c>
      <c r="C19264" s="1">
        <f>HYPERLINK("https://cao.dolgi.msk.ru/account/1011128311/", 1011128311)</f>
        <v>1011128311</v>
      </c>
      <c r="D19264">
        <v>-11234.68</v>
      </c>
    </row>
    <row r="19265" spans="1:4" hidden="1" x14ac:dyDescent="0.3">
      <c r="A19265" t="s">
        <v>1074</v>
      </c>
      <c r="B19265" t="s">
        <v>21</v>
      </c>
      <c r="C19265" s="1">
        <f>HYPERLINK("https://cao.dolgi.msk.ru/account/1011128426/", 1011128426)</f>
        <v>1011128426</v>
      </c>
      <c r="D19265">
        <v>0</v>
      </c>
    </row>
    <row r="19266" spans="1:4" hidden="1" x14ac:dyDescent="0.3">
      <c r="A19266" t="s">
        <v>1074</v>
      </c>
      <c r="B19266" t="s">
        <v>22</v>
      </c>
      <c r="C19266" s="1">
        <f>HYPERLINK("https://cao.dolgi.msk.ru/account/1011128186/", 1011128186)</f>
        <v>1011128186</v>
      </c>
      <c r="D19266">
        <v>0</v>
      </c>
    </row>
    <row r="19267" spans="1:4" x14ac:dyDescent="0.3">
      <c r="A19267" t="s">
        <v>1074</v>
      </c>
      <c r="B19267" t="s">
        <v>22</v>
      </c>
      <c r="C19267" s="1">
        <f>HYPERLINK("https://cao.dolgi.msk.ru/account/1011128362/", 1011128362)</f>
        <v>1011128362</v>
      </c>
      <c r="D19267">
        <v>5092.12</v>
      </c>
    </row>
    <row r="19268" spans="1:4" hidden="1" x14ac:dyDescent="0.3">
      <c r="A19268" t="s">
        <v>1074</v>
      </c>
      <c r="B19268" t="s">
        <v>22</v>
      </c>
      <c r="C19268" s="1">
        <f>HYPERLINK("https://cao.dolgi.msk.ru/account/1011128485/", 1011128485)</f>
        <v>1011128485</v>
      </c>
      <c r="D19268">
        <v>0</v>
      </c>
    </row>
    <row r="19269" spans="1:4" hidden="1" x14ac:dyDescent="0.3">
      <c r="A19269" t="s">
        <v>1074</v>
      </c>
      <c r="B19269" t="s">
        <v>24</v>
      </c>
      <c r="C19269" s="1">
        <f>HYPERLINK("https://cao.dolgi.msk.ru/account/1011128434/", 1011128434)</f>
        <v>1011128434</v>
      </c>
      <c r="D19269">
        <v>0</v>
      </c>
    </row>
    <row r="19270" spans="1:4" x14ac:dyDescent="0.3">
      <c r="A19270" t="s">
        <v>1074</v>
      </c>
      <c r="B19270" t="s">
        <v>25</v>
      </c>
      <c r="C19270" s="1">
        <f>HYPERLINK("https://cao.dolgi.msk.ru/account/1011128522/", 1011128522)</f>
        <v>1011128522</v>
      </c>
      <c r="D19270">
        <v>8812.9500000000007</v>
      </c>
    </row>
    <row r="19271" spans="1:4" x14ac:dyDescent="0.3">
      <c r="A19271" t="s">
        <v>1074</v>
      </c>
      <c r="B19271" t="s">
        <v>25</v>
      </c>
      <c r="C19271" s="1">
        <f>HYPERLINK("https://cao.dolgi.msk.ru/account/1011128645/", 1011128645)</f>
        <v>1011128645</v>
      </c>
      <c r="D19271">
        <v>4211.18</v>
      </c>
    </row>
    <row r="19272" spans="1:4" hidden="1" x14ac:dyDescent="0.3">
      <c r="A19272" t="s">
        <v>1074</v>
      </c>
      <c r="B19272" t="s">
        <v>26</v>
      </c>
      <c r="C19272" s="1">
        <f>HYPERLINK("https://cao.dolgi.msk.ru/account/1011128151/", 1011128151)</f>
        <v>1011128151</v>
      </c>
      <c r="D19272">
        <v>0</v>
      </c>
    </row>
    <row r="19273" spans="1:4" hidden="1" x14ac:dyDescent="0.3">
      <c r="A19273" t="s">
        <v>1074</v>
      </c>
      <c r="B19273" t="s">
        <v>27</v>
      </c>
      <c r="C19273" s="1">
        <f>HYPERLINK("https://cao.dolgi.msk.ru/account/1011128442/", 1011128442)</f>
        <v>1011128442</v>
      </c>
      <c r="D19273">
        <v>-4572.29</v>
      </c>
    </row>
    <row r="19274" spans="1:4" hidden="1" x14ac:dyDescent="0.3">
      <c r="A19274" t="s">
        <v>1074</v>
      </c>
      <c r="B19274" t="s">
        <v>29</v>
      </c>
      <c r="C19274" s="1">
        <f>HYPERLINK("https://cao.dolgi.msk.ru/account/1011128469/", 1011128469)</f>
        <v>1011128469</v>
      </c>
      <c r="D19274">
        <v>0</v>
      </c>
    </row>
    <row r="19275" spans="1:4" hidden="1" x14ac:dyDescent="0.3">
      <c r="A19275" t="s">
        <v>1074</v>
      </c>
      <c r="B19275" t="s">
        <v>38</v>
      </c>
      <c r="C19275" s="1">
        <f>HYPERLINK("https://cao.dolgi.msk.ru/account/1011128602/", 1011128602)</f>
        <v>1011128602</v>
      </c>
      <c r="D19275">
        <v>0</v>
      </c>
    </row>
    <row r="19276" spans="1:4" hidden="1" x14ac:dyDescent="0.3">
      <c r="A19276" t="s">
        <v>1074</v>
      </c>
      <c r="B19276" t="s">
        <v>39</v>
      </c>
      <c r="C19276" s="1">
        <f>HYPERLINK("https://cao.dolgi.msk.ru/account/1011128477/", 1011128477)</f>
        <v>1011128477</v>
      </c>
      <c r="D19276">
        <v>0</v>
      </c>
    </row>
    <row r="19277" spans="1:4" hidden="1" x14ac:dyDescent="0.3">
      <c r="A19277" t="s">
        <v>1074</v>
      </c>
      <c r="B19277" t="s">
        <v>40</v>
      </c>
      <c r="C19277" s="1">
        <f>HYPERLINK("https://cao.dolgi.msk.ru/account/1011128223/", 1011128223)</f>
        <v>1011128223</v>
      </c>
      <c r="D19277">
        <v>0</v>
      </c>
    </row>
    <row r="19278" spans="1:4" hidden="1" x14ac:dyDescent="0.3">
      <c r="A19278" t="s">
        <v>1074</v>
      </c>
      <c r="B19278" t="s">
        <v>41</v>
      </c>
      <c r="C19278" s="1">
        <f>HYPERLINK("https://cao.dolgi.msk.ru/account/1011128629/", 1011128629)</f>
        <v>1011128629</v>
      </c>
      <c r="D19278">
        <v>0</v>
      </c>
    </row>
    <row r="19279" spans="1:4" x14ac:dyDescent="0.3">
      <c r="A19279" t="s">
        <v>1075</v>
      </c>
      <c r="B19279" t="s">
        <v>51</v>
      </c>
      <c r="C19279" s="1">
        <f>HYPERLINK("https://cao.dolgi.msk.ru/account/1010246949/", 1010246949)</f>
        <v>1010246949</v>
      </c>
      <c r="D19279">
        <v>7336.65</v>
      </c>
    </row>
    <row r="19280" spans="1:4" hidden="1" x14ac:dyDescent="0.3">
      <c r="A19280" t="s">
        <v>1075</v>
      </c>
      <c r="B19280" t="s">
        <v>52</v>
      </c>
      <c r="C19280" s="1">
        <f>HYPERLINK("https://cao.dolgi.msk.ru/account/1010246957/", 1010246957)</f>
        <v>1010246957</v>
      </c>
      <c r="D19280">
        <v>-32724.36</v>
      </c>
    </row>
    <row r="19281" spans="1:4" x14ac:dyDescent="0.3">
      <c r="A19281" t="s">
        <v>1075</v>
      </c>
      <c r="B19281" t="s">
        <v>53</v>
      </c>
      <c r="C19281" s="1">
        <f>HYPERLINK("https://cao.dolgi.msk.ru/account/1010246965/", 1010246965)</f>
        <v>1010246965</v>
      </c>
      <c r="D19281">
        <v>15103.95</v>
      </c>
    </row>
    <row r="19282" spans="1:4" hidden="1" x14ac:dyDescent="0.3">
      <c r="A19282" t="s">
        <v>1075</v>
      </c>
      <c r="B19282" t="s">
        <v>54</v>
      </c>
      <c r="C19282" s="1">
        <f>HYPERLINK("https://cao.dolgi.msk.ru/account/1010246973/", 1010246973)</f>
        <v>1010246973</v>
      </c>
      <c r="D19282">
        <v>-7319.67</v>
      </c>
    </row>
    <row r="19283" spans="1:4" hidden="1" x14ac:dyDescent="0.3">
      <c r="A19283" t="s">
        <v>1075</v>
      </c>
      <c r="B19283" t="s">
        <v>55</v>
      </c>
      <c r="C19283" s="1">
        <f>HYPERLINK("https://cao.dolgi.msk.ru/account/1010246981/", 1010246981)</f>
        <v>1010246981</v>
      </c>
      <c r="D19283">
        <v>-459.53</v>
      </c>
    </row>
    <row r="19284" spans="1:4" hidden="1" x14ac:dyDescent="0.3">
      <c r="A19284" t="s">
        <v>1075</v>
      </c>
      <c r="B19284" t="s">
        <v>56</v>
      </c>
      <c r="C19284" s="1">
        <f>HYPERLINK("https://cao.dolgi.msk.ru/account/1011534336/", 1011534336)</f>
        <v>1011534336</v>
      </c>
      <c r="D19284">
        <v>0</v>
      </c>
    </row>
    <row r="19285" spans="1:4" hidden="1" x14ac:dyDescent="0.3">
      <c r="A19285" t="s">
        <v>1075</v>
      </c>
      <c r="B19285" t="s">
        <v>87</v>
      </c>
      <c r="C19285" s="1">
        <f>HYPERLINK("https://cao.dolgi.msk.ru/account/1010247028/", 1010247028)</f>
        <v>1010247028</v>
      </c>
      <c r="D19285">
        <v>0</v>
      </c>
    </row>
    <row r="19286" spans="1:4" hidden="1" x14ac:dyDescent="0.3">
      <c r="A19286" t="s">
        <v>1075</v>
      </c>
      <c r="B19286" t="s">
        <v>88</v>
      </c>
      <c r="C19286" s="1">
        <f>HYPERLINK("https://cao.dolgi.msk.ru/account/1010247036/", 1010247036)</f>
        <v>1010247036</v>
      </c>
      <c r="D19286">
        <v>0</v>
      </c>
    </row>
    <row r="19287" spans="1:4" hidden="1" x14ac:dyDescent="0.3">
      <c r="A19287" t="s">
        <v>1075</v>
      </c>
      <c r="B19287" t="s">
        <v>89</v>
      </c>
      <c r="C19287" s="1">
        <f>HYPERLINK("https://cao.dolgi.msk.ru/account/1010247044/", 1010247044)</f>
        <v>1010247044</v>
      </c>
      <c r="D19287">
        <v>0</v>
      </c>
    </row>
    <row r="19288" spans="1:4" hidden="1" x14ac:dyDescent="0.3">
      <c r="A19288" t="s">
        <v>1075</v>
      </c>
      <c r="B19288" t="s">
        <v>90</v>
      </c>
      <c r="C19288" s="1">
        <f>HYPERLINK("https://cao.dolgi.msk.ru/account/1010247052/", 1010247052)</f>
        <v>1010247052</v>
      </c>
      <c r="D19288">
        <v>-5694.61</v>
      </c>
    </row>
    <row r="19289" spans="1:4" hidden="1" x14ac:dyDescent="0.3">
      <c r="A19289" t="s">
        <v>1075</v>
      </c>
      <c r="B19289" t="s">
        <v>90</v>
      </c>
      <c r="C19289" s="1">
        <f>HYPERLINK("https://cao.dolgi.msk.ru/account/1011021215/", 1011021215)</f>
        <v>1011021215</v>
      </c>
      <c r="D19289">
        <v>-317.26</v>
      </c>
    </row>
    <row r="19290" spans="1:4" hidden="1" x14ac:dyDescent="0.3">
      <c r="A19290" t="s">
        <v>1075</v>
      </c>
      <c r="B19290" t="s">
        <v>96</v>
      </c>
      <c r="C19290" s="1">
        <f>HYPERLINK("https://cao.dolgi.msk.ru/account/1010273103/", 1010273103)</f>
        <v>1010273103</v>
      </c>
      <c r="D19290">
        <v>-324</v>
      </c>
    </row>
    <row r="19291" spans="1:4" x14ac:dyDescent="0.3">
      <c r="A19291" t="s">
        <v>1075</v>
      </c>
      <c r="B19291" t="s">
        <v>97</v>
      </c>
      <c r="C19291" s="1">
        <f>HYPERLINK("https://cao.dolgi.msk.ru/account/1010247087/", 1010247087)</f>
        <v>1010247087</v>
      </c>
      <c r="D19291">
        <v>33872.339999999997</v>
      </c>
    </row>
    <row r="19292" spans="1:4" hidden="1" x14ac:dyDescent="0.3">
      <c r="A19292" t="s">
        <v>1075</v>
      </c>
      <c r="B19292" t="s">
        <v>98</v>
      </c>
      <c r="C19292" s="1">
        <f>HYPERLINK("https://cao.dolgi.msk.ru/account/1011061671/", 1011061671)</f>
        <v>1011061671</v>
      </c>
      <c r="D19292">
        <v>0</v>
      </c>
    </row>
    <row r="19293" spans="1:4" hidden="1" x14ac:dyDescent="0.3">
      <c r="A19293" t="s">
        <v>1075</v>
      </c>
      <c r="B19293" t="s">
        <v>58</v>
      </c>
      <c r="C19293" s="1">
        <f>HYPERLINK("https://cao.dolgi.msk.ru/account/1010247108/", 1010247108)</f>
        <v>1010247108</v>
      </c>
      <c r="D19293">
        <v>0</v>
      </c>
    </row>
    <row r="19294" spans="1:4" hidden="1" x14ac:dyDescent="0.3">
      <c r="A19294" t="s">
        <v>1075</v>
      </c>
      <c r="B19294" t="s">
        <v>59</v>
      </c>
      <c r="C19294" s="1">
        <f>HYPERLINK("https://cao.dolgi.msk.ru/account/1010246519/", 1010246519)</f>
        <v>1010246519</v>
      </c>
      <c r="D19294">
        <v>-409.45</v>
      </c>
    </row>
    <row r="19295" spans="1:4" hidden="1" x14ac:dyDescent="0.3">
      <c r="A19295" t="s">
        <v>1075</v>
      </c>
      <c r="B19295" t="s">
        <v>60</v>
      </c>
      <c r="C19295" s="1">
        <f>HYPERLINK("https://cao.dolgi.msk.ru/account/1010247124/", 1010247124)</f>
        <v>1010247124</v>
      </c>
      <c r="D19295">
        <v>-83.52</v>
      </c>
    </row>
    <row r="19296" spans="1:4" x14ac:dyDescent="0.3">
      <c r="A19296" t="s">
        <v>1075</v>
      </c>
      <c r="B19296" t="s">
        <v>61</v>
      </c>
      <c r="C19296" s="1">
        <f>HYPERLINK("https://cao.dolgi.msk.ru/account/1010247175/", 1010247175)</f>
        <v>1010247175</v>
      </c>
      <c r="D19296">
        <v>21009.83</v>
      </c>
    </row>
    <row r="19297" spans="1:4" hidden="1" x14ac:dyDescent="0.3">
      <c r="A19297" t="s">
        <v>1075</v>
      </c>
      <c r="B19297" t="s">
        <v>62</v>
      </c>
      <c r="C19297" s="1">
        <f>HYPERLINK("https://cao.dolgi.msk.ru/account/1010247183/", 1010247183)</f>
        <v>1010247183</v>
      </c>
      <c r="D19297">
        <v>0</v>
      </c>
    </row>
    <row r="19298" spans="1:4" x14ac:dyDescent="0.3">
      <c r="A19298" t="s">
        <v>1075</v>
      </c>
      <c r="B19298" t="s">
        <v>63</v>
      </c>
      <c r="C19298" s="1">
        <f>HYPERLINK("https://cao.dolgi.msk.ru/account/1010247191/", 1010247191)</f>
        <v>1010247191</v>
      </c>
      <c r="D19298">
        <v>7537.67</v>
      </c>
    </row>
    <row r="19299" spans="1:4" x14ac:dyDescent="0.3">
      <c r="A19299" t="s">
        <v>1075</v>
      </c>
      <c r="B19299" t="s">
        <v>64</v>
      </c>
      <c r="C19299" s="1">
        <f>HYPERLINK("https://cao.dolgi.msk.ru/account/1010247204/", 1010247204)</f>
        <v>1010247204</v>
      </c>
      <c r="D19299">
        <v>34805.64</v>
      </c>
    </row>
    <row r="19300" spans="1:4" hidden="1" x14ac:dyDescent="0.3">
      <c r="A19300" t="s">
        <v>1075</v>
      </c>
      <c r="B19300" t="s">
        <v>65</v>
      </c>
      <c r="C19300" s="1">
        <f>HYPERLINK("https://cao.dolgi.msk.ru/account/1010247386/", 1010247386)</f>
        <v>1010247386</v>
      </c>
      <c r="D19300">
        <v>-906.75</v>
      </c>
    </row>
    <row r="19301" spans="1:4" hidden="1" x14ac:dyDescent="0.3">
      <c r="A19301" t="s">
        <v>1075</v>
      </c>
      <c r="B19301" t="s">
        <v>66</v>
      </c>
      <c r="C19301" s="1">
        <f>HYPERLINK("https://cao.dolgi.msk.ru/account/1010247239/", 1010247239)</f>
        <v>1010247239</v>
      </c>
      <c r="D19301">
        <v>-626.29</v>
      </c>
    </row>
    <row r="19302" spans="1:4" hidden="1" x14ac:dyDescent="0.3">
      <c r="A19302" t="s">
        <v>1075</v>
      </c>
      <c r="B19302" t="s">
        <v>67</v>
      </c>
      <c r="C19302" s="1">
        <f>HYPERLINK("https://cao.dolgi.msk.ru/account/1010247255/", 1010247255)</f>
        <v>1010247255</v>
      </c>
      <c r="D19302">
        <v>-10298.709999999999</v>
      </c>
    </row>
    <row r="19303" spans="1:4" hidden="1" x14ac:dyDescent="0.3">
      <c r="A19303" t="s">
        <v>1075</v>
      </c>
      <c r="B19303" t="s">
        <v>68</v>
      </c>
      <c r="C19303" s="1">
        <f>HYPERLINK("https://cao.dolgi.msk.ru/account/1010247263/", 1010247263)</f>
        <v>1010247263</v>
      </c>
      <c r="D19303">
        <v>-48.38</v>
      </c>
    </row>
    <row r="19304" spans="1:4" hidden="1" x14ac:dyDescent="0.3">
      <c r="A19304" t="s">
        <v>1075</v>
      </c>
      <c r="B19304" t="s">
        <v>69</v>
      </c>
      <c r="C19304" s="1">
        <f>HYPERLINK("https://cao.dolgi.msk.ru/account/1010247271/", 1010247271)</f>
        <v>1010247271</v>
      </c>
      <c r="D19304">
        <v>0</v>
      </c>
    </row>
    <row r="19305" spans="1:4" hidden="1" x14ac:dyDescent="0.3">
      <c r="A19305" t="s">
        <v>1075</v>
      </c>
      <c r="B19305" t="s">
        <v>70</v>
      </c>
      <c r="C19305" s="1">
        <f>HYPERLINK("https://cao.dolgi.msk.ru/account/1010247298/", 1010247298)</f>
        <v>1010247298</v>
      </c>
      <c r="D19305">
        <v>0</v>
      </c>
    </row>
    <row r="19306" spans="1:4" hidden="1" x14ac:dyDescent="0.3">
      <c r="A19306" t="s">
        <v>1075</v>
      </c>
      <c r="B19306" t="s">
        <v>259</v>
      </c>
      <c r="C19306" s="1">
        <f>HYPERLINK("https://cao.dolgi.msk.ru/account/1010247319/", 1010247319)</f>
        <v>1010247319</v>
      </c>
      <c r="D19306">
        <v>0</v>
      </c>
    </row>
    <row r="19307" spans="1:4" hidden="1" x14ac:dyDescent="0.3">
      <c r="A19307" t="s">
        <v>1075</v>
      </c>
      <c r="B19307" t="s">
        <v>100</v>
      </c>
      <c r="C19307" s="1">
        <f>HYPERLINK("https://cao.dolgi.msk.ru/account/1010247327/", 1010247327)</f>
        <v>1010247327</v>
      </c>
      <c r="D19307">
        <v>0</v>
      </c>
    </row>
    <row r="19308" spans="1:4" hidden="1" x14ac:dyDescent="0.3">
      <c r="A19308" t="s">
        <v>1075</v>
      </c>
      <c r="B19308" t="s">
        <v>72</v>
      </c>
      <c r="C19308" s="1">
        <f>HYPERLINK("https://cao.dolgi.msk.ru/account/1010247335/", 1010247335)</f>
        <v>1010247335</v>
      </c>
      <c r="D19308">
        <v>0</v>
      </c>
    </row>
    <row r="19309" spans="1:4" hidden="1" x14ac:dyDescent="0.3">
      <c r="A19309" t="s">
        <v>1075</v>
      </c>
      <c r="B19309" t="s">
        <v>73</v>
      </c>
      <c r="C19309" s="1">
        <f>HYPERLINK("https://cao.dolgi.msk.ru/account/1010247351/", 1010247351)</f>
        <v>1010247351</v>
      </c>
      <c r="D19309">
        <v>-387.1</v>
      </c>
    </row>
    <row r="19310" spans="1:4" hidden="1" x14ac:dyDescent="0.3">
      <c r="A19310" t="s">
        <v>1075</v>
      </c>
      <c r="B19310" t="s">
        <v>74</v>
      </c>
      <c r="C19310" s="1">
        <f>HYPERLINK("https://cao.dolgi.msk.ru/account/1010247394/", 1010247394)</f>
        <v>1010247394</v>
      </c>
      <c r="D19310">
        <v>-12126.48</v>
      </c>
    </row>
    <row r="19311" spans="1:4" hidden="1" x14ac:dyDescent="0.3">
      <c r="A19311" t="s">
        <v>1075</v>
      </c>
      <c r="B19311" t="s">
        <v>75</v>
      </c>
      <c r="C19311" s="1">
        <f>HYPERLINK("https://cao.dolgi.msk.ru/account/1010247415/", 1010247415)</f>
        <v>1010247415</v>
      </c>
      <c r="D19311">
        <v>0</v>
      </c>
    </row>
    <row r="19312" spans="1:4" x14ac:dyDescent="0.3">
      <c r="A19312" t="s">
        <v>1075</v>
      </c>
      <c r="B19312" t="s">
        <v>76</v>
      </c>
      <c r="C19312" s="1">
        <f>HYPERLINK("https://cao.dolgi.msk.ru/account/1010247423/", 1010247423)</f>
        <v>1010247423</v>
      </c>
      <c r="D19312">
        <v>7630.72</v>
      </c>
    </row>
    <row r="19313" spans="1:4" hidden="1" x14ac:dyDescent="0.3">
      <c r="A19313" t="s">
        <v>1075</v>
      </c>
      <c r="B19313" t="s">
        <v>77</v>
      </c>
      <c r="C19313" s="1">
        <f>HYPERLINK("https://cao.dolgi.msk.ru/account/1010247431/", 1010247431)</f>
        <v>1010247431</v>
      </c>
      <c r="D19313">
        <v>0</v>
      </c>
    </row>
    <row r="19314" spans="1:4" x14ac:dyDescent="0.3">
      <c r="A19314" t="s">
        <v>1075</v>
      </c>
      <c r="B19314" t="s">
        <v>78</v>
      </c>
      <c r="C19314" s="1">
        <f>HYPERLINK("https://cao.dolgi.msk.ru/account/1010247458/", 1010247458)</f>
        <v>1010247458</v>
      </c>
      <c r="D19314">
        <v>11635.28</v>
      </c>
    </row>
    <row r="19315" spans="1:4" hidden="1" x14ac:dyDescent="0.3">
      <c r="A19315" t="s">
        <v>1075</v>
      </c>
      <c r="B19315" t="s">
        <v>78</v>
      </c>
      <c r="C19315" s="1">
        <f>HYPERLINK("https://cao.dolgi.msk.ru/account/1010247474/", 1010247474)</f>
        <v>1010247474</v>
      </c>
      <c r="D19315">
        <v>-2507.92</v>
      </c>
    </row>
    <row r="19316" spans="1:4" hidden="1" x14ac:dyDescent="0.3">
      <c r="A19316" t="s">
        <v>1075</v>
      </c>
      <c r="B19316" t="s">
        <v>79</v>
      </c>
      <c r="C19316" s="1">
        <f>HYPERLINK("https://cao.dolgi.msk.ru/account/1010247482/", 1010247482)</f>
        <v>1010247482</v>
      </c>
      <c r="D19316">
        <v>-7583.65</v>
      </c>
    </row>
    <row r="19317" spans="1:4" hidden="1" x14ac:dyDescent="0.3">
      <c r="A19317" t="s">
        <v>1075</v>
      </c>
      <c r="B19317" t="s">
        <v>80</v>
      </c>
      <c r="C19317" s="1">
        <f>HYPERLINK("https://cao.dolgi.msk.ru/account/1010247511/", 1010247511)</f>
        <v>1010247511</v>
      </c>
      <c r="D19317">
        <v>-4564.51</v>
      </c>
    </row>
    <row r="19318" spans="1:4" x14ac:dyDescent="0.3">
      <c r="A19318" t="s">
        <v>1075</v>
      </c>
      <c r="B19318" t="s">
        <v>1076</v>
      </c>
      <c r="C19318" s="1">
        <f>HYPERLINK("https://cao.dolgi.msk.ru/account/1010247503/", 1010247503)</f>
        <v>1010247503</v>
      </c>
      <c r="D19318">
        <v>1560.85</v>
      </c>
    </row>
    <row r="19319" spans="1:4" hidden="1" x14ac:dyDescent="0.3">
      <c r="A19319" t="s">
        <v>1075</v>
      </c>
      <c r="B19319" t="s">
        <v>81</v>
      </c>
      <c r="C19319" s="1">
        <f>HYPERLINK("https://cao.dolgi.msk.ru/account/1010247538/", 1010247538)</f>
        <v>1010247538</v>
      </c>
      <c r="D19319">
        <v>0</v>
      </c>
    </row>
    <row r="19320" spans="1:4" hidden="1" x14ac:dyDescent="0.3">
      <c r="A19320" t="s">
        <v>1075</v>
      </c>
      <c r="B19320" t="s">
        <v>101</v>
      </c>
      <c r="C19320" s="1">
        <f>HYPERLINK("https://cao.dolgi.msk.ru/account/1010247554/", 1010247554)</f>
        <v>1010247554</v>
      </c>
      <c r="D19320">
        <v>0</v>
      </c>
    </row>
    <row r="19321" spans="1:4" hidden="1" x14ac:dyDescent="0.3">
      <c r="A19321" t="s">
        <v>1075</v>
      </c>
      <c r="B19321" t="s">
        <v>82</v>
      </c>
      <c r="C19321" s="1">
        <f>HYPERLINK("https://cao.dolgi.msk.ru/account/1010247562/", 1010247562)</f>
        <v>1010247562</v>
      </c>
      <c r="D19321">
        <v>-6726.92</v>
      </c>
    </row>
    <row r="19322" spans="1:4" x14ac:dyDescent="0.3">
      <c r="A19322" t="s">
        <v>1075</v>
      </c>
      <c r="B19322" t="s">
        <v>83</v>
      </c>
      <c r="C19322" s="1">
        <f>HYPERLINK("https://cao.dolgi.msk.ru/account/1010247589/", 1010247589)</f>
        <v>1010247589</v>
      </c>
      <c r="D19322">
        <v>2222.88</v>
      </c>
    </row>
    <row r="19323" spans="1:4" x14ac:dyDescent="0.3">
      <c r="A19323" t="s">
        <v>1075</v>
      </c>
      <c r="B19323" t="s">
        <v>84</v>
      </c>
      <c r="C19323" s="1">
        <f>HYPERLINK("https://cao.dolgi.msk.ru/account/1010247597/", 1010247597)</f>
        <v>1010247597</v>
      </c>
      <c r="D19323">
        <v>34259.199999999997</v>
      </c>
    </row>
    <row r="19324" spans="1:4" hidden="1" x14ac:dyDescent="0.3">
      <c r="A19324" t="s">
        <v>1075</v>
      </c>
      <c r="B19324" t="s">
        <v>85</v>
      </c>
      <c r="C19324" s="1">
        <f>HYPERLINK("https://cao.dolgi.msk.ru/account/1010247618/", 1010247618)</f>
        <v>1010247618</v>
      </c>
      <c r="D19324">
        <v>-5613.15</v>
      </c>
    </row>
    <row r="19325" spans="1:4" x14ac:dyDescent="0.3">
      <c r="A19325" t="s">
        <v>1075</v>
      </c>
      <c r="B19325" t="s">
        <v>102</v>
      </c>
      <c r="C19325" s="1">
        <f>HYPERLINK("https://cao.dolgi.msk.ru/account/1010247626/", 1010247626)</f>
        <v>1010247626</v>
      </c>
      <c r="D19325">
        <v>8007.97</v>
      </c>
    </row>
    <row r="19326" spans="1:4" hidden="1" x14ac:dyDescent="0.3">
      <c r="A19326" t="s">
        <v>1075</v>
      </c>
      <c r="B19326" t="s">
        <v>103</v>
      </c>
      <c r="C19326" s="1">
        <f>HYPERLINK("https://cao.dolgi.msk.ru/account/1010247634/", 1010247634)</f>
        <v>1010247634</v>
      </c>
      <c r="D19326">
        <v>-8760.7999999999993</v>
      </c>
    </row>
    <row r="19327" spans="1:4" hidden="1" x14ac:dyDescent="0.3">
      <c r="A19327" t="s">
        <v>1075</v>
      </c>
      <c r="B19327" t="s">
        <v>104</v>
      </c>
      <c r="C19327" s="1">
        <f>HYPERLINK("https://cao.dolgi.msk.ru/account/1010247642/", 1010247642)</f>
        <v>1010247642</v>
      </c>
      <c r="D19327">
        <v>0</v>
      </c>
    </row>
    <row r="19328" spans="1:4" x14ac:dyDescent="0.3">
      <c r="A19328" t="s">
        <v>1077</v>
      </c>
      <c r="B19328" t="s">
        <v>54</v>
      </c>
      <c r="C19328" s="1">
        <f>HYPERLINK("https://cao.dolgi.msk.ru/account/1019026395/", 1019026395)</f>
        <v>1019026395</v>
      </c>
      <c r="D19328">
        <v>1394.46</v>
      </c>
    </row>
    <row r="19329" spans="1:4" x14ac:dyDescent="0.3">
      <c r="A19329" t="s">
        <v>1077</v>
      </c>
      <c r="B19329" t="s">
        <v>54</v>
      </c>
      <c r="C19329" s="1">
        <f>HYPERLINK("https://cao.dolgi.msk.ru/account/1019026408/", 1019026408)</f>
        <v>1019026408</v>
      </c>
      <c r="D19329">
        <v>20852.939999999999</v>
      </c>
    </row>
    <row r="19330" spans="1:4" hidden="1" x14ac:dyDescent="0.3">
      <c r="A19330" t="s">
        <v>1077</v>
      </c>
      <c r="B19330" t="s">
        <v>54</v>
      </c>
      <c r="C19330" s="1">
        <f>HYPERLINK("https://cao.dolgi.msk.ru/account/1019026416/", 1019026416)</f>
        <v>1019026416</v>
      </c>
      <c r="D19330">
        <v>0</v>
      </c>
    </row>
    <row r="19331" spans="1:4" x14ac:dyDescent="0.3">
      <c r="A19331" t="s">
        <v>1077</v>
      </c>
      <c r="B19331" t="s">
        <v>55</v>
      </c>
      <c r="C19331" s="1">
        <f>HYPERLINK("https://cao.dolgi.msk.ru/account/1019026424/", 1019026424)</f>
        <v>1019026424</v>
      </c>
      <c r="D19331">
        <v>404465.48</v>
      </c>
    </row>
    <row r="19332" spans="1:4" hidden="1" x14ac:dyDescent="0.3">
      <c r="A19332" t="s">
        <v>1077</v>
      </c>
      <c r="B19332" t="s">
        <v>56</v>
      </c>
      <c r="C19332" s="1">
        <f>HYPERLINK("https://cao.dolgi.msk.ru/account/1019026432/", 1019026432)</f>
        <v>1019026432</v>
      </c>
      <c r="D19332">
        <v>0</v>
      </c>
    </row>
    <row r="19333" spans="1:4" hidden="1" x14ac:dyDescent="0.3">
      <c r="A19333" t="s">
        <v>1077</v>
      </c>
      <c r="B19333" t="s">
        <v>56</v>
      </c>
      <c r="C19333" s="1">
        <f>HYPERLINK("https://cao.dolgi.msk.ru/account/1019026459/", 1019026459)</f>
        <v>1019026459</v>
      </c>
      <c r="D19333">
        <v>0</v>
      </c>
    </row>
    <row r="19334" spans="1:4" hidden="1" x14ac:dyDescent="0.3">
      <c r="A19334" t="s">
        <v>1077</v>
      </c>
      <c r="B19334" t="s">
        <v>87</v>
      </c>
      <c r="C19334" s="1">
        <f>HYPERLINK("https://cao.dolgi.msk.ru/account/1019026467/", 1019026467)</f>
        <v>1019026467</v>
      </c>
      <c r="D19334">
        <v>0</v>
      </c>
    </row>
    <row r="19335" spans="1:4" hidden="1" x14ac:dyDescent="0.3">
      <c r="A19335" t="s">
        <v>1077</v>
      </c>
      <c r="B19335" t="s">
        <v>88</v>
      </c>
      <c r="C19335" s="1">
        <f>HYPERLINK("https://cao.dolgi.msk.ru/account/1019026475/", 1019026475)</f>
        <v>1019026475</v>
      </c>
      <c r="D19335">
        <v>0</v>
      </c>
    </row>
    <row r="19336" spans="1:4" hidden="1" x14ac:dyDescent="0.3">
      <c r="A19336" t="s">
        <v>1077</v>
      </c>
      <c r="B19336" t="s">
        <v>88</v>
      </c>
      <c r="C19336" s="1">
        <f>HYPERLINK("https://cao.dolgi.msk.ru/account/1019026483/", 1019026483)</f>
        <v>1019026483</v>
      </c>
      <c r="D19336">
        <v>0</v>
      </c>
    </row>
    <row r="19337" spans="1:4" hidden="1" x14ac:dyDescent="0.3">
      <c r="A19337" t="s">
        <v>1077</v>
      </c>
      <c r="B19337" t="s">
        <v>88</v>
      </c>
      <c r="C19337" s="1">
        <f>HYPERLINK("https://cao.dolgi.msk.ru/account/1019026491/", 1019026491)</f>
        <v>1019026491</v>
      </c>
      <c r="D19337">
        <v>0</v>
      </c>
    </row>
    <row r="19338" spans="1:4" x14ac:dyDescent="0.3">
      <c r="A19338" t="s">
        <v>1077</v>
      </c>
      <c r="B19338" t="s">
        <v>88</v>
      </c>
      <c r="C19338" s="1">
        <f>HYPERLINK("https://cao.dolgi.msk.ru/account/1019026504/", 1019026504)</f>
        <v>1019026504</v>
      </c>
      <c r="D19338">
        <v>6583.15</v>
      </c>
    </row>
    <row r="19339" spans="1:4" hidden="1" x14ac:dyDescent="0.3">
      <c r="A19339" t="s">
        <v>1077</v>
      </c>
      <c r="B19339" t="s">
        <v>89</v>
      </c>
      <c r="C19339" s="1">
        <f>HYPERLINK("https://cao.dolgi.msk.ru/account/1019026512/", 1019026512)</f>
        <v>1019026512</v>
      </c>
      <c r="D19339">
        <v>-6446.03</v>
      </c>
    </row>
    <row r="19340" spans="1:4" x14ac:dyDescent="0.3">
      <c r="A19340" t="s">
        <v>1077</v>
      </c>
      <c r="B19340" t="s">
        <v>90</v>
      </c>
      <c r="C19340" s="1">
        <f>HYPERLINK("https://cao.dolgi.msk.ru/account/1019026539/", 1019026539)</f>
        <v>1019026539</v>
      </c>
      <c r="D19340">
        <v>32122.11</v>
      </c>
    </row>
    <row r="19341" spans="1:4" hidden="1" x14ac:dyDescent="0.3">
      <c r="A19341" t="s">
        <v>1077</v>
      </c>
      <c r="B19341" t="s">
        <v>96</v>
      </c>
      <c r="C19341" s="1">
        <f>HYPERLINK("https://cao.dolgi.msk.ru/account/1019026547/", 1019026547)</f>
        <v>1019026547</v>
      </c>
      <c r="D19341">
        <v>-105.23</v>
      </c>
    </row>
    <row r="19342" spans="1:4" hidden="1" x14ac:dyDescent="0.3">
      <c r="A19342" t="s">
        <v>1077</v>
      </c>
      <c r="B19342" t="s">
        <v>97</v>
      </c>
      <c r="C19342" s="1">
        <f>HYPERLINK("https://cao.dolgi.msk.ru/account/1019026563/", 1019026563)</f>
        <v>1019026563</v>
      </c>
      <c r="D19342">
        <v>0</v>
      </c>
    </row>
    <row r="19343" spans="1:4" hidden="1" x14ac:dyDescent="0.3">
      <c r="A19343" t="s">
        <v>1077</v>
      </c>
      <c r="B19343" t="s">
        <v>98</v>
      </c>
      <c r="C19343" s="1">
        <f>HYPERLINK("https://cao.dolgi.msk.ru/account/1019026571/", 1019026571)</f>
        <v>1019026571</v>
      </c>
      <c r="D19343">
        <v>-8499.44</v>
      </c>
    </row>
    <row r="19344" spans="1:4" hidden="1" x14ac:dyDescent="0.3">
      <c r="A19344" t="s">
        <v>1077</v>
      </c>
      <c r="B19344" t="s">
        <v>58</v>
      </c>
      <c r="C19344" s="1">
        <f>HYPERLINK("https://cao.dolgi.msk.ru/account/1019026598/", 1019026598)</f>
        <v>1019026598</v>
      </c>
      <c r="D19344">
        <v>-37.090000000000003</v>
      </c>
    </row>
    <row r="19345" spans="1:4" hidden="1" x14ac:dyDescent="0.3">
      <c r="A19345" t="s">
        <v>1077</v>
      </c>
      <c r="B19345" t="s">
        <v>59</v>
      </c>
      <c r="C19345" s="1">
        <f>HYPERLINK("https://cao.dolgi.msk.ru/account/1019026619/", 1019026619)</f>
        <v>1019026619</v>
      </c>
      <c r="D19345">
        <v>-2921.85</v>
      </c>
    </row>
    <row r="19346" spans="1:4" hidden="1" x14ac:dyDescent="0.3">
      <c r="A19346" t="s">
        <v>1077</v>
      </c>
      <c r="B19346" t="s">
        <v>59</v>
      </c>
      <c r="C19346" s="1">
        <f>HYPERLINK("https://cao.dolgi.msk.ru/account/1019026627/", 1019026627)</f>
        <v>1019026627</v>
      </c>
      <c r="D19346">
        <v>-6237.15</v>
      </c>
    </row>
    <row r="19347" spans="1:4" hidden="1" x14ac:dyDescent="0.3">
      <c r="A19347" t="s">
        <v>1077</v>
      </c>
      <c r="B19347" t="s">
        <v>59</v>
      </c>
      <c r="C19347" s="1">
        <f>HYPERLINK("https://cao.dolgi.msk.ru/account/1019026635/", 1019026635)</f>
        <v>1019026635</v>
      </c>
      <c r="D19347">
        <v>-3153.25</v>
      </c>
    </row>
    <row r="19348" spans="1:4" x14ac:dyDescent="0.3">
      <c r="A19348" t="s">
        <v>1077</v>
      </c>
      <c r="B19348" t="s">
        <v>60</v>
      </c>
      <c r="C19348" s="1">
        <f>HYPERLINK("https://cao.dolgi.msk.ru/account/1011015448/", 1011015448)</f>
        <v>1011015448</v>
      </c>
      <c r="D19348">
        <v>35970.15</v>
      </c>
    </row>
    <row r="19349" spans="1:4" x14ac:dyDescent="0.3">
      <c r="A19349" t="s">
        <v>1077</v>
      </c>
      <c r="B19349" t="s">
        <v>61</v>
      </c>
      <c r="C19349" s="1">
        <f>HYPERLINK("https://cao.dolgi.msk.ru/account/1011014066/", 1011014066)</f>
        <v>1011014066</v>
      </c>
      <c r="D19349">
        <v>7579.35</v>
      </c>
    </row>
    <row r="19350" spans="1:4" hidden="1" x14ac:dyDescent="0.3">
      <c r="A19350" t="s">
        <v>1077</v>
      </c>
      <c r="B19350" t="s">
        <v>61</v>
      </c>
      <c r="C19350" s="1">
        <f>HYPERLINK("https://cao.dolgi.msk.ru/account/1019026643/", 1019026643)</f>
        <v>1019026643</v>
      </c>
      <c r="D19350">
        <v>-53.92</v>
      </c>
    </row>
    <row r="19351" spans="1:4" hidden="1" x14ac:dyDescent="0.3">
      <c r="A19351" t="s">
        <v>1077</v>
      </c>
      <c r="B19351" t="s">
        <v>333</v>
      </c>
      <c r="C19351" s="1">
        <f>HYPERLINK("https://cao.dolgi.msk.ru/account/1011015456/", 1011015456)</f>
        <v>1011015456</v>
      </c>
      <c r="D19351">
        <v>0</v>
      </c>
    </row>
    <row r="19352" spans="1:4" hidden="1" x14ac:dyDescent="0.3">
      <c r="A19352" t="s">
        <v>1077</v>
      </c>
      <c r="B19352" t="s">
        <v>62</v>
      </c>
      <c r="C19352" s="1">
        <f>HYPERLINK("https://cao.dolgi.msk.ru/account/1019026651/", 1019026651)</f>
        <v>1019026651</v>
      </c>
      <c r="D19352">
        <v>0</v>
      </c>
    </row>
    <row r="19353" spans="1:4" x14ac:dyDescent="0.3">
      <c r="A19353" t="s">
        <v>1077</v>
      </c>
      <c r="B19353" t="s">
        <v>63</v>
      </c>
      <c r="C19353" s="1">
        <f>HYPERLINK("https://cao.dolgi.msk.ru/account/1019026678/", 1019026678)</f>
        <v>1019026678</v>
      </c>
      <c r="D19353">
        <v>13704</v>
      </c>
    </row>
    <row r="19354" spans="1:4" hidden="1" x14ac:dyDescent="0.3">
      <c r="A19354" t="s">
        <v>1077</v>
      </c>
      <c r="B19354" t="s">
        <v>64</v>
      </c>
      <c r="C19354" s="1">
        <f>HYPERLINK("https://cao.dolgi.msk.ru/account/1019026686/", 1019026686)</f>
        <v>1019026686</v>
      </c>
      <c r="D19354">
        <v>-8416.9</v>
      </c>
    </row>
    <row r="19355" spans="1:4" hidden="1" x14ac:dyDescent="0.3">
      <c r="A19355" t="s">
        <v>1077</v>
      </c>
      <c r="B19355" t="s">
        <v>65</v>
      </c>
      <c r="C19355" s="1">
        <f>HYPERLINK("https://cao.dolgi.msk.ru/account/1011091934/", 1011091934)</f>
        <v>1011091934</v>
      </c>
      <c r="D19355">
        <v>-16149.92</v>
      </c>
    </row>
    <row r="19356" spans="1:4" hidden="1" x14ac:dyDescent="0.3">
      <c r="A19356" t="s">
        <v>1077</v>
      </c>
      <c r="B19356" t="s">
        <v>66</v>
      </c>
      <c r="C19356" s="1">
        <f>HYPERLINK("https://cao.dolgi.msk.ru/account/1019026723/", 1019026723)</f>
        <v>1019026723</v>
      </c>
      <c r="D19356">
        <v>0</v>
      </c>
    </row>
    <row r="19357" spans="1:4" hidden="1" x14ac:dyDescent="0.3">
      <c r="A19357" t="s">
        <v>1077</v>
      </c>
      <c r="B19357" t="s">
        <v>67</v>
      </c>
      <c r="C19357" s="1">
        <f>HYPERLINK("https://cao.dolgi.msk.ru/account/1019026731/", 1019026731)</f>
        <v>1019026731</v>
      </c>
      <c r="D19357">
        <v>-2466.5500000000002</v>
      </c>
    </row>
    <row r="19358" spans="1:4" hidden="1" x14ac:dyDescent="0.3">
      <c r="A19358" t="s">
        <v>1077</v>
      </c>
      <c r="B19358" t="s">
        <v>67</v>
      </c>
      <c r="C19358" s="1">
        <f>HYPERLINK("https://cao.dolgi.msk.ru/account/1019026758/", 1019026758)</f>
        <v>1019026758</v>
      </c>
      <c r="D19358">
        <v>-340.62</v>
      </c>
    </row>
    <row r="19359" spans="1:4" hidden="1" x14ac:dyDescent="0.3">
      <c r="A19359" t="s">
        <v>1077</v>
      </c>
      <c r="B19359" t="s">
        <v>67</v>
      </c>
      <c r="C19359" s="1">
        <f>HYPERLINK("https://cao.dolgi.msk.ru/account/1019026766/", 1019026766)</f>
        <v>1019026766</v>
      </c>
      <c r="D19359">
        <v>-574.79999999999995</v>
      </c>
    </row>
    <row r="19360" spans="1:4" hidden="1" x14ac:dyDescent="0.3">
      <c r="A19360" t="s">
        <v>1078</v>
      </c>
      <c r="B19360" t="s">
        <v>5</v>
      </c>
      <c r="C19360" s="1">
        <f>HYPERLINK("https://cao.dolgi.msk.ru/account/1011504057/", 1011504057)</f>
        <v>1011504057</v>
      </c>
      <c r="D19360">
        <v>-1128.93</v>
      </c>
    </row>
    <row r="19361" spans="1:4" hidden="1" x14ac:dyDescent="0.3">
      <c r="A19361" t="s">
        <v>1078</v>
      </c>
      <c r="B19361" t="s">
        <v>5</v>
      </c>
      <c r="C19361" s="1">
        <f>HYPERLINK("https://cao.dolgi.msk.ru/account/1011505471/", 1011505471)</f>
        <v>1011505471</v>
      </c>
      <c r="D19361">
        <v>-2779.31</v>
      </c>
    </row>
    <row r="19362" spans="1:4" hidden="1" x14ac:dyDescent="0.3">
      <c r="A19362" t="s">
        <v>1078</v>
      </c>
      <c r="B19362" t="s">
        <v>5</v>
      </c>
      <c r="C19362" s="1">
        <f>HYPERLINK("https://cao.dolgi.msk.ru/account/1011505498/", 1011505498)</f>
        <v>1011505498</v>
      </c>
      <c r="D19362">
        <v>-2123.2399999999998</v>
      </c>
    </row>
    <row r="19363" spans="1:4" hidden="1" x14ac:dyDescent="0.3">
      <c r="A19363" t="s">
        <v>1078</v>
      </c>
      <c r="B19363" t="s">
        <v>5</v>
      </c>
      <c r="C19363" s="1">
        <f>HYPERLINK("https://cao.dolgi.msk.ru/account/1011505519/", 1011505519)</f>
        <v>1011505519</v>
      </c>
      <c r="D19363">
        <v>-2050.02</v>
      </c>
    </row>
    <row r="19364" spans="1:4" hidden="1" x14ac:dyDescent="0.3">
      <c r="A19364" t="s">
        <v>1078</v>
      </c>
      <c r="B19364" t="s">
        <v>8</v>
      </c>
      <c r="C19364" s="1">
        <f>HYPERLINK("https://cao.dolgi.msk.ru/account/1011462301/", 1011462301)</f>
        <v>1011462301</v>
      </c>
      <c r="D19364">
        <v>0</v>
      </c>
    </row>
    <row r="19365" spans="1:4" hidden="1" x14ac:dyDescent="0.3">
      <c r="A19365" t="s">
        <v>1078</v>
      </c>
      <c r="B19365" t="s">
        <v>31</v>
      </c>
      <c r="C19365" s="1">
        <f>HYPERLINK("https://cao.dolgi.msk.ru/account/1011462213/", 1011462213)</f>
        <v>1011462213</v>
      </c>
      <c r="D19365">
        <v>-6930.52</v>
      </c>
    </row>
    <row r="19366" spans="1:4" hidden="1" x14ac:dyDescent="0.3">
      <c r="A19366" t="s">
        <v>1078</v>
      </c>
      <c r="B19366" t="s">
        <v>31</v>
      </c>
      <c r="C19366" s="1">
        <f>HYPERLINK("https://cao.dolgi.msk.ru/account/1011462299/", 1011462299)</f>
        <v>1011462299</v>
      </c>
      <c r="D19366">
        <v>-3925.44</v>
      </c>
    </row>
    <row r="19367" spans="1:4" x14ac:dyDescent="0.3">
      <c r="A19367" t="s">
        <v>1078</v>
      </c>
      <c r="B19367" t="s">
        <v>10</v>
      </c>
      <c r="C19367" s="1">
        <f>HYPERLINK("https://cao.dolgi.msk.ru/account/1011462328/", 1011462328)</f>
        <v>1011462328</v>
      </c>
      <c r="D19367">
        <v>2831.83</v>
      </c>
    </row>
    <row r="19368" spans="1:4" x14ac:dyDescent="0.3">
      <c r="A19368" t="s">
        <v>1078</v>
      </c>
      <c r="B19368" t="s">
        <v>10</v>
      </c>
      <c r="C19368" s="1">
        <f>HYPERLINK("https://cao.dolgi.msk.ru/account/1011462408/", 1011462408)</f>
        <v>1011462408</v>
      </c>
      <c r="D19368">
        <v>13669.14</v>
      </c>
    </row>
    <row r="19369" spans="1:4" hidden="1" x14ac:dyDescent="0.3">
      <c r="A19369" t="s">
        <v>1078</v>
      </c>
      <c r="B19369" t="s">
        <v>12</v>
      </c>
      <c r="C19369" s="1">
        <f>HYPERLINK("https://cao.dolgi.msk.ru/account/1011462192/", 1011462192)</f>
        <v>1011462192</v>
      </c>
      <c r="D19369">
        <v>0</v>
      </c>
    </row>
    <row r="19370" spans="1:4" hidden="1" x14ac:dyDescent="0.3">
      <c r="A19370" t="s">
        <v>1078</v>
      </c>
      <c r="B19370" t="s">
        <v>13</v>
      </c>
      <c r="C19370" s="1">
        <f>HYPERLINK("https://cao.dolgi.msk.ru/account/1011462256/", 1011462256)</f>
        <v>1011462256</v>
      </c>
      <c r="D19370">
        <v>0</v>
      </c>
    </row>
    <row r="19371" spans="1:4" x14ac:dyDescent="0.3">
      <c r="A19371" t="s">
        <v>1078</v>
      </c>
      <c r="B19371" t="s">
        <v>49</v>
      </c>
      <c r="C19371" s="1">
        <f>HYPERLINK("https://cao.dolgi.msk.ru/account/1011462424/", 1011462424)</f>
        <v>1011462424</v>
      </c>
      <c r="D19371">
        <v>3115.55</v>
      </c>
    </row>
    <row r="19372" spans="1:4" x14ac:dyDescent="0.3">
      <c r="A19372" t="s">
        <v>1078</v>
      </c>
      <c r="B19372" t="s">
        <v>1079</v>
      </c>
      <c r="C19372" s="1">
        <f>HYPERLINK("https://cao.dolgi.msk.ru/account/1011504874/", 1011504874)</f>
        <v>1011504874</v>
      </c>
      <c r="D19372">
        <v>193181.28</v>
      </c>
    </row>
    <row r="19373" spans="1:4" hidden="1" x14ac:dyDescent="0.3">
      <c r="A19373" t="s">
        <v>1078</v>
      </c>
      <c r="B19373" t="s">
        <v>20</v>
      </c>
      <c r="C19373" s="1">
        <f>HYPERLINK("https://cao.dolgi.msk.ru/account/1011462483/", 1011462483)</f>
        <v>1011462483</v>
      </c>
      <c r="D19373">
        <v>0</v>
      </c>
    </row>
    <row r="19374" spans="1:4" hidden="1" x14ac:dyDescent="0.3">
      <c r="A19374" t="s">
        <v>1078</v>
      </c>
      <c r="B19374" t="s">
        <v>21</v>
      </c>
      <c r="C19374" s="1">
        <f>HYPERLINK("https://cao.dolgi.msk.ru/account/1011462248/", 1011462248)</f>
        <v>1011462248</v>
      </c>
      <c r="D19374">
        <v>0</v>
      </c>
    </row>
    <row r="19375" spans="1:4" hidden="1" x14ac:dyDescent="0.3">
      <c r="A19375" t="s">
        <v>1078</v>
      </c>
      <c r="B19375" t="s">
        <v>21</v>
      </c>
      <c r="C19375" s="1">
        <f>HYPERLINK("https://cao.dolgi.msk.ru/account/1011462272/", 1011462272)</f>
        <v>1011462272</v>
      </c>
      <c r="D19375">
        <v>-7490.88</v>
      </c>
    </row>
    <row r="19376" spans="1:4" hidden="1" x14ac:dyDescent="0.3">
      <c r="A19376" t="s">
        <v>1078</v>
      </c>
      <c r="B19376" t="s">
        <v>21</v>
      </c>
      <c r="C19376" s="1">
        <f>HYPERLINK("https://cao.dolgi.msk.ru/account/1011526539/", 1011526539)</f>
        <v>1011526539</v>
      </c>
      <c r="D19376">
        <v>-1114.51</v>
      </c>
    </row>
    <row r="19377" spans="1:4" hidden="1" x14ac:dyDescent="0.3">
      <c r="A19377" t="s">
        <v>1078</v>
      </c>
      <c r="B19377" t="s">
        <v>22</v>
      </c>
      <c r="C19377" s="1">
        <f>HYPERLINK("https://cao.dolgi.msk.ru/account/1011462205/", 1011462205)</f>
        <v>1011462205</v>
      </c>
      <c r="D19377">
        <v>0</v>
      </c>
    </row>
    <row r="19378" spans="1:4" hidden="1" x14ac:dyDescent="0.3">
      <c r="A19378" t="s">
        <v>1078</v>
      </c>
      <c r="B19378" t="s">
        <v>24</v>
      </c>
      <c r="C19378" s="1">
        <f>HYPERLINK("https://cao.dolgi.msk.ru/account/1011462184/", 1011462184)</f>
        <v>1011462184</v>
      </c>
      <c r="D19378">
        <v>-11184.53</v>
      </c>
    </row>
    <row r="19379" spans="1:4" hidden="1" x14ac:dyDescent="0.3">
      <c r="A19379" t="s">
        <v>1078</v>
      </c>
      <c r="B19379" t="s">
        <v>25</v>
      </c>
      <c r="C19379" s="1">
        <f>HYPERLINK("https://cao.dolgi.msk.ru/account/1011462352/", 1011462352)</f>
        <v>1011462352</v>
      </c>
      <c r="D19379">
        <v>-13742.78</v>
      </c>
    </row>
    <row r="19380" spans="1:4" hidden="1" x14ac:dyDescent="0.3">
      <c r="A19380" t="s">
        <v>1078</v>
      </c>
      <c r="B19380" t="s">
        <v>26</v>
      </c>
      <c r="C19380" s="1">
        <f>HYPERLINK("https://cao.dolgi.msk.ru/account/1011462344/", 1011462344)</f>
        <v>1011462344</v>
      </c>
      <c r="D19380">
        <v>-3267.93</v>
      </c>
    </row>
    <row r="19381" spans="1:4" hidden="1" x14ac:dyDescent="0.3">
      <c r="A19381" t="s">
        <v>1078</v>
      </c>
      <c r="B19381" t="s">
        <v>27</v>
      </c>
      <c r="C19381" s="1">
        <f>HYPERLINK("https://cao.dolgi.msk.ru/account/1011462432/", 1011462432)</f>
        <v>1011462432</v>
      </c>
      <c r="D19381">
        <v>0</v>
      </c>
    </row>
    <row r="19382" spans="1:4" hidden="1" x14ac:dyDescent="0.3">
      <c r="A19382" t="s">
        <v>1078</v>
      </c>
      <c r="B19382" t="s">
        <v>29</v>
      </c>
      <c r="C19382" s="1">
        <f>HYPERLINK("https://cao.dolgi.msk.ru/account/1011462387/", 1011462387)</f>
        <v>1011462387</v>
      </c>
      <c r="D19382">
        <v>0</v>
      </c>
    </row>
    <row r="19383" spans="1:4" hidden="1" x14ac:dyDescent="0.3">
      <c r="A19383" t="s">
        <v>1078</v>
      </c>
      <c r="B19383" t="s">
        <v>38</v>
      </c>
      <c r="C19383" s="1">
        <f>HYPERLINK("https://cao.dolgi.msk.ru/account/1011462379/", 1011462379)</f>
        <v>1011462379</v>
      </c>
      <c r="D19383">
        <v>0</v>
      </c>
    </row>
    <row r="19384" spans="1:4" hidden="1" x14ac:dyDescent="0.3">
      <c r="A19384" t="s">
        <v>1078</v>
      </c>
      <c r="B19384" t="s">
        <v>38</v>
      </c>
      <c r="C19384" s="1">
        <f>HYPERLINK("https://cao.dolgi.msk.ru/account/1011462416/", 1011462416)</f>
        <v>1011462416</v>
      </c>
      <c r="D19384">
        <v>0</v>
      </c>
    </row>
    <row r="19385" spans="1:4" hidden="1" x14ac:dyDescent="0.3">
      <c r="A19385" t="s">
        <v>1078</v>
      </c>
      <c r="B19385" t="s">
        <v>39</v>
      </c>
      <c r="C19385" s="1">
        <f>HYPERLINK("https://cao.dolgi.msk.ru/account/1011462459/", 1011462459)</f>
        <v>1011462459</v>
      </c>
      <c r="D19385">
        <v>-8040.22</v>
      </c>
    </row>
    <row r="19386" spans="1:4" x14ac:dyDescent="0.3">
      <c r="A19386" t="s">
        <v>1078</v>
      </c>
      <c r="B19386" t="s">
        <v>40</v>
      </c>
      <c r="C19386" s="1">
        <f>HYPERLINK("https://cao.dolgi.msk.ru/account/1011462264/", 1011462264)</f>
        <v>1011462264</v>
      </c>
      <c r="D19386">
        <v>32380.26</v>
      </c>
    </row>
    <row r="19387" spans="1:4" hidden="1" x14ac:dyDescent="0.3">
      <c r="A19387" t="s">
        <v>1078</v>
      </c>
      <c r="B19387" t="s">
        <v>41</v>
      </c>
      <c r="C19387" s="1">
        <f>HYPERLINK("https://cao.dolgi.msk.ru/account/1011462475/", 1011462475)</f>
        <v>1011462475</v>
      </c>
      <c r="D19387">
        <v>0</v>
      </c>
    </row>
    <row r="19388" spans="1:4" hidden="1" x14ac:dyDescent="0.3">
      <c r="A19388" t="s">
        <v>1078</v>
      </c>
      <c r="B19388" t="s">
        <v>51</v>
      </c>
      <c r="C19388" s="1">
        <f>HYPERLINK("https://cao.dolgi.msk.ru/account/1011462395/", 1011462395)</f>
        <v>1011462395</v>
      </c>
      <c r="D19388">
        <v>0</v>
      </c>
    </row>
    <row r="19389" spans="1:4" hidden="1" x14ac:dyDescent="0.3">
      <c r="A19389" t="s">
        <v>1080</v>
      </c>
      <c r="B19389" t="s">
        <v>6</v>
      </c>
      <c r="C19389" s="1">
        <f>HYPERLINK("https://cao.dolgi.msk.ru/account/1011346474/", 1011346474)</f>
        <v>1011346474</v>
      </c>
      <c r="D19389">
        <v>0</v>
      </c>
    </row>
    <row r="19390" spans="1:4" hidden="1" x14ac:dyDescent="0.3">
      <c r="A19390" t="s">
        <v>1080</v>
      </c>
      <c r="B19390" t="s">
        <v>28</v>
      </c>
      <c r="C19390" s="1">
        <f>HYPERLINK("https://cao.dolgi.msk.ru/account/1011346749/", 1011346749)</f>
        <v>1011346749</v>
      </c>
      <c r="D19390">
        <v>0</v>
      </c>
    </row>
    <row r="19391" spans="1:4" hidden="1" x14ac:dyDescent="0.3">
      <c r="A19391" t="s">
        <v>1080</v>
      </c>
      <c r="B19391" t="s">
        <v>28</v>
      </c>
      <c r="C19391" s="1">
        <f>HYPERLINK("https://cao.dolgi.msk.ru/account/1011504559/", 1011504559)</f>
        <v>1011504559</v>
      </c>
      <c r="D19391">
        <v>0</v>
      </c>
    </row>
    <row r="19392" spans="1:4" hidden="1" x14ac:dyDescent="0.3">
      <c r="A19392" t="s">
        <v>1080</v>
      </c>
      <c r="B19392" t="s">
        <v>35</v>
      </c>
      <c r="C19392" s="1">
        <f>HYPERLINK("https://cao.dolgi.msk.ru/account/1011347741/", 1011347741)</f>
        <v>1011347741</v>
      </c>
      <c r="D19392">
        <v>0</v>
      </c>
    </row>
    <row r="19393" spans="1:4" hidden="1" x14ac:dyDescent="0.3">
      <c r="A19393" t="s">
        <v>1080</v>
      </c>
      <c r="B19393" t="s">
        <v>5</v>
      </c>
      <c r="C19393" s="1">
        <f>HYPERLINK("https://cao.dolgi.msk.ru/account/1011347012/", 1011347012)</f>
        <v>1011347012</v>
      </c>
      <c r="D19393">
        <v>-42496.959999999999</v>
      </c>
    </row>
    <row r="19394" spans="1:4" hidden="1" x14ac:dyDescent="0.3">
      <c r="A19394" t="s">
        <v>1080</v>
      </c>
      <c r="B19394" t="s">
        <v>7</v>
      </c>
      <c r="C19394" s="1">
        <f>HYPERLINK("https://cao.dolgi.msk.ru/account/1011346976/", 1011346976)</f>
        <v>1011346976</v>
      </c>
      <c r="D19394">
        <v>-11129.72</v>
      </c>
    </row>
    <row r="19395" spans="1:4" hidden="1" x14ac:dyDescent="0.3">
      <c r="A19395" t="s">
        <v>1080</v>
      </c>
      <c r="B19395" t="s">
        <v>8</v>
      </c>
      <c r="C19395" s="1">
        <f>HYPERLINK("https://cao.dolgi.msk.ru/account/1011347709/", 1011347709)</f>
        <v>1011347709</v>
      </c>
      <c r="D19395">
        <v>-4554.0600000000004</v>
      </c>
    </row>
    <row r="19396" spans="1:4" hidden="1" x14ac:dyDescent="0.3">
      <c r="A19396" t="s">
        <v>1080</v>
      </c>
      <c r="B19396" t="s">
        <v>31</v>
      </c>
      <c r="C19396" s="1">
        <f>HYPERLINK("https://cao.dolgi.msk.ru/account/1011346888/", 1011346888)</f>
        <v>1011346888</v>
      </c>
      <c r="D19396">
        <v>0</v>
      </c>
    </row>
    <row r="19397" spans="1:4" hidden="1" x14ac:dyDescent="0.3">
      <c r="A19397" t="s">
        <v>1080</v>
      </c>
      <c r="B19397" t="s">
        <v>9</v>
      </c>
      <c r="C19397" s="1">
        <f>HYPERLINK("https://cao.dolgi.msk.ru/account/1011347717/", 1011347717)</f>
        <v>1011347717</v>
      </c>
      <c r="D19397">
        <v>0</v>
      </c>
    </row>
    <row r="19398" spans="1:4" hidden="1" x14ac:dyDescent="0.3">
      <c r="A19398" t="s">
        <v>1080</v>
      </c>
      <c r="B19398" t="s">
        <v>10</v>
      </c>
      <c r="C19398" s="1">
        <f>HYPERLINK("https://cao.dolgi.msk.ru/account/1011346685/", 1011346685)</f>
        <v>1011346685</v>
      </c>
      <c r="D19398">
        <v>0</v>
      </c>
    </row>
    <row r="19399" spans="1:4" hidden="1" x14ac:dyDescent="0.3">
      <c r="A19399" t="s">
        <v>1080</v>
      </c>
      <c r="B19399" t="s">
        <v>11</v>
      </c>
      <c r="C19399" s="1">
        <f>HYPERLINK("https://cao.dolgi.msk.ru/account/1011346589/", 1011346589)</f>
        <v>1011346589</v>
      </c>
      <c r="D19399">
        <v>-1850.12</v>
      </c>
    </row>
    <row r="19400" spans="1:4" hidden="1" x14ac:dyDescent="0.3">
      <c r="A19400" t="s">
        <v>1080</v>
      </c>
      <c r="B19400" t="s">
        <v>12</v>
      </c>
      <c r="C19400" s="1">
        <f>HYPERLINK("https://cao.dolgi.msk.ru/account/1011347071/", 1011347071)</f>
        <v>1011347071</v>
      </c>
      <c r="D19400">
        <v>-7302.56</v>
      </c>
    </row>
    <row r="19401" spans="1:4" hidden="1" x14ac:dyDescent="0.3">
      <c r="A19401" t="s">
        <v>1080</v>
      </c>
      <c r="B19401" t="s">
        <v>23</v>
      </c>
      <c r="C19401" s="1">
        <f>HYPERLINK("https://cao.dolgi.msk.ru/account/1011347047/", 1011347047)</f>
        <v>1011347047</v>
      </c>
      <c r="D19401">
        <v>-10434.51</v>
      </c>
    </row>
    <row r="19402" spans="1:4" x14ac:dyDescent="0.3">
      <c r="A19402" t="s">
        <v>1080</v>
      </c>
      <c r="B19402" t="s">
        <v>13</v>
      </c>
      <c r="C19402" s="1">
        <f>HYPERLINK("https://cao.dolgi.msk.ru/account/1011347282/", 1011347282)</f>
        <v>1011347282</v>
      </c>
      <c r="D19402">
        <v>12427.94</v>
      </c>
    </row>
    <row r="19403" spans="1:4" hidden="1" x14ac:dyDescent="0.3">
      <c r="A19403" t="s">
        <v>1080</v>
      </c>
      <c r="B19403" t="s">
        <v>14</v>
      </c>
      <c r="C19403" s="1">
        <f>HYPERLINK("https://cao.dolgi.msk.ru/account/1011346984/", 1011346984)</f>
        <v>1011346984</v>
      </c>
      <c r="D19403">
        <v>0</v>
      </c>
    </row>
    <row r="19404" spans="1:4" hidden="1" x14ac:dyDescent="0.3">
      <c r="A19404" t="s">
        <v>1080</v>
      </c>
      <c r="B19404" t="s">
        <v>16</v>
      </c>
      <c r="C19404" s="1">
        <f>HYPERLINK("https://cao.dolgi.msk.ru/account/1011346546/", 1011346546)</f>
        <v>1011346546</v>
      </c>
      <c r="D19404">
        <v>0</v>
      </c>
    </row>
    <row r="19405" spans="1:4" x14ac:dyDescent="0.3">
      <c r="A19405" t="s">
        <v>1080</v>
      </c>
      <c r="B19405" t="s">
        <v>17</v>
      </c>
      <c r="C19405" s="1">
        <f>HYPERLINK("https://cao.dolgi.msk.ru/account/1011346669/", 1011346669)</f>
        <v>1011346669</v>
      </c>
      <c r="D19405">
        <v>723.12</v>
      </c>
    </row>
    <row r="19406" spans="1:4" hidden="1" x14ac:dyDescent="0.3">
      <c r="A19406" t="s">
        <v>1080</v>
      </c>
      <c r="B19406" t="s">
        <v>18</v>
      </c>
      <c r="C19406" s="1">
        <f>HYPERLINK("https://cao.dolgi.msk.ru/account/1011347127/", 1011347127)</f>
        <v>1011347127</v>
      </c>
      <c r="D19406">
        <v>-3213.06</v>
      </c>
    </row>
    <row r="19407" spans="1:4" hidden="1" x14ac:dyDescent="0.3">
      <c r="A19407" t="s">
        <v>1080</v>
      </c>
      <c r="B19407" t="s">
        <v>19</v>
      </c>
      <c r="C19407" s="1">
        <f>HYPERLINK("https://cao.dolgi.msk.ru/account/1011347135/", 1011347135)</f>
        <v>1011347135</v>
      </c>
      <c r="D19407">
        <v>-7370.96</v>
      </c>
    </row>
    <row r="19408" spans="1:4" x14ac:dyDescent="0.3">
      <c r="A19408" t="s">
        <v>1080</v>
      </c>
      <c r="B19408" t="s">
        <v>20</v>
      </c>
      <c r="C19408" s="1">
        <f>HYPERLINK("https://cao.dolgi.msk.ru/account/1011347768/", 1011347768)</f>
        <v>1011347768</v>
      </c>
      <c r="D19408">
        <v>8620.7099999999991</v>
      </c>
    </row>
    <row r="19409" spans="1:4" hidden="1" x14ac:dyDescent="0.3">
      <c r="A19409" t="s">
        <v>1080</v>
      </c>
      <c r="B19409" t="s">
        <v>21</v>
      </c>
      <c r="C19409" s="1">
        <f>HYPERLINK("https://cao.dolgi.msk.ru/account/1011347266/", 1011347266)</f>
        <v>1011347266</v>
      </c>
      <c r="D19409">
        <v>-129.9</v>
      </c>
    </row>
    <row r="19410" spans="1:4" hidden="1" x14ac:dyDescent="0.3">
      <c r="A19410" t="s">
        <v>1080</v>
      </c>
      <c r="B19410" t="s">
        <v>22</v>
      </c>
      <c r="C19410" s="1">
        <f>HYPERLINK("https://cao.dolgi.msk.ru/account/1011346597/", 1011346597)</f>
        <v>1011346597</v>
      </c>
      <c r="D19410">
        <v>-5594.6</v>
      </c>
    </row>
    <row r="19411" spans="1:4" hidden="1" x14ac:dyDescent="0.3">
      <c r="A19411" t="s">
        <v>1080</v>
      </c>
      <c r="B19411" t="s">
        <v>24</v>
      </c>
      <c r="C19411" s="1">
        <f>HYPERLINK("https://cao.dolgi.msk.ru/account/1011346677/", 1011346677)</f>
        <v>1011346677</v>
      </c>
      <c r="D19411">
        <v>0</v>
      </c>
    </row>
    <row r="19412" spans="1:4" hidden="1" x14ac:dyDescent="0.3">
      <c r="A19412" t="s">
        <v>1080</v>
      </c>
      <c r="B19412" t="s">
        <v>25</v>
      </c>
      <c r="C19412" s="1">
        <f>HYPERLINK("https://cao.dolgi.msk.ru/account/1011347223/", 1011347223)</f>
        <v>1011347223</v>
      </c>
      <c r="D19412">
        <v>-10886.03</v>
      </c>
    </row>
    <row r="19413" spans="1:4" hidden="1" x14ac:dyDescent="0.3">
      <c r="A19413" t="s">
        <v>1080</v>
      </c>
      <c r="B19413" t="s">
        <v>26</v>
      </c>
      <c r="C19413" s="1">
        <f>HYPERLINK("https://cao.dolgi.msk.ru/account/1011347186/", 1011347186)</f>
        <v>1011347186</v>
      </c>
      <c r="D19413">
        <v>-5879.95</v>
      </c>
    </row>
    <row r="19414" spans="1:4" hidden="1" x14ac:dyDescent="0.3">
      <c r="A19414" t="s">
        <v>1080</v>
      </c>
      <c r="B19414" t="s">
        <v>27</v>
      </c>
      <c r="C19414" s="1">
        <f>HYPERLINK("https://cao.dolgi.msk.ru/account/1011346896/", 1011346896)</f>
        <v>1011346896</v>
      </c>
      <c r="D19414">
        <v>0</v>
      </c>
    </row>
    <row r="19415" spans="1:4" hidden="1" x14ac:dyDescent="0.3">
      <c r="A19415" t="s">
        <v>1080</v>
      </c>
      <c r="B19415" t="s">
        <v>29</v>
      </c>
      <c r="C19415" s="1">
        <f>HYPERLINK("https://cao.dolgi.msk.ru/account/1011346781/", 1011346781)</f>
        <v>1011346781</v>
      </c>
      <c r="D19415">
        <v>-724.64</v>
      </c>
    </row>
    <row r="19416" spans="1:4" x14ac:dyDescent="0.3">
      <c r="A19416" t="s">
        <v>1080</v>
      </c>
      <c r="B19416" t="s">
        <v>38</v>
      </c>
      <c r="C19416" s="1">
        <f>HYPERLINK("https://cao.dolgi.msk.ru/account/1011346554/", 1011346554)</f>
        <v>1011346554</v>
      </c>
      <c r="D19416">
        <v>145608.44</v>
      </c>
    </row>
    <row r="19417" spans="1:4" hidden="1" x14ac:dyDescent="0.3">
      <c r="A19417" t="s">
        <v>1080</v>
      </c>
      <c r="B19417" t="s">
        <v>39</v>
      </c>
      <c r="C19417" s="1">
        <f>HYPERLINK("https://cao.dolgi.msk.ru/account/1011347645/", 1011347645)</f>
        <v>1011347645</v>
      </c>
      <c r="D19417">
        <v>0</v>
      </c>
    </row>
    <row r="19418" spans="1:4" hidden="1" x14ac:dyDescent="0.3">
      <c r="A19418" t="s">
        <v>1080</v>
      </c>
      <c r="B19418" t="s">
        <v>40</v>
      </c>
      <c r="C19418" s="1">
        <f>HYPERLINK("https://cao.dolgi.msk.ru/account/1011346706/", 1011346706)</f>
        <v>1011346706</v>
      </c>
      <c r="D19418">
        <v>-14805.52</v>
      </c>
    </row>
    <row r="19419" spans="1:4" x14ac:dyDescent="0.3">
      <c r="A19419" t="s">
        <v>1080</v>
      </c>
      <c r="B19419" t="s">
        <v>41</v>
      </c>
      <c r="C19419" s="1">
        <f>HYPERLINK("https://cao.dolgi.msk.ru/account/1011346909/", 1011346909)</f>
        <v>1011346909</v>
      </c>
      <c r="D19419">
        <v>4089.08</v>
      </c>
    </row>
    <row r="19420" spans="1:4" hidden="1" x14ac:dyDescent="0.3">
      <c r="A19420" t="s">
        <v>1080</v>
      </c>
      <c r="B19420" t="s">
        <v>51</v>
      </c>
      <c r="C19420" s="1">
        <f>HYPERLINK("https://cao.dolgi.msk.ru/account/1011346992/", 1011346992)</f>
        <v>1011346992</v>
      </c>
      <c r="D19420">
        <v>-8.6300000000000008</v>
      </c>
    </row>
    <row r="19421" spans="1:4" hidden="1" x14ac:dyDescent="0.3">
      <c r="A19421" t="s">
        <v>1080</v>
      </c>
      <c r="B19421" t="s">
        <v>52</v>
      </c>
      <c r="C19421" s="1">
        <f>HYPERLINK("https://cao.dolgi.msk.ru/account/1011346917/", 1011346917)</f>
        <v>1011346917</v>
      </c>
      <c r="D19421">
        <v>0</v>
      </c>
    </row>
    <row r="19422" spans="1:4" hidden="1" x14ac:dyDescent="0.3">
      <c r="A19422" t="s">
        <v>1080</v>
      </c>
      <c r="B19422" t="s">
        <v>53</v>
      </c>
      <c r="C19422" s="1">
        <f>HYPERLINK("https://cao.dolgi.msk.ru/account/1011347653/", 1011347653)</f>
        <v>1011347653</v>
      </c>
      <c r="D19422">
        <v>-56.35</v>
      </c>
    </row>
    <row r="19423" spans="1:4" x14ac:dyDescent="0.3">
      <c r="A19423" t="s">
        <v>1080</v>
      </c>
      <c r="B19423" t="s">
        <v>54</v>
      </c>
      <c r="C19423" s="1">
        <f>HYPERLINK("https://cao.dolgi.msk.ru/account/1011347725/", 1011347725)</f>
        <v>1011347725</v>
      </c>
      <c r="D19423">
        <v>3071.77</v>
      </c>
    </row>
    <row r="19424" spans="1:4" x14ac:dyDescent="0.3">
      <c r="A19424" t="s">
        <v>1080</v>
      </c>
      <c r="B19424" t="s">
        <v>55</v>
      </c>
      <c r="C19424" s="1">
        <f>HYPERLINK("https://cao.dolgi.msk.ru/account/1011347696/", 1011347696)</f>
        <v>1011347696</v>
      </c>
      <c r="D19424">
        <v>70084.5</v>
      </c>
    </row>
    <row r="19425" spans="1:4" hidden="1" x14ac:dyDescent="0.3">
      <c r="A19425" t="s">
        <v>1080</v>
      </c>
      <c r="B19425" t="s">
        <v>56</v>
      </c>
      <c r="C19425" s="1">
        <f>HYPERLINK("https://cao.dolgi.msk.ru/account/1011346757/", 1011346757)</f>
        <v>1011346757</v>
      </c>
      <c r="D19425">
        <v>0</v>
      </c>
    </row>
    <row r="19426" spans="1:4" hidden="1" x14ac:dyDescent="0.3">
      <c r="A19426" t="s">
        <v>1080</v>
      </c>
      <c r="B19426" t="s">
        <v>87</v>
      </c>
      <c r="C19426" s="1">
        <f>HYPERLINK("https://cao.dolgi.msk.ru/account/1011347397/", 1011347397)</f>
        <v>1011347397</v>
      </c>
      <c r="D19426">
        <v>0</v>
      </c>
    </row>
    <row r="19427" spans="1:4" hidden="1" x14ac:dyDescent="0.3">
      <c r="A19427" t="s">
        <v>1080</v>
      </c>
      <c r="B19427" t="s">
        <v>88</v>
      </c>
      <c r="C19427" s="1">
        <f>HYPERLINK("https://cao.dolgi.msk.ru/account/1011346802/", 1011346802)</f>
        <v>1011346802</v>
      </c>
      <c r="D19427">
        <v>-424.71</v>
      </c>
    </row>
    <row r="19428" spans="1:4" x14ac:dyDescent="0.3">
      <c r="A19428" t="s">
        <v>1080</v>
      </c>
      <c r="B19428" t="s">
        <v>89</v>
      </c>
      <c r="C19428" s="1">
        <f>HYPERLINK("https://cao.dolgi.msk.ru/account/1011347506/", 1011347506)</f>
        <v>1011347506</v>
      </c>
      <c r="D19428">
        <v>5595.02</v>
      </c>
    </row>
    <row r="19429" spans="1:4" hidden="1" x14ac:dyDescent="0.3">
      <c r="A19429" t="s">
        <v>1080</v>
      </c>
      <c r="B19429" t="s">
        <v>90</v>
      </c>
      <c r="C19429" s="1">
        <f>HYPERLINK("https://cao.dolgi.msk.ru/account/1011347143/", 1011347143)</f>
        <v>1011347143</v>
      </c>
      <c r="D19429">
        <v>-188.75</v>
      </c>
    </row>
    <row r="19430" spans="1:4" hidden="1" x14ac:dyDescent="0.3">
      <c r="A19430" t="s">
        <v>1080</v>
      </c>
      <c r="B19430" t="s">
        <v>96</v>
      </c>
      <c r="C19430" s="1">
        <f>HYPERLINK("https://cao.dolgi.msk.ru/account/1011346714/", 1011346714)</f>
        <v>1011346714</v>
      </c>
      <c r="D19430">
        <v>-77.680000000000007</v>
      </c>
    </row>
    <row r="19431" spans="1:4" hidden="1" x14ac:dyDescent="0.3">
      <c r="A19431" t="s">
        <v>1080</v>
      </c>
      <c r="B19431" t="s">
        <v>97</v>
      </c>
      <c r="C19431" s="1">
        <f>HYPERLINK("https://cao.dolgi.msk.ru/account/1011346538/", 1011346538)</f>
        <v>1011346538</v>
      </c>
      <c r="D19431">
        <v>0</v>
      </c>
    </row>
    <row r="19432" spans="1:4" hidden="1" x14ac:dyDescent="0.3">
      <c r="A19432" t="s">
        <v>1080</v>
      </c>
      <c r="B19432" t="s">
        <v>98</v>
      </c>
      <c r="C19432" s="1">
        <f>HYPERLINK("https://cao.dolgi.msk.ru/account/1011347151/", 1011347151)</f>
        <v>1011347151</v>
      </c>
      <c r="D19432">
        <v>-5191.08</v>
      </c>
    </row>
    <row r="19433" spans="1:4" hidden="1" x14ac:dyDescent="0.3">
      <c r="A19433" t="s">
        <v>1080</v>
      </c>
      <c r="B19433" t="s">
        <v>58</v>
      </c>
      <c r="C19433" s="1">
        <f>HYPERLINK("https://cao.dolgi.msk.ru/account/1011347207/", 1011347207)</f>
        <v>1011347207</v>
      </c>
      <c r="D19433">
        <v>-9976.5</v>
      </c>
    </row>
    <row r="19434" spans="1:4" hidden="1" x14ac:dyDescent="0.3">
      <c r="A19434" t="s">
        <v>1080</v>
      </c>
      <c r="B19434" t="s">
        <v>59</v>
      </c>
      <c r="C19434" s="1">
        <f>HYPERLINK("https://cao.dolgi.msk.ru/account/1011346845/", 1011346845)</f>
        <v>1011346845</v>
      </c>
      <c r="D19434">
        <v>0</v>
      </c>
    </row>
    <row r="19435" spans="1:4" hidden="1" x14ac:dyDescent="0.3">
      <c r="A19435" t="s">
        <v>1080</v>
      </c>
      <c r="B19435" t="s">
        <v>60</v>
      </c>
      <c r="C19435" s="1">
        <f>HYPERLINK("https://cao.dolgi.msk.ru/account/1011347311/", 1011347311)</f>
        <v>1011347311</v>
      </c>
      <c r="D19435">
        <v>0</v>
      </c>
    </row>
    <row r="19436" spans="1:4" hidden="1" x14ac:dyDescent="0.3">
      <c r="A19436" t="s">
        <v>1080</v>
      </c>
      <c r="B19436" t="s">
        <v>61</v>
      </c>
      <c r="C19436" s="1">
        <f>HYPERLINK("https://cao.dolgi.msk.ru/account/1011347477/", 1011347477)</f>
        <v>1011347477</v>
      </c>
      <c r="D19436">
        <v>0</v>
      </c>
    </row>
    <row r="19437" spans="1:4" hidden="1" x14ac:dyDescent="0.3">
      <c r="A19437" t="s">
        <v>1080</v>
      </c>
      <c r="B19437" t="s">
        <v>62</v>
      </c>
      <c r="C19437" s="1">
        <f>HYPERLINK("https://cao.dolgi.msk.ru/account/1011346853/", 1011346853)</f>
        <v>1011346853</v>
      </c>
      <c r="D19437">
        <v>0</v>
      </c>
    </row>
    <row r="19438" spans="1:4" hidden="1" x14ac:dyDescent="0.3">
      <c r="A19438" t="s">
        <v>1080</v>
      </c>
      <c r="B19438" t="s">
        <v>63</v>
      </c>
      <c r="C19438" s="1">
        <f>HYPERLINK("https://cao.dolgi.msk.ru/account/1011346618/", 1011346618)</f>
        <v>1011346618</v>
      </c>
      <c r="D19438">
        <v>0</v>
      </c>
    </row>
    <row r="19439" spans="1:4" hidden="1" x14ac:dyDescent="0.3">
      <c r="A19439" t="s">
        <v>1080</v>
      </c>
      <c r="B19439" t="s">
        <v>64</v>
      </c>
      <c r="C19439" s="1">
        <f>HYPERLINK("https://cao.dolgi.msk.ru/account/1011346773/", 1011346773)</f>
        <v>1011346773</v>
      </c>
      <c r="D19439">
        <v>0</v>
      </c>
    </row>
    <row r="19440" spans="1:4" hidden="1" x14ac:dyDescent="0.3">
      <c r="A19440" t="s">
        <v>1080</v>
      </c>
      <c r="B19440" t="s">
        <v>65</v>
      </c>
      <c r="C19440" s="1">
        <f>HYPERLINK("https://cao.dolgi.msk.ru/account/1011347346/", 1011347346)</f>
        <v>1011347346</v>
      </c>
      <c r="D19440">
        <v>0</v>
      </c>
    </row>
    <row r="19441" spans="1:4" hidden="1" x14ac:dyDescent="0.3">
      <c r="A19441" t="s">
        <v>1080</v>
      </c>
      <c r="B19441" t="s">
        <v>66</v>
      </c>
      <c r="C19441" s="1">
        <f>HYPERLINK("https://cao.dolgi.msk.ru/account/1011347231/", 1011347231)</f>
        <v>1011347231</v>
      </c>
      <c r="D19441">
        <v>-5921.52</v>
      </c>
    </row>
    <row r="19442" spans="1:4" hidden="1" x14ac:dyDescent="0.3">
      <c r="A19442" t="s">
        <v>1080</v>
      </c>
      <c r="B19442" t="s">
        <v>67</v>
      </c>
      <c r="C19442" s="1">
        <f>HYPERLINK("https://cao.dolgi.msk.ru/account/1011347354/", 1011347354)</f>
        <v>1011347354</v>
      </c>
      <c r="D19442">
        <v>-2917.45</v>
      </c>
    </row>
    <row r="19443" spans="1:4" hidden="1" x14ac:dyDescent="0.3">
      <c r="A19443" t="s">
        <v>1080</v>
      </c>
      <c r="B19443" t="s">
        <v>68</v>
      </c>
      <c r="C19443" s="1">
        <f>HYPERLINK("https://cao.dolgi.msk.ru/account/1011347039/", 1011347039)</f>
        <v>1011347039</v>
      </c>
      <c r="D19443">
        <v>0</v>
      </c>
    </row>
    <row r="19444" spans="1:4" hidden="1" x14ac:dyDescent="0.3">
      <c r="A19444" t="s">
        <v>1080</v>
      </c>
      <c r="B19444" t="s">
        <v>69</v>
      </c>
      <c r="C19444" s="1">
        <f>HYPERLINK("https://cao.dolgi.msk.ru/account/1011347055/", 1011347055)</f>
        <v>1011347055</v>
      </c>
      <c r="D19444">
        <v>0</v>
      </c>
    </row>
    <row r="19445" spans="1:4" hidden="1" x14ac:dyDescent="0.3">
      <c r="A19445" t="s">
        <v>1080</v>
      </c>
      <c r="B19445" t="s">
        <v>70</v>
      </c>
      <c r="C19445" s="1">
        <f>HYPERLINK("https://cao.dolgi.msk.ru/account/1011347629/", 1011347629)</f>
        <v>1011347629</v>
      </c>
      <c r="D19445">
        <v>0</v>
      </c>
    </row>
    <row r="19446" spans="1:4" x14ac:dyDescent="0.3">
      <c r="A19446" t="s">
        <v>1080</v>
      </c>
      <c r="B19446" t="s">
        <v>259</v>
      </c>
      <c r="C19446" s="1">
        <f>HYPERLINK("https://cao.dolgi.msk.ru/account/1011347418/", 1011347418)</f>
        <v>1011347418</v>
      </c>
      <c r="D19446">
        <v>50221.59</v>
      </c>
    </row>
    <row r="19447" spans="1:4" hidden="1" x14ac:dyDescent="0.3">
      <c r="A19447" t="s">
        <v>1080</v>
      </c>
      <c r="B19447" t="s">
        <v>100</v>
      </c>
      <c r="C19447" s="1">
        <f>HYPERLINK("https://cao.dolgi.msk.ru/account/1011347426/", 1011347426)</f>
        <v>1011347426</v>
      </c>
      <c r="D19447">
        <v>-75787.94</v>
      </c>
    </row>
    <row r="19448" spans="1:4" hidden="1" x14ac:dyDescent="0.3">
      <c r="A19448" t="s">
        <v>1080</v>
      </c>
      <c r="B19448" t="s">
        <v>72</v>
      </c>
      <c r="C19448" s="1">
        <f>HYPERLINK("https://cao.dolgi.msk.ru/account/1011347565/", 1011347565)</f>
        <v>1011347565</v>
      </c>
      <c r="D19448">
        <v>0</v>
      </c>
    </row>
    <row r="19449" spans="1:4" x14ac:dyDescent="0.3">
      <c r="A19449" t="s">
        <v>1080</v>
      </c>
      <c r="B19449" t="s">
        <v>73</v>
      </c>
      <c r="C19449" s="1">
        <f>HYPERLINK("https://cao.dolgi.msk.ru/account/1011346941/", 1011346941)</f>
        <v>1011346941</v>
      </c>
      <c r="D19449">
        <v>14655.5</v>
      </c>
    </row>
    <row r="19450" spans="1:4" hidden="1" x14ac:dyDescent="0.3">
      <c r="A19450" t="s">
        <v>1080</v>
      </c>
      <c r="B19450" t="s">
        <v>74</v>
      </c>
      <c r="C19450" s="1">
        <f>HYPERLINK("https://cao.dolgi.msk.ru/account/1011347792/", 1011347792)</f>
        <v>1011347792</v>
      </c>
      <c r="D19450">
        <v>-2050.13</v>
      </c>
    </row>
    <row r="19451" spans="1:4" hidden="1" x14ac:dyDescent="0.3">
      <c r="A19451" t="s">
        <v>1080</v>
      </c>
      <c r="B19451" t="s">
        <v>75</v>
      </c>
      <c r="C19451" s="1">
        <f>HYPERLINK("https://cao.dolgi.msk.ru/account/1011347485/", 1011347485)</f>
        <v>1011347485</v>
      </c>
      <c r="D19451">
        <v>0</v>
      </c>
    </row>
    <row r="19452" spans="1:4" hidden="1" x14ac:dyDescent="0.3">
      <c r="A19452" t="s">
        <v>1080</v>
      </c>
      <c r="B19452" t="s">
        <v>76</v>
      </c>
      <c r="C19452" s="1">
        <f>HYPERLINK("https://cao.dolgi.msk.ru/account/1011347514/", 1011347514)</f>
        <v>1011347514</v>
      </c>
      <c r="D19452">
        <v>0</v>
      </c>
    </row>
    <row r="19453" spans="1:4" hidden="1" x14ac:dyDescent="0.3">
      <c r="A19453" t="s">
        <v>1080</v>
      </c>
      <c r="B19453" t="s">
        <v>77</v>
      </c>
      <c r="C19453" s="1">
        <f>HYPERLINK("https://cao.dolgi.msk.ru/account/1011346925/", 1011346925)</f>
        <v>1011346925</v>
      </c>
      <c r="D19453">
        <v>0</v>
      </c>
    </row>
    <row r="19454" spans="1:4" hidden="1" x14ac:dyDescent="0.3">
      <c r="A19454" t="s">
        <v>1080</v>
      </c>
      <c r="B19454" t="s">
        <v>78</v>
      </c>
      <c r="C19454" s="1">
        <f>HYPERLINK("https://cao.dolgi.msk.ru/account/1011346511/", 1011346511)</f>
        <v>1011346511</v>
      </c>
      <c r="D19454">
        <v>0</v>
      </c>
    </row>
    <row r="19455" spans="1:4" hidden="1" x14ac:dyDescent="0.3">
      <c r="A19455" t="s">
        <v>1080</v>
      </c>
      <c r="B19455" t="s">
        <v>79</v>
      </c>
      <c r="C19455" s="1">
        <f>HYPERLINK("https://cao.dolgi.msk.ru/account/1011347776/", 1011347776)</f>
        <v>1011347776</v>
      </c>
      <c r="D19455">
        <v>-14458.29</v>
      </c>
    </row>
    <row r="19456" spans="1:4" x14ac:dyDescent="0.3">
      <c r="A19456" t="s">
        <v>1080</v>
      </c>
      <c r="B19456" t="s">
        <v>80</v>
      </c>
      <c r="C19456" s="1">
        <f>HYPERLINK("https://cao.dolgi.msk.ru/account/1011347469/", 1011347469)</f>
        <v>1011347469</v>
      </c>
      <c r="D19456">
        <v>47857.82</v>
      </c>
    </row>
    <row r="19457" spans="1:4" x14ac:dyDescent="0.3">
      <c r="A19457" t="s">
        <v>1080</v>
      </c>
      <c r="B19457" t="s">
        <v>81</v>
      </c>
      <c r="C19457" s="1">
        <f>HYPERLINK("https://cao.dolgi.msk.ru/account/1011346503/", 1011346503)</f>
        <v>1011346503</v>
      </c>
      <c r="D19457">
        <v>7545.76</v>
      </c>
    </row>
    <row r="19458" spans="1:4" hidden="1" x14ac:dyDescent="0.3">
      <c r="A19458" t="s">
        <v>1080</v>
      </c>
      <c r="B19458" t="s">
        <v>101</v>
      </c>
      <c r="C19458" s="1">
        <f>HYPERLINK("https://cao.dolgi.msk.ru/account/1011347602/", 1011347602)</f>
        <v>1011347602</v>
      </c>
      <c r="D19458">
        <v>0</v>
      </c>
    </row>
    <row r="19459" spans="1:4" x14ac:dyDescent="0.3">
      <c r="A19459" t="s">
        <v>1080</v>
      </c>
      <c r="B19459" t="s">
        <v>82</v>
      </c>
      <c r="C19459" s="1">
        <f>HYPERLINK("https://cao.dolgi.msk.ru/account/1011347258/", 1011347258)</f>
        <v>1011347258</v>
      </c>
      <c r="D19459">
        <v>7208.39</v>
      </c>
    </row>
    <row r="19460" spans="1:4" hidden="1" x14ac:dyDescent="0.3">
      <c r="A19460" t="s">
        <v>1080</v>
      </c>
      <c r="B19460" t="s">
        <v>83</v>
      </c>
      <c r="C19460" s="1">
        <f>HYPERLINK("https://cao.dolgi.msk.ru/account/1011347522/", 1011347522)</f>
        <v>1011347522</v>
      </c>
      <c r="D19460">
        <v>0</v>
      </c>
    </row>
    <row r="19461" spans="1:4" hidden="1" x14ac:dyDescent="0.3">
      <c r="A19461" t="s">
        <v>1080</v>
      </c>
      <c r="B19461" t="s">
        <v>84</v>
      </c>
      <c r="C19461" s="1">
        <f>HYPERLINK("https://cao.dolgi.msk.ru/account/1011347549/", 1011347549)</f>
        <v>1011347549</v>
      </c>
      <c r="D19461">
        <v>0</v>
      </c>
    </row>
    <row r="19462" spans="1:4" hidden="1" x14ac:dyDescent="0.3">
      <c r="A19462" t="s">
        <v>1080</v>
      </c>
      <c r="B19462" t="s">
        <v>85</v>
      </c>
      <c r="C19462" s="1">
        <f>HYPERLINK("https://cao.dolgi.msk.ru/account/1011347362/", 1011347362)</f>
        <v>1011347362</v>
      </c>
      <c r="D19462">
        <v>-6432.33</v>
      </c>
    </row>
    <row r="19463" spans="1:4" hidden="1" x14ac:dyDescent="0.3">
      <c r="A19463" t="s">
        <v>1080</v>
      </c>
      <c r="B19463" t="s">
        <v>102</v>
      </c>
      <c r="C19463" s="1">
        <f>HYPERLINK("https://cao.dolgi.msk.ru/account/1011347194/", 1011347194)</f>
        <v>1011347194</v>
      </c>
      <c r="D19463">
        <v>0</v>
      </c>
    </row>
    <row r="19464" spans="1:4" hidden="1" x14ac:dyDescent="0.3">
      <c r="A19464" t="s">
        <v>1080</v>
      </c>
      <c r="B19464" t="s">
        <v>103</v>
      </c>
      <c r="C19464" s="1">
        <f>HYPERLINK("https://cao.dolgi.msk.ru/account/1011346626/", 1011346626)</f>
        <v>1011346626</v>
      </c>
      <c r="D19464">
        <v>0</v>
      </c>
    </row>
    <row r="19465" spans="1:4" hidden="1" x14ac:dyDescent="0.3">
      <c r="A19465" t="s">
        <v>1080</v>
      </c>
      <c r="B19465" t="s">
        <v>104</v>
      </c>
      <c r="C19465" s="1">
        <f>HYPERLINK("https://cao.dolgi.msk.ru/account/1011347274/", 1011347274)</f>
        <v>1011347274</v>
      </c>
      <c r="D19465">
        <v>-3957.41</v>
      </c>
    </row>
    <row r="19466" spans="1:4" hidden="1" x14ac:dyDescent="0.3">
      <c r="A19466" t="s">
        <v>1080</v>
      </c>
      <c r="B19466" t="s">
        <v>105</v>
      </c>
      <c r="C19466" s="1">
        <f>HYPERLINK("https://cao.dolgi.msk.ru/account/1011346829/", 1011346829)</f>
        <v>1011346829</v>
      </c>
      <c r="D19466">
        <v>0</v>
      </c>
    </row>
    <row r="19467" spans="1:4" x14ac:dyDescent="0.3">
      <c r="A19467" t="s">
        <v>1080</v>
      </c>
      <c r="B19467" t="s">
        <v>106</v>
      </c>
      <c r="C19467" s="1">
        <f>HYPERLINK("https://cao.dolgi.msk.ru/account/1011347389/", 1011347389)</f>
        <v>1011347389</v>
      </c>
      <c r="D19467">
        <v>10405.16</v>
      </c>
    </row>
    <row r="19468" spans="1:4" hidden="1" x14ac:dyDescent="0.3">
      <c r="A19468" t="s">
        <v>1080</v>
      </c>
      <c r="B19468" t="s">
        <v>107</v>
      </c>
      <c r="C19468" s="1">
        <f>HYPERLINK("https://cao.dolgi.msk.ru/account/1011346968/", 1011346968)</f>
        <v>1011346968</v>
      </c>
      <c r="D19468">
        <v>0</v>
      </c>
    </row>
    <row r="19469" spans="1:4" x14ac:dyDescent="0.3">
      <c r="A19469" t="s">
        <v>1080</v>
      </c>
      <c r="B19469" t="s">
        <v>108</v>
      </c>
      <c r="C19469" s="1">
        <f>HYPERLINK("https://cao.dolgi.msk.ru/account/1011346693/", 1011346693)</f>
        <v>1011346693</v>
      </c>
      <c r="D19469">
        <v>5401.63</v>
      </c>
    </row>
    <row r="19470" spans="1:4" x14ac:dyDescent="0.3">
      <c r="A19470" t="s">
        <v>1080</v>
      </c>
      <c r="B19470" t="s">
        <v>109</v>
      </c>
      <c r="C19470" s="1">
        <f>HYPERLINK("https://cao.dolgi.msk.ru/account/1011347119/", 1011347119)</f>
        <v>1011347119</v>
      </c>
      <c r="D19470">
        <v>5640.66</v>
      </c>
    </row>
    <row r="19471" spans="1:4" hidden="1" x14ac:dyDescent="0.3">
      <c r="A19471" t="s">
        <v>1080</v>
      </c>
      <c r="B19471" t="s">
        <v>110</v>
      </c>
      <c r="C19471" s="1">
        <f>HYPERLINK("https://cao.dolgi.msk.ru/account/1011347573/", 1011347573)</f>
        <v>1011347573</v>
      </c>
      <c r="D19471">
        <v>0</v>
      </c>
    </row>
    <row r="19472" spans="1:4" hidden="1" x14ac:dyDescent="0.3">
      <c r="A19472" t="s">
        <v>1080</v>
      </c>
      <c r="B19472" t="s">
        <v>111</v>
      </c>
      <c r="C19472" s="1">
        <f>HYPERLINK("https://cao.dolgi.msk.ru/account/1011347303/", 1011347303)</f>
        <v>1011347303</v>
      </c>
      <c r="D19472">
        <v>0</v>
      </c>
    </row>
    <row r="19473" spans="1:4" hidden="1" x14ac:dyDescent="0.3">
      <c r="A19473" t="s">
        <v>1080</v>
      </c>
      <c r="B19473" t="s">
        <v>112</v>
      </c>
      <c r="C19473" s="1">
        <f>HYPERLINK("https://cao.dolgi.msk.ru/account/1011347098/", 1011347098)</f>
        <v>1011347098</v>
      </c>
      <c r="D19473">
        <v>-8684.18</v>
      </c>
    </row>
    <row r="19474" spans="1:4" hidden="1" x14ac:dyDescent="0.3">
      <c r="A19474" t="s">
        <v>1080</v>
      </c>
      <c r="B19474" t="s">
        <v>113</v>
      </c>
      <c r="C19474" s="1">
        <f>HYPERLINK("https://cao.dolgi.msk.ru/account/1011346861/", 1011346861)</f>
        <v>1011346861</v>
      </c>
      <c r="D19474">
        <v>0</v>
      </c>
    </row>
    <row r="19475" spans="1:4" x14ac:dyDescent="0.3">
      <c r="A19475" t="s">
        <v>1080</v>
      </c>
      <c r="B19475" t="s">
        <v>114</v>
      </c>
      <c r="C19475" s="1">
        <f>HYPERLINK("https://cao.dolgi.msk.ru/account/1011347178/", 1011347178)</f>
        <v>1011347178</v>
      </c>
      <c r="D19475">
        <v>17166.650000000001</v>
      </c>
    </row>
    <row r="19476" spans="1:4" hidden="1" x14ac:dyDescent="0.3">
      <c r="A19476" t="s">
        <v>1080</v>
      </c>
      <c r="B19476" t="s">
        <v>115</v>
      </c>
      <c r="C19476" s="1">
        <f>HYPERLINK("https://cao.dolgi.msk.ru/account/1011347493/", 1011347493)</f>
        <v>1011347493</v>
      </c>
      <c r="D19476">
        <v>0</v>
      </c>
    </row>
    <row r="19477" spans="1:4" hidden="1" x14ac:dyDescent="0.3">
      <c r="A19477" t="s">
        <v>1080</v>
      </c>
      <c r="B19477" t="s">
        <v>116</v>
      </c>
      <c r="C19477" s="1">
        <f>HYPERLINK("https://cao.dolgi.msk.ru/account/1011347063/", 1011347063)</f>
        <v>1011347063</v>
      </c>
      <c r="D19477">
        <v>-70153.56</v>
      </c>
    </row>
    <row r="19478" spans="1:4" hidden="1" x14ac:dyDescent="0.3">
      <c r="A19478" t="s">
        <v>1080</v>
      </c>
      <c r="B19478" t="s">
        <v>266</v>
      </c>
      <c r="C19478" s="1">
        <f>HYPERLINK("https://cao.dolgi.msk.ru/account/1011347338/", 1011347338)</f>
        <v>1011347338</v>
      </c>
      <c r="D19478">
        <v>0</v>
      </c>
    </row>
    <row r="19479" spans="1:4" hidden="1" x14ac:dyDescent="0.3">
      <c r="A19479" t="s">
        <v>1080</v>
      </c>
      <c r="B19479" t="s">
        <v>117</v>
      </c>
      <c r="C19479" s="1">
        <f>HYPERLINK("https://cao.dolgi.msk.ru/account/1011347434/", 1011347434)</f>
        <v>1011347434</v>
      </c>
      <c r="D19479">
        <v>-4384.6400000000003</v>
      </c>
    </row>
    <row r="19480" spans="1:4" hidden="1" x14ac:dyDescent="0.3">
      <c r="A19480" t="s">
        <v>1080</v>
      </c>
      <c r="B19480" t="s">
        <v>118</v>
      </c>
      <c r="C19480" s="1">
        <f>HYPERLINK("https://cao.dolgi.msk.ru/account/1011347637/", 1011347637)</f>
        <v>1011347637</v>
      </c>
      <c r="D19480">
        <v>0</v>
      </c>
    </row>
    <row r="19481" spans="1:4" hidden="1" x14ac:dyDescent="0.3">
      <c r="A19481" t="s">
        <v>1080</v>
      </c>
      <c r="B19481" t="s">
        <v>119</v>
      </c>
      <c r="C19481" s="1">
        <f>HYPERLINK("https://cao.dolgi.msk.ru/account/1011347784/", 1011347784)</f>
        <v>1011347784</v>
      </c>
      <c r="D19481">
        <v>-3496.05</v>
      </c>
    </row>
    <row r="19482" spans="1:4" hidden="1" x14ac:dyDescent="0.3">
      <c r="A19482" t="s">
        <v>1080</v>
      </c>
      <c r="B19482" t="s">
        <v>120</v>
      </c>
      <c r="C19482" s="1">
        <f>HYPERLINK("https://cao.dolgi.msk.ru/account/1011346837/", 1011346837)</f>
        <v>1011346837</v>
      </c>
      <c r="D19482">
        <v>-37.68</v>
      </c>
    </row>
    <row r="19483" spans="1:4" hidden="1" x14ac:dyDescent="0.3">
      <c r="A19483" t="s">
        <v>1080</v>
      </c>
      <c r="B19483" t="s">
        <v>121</v>
      </c>
      <c r="C19483" s="1">
        <f>HYPERLINK("https://cao.dolgi.msk.ru/account/1011347215/", 1011347215)</f>
        <v>1011347215</v>
      </c>
      <c r="D19483">
        <v>-4972.6099999999997</v>
      </c>
    </row>
    <row r="19484" spans="1:4" hidden="1" x14ac:dyDescent="0.3">
      <c r="A19484" t="s">
        <v>1080</v>
      </c>
      <c r="B19484" t="s">
        <v>122</v>
      </c>
      <c r="C19484" s="1">
        <f>HYPERLINK("https://cao.dolgi.msk.ru/account/1011347733/", 1011347733)</f>
        <v>1011347733</v>
      </c>
      <c r="D19484">
        <v>0</v>
      </c>
    </row>
    <row r="19485" spans="1:4" hidden="1" x14ac:dyDescent="0.3">
      <c r="A19485" t="s">
        <v>1080</v>
      </c>
      <c r="B19485" t="s">
        <v>123</v>
      </c>
      <c r="C19485" s="1">
        <f>HYPERLINK("https://cao.dolgi.msk.ru/account/1011346634/", 1011346634)</f>
        <v>1011346634</v>
      </c>
      <c r="D19485">
        <v>0</v>
      </c>
    </row>
    <row r="19486" spans="1:4" hidden="1" x14ac:dyDescent="0.3">
      <c r="A19486" t="s">
        <v>1080</v>
      </c>
      <c r="B19486" t="s">
        <v>124</v>
      </c>
      <c r="C19486" s="1">
        <f>HYPERLINK("https://cao.dolgi.msk.ru/account/1011347661/", 1011347661)</f>
        <v>1011347661</v>
      </c>
      <c r="D19486">
        <v>-4714.28</v>
      </c>
    </row>
    <row r="19487" spans="1:4" x14ac:dyDescent="0.3">
      <c r="A19487" t="s">
        <v>1080</v>
      </c>
      <c r="B19487" t="s">
        <v>125</v>
      </c>
      <c r="C19487" s="1">
        <f>HYPERLINK("https://cao.dolgi.msk.ru/account/1011346722/", 1011346722)</f>
        <v>1011346722</v>
      </c>
      <c r="D19487">
        <v>51064.33</v>
      </c>
    </row>
    <row r="19488" spans="1:4" x14ac:dyDescent="0.3">
      <c r="A19488" t="s">
        <v>1080</v>
      </c>
      <c r="B19488" t="s">
        <v>126</v>
      </c>
      <c r="C19488" s="1">
        <f>HYPERLINK("https://cao.dolgi.msk.ru/account/1011347581/", 1011347581)</f>
        <v>1011347581</v>
      </c>
      <c r="D19488">
        <v>8610.8700000000008</v>
      </c>
    </row>
    <row r="19489" spans="1:4" hidden="1" x14ac:dyDescent="0.3">
      <c r="A19489" t="s">
        <v>1080</v>
      </c>
      <c r="B19489" t="s">
        <v>127</v>
      </c>
      <c r="C19489" s="1">
        <f>HYPERLINK("https://cao.dolgi.msk.ru/account/1011347442/", 1011347442)</f>
        <v>1011347442</v>
      </c>
      <c r="D19489">
        <v>0</v>
      </c>
    </row>
    <row r="19490" spans="1:4" hidden="1" x14ac:dyDescent="0.3">
      <c r="A19490" t="s">
        <v>1080</v>
      </c>
      <c r="B19490" t="s">
        <v>262</v>
      </c>
      <c r="C19490" s="1">
        <f>HYPERLINK("https://cao.dolgi.msk.ru/account/1011346642/", 1011346642)</f>
        <v>1011346642</v>
      </c>
      <c r="D19490">
        <v>0</v>
      </c>
    </row>
    <row r="19491" spans="1:4" hidden="1" x14ac:dyDescent="0.3">
      <c r="A19491" t="s">
        <v>1080</v>
      </c>
      <c r="B19491" t="s">
        <v>128</v>
      </c>
      <c r="C19491" s="1">
        <f>HYPERLINK("https://cao.dolgi.msk.ru/account/1011346482/", 1011346482)</f>
        <v>1011346482</v>
      </c>
      <c r="D19491">
        <v>0</v>
      </c>
    </row>
    <row r="19492" spans="1:4" hidden="1" x14ac:dyDescent="0.3">
      <c r="A19492" t="s">
        <v>1080</v>
      </c>
      <c r="B19492" t="s">
        <v>129</v>
      </c>
      <c r="C19492" s="1">
        <f>HYPERLINK("https://cao.dolgi.msk.ru/account/1011347557/", 1011347557)</f>
        <v>1011347557</v>
      </c>
      <c r="D19492">
        <v>0</v>
      </c>
    </row>
    <row r="19493" spans="1:4" hidden="1" x14ac:dyDescent="0.3">
      <c r="A19493" t="s">
        <v>1080</v>
      </c>
      <c r="B19493" t="s">
        <v>130</v>
      </c>
      <c r="C19493" s="1">
        <f>HYPERLINK("https://cao.dolgi.msk.ru/account/1011346933/", 1011346933)</f>
        <v>1011346933</v>
      </c>
      <c r="D19493">
        <v>-4932.43</v>
      </c>
    </row>
    <row r="19494" spans="1:4" hidden="1" x14ac:dyDescent="0.3">
      <c r="A19494" t="s">
        <v>1080</v>
      </c>
      <c r="B19494" t="s">
        <v>131</v>
      </c>
      <c r="C19494" s="1">
        <f>HYPERLINK("https://cao.dolgi.msk.ru/account/1011347688/", 1011347688)</f>
        <v>1011347688</v>
      </c>
      <c r="D19494">
        <v>-5418.57</v>
      </c>
    </row>
    <row r="19495" spans="1:4" hidden="1" x14ac:dyDescent="0.3">
      <c r="A19495" t="s">
        <v>1080</v>
      </c>
      <c r="B19495" t="s">
        <v>132</v>
      </c>
      <c r="C19495" s="1">
        <f>HYPERLINK("https://cao.dolgi.msk.ru/account/1011347004/", 1011347004)</f>
        <v>1011347004</v>
      </c>
      <c r="D19495">
        <v>0</v>
      </c>
    </row>
    <row r="19496" spans="1:4" hidden="1" x14ac:dyDescent="0.3">
      <c r="A19496" t="s">
        <v>1080</v>
      </c>
      <c r="B19496" t="s">
        <v>133</v>
      </c>
      <c r="C19496" s="1">
        <f>HYPERLINK("https://cao.dolgi.msk.ru/account/1011346562/", 1011346562)</f>
        <v>1011346562</v>
      </c>
      <c r="D19496">
        <v>0</v>
      </c>
    </row>
    <row r="19497" spans="1:4" hidden="1" x14ac:dyDescent="0.3">
      <c r="A19497" t="s">
        <v>1080</v>
      </c>
      <c r="B19497" t="s">
        <v>134</v>
      </c>
      <c r="C19497" s="1">
        <f>HYPERLINK("https://cao.dolgi.msk.ru/account/1011346765/", 1011346765)</f>
        <v>1011346765</v>
      </c>
      <c r="D19497">
        <v>-2544.4299999999998</v>
      </c>
    </row>
    <row r="19498" spans="1:4" hidden="1" x14ac:dyDescent="0.3">
      <c r="A19498" t="s">
        <v>1081</v>
      </c>
      <c r="B19498" t="s">
        <v>6</v>
      </c>
      <c r="C19498" s="1">
        <f>HYPERLINK("https://cao.dolgi.msk.ru/account/1011192153/", 1011192153)</f>
        <v>1011192153</v>
      </c>
      <c r="D19498">
        <v>0</v>
      </c>
    </row>
    <row r="19499" spans="1:4" hidden="1" x14ac:dyDescent="0.3">
      <c r="A19499" t="s">
        <v>1081</v>
      </c>
      <c r="B19499" t="s">
        <v>5</v>
      </c>
      <c r="C19499" s="1">
        <f>HYPERLINK("https://cao.dolgi.msk.ru/account/1011192233/", 1011192233)</f>
        <v>1011192233</v>
      </c>
      <c r="D19499">
        <v>0</v>
      </c>
    </row>
    <row r="19500" spans="1:4" hidden="1" x14ac:dyDescent="0.3">
      <c r="A19500" t="s">
        <v>1081</v>
      </c>
      <c r="B19500" t="s">
        <v>11</v>
      </c>
      <c r="C19500" s="1">
        <f>HYPERLINK("https://cao.dolgi.msk.ru/account/1011192217/", 1011192217)</f>
        <v>1011192217</v>
      </c>
      <c r="D19500">
        <v>-310.64</v>
      </c>
    </row>
    <row r="19501" spans="1:4" hidden="1" x14ac:dyDescent="0.3">
      <c r="A19501" t="s">
        <v>1081</v>
      </c>
      <c r="B19501" t="s">
        <v>11</v>
      </c>
      <c r="C19501" s="1">
        <f>HYPERLINK("https://cao.dolgi.msk.ru/account/1011192225/", 1011192225)</f>
        <v>1011192225</v>
      </c>
      <c r="D19501">
        <v>-417.84</v>
      </c>
    </row>
    <row r="19502" spans="1:4" x14ac:dyDescent="0.3">
      <c r="A19502" t="s">
        <v>1081</v>
      </c>
      <c r="B19502" t="s">
        <v>12</v>
      </c>
      <c r="C19502" s="1">
        <f>HYPERLINK("https://cao.dolgi.msk.ru/account/1011192014/", 1011192014)</f>
        <v>1011192014</v>
      </c>
      <c r="D19502">
        <v>7992.36</v>
      </c>
    </row>
    <row r="19503" spans="1:4" hidden="1" x14ac:dyDescent="0.3">
      <c r="A19503" t="s">
        <v>1081</v>
      </c>
      <c r="B19503" t="s">
        <v>14</v>
      </c>
      <c r="C19503" s="1">
        <f>HYPERLINK("https://cao.dolgi.msk.ru/account/1011192065/", 1011192065)</f>
        <v>1011192065</v>
      </c>
      <c r="D19503">
        <v>0</v>
      </c>
    </row>
    <row r="19504" spans="1:4" hidden="1" x14ac:dyDescent="0.3">
      <c r="A19504" t="s">
        <v>1081</v>
      </c>
      <c r="B19504" t="s">
        <v>29</v>
      </c>
      <c r="C19504" s="1">
        <f>HYPERLINK("https://cao.dolgi.msk.ru/account/1011192196/", 1011192196)</f>
        <v>1011192196</v>
      </c>
      <c r="D19504">
        <v>-17869.38</v>
      </c>
    </row>
    <row r="19505" spans="1:4" hidden="1" x14ac:dyDescent="0.3">
      <c r="A19505" t="s">
        <v>1081</v>
      </c>
      <c r="B19505" t="s">
        <v>38</v>
      </c>
      <c r="C19505" s="1">
        <f>HYPERLINK("https://cao.dolgi.msk.ru/account/1011192081/", 1011192081)</f>
        <v>1011192081</v>
      </c>
      <c r="D19505">
        <v>-249.48</v>
      </c>
    </row>
    <row r="19506" spans="1:4" hidden="1" x14ac:dyDescent="0.3">
      <c r="A19506" t="s">
        <v>1081</v>
      </c>
      <c r="B19506" t="s">
        <v>39</v>
      </c>
      <c r="C19506" s="1">
        <f>HYPERLINK("https://cao.dolgi.msk.ru/account/1011192073/", 1011192073)</f>
        <v>1011192073</v>
      </c>
      <c r="D19506">
        <v>0</v>
      </c>
    </row>
    <row r="19507" spans="1:4" hidden="1" x14ac:dyDescent="0.3">
      <c r="A19507" t="s">
        <v>1081</v>
      </c>
      <c r="B19507" t="s">
        <v>40</v>
      </c>
      <c r="C19507" s="1">
        <f>HYPERLINK("https://cao.dolgi.msk.ru/account/1011192049/", 1011192049)</f>
        <v>1011192049</v>
      </c>
      <c r="D19507">
        <v>-10089.85</v>
      </c>
    </row>
    <row r="19508" spans="1:4" x14ac:dyDescent="0.3">
      <c r="A19508" t="s">
        <v>1081</v>
      </c>
      <c r="B19508" t="s">
        <v>40</v>
      </c>
      <c r="C19508" s="1">
        <f>HYPERLINK("https://cao.dolgi.msk.ru/account/1011192161/", 1011192161)</f>
        <v>1011192161</v>
      </c>
      <c r="D19508">
        <v>103852.38</v>
      </c>
    </row>
    <row r="19509" spans="1:4" x14ac:dyDescent="0.3">
      <c r="A19509" t="s">
        <v>1081</v>
      </c>
      <c r="B19509" t="s">
        <v>41</v>
      </c>
      <c r="C19509" s="1">
        <f>HYPERLINK("https://cao.dolgi.msk.ru/account/1011192102/", 1011192102)</f>
        <v>1011192102</v>
      </c>
      <c r="D19509">
        <v>10974.22</v>
      </c>
    </row>
    <row r="19510" spans="1:4" x14ac:dyDescent="0.3">
      <c r="A19510" t="s">
        <v>1081</v>
      </c>
      <c r="B19510" t="s">
        <v>51</v>
      </c>
      <c r="C19510" s="1">
        <f>HYPERLINK("https://cao.dolgi.msk.ru/account/1011192188/", 1011192188)</f>
        <v>1011192188</v>
      </c>
      <c r="D19510">
        <v>861.71</v>
      </c>
    </row>
    <row r="19511" spans="1:4" hidden="1" x14ac:dyDescent="0.3">
      <c r="A19511" t="s">
        <v>1081</v>
      </c>
      <c r="B19511" t="s">
        <v>52</v>
      </c>
      <c r="C19511" s="1">
        <f>HYPERLINK("https://cao.dolgi.msk.ru/account/1011192057/", 1011192057)</f>
        <v>1011192057</v>
      </c>
      <c r="D19511">
        <v>-98.42</v>
      </c>
    </row>
    <row r="19512" spans="1:4" hidden="1" x14ac:dyDescent="0.3">
      <c r="A19512" t="s">
        <v>1081</v>
      </c>
      <c r="B19512" t="s">
        <v>53</v>
      </c>
      <c r="C19512" s="1">
        <f>HYPERLINK("https://cao.dolgi.msk.ru/account/1011192145/", 1011192145)</f>
        <v>1011192145</v>
      </c>
      <c r="D19512">
        <v>0</v>
      </c>
    </row>
    <row r="19513" spans="1:4" hidden="1" x14ac:dyDescent="0.3">
      <c r="A19513" t="s">
        <v>1081</v>
      </c>
      <c r="B19513" t="s">
        <v>54</v>
      </c>
      <c r="C19513" s="1">
        <f>HYPERLINK("https://cao.dolgi.msk.ru/account/1011192129/", 1011192129)</f>
        <v>1011192129</v>
      </c>
      <c r="D19513">
        <v>-28048.19</v>
      </c>
    </row>
    <row r="19514" spans="1:4" hidden="1" x14ac:dyDescent="0.3">
      <c r="A19514" t="s">
        <v>1081</v>
      </c>
      <c r="B19514" t="s">
        <v>55</v>
      </c>
      <c r="C19514" s="1">
        <f>HYPERLINK("https://cao.dolgi.msk.ru/account/1011192209/", 1011192209)</f>
        <v>1011192209</v>
      </c>
      <c r="D19514">
        <v>-12808.25</v>
      </c>
    </row>
    <row r="19515" spans="1:4" hidden="1" x14ac:dyDescent="0.3">
      <c r="A19515" t="s">
        <v>1081</v>
      </c>
      <c r="B19515" t="s">
        <v>56</v>
      </c>
      <c r="C19515" s="1">
        <f>HYPERLINK("https://cao.dolgi.msk.ru/account/1011192241/", 1011192241)</f>
        <v>1011192241</v>
      </c>
      <c r="D19515">
        <v>0</v>
      </c>
    </row>
    <row r="19516" spans="1:4" hidden="1" x14ac:dyDescent="0.3">
      <c r="A19516" t="s">
        <v>1081</v>
      </c>
      <c r="B19516" t="s">
        <v>87</v>
      </c>
      <c r="C19516" s="1">
        <f>HYPERLINK("https://cao.dolgi.msk.ru/account/1011192022/", 1011192022)</f>
        <v>1011192022</v>
      </c>
      <c r="D19516">
        <v>-9682.59</v>
      </c>
    </row>
    <row r="19517" spans="1:4" hidden="1" x14ac:dyDescent="0.3">
      <c r="A19517" t="s">
        <v>1081</v>
      </c>
      <c r="B19517" t="s">
        <v>88</v>
      </c>
      <c r="C19517" s="1">
        <f>HYPERLINK("https://cao.dolgi.msk.ru/account/1011192137/", 1011192137)</f>
        <v>1011192137</v>
      </c>
      <c r="D19517">
        <v>-65.290000000000006</v>
      </c>
    </row>
    <row r="19518" spans="1:4" hidden="1" x14ac:dyDescent="0.3">
      <c r="A19518" t="s">
        <v>1082</v>
      </c>
      <c r="B19518" t="s">
        <v>6</v>
      </c>
      <c r="C19518" s="1">
        <f>HYPERLINK("https://cao.dolgi.msk.ru/account/1011054367/", 1011054367)</f>
        <v>1011054367</v>
      </c>
      <c r="D19518">
        <v>-7155.64</v>
      </c>
    </row>
    <row r="19519" spans="1:4" hidden="1" x14ac:dyDescent="0.3">
      <c r="A19519" t="s">
        <v>1082</v>
      </c>
      <c r="B19519" t="s">
        <v>5</v>
      </c>
      <c r="C19519" s="1">
        <f>HYPERLINK("https://cao.dolgi.msk.ru/account/1011054586/", 1011054586)</f>
        <v>1011054586</v>
      </c>
      <c r="D19519">
        <v>0</v>
      </c>
    </row>
    <row r="19520" spans="1:4" hidden="1" x14ac:dyDescent="0.3">
      <c r="A19520" t="s">
        <v>1082</v>
      </c>
      <c r="B19520" t="s">
        <v>7</v>
      </c>
      <c r="C19520" s="1">
        <f>HYPERLINK("https://cao.dolgi.msk.ru/account/1011054308/", 1011054308)</f>
        <v>1011054308</v>
      </c>
      <c r="D19520">
        <v>-15107.23</v>
      </c>
    </row>
    <row r="19521" spans="1:4" hidden="1" x14ac:dyDescent="0.3">
      <c r="A19521" t="s">
        <v>1082</v>
      </c>
      <c r="B19521" t="s">
        <v>8</v>
      </c>
      <c r="C19521" s="1">
        <f>HYPERLINK("https://cao.dolgi.msk.ru/account/1011054447/", 1011054447)</f>
        <v>1011054447</v>
      </c>
      <c r="D19521">
        <v>0</v>
      </c>
    </row>
    <row r="19522" spans="1:4" hidden="1" x14ac:dyDescent="0.3">
      <c r="A19522" t="s">
        <v>1082</v>
      </c>
      <c r="B19522" t="s">
        <v>31</v>
      </c>
      <c r="C19522" s="1">
        <f>HYPERLINK("https://cao.dolgi.msk.ru/account/1011054455/", 1011054455)</f>
        <v>1011054455</v>
      </c>
      <c r="D19522">
        <v>0</v>
      </c>
    </row>
    <row r="19523" spans="1:4" hidden="1" x14ac:dyDescent="0.3">
      <c r="A19523" t="s">
        <v>1082</v>
      </c>
      <c r="B19523" t="s">
        <v>9</v>
      </c>
      <c r="C19523" s="1">
        <f>HYPERLINK("https://cao.dolgi.msk.ru/account/1011054391/", 1011054391)</f>
        <v>1011054391</v>
      </c>
      <c r="D19523">
        <v>-267.58</v>
      </c>
    </row>
    <row r="19524" spans="1:4" hidden="1" x14ac:dyDescent="0.3">
      <c r="A19524" t="s">
        <v>1082</v>
      </c>
      <c r="B19524" t="s">
        <v>10</v>
      </c>
      <c r="C19524" s="1">
        <f>HYPERLINK("https://cao.dolgi.msk.ru/account/1011054404/", 1011054404)</f>
        <v>1011054404</v>
      </c>
      <c r="D19524">
        <v>0</v>
      </c>
    </row>
    <row r="19525" spans="1:4" hidden="1" x14ac:dyDescent="0.3">
      <c r="A19525" t="s">
        <v>1082</v>
      </c>
      <c r="B19525" t="s">
        <v>11</v>
      </c>
      <c r="C19525" s="1">
        <f>HYPERLINK("https://cao.dolgi.msk.ru/account/1011054316/", 1011054316)</f>
        <v>1011054316</v>
      </c>
      <c r="D19525">
        <v>0</v>
      </c>
    </row>
    <row r="19526" spans="1:4" x14ac:dyDescent="0.3">
      <c r="A19526" t="s">
        <v>1082</v>
      </c>
      <c r="B19526" t="s">
        <v>12</v>
      </c>
      <c r="C19526" s="1">
        <f>HYPERLINK("https://cao.dolgi.msk.ru/account/1011054578/", 1011054578)</f>
        <v>1011054578</v>
      </c>
      <c r="D19526">
        <v>7251.91</v>
      </c>
    </row>
    <row r="19527" spans="1:4" hidden="1" x14ac:dyDescent="0.3">
      <c r="A19527" t="s">
        <v>1082</v>
      </c>
      <c r="B19527" t="s">
        <v>23</v>
      </c>
      <c r="C19527" s="1">
        <f>HYPERLINK("https://cao.dolgi.msk.ru/account/1011054412/", 1011054412)</f>
        <v>1011054412</v>
      </c>
      <c r="D19527">
        <v>-489.54</v>
      </c>
    </row>
    <row r="19528" spans="1:4" hidden="1" x14ac:dyDescent="0.3">
      <c r="A19528" t="s">
        <v>1082</v>
      </c>
      <c r="B19528" t="s">
        <v>13</v>
      </c>
      <c r="C19528" s="1">
        <f>HYPERLINK("https://cao.dolgi.msk.ru/account/1011054324/", 1011054324)</f>
        <v>1011054324</v>
      </c>
      <c r="D19528">
        <v>0</v>
      </c>
    </row>
    <row r="19529" spans="1:4" x14ac:dyDescent="0.3">
      <c r="A19529" t="s">
        <v>1082</v>
      </c>
      <c r="B19529" t="s">
        <v>14</v>
      </c>
      <c r="C19529" s="1">
        <f>HYPERLINK("https://cao.dolgi.msk.ru/account/1011054252/", 1011054252)</f>
        <v>1011054252</v>
      </c>
      <c r="D19529">
        <v>7687.4</v>
      </c>
    </row>
    <row r="19530" spans="1:4" hidden="1" x14ac:dyDescent="0.3">
      <c r="A19530" t="s">
        <v>1082</v>
      </c>
      <c r="B19530" t="s">
        <v>14</v>
      </c>
      <c r="C19530" s="1">
        <f>HYPERLINK("https://cao.dolgi.msk.ru/account/1011506001/", 1011506001)</f>
        <v>1011506001</v>
      </c>
      <c r="D19530">
        <v>-3645.29</v>
      </c>
    </row>
    <row r="19531" spans="1:4" x14ac:dyDescent="0.3">
      <c r="A19531" t="s">
        <v>1082</v>
      </c>
      <c r="B19531" t="s">
        <v>16</v>
      </c>
      <c r="C19531" s="1">
        <f>HYPERLINK("https://cao.dolgi.msk.ru/account/1011054519/", 1011054519)</f>
        <v>1011054519</v>
      </c>
      <c r="D19531">
        <v>15167.16</v>
      </c>
    </row>
    <row r="19532" spans="1:4" x14ac:dyDescent="0.3">
      <c r="A19532" t="s">
        <v>1082</v>
      </c>
      <c r="B19532" t="s">
        <v>17</v>
      </c>
      <c r="C19532" s="1">
        <f>HYPERLINK("https://cao.dolgi.msk.ru/account/1011054279/", 1011054279)</f>
        <v>1011054279</v>
      </c>
      <c r="D19532">
        <v>30632.09</v>
      </c>
    </row>
    <row r="19533" spans="1:4" hidden="1" x14ac:dyDescent="0.3">
      <c r="A19533" t="s">
        <v>1082</v>
      </c>
      <c r="B19533" t="s">
        <v>17</v>
      </c>
      <c r="C19533" s="1">
        <f>HYPERLINK("https://cao.dolgi.msk.ru/account/1011054527/", 1011054527)</f>
        <v>1011054527</v>
      </c>
      <c r="D19533">
        <v>-24715.73</v>
      </c>
    </row>
    <row r="19534" spans="1:4" x14ac:dyDescent="0.3">
      <c r="A19534" t="s">
        <v>1082</v>
      </c>
      <c r="B19534" t="s">
        <v>17</v>
      </c>
      <c r="C19534" s="1">
        <f>HYPERLINK("https://cao.dolgi.msk.ru/account/1011054543/", 1011054543)</f>
        <v>1011054543</v>
      </c>
      <c r="D19534">
        <v>39368.379999999997</v>
      </c>
    </row>
    <row r="19535" spans="1:4" hidden="1" x14ac:dyDescent="0.3">
      <c r="A19535" t="s">
        <v>1082</v>
      </c>
      <c r="B19535" t="s">
        <v>18</v>
      </c>
      <c r="C19535" s="1">
        <f>HYPERLINK("https://cao.dolgi.msk.ru/account/1011054287/", 1011054287)</f>
        <v>1011054287</v>
      </c>
      <c r="D19535">
        <v>-17389.919999999998</v>
      </c>
    </row>
    <row r="19536" spans="1:4" hidden="1" x14ac:dyDescent="0.3">
      <c r="A19536" t="s">
        <v>1082</v>
      </c>
      <c r="B19536" t="s">
        <v>19</v>
      </c>
      <c r="C19536" s="1">
        <f>HYPERLINK("https://cao.dolgi.msk.ru/account/1011054551/", 1011054551)</f>
        <v>1011054551</v>
      </c>
      <c r="D19536">
        <v>0</v>
      </c>
    </row>
    <row r="19537" spans="1:4" hidden="1" x14ac:dyDescent="0.3">
      <c r="A19537" t="s">
        <v>1082</v>
      </c>
      <c r="B19537" t="s">
        <v>20</v>
      </c>
      <c r="C19537" s="1">
        <f>HYPERLINK("https://cao.dolgi.msk.ru/account/1011054471/", 1011054471)</f>
        <v>1011054471</v>
      </c>
      <c r="D19537">
        <v>-1007.58</v>
      </c>
    </row>
    <row r="19538" spans="1:4" hidden="1" x14ac:dyDescent="0.3">
      <c r="A19538" t="s">
        <v>1082</v>
      </c>
      <c r="B19538" t="s">
        <v>21</v>
      </c>
      <c r="C19538" s="1">
        <f>HYPERLINK("https://cao.dolgi.msk.ru/account/1011054375/", 1011054375)</f>
        <v>1011054375</v>
      </c>
      <c r="D19538">
        <v>0</v>
      </c>
    </row>
    <row r="19539" spans="1:4" hidden="1" x14ac:dyDescent="0.3">
      <c r="A19539" t="s">
        <v>1082</v>
      </c>
      <c r="B19539" t="s">
        <v>21</v>
      </c>
      <c r="C19539" s="1">
        <f>HYPERLINK("https://cao.dolgi.msk.ru/account/1011054383/", 1011054383)</f>
        <v>1011054383</v>
      </c>
      <c r="D19539">
        <v>-353.6</v>
      </c>
    </row>
    <row r="19540" spans="1:4" x14ac:dyDescent="0.3">
      <c r="A19540" t="s">
        <v>1082</v>
      </c>
      <c r="B19540" t="s">
        <v>21</v>
      </c>
      <c r="C19540" s="1">
        <f>HYPERLINK("https://cao.dolgi.msk.ru/account/1011054439/", 1011054439)</f>
        <v>1011054439</v>
      </c>
      <c r="D19540">
        <v>38493.65</v>
      </c>
    </row>
    <row r="19541" spans="1:4" hidden="1" x14ac:dyDescent="0.3">
      <c r="A19541" t="s">
        <v>1082</v>
      </c>
      <c r="B19541" t="s">
        <v>21</v>
      </c>
      <c r="C19541" s="1">
        <f>HYPERLINK("https://cao.dolgi.msk.ru/account/1011526002/", 1011526002)</f>
        <v>1011526002</v>
      </c>
      <c r="D19541">
        <v>0</v>
      </c>
    </row>
    <row r="19542" spans="1:4" hidden="1" x14ac:dyDescent="0.3">
      <c r="A19542" t="s">
        <v>1082</v>
      </c>
      <c r="B19542" t="s">
        <v>21</v>
      </c>
      <c r="C19542" s="1">
        <f>HYPERLINK("https://cao.dolgi.msk.ru/account/1011526213/", 1011526213)</f>
        <v>1011526213</v>
      </c>
      <c r="D19542">
        <v>0</v>
      </c>
    </row>
    <row r="19543" spans="1:4" hidden="1" x14ac:dyDescent="0.3">
      <c r="A19543" t="s">
        <v>1082</v>
      </c>
      <c r="B19543" t="s">
        <v>22</v>
      </c>
      <c r="C19543" s="1">
        <f>HYPERLINK("https://cao.dolgi.msk.ru/account/1011054295/", 1011054295)</f>
        <v>1011054295</v>
      </c>
      <c r="D19543">
        <v>-363.76</v>
      </c>
    </row>
    <row r="19544" spans="1:4" hidden="1" x14ac:dyDescent="0.3">
      <c r="A19544" t="s">
        <v>1082</v>
      </c>
      <c r="B19544" t="s">
        <v>22</v>
      </c>
      <c r="C19544" s="1">
        <f>HYPERLINK("https://cao.dolgi.msk.ru/account/1011054359/", 1011054359)</f>
        <v>1011054359</v>
      </c>
      <c r="D19544">
        <v>0</v>
      </c>
    </row>
    <row r="19545" spans="1:4" x14ac:dyDescent="0.3">
      <c r="A19545" t="s">
        <v>1082</v>
      </c>
      <c r="B19545" t="s">
        <v>22</v>
      </c>
      <c r="C19545" s="1">
        <f>HYPERLINK("https://cao.dolgi.msk.ru/account/1011526467/", 1011526467)</f>
        <v>1011526467</v>
      </c>
      <c r="D19545">
        <v>3919.68</v>
      </c>
    </row>
    <row r="19546" spans="1:4" x14ac:dyDescent="0.3">
      <c r="A19546" t="s">
        <v>1082</v>
      </c>
      <c r="B19546" t="s">
        <v>25</v>
      </c>
      <c r="C19546" s="1">
        <f>HYPERLINK("https://cao.dolgi.msk.ru/account/1011062711/", 1011062711)</f>
        <v>1011062711</v>
      </c>
      <c r="D19546">
        <v>32398.17</v>
      </c>
    </row>
    <row r="19547" spans="1:4" hidden="1" x14ac:dyDescent="0.3">
      <c r="A19547" t="s">
        <v>1082</v>
      </c>
      <c r="B19547" t="s">
        <v>39</v>
      </c>
      <c r="C19547" s="1">
        <f>HYPERLINK("https://cao.dolgi.msk.ru/account/1011128901/", 1011128901)</f>
        <v>1011128901</v>
      </c>
      <c r="D19547">
        <v>-21473.77</v>
      </c>
    </row>
    <row r="19548" spans="1:4" x14ac:dyDescent="0.3">
      <c r="A19548" t="s">
        <v>1082</v>
      </c>
      <c r="B19548" t="s">
        <v>40</v>
      </c>
      <c r="C19548" s="1">
        <f>HYPERLINK("https://cao.dolgi.msk.ru/account/1011128899/", 1011128899)</f>
        <v>1011128899</v>
      </c>
      <c r="D19548">
        <v>177406.12</v>
      </c>
    </row>
    <row r="19549" spans="1:4" x14ac:dyDescent="0.3">
      <c r="A19549" t="s">
        <v>1082</v>
      </c>
      <c r="B19549" t="s">
        <v>41</v>
      </c>
      <c r="C19549" s="1">
        <f>HYPERLINK("https://cao.dolgi.msk.ru/account/1011054535/", 1011054535)</f>
        <v>1011054535</v>
      </c>
      <c r="D19549">
        <v>12443.25</v>
      </c>
    </row>
    <row r="19550" spans="1:4" hidden="1" x14ac:dyDescent="0.3">
      <c r="A19550" t="s">
        <v>1083</v>
      </c>
      <c r="B19550" t="s">
        <v>6</v>
      </c>
      <c r="C19550" s="1">
        <f>HYPERLINK("https://cao.dolgi.msk.ru/account/1011348111/", 1011348111)</f>
        <v>1011348111</v>
      </c>
      <c r="D19550">
        <v>-153.56</v>
      </c>
    </row>
    <row r="19551" spans="1:4" hidden="1" x14ac:dyDescent="0.3">
      <c r="A19551" t="s">
        <v>1083</v>
      </c>
      <c r="B19551" t="s">
        <v>28</v>
      </c>
      <c r="C19551" s="1">
        <f>HYPERLINK("https://cao.dolgi.msk.ru/account/1011347864/", 1011347864)</f>
        <v>1011347864</v>
      </c>
      <c r="D19551">
        <v>0</v>
      </c>
    </row>
    <row r="19552" spans="1:4" x14ac:dyDescent="0.3">
      <c r="A19552" t="s">
        <v>1083</v>
      </c>
      <c r="B19552" t="s">
        <v>35</v>
      </c>
      <c r="C19552" s="1">
        <f>HYPERLINK("https://cao.dolgi.msk.ru/account/1011348074/", 1011348074)</f>
        <v>1011348074</v>
      </c>
      <c r="D19552">
        <v>11566.16</v>
      </c>
    </row>
    <row r="19553" spans="1:4" hidden="1" x14ac:dyDescent="0.3">
      <c r="A19553" t="s">
        <v>1083</v>
      </c>
      <c r="B19553" t="s">
        <v>5</v>
      </c>
      <c r="C19553" s="1">
        <f>HYPERLINK("https://cao.dolgi.msk.ru/account/1011347856/", 1011347856)</f>
        <v>1011347856</v>
      </c>
      <c r="D19553">
        <v>0</v>
      </c>
    </row>
    <row r="19554" spans="1:4" hidden="1" x14ac:dyDescent="0.3">
      <c r="A19554" t="s">
        <v>1083</v>
      </c>
      <c r="B19554" t="s">
        <v>7</v>
      </c>
      <c r="C19554" s="1">
        <f>HYPERLINK("https://cao.dolgi.msk.ru/account/1011348242/", 1011348242)</f>
        <v>1011348242</v>
      </c>
      <c r="D19554">
        <v>-181.07</v>
      </c>
    </row>
    <row r="19555" spans="1:4" hidden="1" x14ac:dyDescent="0.3">
      <c r="A19555" t="s">
        <v>1083</v>
      </c>
      <c r="B19555" t="s">
        <v>8</v>
      </c>
      <c r="C19555" s="1">
        <f>HYPERLINK("https://cao.dolgi.msk.ru/account/1011347872/", 1011347872)</f>
        <v>1011347872</v>
      </c>
      <c r="D19555">
        <v>0</v>
      </c>
    </row>
    <row r="19556" spans="1:4" hidden="1" x14ac:dyDescent="0.3">
      <c r="A19556" t="s">
        <v>1083</v>
      </c>
      <c r="B19556" t="s">
        <v>31</v>
      </c>
      <c r="C19556" s="1">
        <f>HYPERLINK("https://cao.dolgi.msk.ru/account/1011347805/", 1011347805)</f>
        <v>1011347805</v>
      </c>
      <c r="D19556">
        <v>-485.8</v>
      </c>
    </row>
    <row r="19557" spans="1:4" hidden="1" x14ac:dyDescent="0.3">
      <c r="A19557" t="s">
        <v>1083</v>
      </c>
      <c r="B19557" t="s">
        <v>9</v>
      </c>
      <c r="C19557" s="1">
        <f>HYPERLINK("https://cao.dolgi.msk.ru/account/1011348015/", 1011348015)</f>
        <v>1011348015</v>
      </c>
      <c r="D19557">
        <v>0</v>
      </c>
    </row>
    <row r="19558" spans="1:4" hidden="1" x14ac:dyDescent="0.3">
      <c r="A19558" t="s">
        <v>1083</v>
      </c>
      <c r="B19558" t="s">
        <v>10</v>
      </c>
      <c r="C19558" s="1">
        <f>HYPERLINK("https://cao.dolgi.msk.ru/account/1011347944/", 1011347944)</f>
        <v>1011347944</v>
      </c>
      <c r="D19558">
        <v>-11249.84</v>
      </c>
    </row>
    <row r="19559" spans="1:4" hidden="1" x14ac:dyDescent="0.3">
      <c r="A19559" t="s">
        <v>1083</v>
      </c>
      <c r="B19559" t="s">
        <v>11</v>
      </c>
      <c r="C19559" s="1">
        <f>HYPERLINK("https://cao.dolgi.msk.ru/account/1011348082/", 1011348082)</f>
        <v>1011348082</v>
      </c>
      <c r="D19559">
        <v>-14507.54</v>
      </c>
    </row>
    <row r="19560" spans="1:4" hidden="1" x14ac:dyDescent="0.3">
      <c r="A19560" t="s">
        <v>1083</v>
      </c>
      <c r="B19560" t="s">
        <v>12</v>
      </c>
      <c r="C19560" s="1">
        <f>HYPERLINK("https://cao.dolgi.msk.ru/account/1011348269/", 1011348269)</f>
        <v>1011348269</v>
      </c>
      <c r="D19560">
        <v>0</v>
      </c>
    </row>
    <row r="19561" spans="1:4" x14ac:dyDescent="0.3">
      <c r="A19561" t="s">
        <v>1083</v>
      </c>
      <c r="B19561" t="s">
        <v>23</v>
      </c>
      <c r="C19561" s="1">
        <f>HYPERLINK("https://cao.dolgi.msk.ru/account/1011347901/", 1011347901)</f>
        <v>1011347901</v>
      </c>
      <c r="D19561">
        <v>6293.5</v>
      </c>
    </row>
    <row r="19562" spans="1:4" hidden="1" x14ac:dyDescent="0.3">
      <c r="A19562" t="s">
        <v>1083</v>
      </c>
      <c r="B19562" t="s">
        <v>13</v>
      </c>
      <c r="C19562" s="1">
        <f>HYPERLINK("https://cao.dolgi.msk.ru/account/1011348103/", 1011348103)</f>
        <v>1011348103</v>
      </c>
      <c r="D19562">
        <v>0</v>
      </c>
    </row>
    <row r="19563" spans="1:4" hidden="1" x14ac:dyDescent="0.3">
      <c r="A19563" t="s">
        <v>1083</v>
      </c>
      <c r="B19563" t="s">
        <v>14</v>
      </c>
      <c r="C19563" s="1">
        <f>HYPERLINK("https://cao.dolgi.msk.ru/account/1011348162/", 1011348162)</f>
        <v>1011348162</v>
      </c>
      <c r="D19563">
        <v>0</v>
      </c>
    </row>
    <row r="19564" spans="1:4" hidden="1" x14ac:dyDescent="0.3">
      <c r="A19564" t="s">
        <v>1083</v>
      </c>
      <c r="B19564" t="s">
        <v>16</v>
      </c>
      <c r="C19564" s="1">
        <f>HYPERLINK("https://cao.dolgi.msk.ru/account/1011348146/", 1011348146)</f>
        <v>1011348146</v>
      </c>
      <c r="D19564">
        <v>0</v>
      </c>
    </row>
    <row r="19565" spans="1:4" hidden="1" x14ac:dyDescent="0.3">
      <c r="A19565" t="s">
        <v>1083</v>
      </c>
      <c r="B19565" t="s">
        <v>919</v>
      </c>
      <c r="C19565" s="1">
        <f>HYPERLINK("https://cao.dolgi.msk.ru/account/1011348007/", 1011348007)</f>
        <v>1011348007</v>
      </c>
      <c r="D19565">
        <v>-8464.69</v>
      </c>
    </row>
    <row r="19566" spans="1:4" hidden="1" x14ac:dyDescent="0.3">
      <c r="A19566" t="s">
        <v>1083</v>
      </c>
      <c r="B19566" t="s">
        <v>17</v>
      </c>
      <c r="C19566" s="1">
        <f>HYPERLINK("https://cao.dolgi.msk.ru/account/1011348189/", 1011348189)</f>
        <v>1011348189</v>
      </c>
      <c r="D19566">
        <v>-153.44</v>
      </c>
    </row>
    <row r="19567" spans="1:4" hidden="1" x14ac:dyDescent="0.3">
      <c r="A19567" t="s">
        <v>1083</v>
      </c>
      <c r="B19567" t="s">
        <v>18</v>
      </c>
      <c r="C19567" s="1">
        <f>HYPERLINK("https://cao.dolgi.msk.ru/account/1011347936/", 1011347936)</f>
        <v>1011347936</v>
      </c>
      <c r="D19567">
        <v>-5478.74</v>
      </c>
    </row>
    <row r="19568" spans="1:4" hidden="1" x14ac:dyDescent="0.3">
      <c r="A19568" t="s">
        <v>1083</v>
      </c>
      <c r="B19568" t="s">
        <v>19</v>
      </c>
      <c r="C19568" s="1">
        <f>HYPERLINK("https://cao.dolgi.msk.ru/account/1011347813/", 1011347813)</f>
        <v>1011347813</v>
      </c>
      <c r="D19568">
        <v>0</v>
      </c>
    </row>
    <row r="19569" spans="1:4" hidden="1" x14ac:dyDescent="0.3">
      <c r="A19569" t="s">
        <v>1083</v>
      </c>
      <c r="B19569" t="s">
        <v>20</v>
      </c>
      <c r="C19569" s="1">
        <f>HYPERLINK("https://cao.dolgi.msk.ru/account/1011510772/", 1011510772)</f>
        <v>1011510772</v>
      </c>
      <c r="D19569">
        <v>0</v>
      </c>
    </row>
    <row r="19570" spans="1:4" x14ac:dyDescent="0.3">
      <c r="A19570" t="s">
        <v>1083</v>
      </c>
      <c r="B19570" t="s">
        <v>21</v>
      </c>
      <c r="C19570" s="1">
        <f>HYPERLINK("https://cao.dolgi.msk.ru/account/1011348197/", 1011348197)</f>
        <v>1011348197</v>
      </c>
      <c r="D19570">
        <v>7804.21</v>
      </c>
    </row>
    <row r="19571" spans="1:4" hidden="1" x14ac:dyDescent="0.3">
      <c r="A19571" t="s">
        <v>1083</v>
      </c>
      <c r="B19571" t="s">
        <v>22</v>
      </c>
      <c r="C19571" s="1">
        <f>HYPERLINK("https://cao.dolgi.msk.ru/account/1011347952/", 1011347952)</f>
        <v>1011347952</v>
      </c>
      <c r="D19571">
        <v>0</v>
      </c>
    </row>
    <row r="19572" spans="1:4" hidden="1" x14ac:dyDescent="0.3">
      <c r="A19572" t="s">
        <v>1083</v>
      </c>
      <c r="B19572" t="s">
        <v>24</v>
      </c>
      <c r="C19572" s="1">
        <f>HYPERLINK("https://cao.dolgi.msk.ru/account/1011347979/", 1011347979)</f>
        <v>1011347979</v>
      </c>
      <c r="D19572">
        <v>0</v>
      </c>
    </row>
    <row r="19573" spans="1:4" hidden="1" x14ac:dyDescent="0.3">
      <c r="A19573" t="s">
        <v>1083</v>
      </c>
      <c r="B19573" t="s">
        <v>25</v>
      </c>
      <c r="C19573" s="1">
        <f>HYPERLINK("https://cao.dolgi.msk.ru/account/1011347928/", 1011347928)</f>
        <v>1011347928</v>
      </c>
      <c r="D19573">
        <v>0</v>
      </c>
    </row>
    <row r="19574" spans="1:4" hidden="1" x14ac:dyDescent="0.3">
      <c r="A19574" t="s">
        <v>1083</v>
      </c>
      <c r="B19574" t="s">
        <v>26</v>
      </c>
      <c r="C19574" s="1">
        <f>HYPERLINK("https://cao.dolgi.msk.ru/account/1011347987/", 1011347987)</f>
        <v>1011347987</v>
      </c>
      <c r="D19574">
        <v>-14036.24</v>
      </c>
    </row>
    <row r="19575" spans="1:4" hidden="1" x14ac:dyDescent="0.3">
      <c r="A19575" t="s">
        <v>1083</v>
      </c>
      <c r="B19575" t="s">
        <v>27</v>
      </c>
      <c r="C19575" s="1">
        <f>HYPERLINK("https://cao.dolgi.msk.ru/account/1011348226/", 1011348226)</f>
        <v>1011348226</v>
      </c>
      <c r="D19575">
        <v>-260.85000000000002</v>
      </c>
    </row>
    <row r="19576" spans="1:4" hidden="1" x14ac:dyDescent="0.3">
      <c r="A19576" t="s">
        <v>1083</v>
      </c>
      <c r="B19576" t="s">
        <v>29</v>
      </c>
      <c r="C19576" s="1">
        <f>HYPERLINK("https://cao.dolgi.msk.ru/account/1011348154/", 1011348154)</f>
        <v>1011348154</v>
      </c>
      <c r="D19576">
        <v>-4.4800000000000004</v>
      </c>
    </row>
    <row r="19577" spans="1:4" hidden="1" x14ac:dyDescent="0.3">
      <c r="A19577" t="s">
        <v>1083</v>
      </c>
      <c r="B19577" t="s">
        <v>38</v>
      </c>
      <c r="C19577" s="1">
        <f>HYPERLINK("https://cao.dolgi.msk.ru/account/1011348218/", 1011348218)</f>
        <v>1011348218</v>
      </c>
      <c r="D19577">
        <v>-1354.73</v>
      </c>
    </row>
    <row r="19578" spans="1:4" hidden="1" x14ac:dyDescent="0.3">
      <c r="A19578" t="s">
        <v>1083</v>
      </c>
      <c r="B19578" t="s">
        <v>39</v>
      </c>
      <c r="C19578" s="1">
        <f>HYPERLINK("https://cao.dolgi.msk.ru/account/1011347995/", 1011347995)</f>
        <v>1011347995</v>
      </c>
      <c r="D19578">
        <v>0</v>
      </c>
    </row>
    <row r="19579" spans="1:4" hidden="1" x14ac:dyDescent="0.3">
      <c r="A19579" t="s">
        <v>1083</v>
      </c>
      <c r="B19579" t="s">
        <v>40</v>
      </c>
      <c r="C19579" s="1">
        <f>HYPERLINK("https://cao.dolgi.msk.ru/account/1011347848/", 1011347848)</f>
        <v>1011347848</v>
      </c>
      <c r="D19579">
        <v>0</v>
      </c>
    </row>
    <row r="19580" spans="1:4" hidden="1" x14ac:dyDescent="0.3">
      <c r="A19580" t="s">
        <v>1083</v>
      </c>
      <c r="B19580" t="s">
        <v>41</v>
      </c>
      <c r="C19580" s="1">
        <f>HYPERLINK("https://cao.dolgi.msk.ru/account/1011348023/", 1011348023)</f>
        <v>1011348023</v>
      </c>
      <c r="D19580">
        <v>0</v>
      </c>
    </row>
    <row r="19581" spans="1:4" hidden="1" x14ac:dyDescent="0.3">
      <c r="A19581" t="s">
        <v>1083</v>
      </c>
      <c r="B19581" t="s">
        <v>51</v>
      </c>
      <c r="C19581" s="1">
        <f>HYPERLINK("https://cao.dolgi.msk.ru/account/1011348277/", 1011348277)</f>
        <v>1011348277</v>
      </c>
      <c r="D19581">
        <v>-13580.83</v>
      </c>
    </row>
    <row r="19582" spans="1:4" hidden="1" x14ac:dyDescent="0.3">
      <c r="A19582" t="s">
        <v>1083</v>
      </c>
      <c r="B19582" t="s">
        <v>52</v>
      </c>
      <c r="C19582" s="1">
        <f>HYPERLINK("https://cao.dolgi.msk.ru/account/1011348058/", 1011348058)</f>
        <v>1011348058</v>
      </c>
      <c r="D19582">
        <v>0</v>
      </c>
    </row>
    <row r="19583" spans="1:4" hidden="1" x14ac:dyDescent="0.3">
      <c r="A19583" t="s">
        <v>1083</v>
      </c>
      <c r="B19583" t="s">
        <v>53</v>
      </c>
      <c r="C19583" s="1">
        <f>HYPERLINK("https://cao.dolgi.msk.ru/account/1011348031/", 1011348031)</f>
        <v>1011348031</v>
      </c>
      <c r="D19583">
        <v>-276.13</v>
      </c>
    </row>
    <row r="19584" spans="1:4" hidden="1" x14ac:dyDescent="0.3">
      <c r="A19584" t="s">
        <v>1083</v>
      </c>
      <c r="B19584" t="s">
        <v>54</v>
      </c>
      <c r="C19584" s="1">
        <f>HYPERLINK("https://cao.dolgi.msk.ru/account/1011348138/", 1011348138)</f>
        <v>1011348138</v>
      </c>
      <c r="D19584">
        <v>-12447.97</v>
      </c>
    </row>
    <row r="19585" spans="1:4" x14ac:dyDescent="0.3">
      <c r="A19585" t="s">
        <v>1083</v>
      </c>
      <c r="B19585" t="s">
        <v>55</v>
      </c>
      <c r="C19585" s="1">
        <f>HYPERLINK("https://cao.dolgi.msk.ru/account/1011347821/", 1011347821)</f>
        <v>1011347821</v>
      </c>
      <c r="D19585">
        <v>561708.52</v>
      </c>
    </row>
    <row r="19586" spans="1:4" hidden="1" x14ac:dyDescent="0.3">
      <c r="A19586" t="s">
        <v>1083</v>
      </c>
      <c r="B19586" t="s">
        <v>56</v>
      </c>
      <c r="C19586" s="1">
        <f>HYPERLINK("https://cao.dolgi.msk.ru/account/1011347899/", 1011347899)</f>
        <v>1011347899</v>
      </c>
      <c r="D19586">
        <v>0</v>
      </c>
    </row>
    <row r="19587" spans="1:4" hidden="1" x14ac:dyDescent="0.3">
      <c r="A19587" t="s">
        <v>1083</v>
      </c>
      <c r="B19587" t="s">
        <v>87</v>
      </c>
      <c r="C19587" s="1">
        <f>HYPERLINK("https://cao.dolgi.msk.ru/account/1011348234/", 1011348234)</f>
        <v>1011348234</v>
      </c>
      <c r="D19587">
        <v>0</v>
      </c>
    </row>
    <row r="19588" spans="1:4" hidden="1" x14ac:dyDescent="0.3">
      <c r="A19588" t="s">
        <v>1084</v>
      </c>
      <c r="B19588" t="s">
        <v>11</v>
      </c>
      <c r="C19588" s="1">
        <f>HYPERLINK("https://cao.dolgi.msk.ru/account/1010358537/", 1010358537)</f>
        <v>1010358537</v>
      </c>
      <c r="D19588">
        <v>-1832.57</v>
      </c>
    </row>
    <row r="19589" spans="1:4" hidden="1" x14ac:dyDescent="0.3">
      <c r="A19589" t="s">
        <v>1084</v>
      </c>
      <c r="B19589" t="s">
        <v>12</v>
      </c>
      <c r="C19589" s="1">
        <f>HYPERLINK("https://cao.dolgi.msk.ru/account/1010358668/", 1010358668)</f>
        <v>1010358668</v>
      </c>
      <c r="D19589">
        <v>-29.21</v>
      </c>
    </row>
    <row r="19590" spans="1:4" x14ac:dyDescent="0.3">
      <c r="A19590" t="s">
        <v>1084</v>
      </c>
      <c r="B19590" t="s">
        <v>23</v>
      </c>
      <c r="C19590" s="1">
        <f>HYPERLINK("https://cao.dolgi.msk.ru/account/1010358553/", 1010358553)</f>
        <v>1010358553</v>
      </c>
      <c r="D19590">
        <v>9140.4500000000007</v>
      </c>
    </row>
    <row r="19591" spans="1:4" hidden="1" x14ac:dyDescent="0.3">
      <c r="A19591" t="s">
        <v>1084</v>
      </c>
      <c r="B19591" t="s">
        <v>13</v>
      </c>
      <c r="C19591" s="1">
        <f>HYPERLINK("https://cao.dolgi.msk.ru/account/1010358561/", 1010358561)</f>
        <v>1010358561</v>
      </c>
      <c r="D19591">
        <v>-8229.9599999999991</v>
      </c>
    </row>
    <row r="19592" spans="1:4" hidden="1" x14ac:dyDescent="0.3">
      <c r="A19592" t="s">
        <v>1084</v>
      </c>
      <c r="B19592" t="s">
        <v>14</v>
      </c>
      <c r="C19592" s="1">
        <f>HYPERLINK("https://cao.dolgi.msk.ru/account/1010358588/", 1010358588)</f>
        <v>1010358588</v>
      </c>
      <c r="D19592">
        <v>-2776.67</v>
      </c>
    </row>
    <row r="19593" spans="1:4" x14ac:dyDescent="0.3">
      <c r="A19593" t="s">
        <v>1084</v>
      </c>
      <c r="B19593" t="s">
        <v>16</v>
      </c>
      <c r="C19593" s="1">
        <f>HYPERLINK("https://cao.dolgi.msk.ru/account/1010358596/", 1010358596)</f>
        <v>1010358596</v>
      </c>
      <c r="D19593">
        <v>132796.79999999999</v>
      </c>
    </row>
    <row r="19594" spans="1:4" x14ac:dyDescent="0.3">
      <c r="A19594" t="s">
        <v>1084</v>
      </c>
      <c r="B19594" t="s">
        <v>17</v>
      </c>
      <c r="C19594" s="1">
        <f>HYPERLINK("https://cao.dolgi.msk.ru/account/1010358609/", 1010358609)</f>
        <v>1010358609</v>
      </c>
      <c r="D19594">
        <v>30494.5</v>
      </c>
    </row>
    <row r="19595" spans="1:4" x14ac:dyDescent="0.3">
      <c r="A19595" t="s">
        <v>1084</v>
      </c>
      <c r="B19595" t="s">
        <v>17</v>
      </c>
      <c r="C19595" s="1">
        <f>HYPERLINK("https://cao.dolgi.msk.ru/account/1010358617/", 1010358617)</f>
        <v>1010358617</v>
      </c>
      <c r="D19595">
        <v>148315.87</v>
      </c>
    </row>
    <row r="19596" spans="1:4" x14ac:dyDescent="0.3">
      <c r="A19596" t="s">
        <v>1084</v>
      </c>
      <c r="B19596" t="s">
        <v>17</v>
      </c>
      <c r="C19596" s="1">
        <f>HYPERLINK("https://cao.dolgi.msk.ru/account/1011514466/", 1011514466)</f>
        <v>1011514466</v>
      </c>
      <c r="D19596">
        <v>3823.82</v>
      </c>
    </row>
    <row r="19597" spans="1:4" x14ac:dyDescent="0.3">
      <c r="A19597" t="s">
        <v>1085</v>
      </c>
      <c r="B19597" t="s">
        <v>6</v>
      </c>
      <c r="C19597" s="1">
        <f>HYPERLINK("https://cao.dolgi.msk.ru/account/1011430107/", 1011430107)</f>
        <v>1011430107</v>
      </c>
      <c r="D19597">
        <v>66145.56</v>
      </c>
    </row>
    <row r="19598" spans="1:4" hidden="1" x14ac:dyDescent="0.3">
      <c r="A19598" t="s">
        <v>1085</v>
      </c>
      <c r="B19598" t="s">
        <v>28</v>
      </c>
      <c r="C19598" s="1">
        <f>HYPERLINK("https://cao.dolgi.msk.ru/account/1011430115/", 1011430115)</f>
        <v>1011430115</v>
      </c>
      <c r="D19598">
        <v>-7118.26</v>
      </c>
    </row>
    <row r="19599" spans="1:4" x14ac:dyDescent="0.3">
      <c r="A19599" t="s">
        <v>1085</v>
      </c>
      <c r="B19599" t="s">
        <v>5</v>
      </c>
      <c r="C19599" s="1">
        <f>HYPERLINK("https://cao.dolgi.msk.ru/account/1011430238/", 1011430238)</f>
        <v>1011430238</v>
      </c>
      <c r="D19599">
        <v>6315.52</v>
      </c>
    </row>
    <row r="19600" spans="1:4" hidden="1" x14ac:dyDescent="0.3">
      <c r="A19600" t="s">
        <v>1085</v>
      </c>
      <c r="B19600" t="s">
        <v>8</v>
      </c>
      <c r="C19600" s="1">
        <f>HYPERLINK("https://cao.dolgi.msk.ru/account/1011430166/", 1011430166)</f>
        <v>1011430166</v>
      </c>
      <c r="D19600">
        <v>0</v>
      </c>
    </row>
    <row r="19601" spans="1:4" x14ac:dyDescent="0.3">
      <c r="A19601" t="s">
        <v>1085</v>
      </c>
      <c r="B19601" t="s">
        <v>31</v>
      </c>
      <c r="C19601" s="1">
        <f>HYPERLINK("https://cao.dolgi.msk.ru/account/1011429966/", 1011429966)</f>
        <v>1011429966</v>
      </c>
      <c r="D19601">
        <v>3907.91</v>
      </c>
    </row>
    <row r="19602" spans="1:4" hidden="1" x14ac:dyDescent="0.3">
      <c r="A19602" t="s">
        <v>1085</v>
      </c>
      <c r="B19602" t="s">
        <v>9</v>
      </c>
      <c r="C19602" s="1">
        <f>HYPERLINK("https://cao.dolgi.msk.ru/account/1011430174/", 1011430174)</f>
        <v>1011430174</v>
      </c>
      <c r="D19602">
        <v>0</v>
      </c>
    </row>
    <row r="19603" spans="1:4" hidden="1" x14ac:dyDescent="0.3">
      <c r="A19603" t="s">
        <v>1085</v>
      </c>
      <c r="B19603" t="s">
        <v>10</v>
      </c>
      <c r="C19603" s="1">
        <f>HYPERLINK("https://cao.dolgi.msk.ru/account/1011429974/", 1011429974)</f>
        <v>1011429974</v>
      </c>
      <c r="D19603">
        <v>0</v>
      </c>
    </row>
    <row r="19604" spans="1:4" hidden="1" x14ac:dyDescent="0.3">
      <c r="A19604" t="s">
        <v>1085</v>
      </c>
      <c r="B19604" t="s">
        <v>11</v>
      </c>
      <c r="C19604" s="1">
        <f>HYPERLINK("https://cao.dolgi.msk.ru/account/1011430131/", 1011430131)</f>
        <v>1011430131</v>
      </c>
      <c r="D19604">
        <v>0</v>
      </c>
    </row>
    <row r="19605" spans="1:4" hidden="1" x14ac:dyDescent="0.3">
      <c r="A19605" t="s">
        <v>1085</v>
      </c>
      <c r="B19605" t="s">
        <v>12</v>
      </c>
      <c r="C19605" s="1">
        <f>HYPERLINK("https://cao.dolgi.msk.ru/account/1011430182/", 1011430182)</f>
        <v>1011430182</v>
      </c>
      <c r="D19605">
        <v>0</v>
      </c>
    </row>
    <row r="19606" spans="1:4" hidden="1" x14ac:dyDescent="0.3">
      <c r="A19606" t="s">
        <v>1085</v>
      </c>
      <c r="B19606" t="s">
        <v>23</v>
      </c>
      <c r="C19606" s="1">
        <f>HYPERLINK("https://cao.dolgi.msk.ru/account/1011430078/", 1011430078)</f>
        <v>1011430078</v>
      </c>
      <c r="D19606">
        <v>-7262.87</v>
      </c>
    </row>
    <row r="19607" spans="1:4" hidden="1" x14ac:dyDescent="0.3">
      <c r="A19607" t="s">
        <v>1085</v>
      </c>
      <c r="B19607" t="s">
        <v>13</v>
      </c>
      <c r="C19607" s="1">
        <f>HYPERLINK("https://cao.dolgi.msk.ru/account/1011430027/", 1011430027)</f>
        <v>1011430027</v>
      </c>
      <c r="D19607">
        <v>-137.72999999999999</v>
      </c>
    </row>
    <row r="19608" spans="1:4" hidden="1" x14ac:dyDescent="0.3">
      <c r="A19608" t="s">
        <v>1085</v>
      </c>
      <c r="B19608" t="s">
        <v>14</v>
      </c>
      <c r="C19608" s="1">
        <f>HYPERLINK("https://cao.dolgi.msk.ru/account/1011430035/", 1011430035)</f>
        <v>1011430035</v>
      </c>
      <c r="D19608">
        <v>0</v>
      </c>
    </row>
    <row r="19609" spans="1:4" hidden="1" x14ac:dyDescent="0.3">
      <c r="A19609" t="s">
        <v>1085</v>
      </c>
      <c r="B19609" t="s">
        <v>16</v>
      </c>
      <c r="C19609" s="1">
        <f>HYPERLINK("https://cao.dolgi.msk.ru/account/1011430246/", 1011430246)</f>
        <v>1011430246</v>
      </c>
      <c r="D19609">
        <v>0</v>
      </c>
    </row>
    <row r="19610" spans="1:4" hidden="1" x14ac:dyDescent="0.3">
      <c r="A19610" t="s">
        <v>1085</v>
      </c>
      <c r="B19610" t="s">
        <v>17</v>
      </c>
      <c r="C19610" s="1">
        <f>HYPERLINK("https://cao.dolgi.msk.ru/account/1011430019/", 1011430019)</f>
        <v>1011430019</v>
      </c>
      <c r="D19610">
        <v>-9217.73</v>
      </c>
    </row>
    <row r="19611" spans="1:4" x14ac:dyDescent="0.3">
      <c r="A19611" t="s">
        <v>1085</v>
      </c>
      <c r="B19611" t="s">
        <v>18</v>
      </c>
      <c r="C19611" s="1">
        <f>HYPERLINK("https://cao.dolgi.msk.ru/account/1011430043/", 1011430043)</f>
        <v>1011430043</v>
      </c>
      <c r="D19611">
        <v>7468.18</v>
      </c>
    </row>
    <row r="19612" spans="1:4" hidden="1" x14ac:dyDescent="0.3">
      <c r="A19612" t="s">
        <v>1085</v>
      </c>
      <c r="B19612" t="s">
        <v>19</v>
      </c>
      <c r="C19612" s="1">
        <f>HYPERLINK("https://cao.dolgi.msk.ru/account/1011430203/", 1011430203)</f>
        <v>1011430203</v>
      </c>
      <c r="D19612">
        <v>-184.21</v>
      </c>
    </row>
    <row r="19613" spans="1:4" hidden="1" x14ac:dyDescent="0.3">
      <c r="A19613" t="s">
        <v>1085</v>
      </c>
      <c r="B19613" t="s">
        <v>20</v>
      </c>
      <c r="C19613" s="1">
        <f>HYPERLINK("https://cao.dolgi.msk.ru/account/1011430158/", 1011430158)</f>
        <v>1011430158</v>
      </c>
      <c r="D19613">
        <v>-6.43</v>
      </c>
    </row>
    <row r="19614" spans="1:4" hidden="1" x14ac:dyDescent="0.3">
      <c r="A19614" t="s">
        <v>1085</v>
      </c>
      <c r="B19614" t="s">
        <v>21</v>
      </c>
      <c r="C19614" s="1">
        <f>HYPERLINK("https://cao.dolgi.msk.ru/account/1011430086/", 1011430086)</f>
        <v>1011430086</v>
      </c>
      <c r="D19614">
        <v>0</v>
      </c>
    </row>
    <row r="19615" spans="1:4" hidden="1" x14ac:dyDescent="0.3">
      <c r="A19615" t="s">
        <v>1085</v>
      </c>
      <c r="B19615" t="s">
        <v>22</v>
      </c>
      <c r="C19615" s="1">
        <f>HYPERLINK("https://cao.dolgi.msk.ru/account/1011430211/", 1011430211)</f>
        <v>1011430211</v>
      </c>
      <c r="D19615">
        <v>0</v>
      </c>
    </row>
    <row r="19616" spans="1:4" x14ac:dyDescent="0.3">
      <c r="A19616" t="s">
        <v>1085</v>
      </c>
      <c r="B19616" t="s">
        <v>24</v>
      </c>
      <c r="C19616" s="1">
        <f>HYPERLINK("https://cao.dolgi.msk.ru/account/1011430123/", 1011430123)</f>
        <v>1011430123</v>
      </c>
      <c r="D19616">
        <v>18692.830000000002</v>
      </c>
    </row>
    <row r="19617" spans="1:4" hidden="1" x14ac:dyDescent="0.3">
      <c r="A19617" t="s">
        <v>1085</v>
      </c>
      <c r="B19617" t="s">
        <v>25</v>
      </c>
      <c r="C19617" s="1">
        <f>HYPERLINK("https://cao.dolgi.msk.ru/account/1011430094/", 1011430094)</f>
        <v>1011430094</v>
      </c>
      <c r="D19617">
        <v>-6359.48</v>
      </c>
    </row>
    <row r="19618" spans="1:4" hidden="1" x14ac:dyDescent="0.3">
      <c r="A19618" t="s">
        <v>1085</v>
      </c>
      <c r="B19618" t="s">
        <v>26</v>
      </c>
      <c r="C19618" s="1">
        <f>HYPERLINK("https://cao.dolgi.msk.ru/account/1011429982/", 1011429982)</f>
        <v>1011429982</v>
      </c>
      <c r="D19618">
        <v>0</v>
      </c>
    </row>
    <row r="19619" spans="1:4" x14ac:dyDescent="0.3">
      <c r="A19619" t="s">
        <v>1085</v>
      </c>
      <c r="B19619" t="s">
        <v>27</v>
      </c>
      <c r="C19619" s="1">
        <f>HYPERLINK("https://cao.dolgi.msk.ru/account/1011430051/", 1011430051)</f>
        <v>1011430051</v>
      </c>
      <c r="D19619">
        <v>5822.08</v>
      </c>
    </row>
    <row r="19620" spans="1:4" hidden="1" x14ac:dyDescent="0.3">
      <c r="A19620" t="s">
        <v>1086</v>
      </c>
      <c r="B19620" t="s">
        <v>35</v>
      </c>
      <c r="C19620" s="1">
        <f>HYPERLINK("https://cao.dolgi.msk.ru/account/1011502588/", 1011502588)</f>
        <v>1011502588</v>
      </c>
      <c r="D19620">
        <v>0</v>
      </c>
    </row>
    <row r="19621" spans="1:4" hidden="1" x14ac:dyDescent="0.3">
      <c r="A19621" t="s">
        <v>1086</v>
      </c>
      <c r="B19621" t="s">
        <v>35</v>
      </c>
      <c r="C19621" s="1">
        <f>HYPERLINK("https://cao.dolgi.msk.ru/account/1011502596/", 1011502596)</f>
        <v>1011502596</v>
      </c>
      <c r="D19621">
        <v>0</v>
      </c>
    </row>
    <row r="19622" spans="1:4" hidden="1" x14ac:dyDescent="0.3">
      <c r="A19622" t="s">
        <v>1086</v>
      </c>
      <c r="B19622" t="s">
        <v>35</v>
      </c>
      <c r="C19622" s="1">
        <f>HYPERLINK("https://cao.dolgi.msk.ru/account/1011502609/", 1011502609)</f>
        <v>1011502609</v>
      </c>
      <c r="D19622">
        <v>0</v>
      </c>
    </row>
    <row r="19623" spans="1:4" hidden="1" x14ac:dyDescent="0.3">
      <c r="A19623" t="s">
        <v>1086</v>
      </c>
      <c r="B19623" t="s">
        <v>5</v>
      </c>
      <c r="C19623" s="1">
        <f>HYPERLINK("https://cao.dolgi.msk.ru/account/1011502617/", 1011502617)</f>
        <v>1011502617</v>
      </c>
      <c r="D19623">
        <v>0</v>
      </c>
    </row>
    <row r="19624" spans="1:4" hidden="1" x14ac:dyDescent="0.3">
      <c r="A19624" t="s">
        <v>1086</v>
      </c>
      <c r="B19624" t="s">
        <v>5</v>
      </c>
      <c r="C19624" s="1">
        <f>HYPERLINK("https://cao.dolgi.msk.ru/account/1011502633/", 1011502633)</f>
        <v>1011502633</v>
      </c>
      <c r="D19624">
        <v>0</v>
      </c>
    </row>
    <row r="19625" spans="1:4" hidden="1" x14ac:dyDescent="0.3">
      <c r="A19625" t="s">
        <v>1086</v>
      </c>
      <c r="B19625" t="s">
        <v>5</v>
      </c>
      <c r="C19625" s="1">
        <f>HYPERLINK("https://cao.dolgi.msk.ru/account/1011502641/", 1011502641)</f>
        <v>1011502641</v>
      </c>
      <c r="D19625">
        <v>0</v>
      </c>
    </row>
    <row r="19626" spans="1:4" hidden="1" x14ac:dyDescent="0.3">
      <c r="A19626" t="s">
        <v>1086</v>
      </c>
      <c r="B19626" t="s">
        <v>7</v>
      </c>
      <c r="C19626" s="1">
        <f>HYPERLINK("https://cao.dolgi.msk.ru/account/1011502625/", 1011502625)</f>
        <v>1011502625</v>
      </c>
      <c r="D19626">
        <v>0</v>
      </c>
    </row>
    <row r="19627" spans="1:4" hidden="1" x14ac:dyDescent="0.3">
      <c r="A19627" t="s">
        <v>1086</v>
      </c>
      <c r="B19627" t="s">
        <v>7</v>
      </c>
      <c r="C19627" s="1">
        <f>HYPERLINK("https://cao.dolgi.msk.ru/account/1011502668/", 1011502668)</f>
        <v>1011502668</v>
      </c>
      <c r="D19627">
        <v>0</v>
      </c>
    </row>
    <row r="19628" spans="1:4" hidden="1" x14ac:dyDescent="0.3">
      <c r="A19628" t="s">
        <v>1086</v>
      </c>
      <c r="B19628" t="s">
        <v>7</v>
      </c>
      <c r="C19628" s="1">
        <f>HYPERLINK("https://cao.dolgi.msk.ru/account/1011502676/", 1011502676)</f>
        <v>1011502676</v>
      </c>
      <c r="D19628">
        <v>0</v>
      </c>
    </row>
    <row r="19629" spans="1:4" hidden="1" x14ac:dyDescent="0.3">
      <c r="A19629" t="s">
        <v>1086</v>
      </c>
      <c r="B19629" t="s">
        <v>8</v>
      </c>
      <c r="C19629" s="1">
        <f>HYPERLINK("https://cao.dolgi.msk.ru/account/1011502561/", 1011502561)</f>
        <v>1011502561</v>
      </c>
      <c r="D19629">
        <v>0</v>
      </c>
    </row>
    <row r="19630" spans="1:4" hidden="1" x14ac:dyDescent="0.3">
      <c r="A19630" t="s">
        <v>1086</v>
      </c>
      <c r="B19630" t="s">
        <v>8</v>
      </c>
      <c r="C19630" s="1">
        <f>HYPERLINK("https://cao.dolgi.msk.ru/account/1011502684/", 1011502684)</f>
        <v>1011502684</v>
      </c>
      <c r="D19630">
        <v>0</v>
      </c>
    </row>
    <row r="19631" spans="1:4" hidden="1" x14ac:dyDescent="0.3">
      <c r="A19631" t="s">
        <v>1087</v>
      </c>
      <c r="B19631" t="s">
        <v>6</v>
      </c>
      <c r="C19631" s="1">
        <f>HYPERLINK("https://cao.dolgi.msk.ru/account/1011430764/", 1011430764)</f>
        <v>1011430764</v>
      </c>
      <c r="D19631">
        <v>0</v>
      </c>
    </row>
    <row r="19632" spans="1:4" hidden="1" x14ac:dyDescent="0.3">
      <c r="A19632" t="s">
        <v>1087</v>
      </c>
      <c r="B19632" t="s">
        <v>28</v>
      </c>
      <c r="C19632" s="1">
        <f>HYPERLINK("https://cao.dolgi.msk.ru/account/1011430297/", 1011430297)</f>
        <v>1011430297</v>
      </c>
      <c r="D19632">
        <v>0</v>
      </c>
    </row>
    <row r="19633" spans="1:4" hidden="1" x14ac:dyDescent="0.3">
      <c r="A19633" t="s">
        <v>1087</v>
      </c>
      <c r="B19633" t="s">
        <v>35</v>
      </c>
      <c r="C19633" s="1">
        <f>HYPERLINK("https://cao.dolgi.msk.ru/account/1011430289/", 1011430289)</f>
        <v>1011430289</v>
      </c>
      <c r="D19633">
        <v>-9956.17</v>
      </c>
    </row>
    <row r="19634" spans="1:4" hidden="1" x14ac:dyDescent="0.3">
      <c r="A19634" t="s">
        <v>1087</v>
      </c>
      <c r="B19634" t="s">
        <v>5</v>
      </c>
      <c r="C19634" s="1">
        <f>HYPERLINK("https://cao.dolgi.msk.ru/account/1011430692/", 1011430692)</f>
        <v>1011430692</v>
      </c>
      <c r="D19634">
        <v>0</v>
      </c>
    </row>
    <row r="19635" spans="1:4" hidden="1" x14ac:dyDescent="0.3">
      <c r="A19635" t="s">
        <v>1087</v>
      </c>
      <c r="B19635" t="s">
        <v>7</v>
      </c>
      <c r="C19635" s="1">
        <f>HYPERLINK("https://cao.dolgi.msk.ru/account/1011430625/", 1011430625)</f>
        <v>1011430625</v>
      </c>
      <c r="D19635">
        <v>-10811.36</v>
      </c>
    </row>
    <row r="19636" spans="1:4" hidden="1" x14ac:dyDescent="0.3">
      <c r="A19636" t="s">
        <v>1087</v>
      </c>
      <c r="B19636" t="s">
        <v>8</v>
      </c>
      <c r="C19636" s="1">
        <f>HYPERLINK("https://cao.dolgi.msk.ru/account/1011430318/", 1011430318)</f>
        <v>1011430318</v>
      </c>
      <c r="D19636">
        <v>-2810.03</v>
      </c>
    </row>
    <row r="19637" spans="1:4" hidden="1" x14ac:dyDescent="0.3">
      <c r="A19637" t="s">
        <v>1087</v>
      </c>
      <c r="B19637" t="s">
        <v>31</v>
      </c>
      <c r="C19637" s="1">
        <f>HYPERLINK("https://cao.dolgi.msk.ru/account/1011430473/", 1011430473)</f>
        <v>1011430473</v>
      </c>
      <c r="D19637">
        <v>0</v>
      </c>
    </row>
    <row r="19638" spans="1:4" hidden="1" x14ac:dyDescent="0.3">
      <c r="A19638" t="s">
        <v>1087</v>
      </c>
      <c r="B19638" t="s">
        <v>31</v>
      </c>
      <c r="C19638" s="1">
        <f>HYPERLINK("https://cao.dolgi.msk.ru/account/1011430561/", 1011430561)</f>
        <v>1011430561</v>
      </c>
      <c r="D19638">
        <v>0</v>
      </c>
    </row>
    <row r="19639" spans="1:4" hidden="1" x14ac:dyDescent="0.3">
      <c r="A19639" t="s">
        <v>1087</v>
      </c>
      <c r="B19639" t="s">
        <v>9</v>
      </c>
      <c r="C19639" s="1">
        <f>HYPERLINK("https://cao.dolgi.msk.ru/account/1011430465/", 1011430465)</f>
        <v>1011430465</v>
      </c>
      <c r="D19639">
        <v>0</v>
      </c>
    </row>
    <row r="19640" spans="1:4" x14ac:dyDescent="0.3">
      <c r="A19640" t="s">
        <v>1087</v>
      </c>
      <c r="B19640" t="s">
        <v>10</v>
      </c>
      <c r="C19640" s="1">
        <f>HYPERLINK("https://cao.dolgi.msk.ru/account/1011430641/", 1011430641)</f>
        <v>1011430641</v>
      </c>
      <c r="D19640">
        <v>13874.43</v>
      </c>
    </row>
    <row r="19641" spans="1:4" x14ac:dyDescent="0.3">
      <c r="A19641" t="s">
        <v>1087</v>
      </c>
      <c r="B19641" t="s">
        <v>11</v>
      </c>
      <c r="C19641" s="1">
        <f>HYPERLINK("https://cao.dolgi.msk.ru/account/1011430369/", 1011430369)</f>
        <v>1011430369</v>
      </c>
      <c r="D19641">
        <v>5098.04</v>
      </c>
    </row>
    <row r="19642" spans="1:4" x14ac:dyDescent="0.3">
      <c r="A19642" t="s">
        <v>1087</v>
      </c>
      <c r="B19642" t="s">
        <v>12</v>
      </c>
      <c r="C19642" s="1">
        <f>HYPERLINK("https://cao.dolgi.msk.ru/account/1011430481/", 1011430481)</f>
        <v>1011430481</v>
      </c>
      <c r="D19642">
        <v>19578.650000000001</v>
      </c>
    </row>
    <row r="19643" spans="1:4" hidden="1" x14ac:dyDescent="0.3">
      <c r="A19643" t="s">
        <v>1087</v>
      </c>
      <c r="B19643" t="s">
        <v>23</v>
      </c>
      <c r="C19643" s="1">
        <f>HYPERLINK("https://cao.dolgi.msk.ru/account/1011430799/", 1011430799)</f>
        <v>1011430799</v>
      </c>
      <c r="D19643">
        <v>0</v>
      </c>
    </row>
    <row r="19644" spans="1:4" hidden="1" x14ac:dyDescent="0.3">
      <c r="A19644" t="s">
        <v>1087</v>
      </c>
      <c r="B19644" t="s">
        <v>13</v>
      </c>
      <c r="C19644" s="1">
        <f>HYPERLINK("https://cao.dolgi.msk.ru/account/1011430537/", 1011430537)</f>
        <v>1011430537</v>
      </c>
      <c r="D19644">
        <v>-10857.72</v>
      </c>
    </row>
    <row r="19645" spans="1:4" hidden="1" x14ac:dyDescent="0.3">
      <c r="A19645" t="s">
        <v>1087</v>
      </c>
      <c r="B19645" t="s">
        <v>14</v>
      </c>
      <c r="C19645" s="1">
        <f>HYPERLINK("https://cao.dolgi.msk.ru/account/1011430772/", 1011430772)</f>
        <v>1011430772</v>
      </c>
      <c r="D19645">
        <v>-73.61</v>
      </c>
    </row>
    <row r="19646" spans="1:4" hidden="1" x14ac:dyDescent="0.3">
      <c r="A19646" t="s">
        <v>1087</v>
      </c>
      <c r="B19646" t="s">
        <v>16</v>
      </c>
      <c r="C19646" s="1">
        <f>HYPERLINK("https://cao.dolgi.msk.ru/account/1011430676/", 1011430676)</f>
        <v>1011430676</v>
      </c>
      <c r="D19646">
        <v>-28.31</v>
      </c>
    </row>
    <row r="19647" spans="1:4" x14ac:dyDescent="0.3">
      <c r="A19647" t="s">
        <v>1087</v>
      </c>
      <c r="B19647" t="s">
        <v>17</v>
      </c>
      <c r="C19647" s="1">
        <f>HYPERLINK("https://cao.dolgi.msk.ru/account/1011430588/", 1011430588)</f>
        <v>1011430588</v>
      </c>
      <c r="D19647">
        <v>32576.97</v>
      </c>
    </row>
    <row r="19648" spans="1:4" hidden="1" x14ac:dyDescent="0.3">
      <c r="A19648" t="s">
        <v>1087</v>
      </c>
      <c r="B19648" t="s">
        <v>18</v>
      </c>
      <c r="C19648" s="1">
        <f>HYPERLINK("https://cao.dolgi.msk.ru/account/1011430596/", 1011430596)</f>
        <v>1011430596</v>
      </c>
      <c r="D19648">
        <v>0</v>
      </c>
    </row>
    <row r="19649" spans="1:4" hidden="1" x14ac:dyDescent="0.3">
      <c r="A19649" t="s">
        <v>1087</v>
      </c>
      <c r="B19649" t="s">
        <v>19</v>
      </c>
      <c r="C19649" s="1">
        <f>HYPERLINK("https://cao.dolgi.msk.ru/account/1011430705/", 1011430705)</f>
        <v>1011430705</v>
      </c>
      <c r="D19649">
        <v>-11865.01</v>
      </c>
    </row>
    <row r="19650" spans="1:4" hidden="1" x14ac:dyDescent="0.3">
      <c r="A19650" t="s">
        <v>1087</v>
      </c>
      <c r="B19650" t="s">
        <v>20</v>
      </c>
      <c r="C19650" s="1">
        <f>HYPERLINK("https://cao.dolgi.msk.ru/account/1011430609/", 1011430609)</f>
        <v>1011430609</v>
      </c>
      <c r="D19650">
        <v>-80431.429999999993</v>
      </c>
    </row>
    <row r="19651" spans="1:4" x14ac:dyDescent="0.3">
      <c r="A19651" t="s">
        <v>1087</v>
      </c>
      <c r="B19651" t="s">
        <v>21</v>
      </c>
      <c r="C19651" s="1">
        <f>HYPERLINK("https://cao.dolgi.msk.ru/account/1011430385/", 1011430385)</f>
        <v>1011430385</v>
      </c>
      <c r="D19651">
        <v>17100.25</v>
      </c>
    </row>
    <row r="19652" spans="1:4" hidden="1" x14ac:dyDescent="0.3">
      <c r="A19652" t="s">
        <v>1087</v>
      </c>
      <c r="B19652" t="s">
        <v>22</v>
      </c>
      <c r="C19652" s="1">
        <f>HYPERLINK("https://cao.dolgi.msk.ru/account/1011430684/", 1011430684)</f>
        <v>1011430684</v>
      </c>
      <c r="D19652">
        <v>-64.180000000000007</v>
      </c>
    </row>
    <row r="19653" spans="1:4" hidden="1" x14ac:dyDescent="0.3">
      <c r="A19653" t="s">
        <v>1087</v>
      </c>
      <c r="B19653" t="s">
        <v>24</v>
      </c>
      <c r="C19653" s="1">
        <f>HYPERLINK("https://cao.dolgi.msk.ru/account/1011430422/", 1011430422)</f>
        <v>1011430422</v>
      </c>
      <c r="D19653">
        <v>-34739.269999999997</v>
      </c>
    </row>
    <row r="19654" spans="1:4" hidden="1" x14ac:dyDescent="0.3">
      <c r="A19654" t="s">
        <v>1087</v>
      </c>
      <c r="B19654" t="s">
        <v>25</v>
      </c>
      <c r="C19654" s="1">
        <f>HYPERLINK("https://cao.dolgi.msk.ru/account/1011430713/", 1011430713)</f>
        <v>1011430713</v>
      </c>
      <c r="D19654">
        <v>-11.95</v>
      </c>
    </row>
    <row r="19655" spans="1:4" hidden="1" x14ac:dyDescent="0.3">
      <c r="A19655" t="s">
        <v>1087</v>
      </c>
      <c r="B19655" t="s">
        <v>26</v>
      </c>
      <c r="C19655" s="1">
        <f>HYPERLINK("https://cao.dolgi.msk.ru/account/1011430449/", 1011430449)</f>
        <v>1011430449</v>
      </c>
      <c r="D19655">
        <v>0</v>
      </c>
    </row>
    <row r="19656" spans="1:4" hidden="1" x14ac:dyDescent="0.3">
      <c r="A19656" t="s">
        <v>1087</v>
      </c>
      <c r="B19656" t="s">
        <v>27</v>
      </c>
      <c r="C19656" s="1">
        <f>HYPERLINK("https://cao.dolgi.msk.ru/account/1011430406/", 1011430406)</f>
        <v>1011430406</v>
      </c>
      <c r="D19656">
        <v>-11428.52</v>
      </c>
    </row>
    <row r="19657" spans="1:4" hidden="1" x14ac:dyDescent="0.3">
      <c r="A19657" t="s">
        <v>1087</v>
      </c>
      <c r="B19657" t="s">
        <v>29</v>
      </c>
      <c r="C19657" s="1">
        <f>HYPERLINK("https://cao.dolgi.msk.ru/account/1011430457/", 1011430457)</f>
        <v>1011430457</v>
      </c>
      <c r="D19657">
        <v>0</v>
      </c>
    </row>
    <row r="19658" spans="1:4" hidden="1" x14ac:dyDescent="0.3">
      <c r="A19658" t="s">
        <v>1087</v>
      </c>
      <c r="B19658" t="s">
        <v>38</v>
      </c>
      <c r="C19658" s="1">
        <f>HYPERLINK("https://cao.dolgi.msk.ru/account/1011430553/", 1011430553)</f>
        <v>1011430553</v>
      </c>
      <c r="D19658">
        <v>0</v>
      </c>
    </row>
    <row r="19659" spans="1:4" hidden="1" x14ac:dyDescent="0.3">
      <c r="A19659" t="s">
        <v>1087</v>
      </c>
      <c r="B19659" t="s">
        <v>40</v>
      </c>
      <c r="C19659" s="1">
        <f>HYPERLINK("https://cao.dolgi.msk.ru/account/1011430502/", 1011430502)</f>
        <v>1011430502</v>
      </c>
      <c r="D19659">
        <v>0</v>
      </c>
    </row>
    <row r="19660" spans="1:4" hidden="1" x14ac:dyDescent="0.3">
      <c r="A19660" t="s">
        <v>1087</v>
      </c>
      <c r="B19660" t="s">
        <v>41</v>
      </c>
      <c r="C19660" s="1">
        <f>HYPERLINK("https://cao.dolgi.msk.ru/account/1011430262/", 1011430262)</f>
        <v>1011430262</v>
      </c>
      <c r="D19660">
        <v>0</v>
      </c>
    </row>
    <row r="19661" spans="1:4" hidden="1" x14ac:dyDescent="0.3">
      <c r="A19661" t="s">
        <v>1087</v>
      </c>
      <c r="B19661" t="s">
        <v>51</v>
      </c>
      <c r="C19661" s="1">
        <f>HYPERLINK("https://cao.dolgi.msk.ru/account/1011430342/", 1011430342)</f>
        <v>1011430342</v>
      </c>
      <c r="D19661">
        <v>0</v>
      </c>
    </row>
    <row r="19662" spans="1:4" hidden="1" x14ac:dyDescent="0.3">
      <c r="A19662" t="s">
        <v>1087</v>
      </c>
      <c r="B19662" t="s">
        <v>52</v>
      </c>
      <c r="C19662" s="1">
        <f>HYPERLINK("https://cao.dolgi.msk.ru/account/1011430721/", 1011430721)</f>
        <v>1011430721</v>
      </c>
      <c r="D19662">
        <v>-1412.4</v>
      </c>
    </row>
    <row r="19663" spans="1:4" hidden="1" x14ac:dyDescent="0.3">
      <c r="A19663" t="s">
        <v>1087</v>
      </c>
      <c r="B19663" t="s">
        <v>53</v>
      </c>
      <c r="C19663" s="1">
        <f>HYPERLINK("https://cao.dolgi.msk.ru/account/1011430254/", 1011430254)</f>
        <v>1011430254</v>
      </c>
      <c r="D19663">
        <v>-15927.53</v>
      </c>
    </row>
    <row r="19664" spans="1:4" x14ac:dyDescent="0.3">
      <c r="A19664" t="s">
        <v>1087</v>
      </c>
      <c r="B19664" t="s">
        <v>54</v>
      </c>
      <c r="C19664" s="1">
        <f>HYPERLINK("https://cao.dolgi.msk.ru/account/1011430748/", 1011430748)</f>
        <v>1011430748</v>
      </c>
      <c r="D19664">
        <v>9965.3799999999992</v>
      </c>
    </row>
    <row r="19665" spans="1:4" hidden="1" x14ac:dyDescent="0.3">
      <c r="A19665" t="s">
        <v>1087</v>
      </c>
      <c r="B19665" t="s">
        <v>55</v>
      </c>
      <c r="C19665" s="1">
        <f>HYPERLINK("https://cao.dolgi.msk.ru/account/1011430393/", 1011430393)</f>
        <v>1011430393</v>
      </c>
      <c r="D19665">
        <v>0</v>
      </c>
    </row>
    <row r="19666" spans="1:4" hidden="1" x14ac:dyDescent="0.3">
      <c r="A19666" t="s">
        <v>1087</v>
      </c>
      <c r="B19666" t="s">
        <v>56</v>
      </c>
      <c r="C19666" s="1">
        <f>HYPERLINK("https://cao.dolgi.msk.ru/account/1011430326/", 1011430326)</f>
        <v>1011430326</v>
      </c>
      <c r="D19666">
        <v>-2947.84</v>
      </c>
    </row>
    <row r="19667" spans="1:4" hidden="1" x14ac:dyDescent="0.3">
      <c r="A19667" t="s">
        <v>1087</v>
      </c>
      <c r="B19667" t="s">
        <v>88</v>
      </c>
      <c r="C19667" s="1">
        <f>HYPERLINK("https://cao.dolgi.msk.ru/account/1011430377/", 1011430377)</f>
        <v>1011430377</v>
      </c>
      <c r="D19667">
        <v>-17301.57</v>
      </c>
    </row>
    <row r="19668" spans="1:4" hidden="1" x14ac:dyDescent="0.3">
      <c r="A19668" t="s">
        <v>1087</v>
      </c>
      <c r="B19668" t="s">
        <v>89</v>
      </c>
      <c r="C19668" s="1">
        <f>HYPERLINK("https://cao.dolgi.msk.ru/account/1011430633/", 1011430633)</f>
        <v>1011430633</v>
      </c>
      <c r="D19668">
        <v>0</v>
      </c>
    </row>
    <row r="19669" spans="1:4" hidden="1" x14ac:dyDescent="0.3">
      <c r="A19669" t="s">
        <v>1087</v>
      </c>
      <c r="B19669" t="s">
        <v>90</v>
      </c>
      <c r="C19669" s="1">
        <f>HYPERLINK("https://cao.dolgi.msk.ru/account/1011430617/", 1011430617)</f>
        <v>1011430617</v>
      </c>
      <c r="D19669">
        <v>-9468.31</v>
      </c>
    </row>
    <row r="19670" spans="1:4" hidden="1" x14ac:dyDescent="0.3">
      <c r="A19670" t="s">
        <v>1087</v>
      </c>
      <c r="B19670" t="s">
        <v>96</v>
      </c>
      <c r="C19670" s="1">
        <f>HYPERLINK("https://cao.dolgi.msk.ru/account/1011430414/", 1011430414)</f>
        <v>1011430414</v>
      </c>
      <c r="D19670">
        <v>0</v>
      </c>
    </row>
    <row r="19671" spans="1:4" hidden="1" x14ac:dyDescent="0.3">
      <c r="A19671" t="s">
        <v>1087</v>
      </c>
      <c r="B19671" t="s">
        <v>97</v>
      </c>
      <c r="C19671" s="1">
        <f>HYPERLINK("https://cao.dolgi.msk.ru/account/1011430529/", 1011430529)</f>
        <v>1011430529</v>
      </c>
      <c r="D19671">
        <v>0</v>
      </c>
    </row>
    <row r="19672" spans="1:4" hidden="1" x14ac:dyDescent="0.3">
      <c r="A19672" t="s">
        <v>1087</v>
      </c>
      <c r="B19672" t="s">
        <v>98</v>
      </c>
      <c r="C19672" s="1">
        <f>HYPERLINK("https://cao.dolgi.msk.ru/account/1011430545/", 1011430545)</f>
        <v>1011430545</v>
      </c>
      <c r="D19672">
        <v>-9193.64</v>
      </c>
    </row>
    <row r="19673" spans="1:4" x14ac:dyDescent="0.3">
      <c r="A19673" t="s">
        <v>1087</v>
      </c>
      <c r="B19673" t="s">
        <v>58</v>
      </c>
      <c r="C19673" s="1">
        <f>HYPERLINK("https://cao.dolgi.msk.ru/account/1011430668/", 1011430668)</f>
        <v>1011430668</v>
      </c>
      <c r="D19673">
        <v>6271.45</v>
      </c>
    </row>
    <row r="19674" spans="1:4" hidden="1" x14ac:dyDescent="0.3">
      <c r="A19674" t="s">
        <v>1087</v>
      </c>
      <c r="B19674" t="s">
        <v>59</v>
      </c>
      <c r="C19674" s="1">
        <f>HYPERLINK("https://cao.dolgi.msk.ru/account/1011430756/", 1011430756)</f>
        <v>1011430756</v>
      </c>
      <c r="D19674">
        <v>0</v>
      </c>
    </row>
    <row r="19675" spans="1:4" hidden="1" x14ac:dyDescent="0.3">
      <c r="A19675" t="s">
        <v>1087</v>
      </c>
      <c r="B19675" t="s">
        <v>60</v>
      </c>
      <c r="C19675" s="1">
        <f>HYPERLINK("https://cao.dolgi.msk.ru/account/1011430801/", 1011430801)</f>
        <v>1011430801</v>
      </c>
      <c r="D19675">
        <v>-11468.46</v>
      </c>
    </row>
    <row r="19676" spans="1:4" hidden="1" x14ac:dyDescent="0.3">
      <c r="A19676" t="s">
        <v>1088</v>
      </c>
      <c r="B19676" t="s">
        <v>6</v>
      </c>
      <c r="C19676" s="1">
        <f>HYPERLINK("https://cao.dolgi.msk.ru/account/1011359179/", 1011359179)</f>
        <v>1011359179</v>
      </c>
      <c r="D19676">
        <v>0</v>
      </c>
    </row>
    <row r="19677" spans="1:4" hidden="1" x14ac:dyDescent="0.3">
      <c r="A19677" t="s">
        <v>1088</v>
      </c>
      <c r="B19677" t="s">
        <v>28</v>
      </c>
      <c r="C19677" s="1">
        <f>HYPERLINK("https://cao.dolgi.msk.ru/account/1011359355/", 1011359355)</f>
        <v>1011359355</v>
      </c>
      <c r="D19677">
        <v>-3912.17</v>
      </c>
    </row>
    <row r="19678" spans="1:4" x14ac:dyDescent="0.3">
      <c r="A19678" t="s">
        <v>1088</v>
      </c>
      <c r="B19678" t="s">
        <v>35</v>
      </c>
      <c r="C19678" s="1">
        <f>HYPERLINK("https://cao.dolgi.msk.ru/account/1011359216/", 1011359216)</f>
        <v>1011359216</v>
      </c>
      <c r="D19678">
        <v>27711.51</v>
      </c>
    </row>
    <row r="19679" spans="1:4" x14ac:dyDescent="0.3">
      <c r="A19679" t="s">
        <v>1088</v>
      </c>
      <c r="B19679" t="s">
        <v>5</v>
      </c>
      <c r="C19679" s="1">
        <f>HYPERLINK("https://cao.dolgi.msk.ru/account/1011359312/", 1011359312)</f>
        <v>1011359312</v>
      </c>
      <c r="D19679">
        <v>14834.19</v>
      </c>
    </row>
    <row r="19680" spans="1:4" hidden="1" x14ac:dyDescent="0.3">
      <c r="A19680" t="s">
        <v>1088</v>
      </c>
      <c r="B19680" t="s">
        <v>7</v>
      </c>
      <c r="C19680" s="1">
        <f>HYPERLINK("https://cao.dolgi.msk.ru/account/1011359224/", 1011359224)</f>
        <v>1011359224</v>
      </c>
      <c r="D19680">
        <v>0</v>
      </c>
    </row>
    <row r="19681" spans="1:4" x14ac:dyDescent="0.3">
      <c r="A19681" t="s">
        <v>1088</v>
      </c>
      <c r="B19681" t="s">
        <v>8</v>
      </c>
      <c r="C19681" s="1">
        <f>HYPERLINK("https://cao.dolgi.msk.ru/account/1011359275/", 1011359275)</f>
        <v>1011359275</v>
      </c>
      <c r="D19681">
        <v>22442.11</v>
      </c>
    </row>
    <row r="19682" spans="1:4" x14ac:dyDescent="0.3">
      <c r="A19682" t="s">
        <v>1088</v>
      </c>
      <c r="B19682" t="s">
        <v>8</v>
      </c>
      <c r="C19682" s="1">
        <f>HYPERLINK("https://cao.dolgi.msk.ru/account/1011359339/", 1011359339)</f>
        <v>1011359339</v>
      </c>
      <c r="D19682">
        <v>18431.47</v>
      </c>
    </row>
    <row r="19683" spans="1:4" x14ac:dyDescent="0.3">
      <c r="A19683" t="s">
        <v>1088</v>
      </c>
      <c r="B19683" t="s">
        <v>31</v>
      </c>
      <c r="C19683" s="1">
        <f>HYPERLINK("https://cao.dolgi.msk.ru/account/1011359195/", 1011359195)</f>
        <v>1011359195</v>
      </c>
      <c r="D19683">
        <v>33592.49</v>
      </c>
    </row>
    <row r="19684" spans="1:4" x14ac:dyDescent="0.3">
      <c r="A19684" t="s">
        <v>1088</v>
      </c>
      <c r="B19684" t="s">
        <v>9</v>
      </c>
      <c r="C19684" s="1">
        <f>HYPERLINK("https://cao.dolgi.msk.ru/account/1011359208/", 1011359208)</f>
        <v>1011359208</v>
      </c>
      <c r="D19684">
        <v>4747.72</v>
      </c>
    </row>
    <row r="19685" spans="1:4" hidden="1" x14ac:dyDescent="0.3">
      <c r="A19685" t="s">
        <v>1088</v>
      </c>
      <c r="B19685" t="s">
        <v>10</v>
      </c>
      <c r="C19685" s="1">
        <f>HYPERLINK("https://cao.dolgi.msk.ru/account/1011359283/", 1011359283)</f>
        <v>1011359283</v>
      </c>
      <c r="D19685">
        <v>0</v>
      </c>
    </row>
    <row r="19686" spans="1:4" hidden="1" x14ac:dyDescent="0.3">
      <c r="A19686" t="s">
        <v>1088</v>
      </c>
      <c r="B19686" t="s">
        <v>11</v>
      </c>
      <c r="C19686" s="1">
        <f>HYPERLINK("https://cao.dolgi.msk.ru/account/1011359304/", 1011359304)</f>
        <v>1011359304</v>
      </c>
      <c r="D19686">
        <v>-487.93</v>
      </c>
    </row>
    <row r="19687" spans="1:4" x14ac:dyDescent="0.3">
      <c r="A19687" t="s">
        <v>1088</v>
      </c>
      <c r="B19687" t="s">
        <v>12</v>
      </c>
      <c r="C19687" s="1">
        <f>HYPERLINK("https://cao.dolgi.msk.ru/account/1011359347/", 1011359347)</f>
        <v>1011359347</v>
      </c>
      <c r="D19687">
        <v>10538.42</v>
      </c>
    </row>
    <row r="19688" spans="1:4" hidden="1" x14ac:dyDescent="0.3">
      <c r="A19688" t="s">
        <v>1088</v>
      </c>
      <c r="B19688" t="s">
        <v>23</v>
      </c>
      <c r="C19688" s="1">
        <f>HYPERLINK("https://cao.dolgi.msk.ru/account/1011359232/", 1011359232)</f>
        <v>1011359232</v>
      </c>
      <c r="D19688">
        <v>-9869.18</v>
      </c>
    </row>
    <row r="19689" spans="1:4" hidden="1" x14ac:dyDescent="0.3">
      <c r="A19689" t="s">
        <v>1088</v>
      </c>
      <c r="B19689" t="s">
        <v>13</v>
      </c>
      <c r="C19689" s="1">
        <f>HYPERLINK("https://cao.dolgi.msk.ru/account/1011359259/", 1011359259)</f>
        <v>1011359259</v>
      </c>
      <c r="D19689">
        <v>-645.65</v>
      </c>
    </row>
    <row r="19690" spans="1:4" hidden="1" x14ac:dyDescent="0.3">
      <c r="A19690" t="s">
        <v>1088</v>
      </c>
      <c r="B19690" t="s">
        <v>14</v>
      </c>
      <c r="C19690" s="1">
        <f>HYPERLINK("https://cao.dolgi.msk.ru/account/1011359291/", 1011359291)</f>
        <v>1011359291</v>
      </c>
      <c r="D19690">
        <v>-6638.42</v>
      </c>
    </row>
    <row r="19691" spans="1:4" hidden="1" x14ac:dyDescent="0.3">
      <c r="A19691" t="s">
        <v>1088</v>
      </c>
      <c r="B19691" t="s">
        <v>16</v>
      </c>
      <c r="C19691" s="1">
        <f>HYPERLINK("https://cao.dolgi.msk.ru/account/1011359187/", 1011359187)</f>
        <v>1011359187</v>
      </c>
      <c r="D19691">
        <v>0</v>
      </c>
    </row>
    <row r="19692" spans="1:4" x14ac:dyDescent="0.3">
      <c r="A19692" t="s">
        <v>1088</v>
      </c>
      <c r="B19692" t="s">
        <v>17</v>
      </c>
      <c r="C19692" s="1">
        <f>HYPERLINK("https://cao.dolgi.msk.ru/account/1011359267/", 1011359267)</f>
        <v>1011359267</v>
      </c>
      <c r="D19692">
        <v>4041.44</v>
      </c>
    </row>
    <row r="19693" spans="1:4" hidden="1" x14ac:dyDescent="0.3">
      <c r="A19693" t="s">
        <v>1089</v>
      </c>
      <c r="B19693" t="s">
        <v>7</v>
      </c>
      <c r="C19693" s="1">
        <f>HYPERLINK("https://cao.dolgi.msk.ru/account/1011502203/", 1011502203)</f>
        <v>1011502203</v>
      </c>
      <c r="D19693">
        <v>0</v>
      </c>
    </row>
    <row r="19694" spans="1:4" hidden="1" x14ac:dyDescent="0.3">
      <c r="A19694" t="s">
        <v>1089</v>
      </c>
      <c r="B19694" t="s">
        <v>8</v>
      </c>
      <c r="C19694" s="1">
        <f>HYPERLINK("https://cao.dolgi.msk.ru/account/1011502131/", 1011502131)</f>
        <v>1011502131</v>
      </c>
      <c r="D19694">
        <v>0</v>
      </c>
    </row>
    <row r="19695" spans="1:4" hidden="1" x14ac:dyDescent="0.3">
      <c r="A19695" t="s">
        <v>1089</v>
      </c>
      <c r="B19695" t="s">
        <v>31</v>
      </c>
      <c r="C19695" s="1">
        <f>HYPERLINK("https://cao.dolgi.msk.ru/account/1011502107/", 1011502107)</f>
        <v>1011502107</v>
      </c>
      <c r="D19695">
        <v>0</v>
      </c>
    </row>
    <row r="19696" spans="1:4" hidden="1" x14ac:dyDescent="0.3">
      <c r="A19696" t="s">
        <v>1089</v>
      </c>
      <c r="B19696" t="s">
        <v>9</v>
      </c>
      <c r="C19696" s="1">
        <f>HYPERLINK("https://cao.dolgi.msk.ru/account/1011502246/", 1011502246)</f>
        <v>1011502246</v>
      </c>
      <c r="D19696">
        <v>0</v>
      </c>
    </row>
    <row r="19697" spans="1:4" hidden="1" x14ac:dyDescent="0.3">
      <c r="A19697" t="s">
        <v>1089</v>
      </c>
      <c r="B19697" t="s">
        <v>10</v>
      </c>
      <c r="C19697" s="1">
        <f>HYPERLINK("https://cao.dolgi.msk.ru/account/1011502166/", 1011502166)</f>
        <v>1011502166</v>
      </c>
      <c r="D19697">
        <v>0</v>
      </c>
    </row>
    <row r="19698" spans="1:4" x14ac:dyDescent="0.3">
      <c r="A19698" t="s">
        <v>1089</v>
      </c>
      <c r="B19698" t="s">
        <v>11</v>
      </c>
      <c r="C19698" s="1">
        <f>HYPERLINK("https://cao.dolgi.msk.ru/account/1011502289/", 1011502289)</f>
        <v>1011502289</v>
      </c>
      <c r="D19698">
        <v>11570.42</v>
      </c>
    </row>
    <row r="19699" spans="1:4" hidden="1" x14ac:dyDescent="0.3">
      <c r="A19699" t="s">
        <v>1089</v>
      </c>
      <c r="B19699" t="s">
        <v>12</v>
      </c>
      <c r="C19699" s="1">
        <f>HYPERLINK("https://cao.dolgi.msk.ru/account/1011502211/", 1011502211)</f>
        <v>1011502211</v>
      </c>
      <c r="D19699">
        <v>-7149.78</v>
      </c>
    </row>
    <row r="19700" spans="1:4" x14ac:dyDescent="0.3">
      <c r="A19700" t="s">
        <v>1089</v>
      </c>
      <c r="B19700" t="s">
        <v>23</v>
      </c>
      <c r="C19700" s="1">
        <f>HYPERLINK("https://cao.dolgi.msk.ru/account/1011532146/", 1011532146)</f>
        <v>1011532146</v>
      </c>
      <c r="D19700">
        <v>2248.62</v>
      </c>
    </row>
    <row r="19701" spans="1:4" hidden="1" x14ac:dyDescent="0.3">
      <c r="A19701" t="s">
        <v>1089</v>
      </c>
      <c r="B19701" t="s">
        <v>18</v>
      </c>
      <c r="C19701" s="1">
        <f>HYPERLINK("https://cao.dolgi.msk.ru/account/1011502182/", 1011502182)</f>
        <v>1011502182</v>
      </c>
      <c r="D19701">
        <v>0</v>
      </c>
    </row>
    <row r="19702" spans="1:4" hidden="1" x14ac:dyDescent="0.3">
      <c r="A19702" t="s">
        <v>1089</v>
      </c>
      <c r="B19702" t="s">
        <v>19</v>
      </c>
      <c r="C19702" s="1">
        <f>HYPERLINK("https://cao.dolgi.msk.ru/account/1011526459/", 1011526459)</f>
        <v>1011526459</v>
      </c>
      <c r="D19702">
        <v>0</v>
      </c>
    </row>
    <row r="19703" spans="1:4" hidden="1" x14ac:dyDescent="0.3">
      <c r="A19703" t="s">
        <v>1089</v>
      </c>
      <c r="B19703" t="s">
        <v>20</v>
      </c>
      <c r="C19703" s="1">
        <f>HYPERLINK("https://cao.dolgi.msk.ru/account/1011502115/", 1011502115)</f>
        <v>1011502115</v>
      </c>
      <c r="D19703">
        <v>0</v>
      </c>
    </row>
    <row r="19704" spans="1:4" x14ac:dyDescent="0.3">
      <c r="A19704" t="s">
        <v>1089</v>
      </c>
      <c r="B19704" t="s">
        <v>21</v>
      </c>
      <c r="C19704" s="1">
        <f>HYPERLINK("https://cao.dolgi.msk.ru/account/1011502043/", 1011502043)</f>
        <v>1011502043</v>
      </c>
      <c r="D19704">
        <v>56743.75</v>
      </c>
    </row>
    <row r="19705" spans="1:4" hidden="1" x14ac:dyDescent="0.3">
      <c r="A19705" t="s">
        <v>1089</v>
      </c>
      <c r="B19705" t="s">
        <v>22</v>
      </c>
      <c r="C19705" s="1">
        <f>HYPERLINK("https://cao.dolgi.msk.ru/account/1011502051/", 1011502051)</f>
        <v>1011502051</v>
      </c>
      <c r="D19705">
        <v>0</v>
      </c>
    </row>
    <row r="19706" spans="1:4" hidden="1" x14ac:dyDescent="0.3">
      <c r="A19706" t="s">
        <v>1089</v>
      </c>
      <c r="B19706" t="s">
        <v>24</v>
      </c>
      <c r="C19706" s="1">
        <f>HYPERLINK("https://cao.dolgi.msk.ru/account/1011502158/", 1011502158)</f>
        <v>1011502158</v>
      </c>
      <c r="D19706">
        <v>0</v>
      </c>
    </row>
    <row r="19707" spans="1:4" hidden="1" x14ac:dyDescent="0.3">
      <c r="A19707" t="s">
        <v>1089</v>
      </c>
      <c r="B19707" t="s">
        <v>25</v>
      </c>
      <c r="C19707" s="1">
        <f>HYPERLINK("https://cao.dolgi.msk.ru/account/1011502123/", 1011502123)</f>
        <v>1011502123</v>
      </c>
      <c r="D19707">
        <v>0</v>
      </c>
    </row>
    <row r="19708" spans="1:4" hidden="1" x14ac:dyDescent="0.3">
      <c r="A19708" t="s">
        <v>1089</v>
      </c>
      <c r="B19708" t="s">
        <v>26</v>
      </c>
      <c r="C19708" s="1">
        <f>HYPERLINK("https://cao.dolgi.msk.ru/account/1011502238/", 1011502238)</f>
        <v>1011502238</v>
      </c>
      <c r="D19708">
        <v>0</v>
      </c>
    </row>
    <row r="19709" spans="1:4" hidden="1" x14ac:dyDescent="0.3">
      <c r="A19709" t="s">
        <v>1089</v>
      </c>
      <c r="B19709" t="s">
        <v>903</v>
      </c>
      <c r="C19709" s="1">
        <f>HYPERLINK("https://cao.dolgi.msk.ru/account/1011514538/", 1011514538)</f>
        <v>1011514538</v>
      </c>
      <c r="D19709">
        <v>-772.58</v>
      </c>
    </row>
    <row r="19710" spans="1:4" hidden="1" x14ac:dyDescent="0.3">
      <c r="A19710" t="s">
        <v>1090</v>
      </c>
      <c r="B19710" t="s">
        <v>17</v>
      </c>
      <c r="C19710" s="1">
        <f>HYPERLINK("https://cao.dolgi.msk.ru/account/1011382213/", 1011382213)</f>
        <v>1011382213</v>
      </c>
      <c r="D19710">
        <v>-8409.39</v>
      </c>
    </row>
    <row r="19711" spans="1:4" hidden="1" x14ac:dyDescent="0.3">
      <c r="A19711" t="s">
        <v>1090</v>
      </c>
      <c r="B19711" t="s">
        <v>18</v>
      </c>
      <c r="C19711" s="1">
        <f>HYPERLINK("https://cao.dolgi.msk.ru/account/1011511038/", 1011511038)</f>
        <v>1011511038</v>
      </c>
      <c r="D19711">
        <v>-9488.32</v>
      </c>
    </row>
    <row r="19712" spans="1:4" x14ac:dyDescent="0.3">
      <c r="A19712" t="s">
        <v>1090</v>
      </c>
      <c r="B19712" t="s">
        <v>19</v>
      </c>
      <c r="C19712" s="1">
        <f>HYPERLINK("https://cao.dolgi.msk.ru/account/1011381819/", 1011381819)</f>
        <v>1011381819</v>
      </c>
      <c r="D19712">
        <v>5044.29</v>
      </c>
    </row>
    <row r="19713" spans="1:4" x14ac:dyDescent="0.3">
      <c r="A19713" t="s">
        <v>1090</v>
      </c>
      <c r="B19713" t="s">
        <v>19</v>
      </c>
      <c r="C19713" s="1">
        <f>HYPERLINK("https://cao.dolgi.msk.ru/account/1011382424/", 1011382424)</f>
        <v>1011382424</v>
      </c>
      <c r="D19713">
        <v>871.53</v>
      </c>
    </row>
    <row r="19714" spans="1:4" hidden="1" x14ac:dyDescent="0.3">
      <c r="A19714" t="s">
        <v>1090</v>
      </c>
      <c r="B19714" t="s">
        <v>20</v>
      </c>
      <c r="C19714" s="1">
        <f>HYPERLINK("https://cao.dolgi.msk.ru/account/1011382512/", 1011382512)</f>
        <v>1011382512</v>
      </c>
      <c r="D19714">
        <v>0</v>
      </c>
    </row>
    <row r="19715" spans="1:4" hidden="1" x14ac:dyDescent="0.3">
      <c r="A19715" t="s">
        <v>1090</v>
      </c>
      <c r="B19715" t="s">
        <v>21</v>
      </c>
      <c r="C19715" s="1">
        <f>HYPERLINK("https://cao.dolgi.msk.ru/account/1011382133/", 1011382133)</f>
        <v>1011382133</v>
      </c>
      <c r="D19715">
        <v>-10474.69</v>
      </c>
    </row>
    <row r="19716" spans="1:4" hidden="1" x14ac:dyDescent="0.3">
      <c r="A19716" t="s">
        <v>1090</v>
      </c>
      <c r="B19716" t="s">
        <v>22</v>
      </c>
      <c r="C19716" s="1">
        <f>HYPERLINK("https://cao.dolgi.msk.ru/account/1011381851/", 1011381851)</f>
        <v>1011381851</v>
      </c>
      <c r="D19716">
        <v>0</v>
      </c>
    </row>
    <row r="19717" spans="1:4" x14ac:dyDescent="0.3">
      <c r="A19717" t="s">
        <v>1090</v>
      </c>
      <c r="B19717" t="s">
        <v>24</v>
      </c>
      <c r="C19717" s="1">
        <f>HYPERLINK("https://cao.dolgi.msk.ru/account/1011381579/", 1011381579)</f>
        <v>1011381579</v>
      </c>
      <c r="D19717">
        <v>2728.45</v>
      </c>
    </row>
    <row r="19718" spans="1:4" hidden="1" x14ac:dyDescent="0.3">
      <c r="A19718" t="s">
        <v>1090</v>
      </c>
      <c r="B19718" t="s">
        <v>24</v>
      </c>
      <c r="C19718" s="1">
        <f>HYPERLINK("https://cao.dolgi.msk.ru/account/1011382467/", 1011382467)</f>
        <v>1011382467</v>
      </c>
      <c r="D19718">
        <v>0</v>
      </c>
    </row>
    <row r="19719" spans="1:4" hidden="1" x14ac:dyDescent="0.3">
      <c r="A19719" t="s">
        <v>1090</v>
      </c>
      <c r="B19719" t="s">
        <v>25</v>
      </c>
      <c r="C19719" s="1">
        <f>HYPERLINK("https://cao.dolgi.msk.ru/account/1011381974/", 1011381974)</f>
        <v>1011381974</v>
      </c>
      <c r="D19719">
        <v>0</v>
      </c>
    </row>
    <row r="19720" spans="1:4" x14ac:dyDescent="0.3">
      <c r="A19720" t="s">
        <v>1090</v>
      </c>
      <c r="B19720" t="s">
        <v>26</v>
      </c>
      <c r="C19720" s="1">
        <f>HYPERLINK("https://cao.dolgi.msk.ru/account/1011381835/", 1011381835)</f>
        <v>1011381835</v>
      </c>
      <c r="D19720">
        <v>9947.4699999999993</v>
      </c>
    </row>
    <row r="19721" spans="1:4" hidden="1" x14ac:dyDescent="0.3">
      <c r="A19721" t="s">
        <v>1090</v>
      </c>
      <c r="B19721" t="s">
        <v>27</v>
      </c>
      <c r="C19721" s="1">
        <f>HYPERLINK("https://cao.dolgi.msk.ru/account/1011381456/", 1011381456)</f>
        <v>1011381456</v>
      </c>
      <c r="D19721">
        <v>0</v>
      </c>
    </row>
    <row r="19722" spans="1:4" hidden="1" x14ac:dyDescent="0.3">
      <c r="A19722" t="s">
        <v>1090</v>
      </c>
      <c r="B19722" t="s">
        <v>29</v>
      </c>
      <c r="C19722" s="1">
        <f>HYPERLINK("https://cao.dolgi.msk.ru/account/1011381501/", 1011381501)</f>
        <v>1011381501</v>
      </c>
      <c r="D19722">
        <v>-26.06</v>
      </c>
    </row>
    <row r="19723" spans="1:4" hidden="1" x14ac:dyDescent="0.3">
      <c r="A19723" t="s">
        <v>1090</v>
      </c>
      <c r="B19723" t="s">
        <v>38</v>
      </c>
      <c r="C19723" s="1">
        <f>HYPERLINK("https://cao.dolgi.msk.ru/account/1011382395/", 1011382395)</f>
        <v>1011382395</v>
      </c>
      <c r="D19723">
        <v>-7347.2</v>
      </c>
    </row>
    <row r="19724" spans="1:4" x14ac:dyDescent="0.3">
      <c r="A19724" t="s">
        <v>1090</v>
      </c>
      <c r="B19724" t="s">
        <v>39</v>
      </c>
      <c r="C19724" s="1">
        <f>HYPERLINK("https://cao.dolgi.msk.ru/account/1011381931/", 1011381931)</f>
        <v>1011381931</v>
      </c>
      <c r="D19724">
        <v>8442.2999999999993</v>
      </c>
    </row>
    <row r="19725" spans="1:4" hidden="1" x14ac:dyDescent="0.3">
      <c r="A19725" t="s">
        <v>1090</v>
      </c>
      <c r="B19725" t="s">
        <v>40</v>
      </c>
      <c r="C19725" s="1">
        <f>HYPERLINK("https://cao.dolgi.msk.ru/account/1011381448/", 1011381448)</f>
        <v>1011381448</v>
      </c>
      <c r="D19725">
        <v>-1893.5</v>
      </c>
    </row>
    <row r="19726" spans="1:4" hidden="1" x14ac:dyDescent="0.3">
      <c r="A19726" t="s">
        <v>1090</v>
      </c>
      <c r="B19726" t="s">
        <v>40</v>
      </c>
      <c r="C19726" s="1">
        <f>HYPERLINK("https://cao.dolgi.msk.ru/account/1011381595/", 1011381595)</f>
        <v>1011381595</v>
      </c>
      <c r="D19726">
        <v>0</v>
      </c>
    </row>
    <row r="19727" spans="1:4" x14ac:dyDescent="0.3">
      <c r="A19727" t="s">
        <v>1090</v>
      </c>
      <c r="B19727" t="s">
        <v>41</v>
      </c>
      <c r="C19727" s="1">
        <f>HYPERLINK("https://cao.dolgi.msk.ru/account/1011381608/", 1011381608)</f>
        <v>1011381608</v>
      </c>
      <c r="D19727">
        <v>25910.41</v>
      </c>
    </row>
    <row r="19728" spans="1:4" x14ac:dyDescent="0.3">
      <c r="A19728" t="s">
        <v>1090</v>
      </c>
      <c r="B19728" t="s">
        <v>41</v>
      </c>
      <c r="C19728" s="1">
        <f>HYPERLINK("https://cao.dolgi.msk.ru/account/1011381712/", 1011381712)</f>
        <v>1011381712</v>
      </c>
      <c r="D19728">
        <v>90948.74</v>
      </c>
    </row>
    <row r="19729" spans="1:4" hidden="1" x14ac:dyDescent="0.3">
      <c r="A19729" t="s">
        <v>1090</v>
      </c>
      <c r="B19729" t="s">
        <v>51</v>
      </c>
      <c r="C19729" s="1">
        <f>HYPERLINK("https://cao.dolgi.msk.ru/account/1011381878/", 1011381878)</f>
        <v>1011381878</v>
      </c>
      <c r="D19729">
        <v>-1017.91</v>
      </c>
    </row>
    <row r="19730" spans="1:4" x14ac:dyDescent="0.3">
      <c r="A19730" t="s">
        <v>1090</v>
      </c>
      <c r="B19730" t="s">
        <v>52</v>
      </c>
      <c r="C19730" s="1">
        <f>HYPERLINK("https://cao.dolgi.msk.ru/account/1011381536/", 1011381536)</f>
        <v>1011381536</v>
      </c>
      <c r="D19730">
        <v>158483.12</v>
      </c>
    </row>
    <row r="19731" spans="1:4" hidden="1" x14ac:dyDescent="0.3">
      <c r="A19731" t="s">
        <v>1090</v>
      </c>
      <c r="B19731" t="s">
        <v>53</v>
      </c>
      <c r="C19731" s="1">
        <f>HYPERLINK("https://cao.dolgi.msk.ru/account/1011382176/", 1011382176)</f>
        <v>1011382176</v>
      </c>
      <c r="D19731">
        <v>0</v>
      </c>
    </row>
    <row r="19732" spans="1:4" hidden="1" x14ac:dyDescent="0.3">
      <c r="A19732" t="s">
        <v>1090</v>
      </c>
      <c r="B19732" t="s">
        <v>54</v>
      </c>
      <c r="C19732" s="1">
        <f>HYPERLINK("https://cao.dolgi.msk.ru/account/1011381632/", 1011381632)</f>
        <v>1011381632</v>
      </c>
      <c r="D19732">
        <v>0</v>
      </c>
    </row>
    <row r="19733" spans="1:4" hidden="1" x14ac:dyDescent="0.3">
      <c r="A19733" t="s">
        <v>1090</v>
      </c>
      <c r="B19733" t="s">
        <v>55</v>
      </c>
      <c r="C19733" s="1">
        <f>HYPERLINK("https://cao.dolgi.msk.ru/account/1011381616/", 1011381616)</f>
        <v>1011381616</v>
      </c>
      <c r="D19733">
        <v>-3312.19</v>
      </c>
    </row>
    <row r="19734" spans="1:4" x14ac:dyDescent="0.3">
      <c r="A19734" t="s">
        <v>1090</v>
      </c>
      <c r="B19734" t="s">
        <v>55</v>
      </c>
      <c r="C19734" s="1">
        <f>HYPERLINK("https://cao.dolgi.msk.ru/account/1011382475/", 1011382475)</f>
        <v>1011382475</v>
      </c>
      <c r="D19734">
        <v>2194.92</v>
      </c>
    </row>
    <row r="19735" spans="1:4" x14ac:dyDescent="0.3">
      <c r="A19735" t="s">
        <v>1090</v>
      </c>
      <c r="B19735" t="s">
        <v>56</v>
      </c>
      <c r="C19735" s="1">
        <f>HYPERLINK("https://cao.dolgi.msk.ru/account/1011382379/", 1011382379)</f>
        <v>1011382379</v>
      </c>
      <c r="D19735">
        <v>0.14000000000000001</v>
      </c>
    </row>
    <row r="19736" spans="1:4" hidden="1" x14ac:dyDescent="0.3">
      <c r="A19736" t="s">
        <v>1090</v>
      </c>
      <c r="B19736" t="s">
        <v>87</v>
      </c>
      <c r="C19736" s="1">
        <f>HYPERLINK("https://cao.dolgi.msk.ru/account/1011382088/", 1011382088)</f>
        <v>1011382088</v>
      </c>
      <c r="D19736">
        <v>0</v>
      </c>
    </row>
    <row r="19737" spans="1:4" x14ac:dyDescent="0.3">
      <c r="A19737" t="s">
        <v>1090</v>
      </c>
      <c r="B19737" t="s">
        <v>88</v>
      </c>
      <c r="C19737" s="1">
        <f>HYPERLINK("https://cao.dolgi.msk.ru/account/1011382547/", 1011382547)</f>
        <v>1011382547</v>
      </c>
      <c r="D19737">
        <v>37154.68</v>
      </c>
    </row>
    <row r="19738" spans="1:4" hidden="1" x14ac:dyDescent="0.3">
      <c r="A19738" t="s">
        <v>1090</v>
      </c>
      <c r="B19738" t="s">
        <v>89</v>
      </c>
      <c r="C19738" s="1">
        <f>HYPERLINK("https://cao.dolgi.msk.ru/account/1011381624/", 1011381624)</f>
        <v>1011381624</v>
      </c>
      <c r="D19738">
        <v>-6624.34</v>
      </c>
    </row>
    <row r="19739" spans="1:4" x14ac:dyDescent="0.3">
      <c r="A19739" t="s">
        <v>1090</v>
      </c>
      <c r="B19739" t="s">
        <v>90</v>
      </c>
      <c r="C19739" s="1">
        <f>HYPERLINK("https://cao.dolgi.msk.ru/account/1011381966/", 1011381966)</f>
        <v>1011381966</v>
      </c>
      <c r="D19739">
        <v>11719.74</v>
      </c>
    </row>
    <row r="19740" spans="1:4" hidden="1" x14ac:dyDescent="0.3">
      <c r="A19740" t="s">
        <v>1090</v>
      </c>
      <c r="B19740" t="s">
        <v>96</v>
      </c>
      <c r="C19740" s="1">
        <f>HYPERLINK("https://cao.dolgi.msk.ru/account/1011382539/", 1011382539)</f>
        <v>1011382539</v>
      </c>
      <c r="D19740">
        <v>-138.96</v>
      </c>
    </row>
    <row r="19741" spans="1:4" hidden="1" x14ac:dyDescent="0.3">
      <c r="A19741" t="s">
        <v>1090</v>
      </c>
      <c r="B19741" t="s">
        <v>97</v>
      </c>
      <c r="C19741" s="1">
        <f>HYPERLINK("https://cao.dolgi.msk.ru/account/1011382256/", 1011382256)</f>
        <v>1011382256</v>
      </c>
      <c r="D19741">
        <v>0</v>
      </c>
    </row>
    <row r="19742" spans="1:4" hidden="1" x14ac:dyDescent="0.3">
      <c r="A19742" t="s">
        <v>1090</v>
      </c>
      <c r="B19742" t="s">
        <v>98</v>
      </c>
      <c r="C19742" s="1">
        <f>HYPERLINK("https://cao.dolgi.msk.ru/account/1011381843/", 1011381843)</f>
        <v>1011381843</v>
      </c>
      <c r="D19742">
        <v>-7728.82</v>
      </c>
    </row>
    <row r="19743" spans="1:4" hidden="1" x14ac:dyDescent="0.3">
      <c r="A19743" t="s">
        <v>1090</v>
      </c>
      <c r="B19743" t="s">
        <v>58</v>
      </c>
      <c r="C19743" s="1">
        <f>HYPERLINK("https://cao.dolgi.msk.ru/account/1011381755/", 1011381755)</f>
        <v>1011381755</v>
      </c>
      <c r="D19743">
        <v>0</v>
      </c>
    </row>
    <row r="19744" spans="1:4" hidden="1" x14ac:dyDescent="0.3">
      <c r="A19744" t="s">
        <v>1090</v>
      </c>
      <c r="B19744" t="s">
        <v>59</v>
      </c>
      <c r="C19744" s="1">
        <f>HYPERLINK("https://cao.dolgi.msk.ru/account/1011382125/", 1011382125)</f>
        <v>1011382125</v>
      </c>
      <c r="D19744">
        <v>0</v>
      </c>
    </row>
    <row r="19745" spans="1:4" hidden="1" x14ac:dyDescent="0.3">
      <c r="A19745" t="s">
        <v>1090</v>
      </c>
      <c r="B19745" t="s">
        <v>59</v>
      </c>
      <c r="C19745" s="1">
        <f>HYPERLINK("https://cao.dolgi.msk.ru/account/1011382344/", 1011382344)</f>
        <v>1011382344</v>
      </c>
      <c r="D19745">
        <v>0</v>
      </c>
    </row>
    <row r="19746" spans="1:4" hidden="1" x14ac:dyDescent="0.3">
      <c r="A19746" t="s">
        <v>1090</v>
      </c>
      <c r="B19746" t="s">
        <v>60</v>
      </c>
      <c r="C19746" s="1">
        <f>HYPERLINK("https://cao.dolgi.msk.ru/account/1011381392/", 1011381392)</f>
        <v>1011381392</v>
      </c>
      <c r="D19746">
        <v>0</v>
      </c>
    </row>
    <row r="19747" spans="1:4" x14ac:dyDescent="0.3">
      <c r="A19747" t="s">
        <v>1090</v>
      </c>
      <c r="B19747" t="s">
        <v>60</v>
      </c>
      <c r="C19747" s="1">
        <f>HYPERLINK("https://cao.dolgi.msk.ru/account/1011382491/", 1011382491)</f>
        <v>1011382491</v>
      </c>
      <c r="D19747">
        <v>11368.48</v>
      </c>
    </row>
    <row r="19748" spans="1:4" hidden="1" x14ac:dyDescent="0.3">
      <c r="A19748" t="s">
        <v>1090</v>
      </c>
      <c r="B19748" t="s">
        <v>61</v>
      </c>
      <c r="C19748" s="1">
        <f>HYPERLINK("https://cao.dolgi.msk.ru/account/1011382002/", 1011382002)</f>
        <v>1011382002</v>
      </c>
      <c r="D19748">
        <v>0</v>
      </c>
    </row>
    <row r="19749" spans="1:4" hidden="1" x14ac:dyDescent="0.3">
      <c r="A19749" t="s">
        <v>1090</v>
      </c>
      <c r="B19749" t="s">
        <v>62</v>
      </c>
      <c r="C19749" s="1">
        <f>HYPERLINK("https://cao.dolgi.msk.ru/account/1011382192/", 1011382192)</f>
        <v>1011382192</v>
      </c>
      <c r="D19749">
        <v>-852.08</v>
      </c>
    </row>
    <row r="19750" spans="1:4" hidden="1" x14ac:dyDescent="0.3">
      <c r="A19750" t="s">
        <v>1090</v>
      </c>
      <c r="B19750" t="s">
        <v>63</v>
      </c>
      <c r="C19750" s="1">
        <f>HYPERLINK("https://cao.dolgi.msk.ru/account/1011382416/", 1011382416)</f>
        <v>1011382416</v>
      </c>
      <c r="D19750">
        <v>0</v>
      </c>
    </row>
    <row r="19751" spans="1:4" hidden="1" x14ac:dyDescent="0.3">
      <c r="A19751" t="s">
        <v>1090</v>
      </c>
      <c r="B19751" t="s">
        <v>64</v>
      </c>
      <c r="C19751" s="1">
        <f>HYPERLINK("https://cao.dolgi.msk.ru/account/1011382061/", 1011382061)</f>
        <v>1011382061</v>
      </c>
      <c r="D19751">
        <v>-8141.22</v>
      </c>
    </row>
    <row r="19752" spans="1:4" hidden="1" x14ac:dyDescent="0.3">
      <c r="A19752" t="s">
        <v>1090</v>
      </c>
      <c r="B19752" t="s">
        <v>65</v>
      </c>
      <c r="C19752" s="1">
        <f>HYPERLINK("https://cao.dolgi.msk.ru/account/1011381886/", 1011381886)</f>
        <v>1011381886</v>
      </c>
      <c r="D19752">
        <v>-7186.07</v>
      </c>
    </row>
    <row r="19753" spans="1:4" hidden="1" x14ac:dyDescent="0.3">
      <c r="A19753" t="s">
        <v>1090</v>
      </c>
      <c r="B19753" t="s">
        <v>66</v>
      </c>
      <c r="C19753" s="1">
        <f>HYPERLINK("https://cao.dolgi.msk.ru/account/1011381915/", 1011381915)</f>
        <v>1011381915</v>
      </c>
      <c r="D19753">
        <v>0</v>
      </c>
    </row>
    <row r="19754" spans="1:4" x14ac:dyDescent="0.3">
      <c r="A19754" t="s">
        <v>1090</v>
      </c>
      <c r="B19754" t="s">
        <v>67</v>
      </c>
      <c r="C19754" s="1">
        <f>HYPERLINK("https://cao.dolgi.msk.ru/account/1011382037/", 1011382037)</f>
        <v>1011382037</v>
      </c>
      <c r="D19754">
        <v>8807.86</v>
      </c>
    </row>
    <row r="19755" spans="1:4" hidden="1" x14ac:dyDescent="0.3">
      <c r="A19755" t="s">
        <v>1090</v>
      </c>
      <c r="B19755" t="s">
        <v>68</v>
      </c>
      <c r="C19755" s="1">
        <f>HYPERLINK("https://cao.dolgi.msk.ru/account/1011381499/", 1011381499)</f>
        <v>1011381499</v>
      </c>
      <c r="D19755">
        <v>0</v>
      </c>
    </row>
    <row r="19756" spans="1:4" hidden="1" x14ac:dyDescent="0.3">
      <c r="A19756" t="s">
        <v>1090</v>
      </c>
      <c r="B19756" t="s">
        <v>69</v>
      </c>
      <c r="C19756" s="1">
        <f>HYPERLINK("https://cao.dolgi.msk.ru/account/1011381747/", 1011381747)</f>
        <v>1011381747</v>
      </c>
      <c r="D19756">
        <v>0</v>
      </c>
    </row>
    <row r="19757" spans="1:4" hidden="1" x14ac:dyDescent="0.3">
      <c r="A19757" t="s">
        <v>1090</v>
      </c>
      <c r="B19757" t="s">
        <v>69</v>
      </c>
      <c r="C19757" s="1">
        <f>HYPERLINK("https://cao.dolgi.msk.ru/account/1011382301/", 1011382301)</f>
        <v>1011382301</v>
      </c>
      <c r="D19757">
        <v>0</v>
      </c>
    </row>
    <row r="19758" spans="1:4" hidden="1" x14ac:dyDescent="0.3">
      <c r="A19758" t="s">
        <v>1090</v>
      </c>
      <c r="B19758" t="s">
        <v>69</v>
      </c>
      <c r="C19758" s="1">
        <f>HYPERLINK("https://cao.dolgi.msk.ru/account/1011382328/", 1011382328)</f>
        <v>1011382328</v>
      </c>
      <c r="D19758">
        <v>0</v>
      </c>
    </row>
    <row r="19759" spans="1:4" hidden="1" x14ac:dyDescent="0.3">
      <c r="A19759" t="s">
        <v>1090</v>
      </c>
      <c r="B19759" t="s">
        <v>70</v>
      </c>
      <c r="C19759" s="1">
        <f>HYPERLINK("https://cao.dolgi.msk.ru/account/1011381376/", 1011381376)</f>
        <v>1011381376</v>
      </c>
      <c r="D19759">
        <v>0</v>
      </c>
    </row>
    <row r="19760" spans="1:4" hidden="1" x14ac:dyDescent="0.3">
      <c r="A19760" t="s">
        <v>1090</v>
      </c>
      <c r="B19760" t="s">
        <v>259</v>
      </c>
      <c r="C19760" s="1">
        <f>HYPERLINK("https://cao.dolgi.msk.ru/account/1011381544/", 1011381544)</f>
        <v>1011381544</v>
      </c>
      <c r="D19760">
        <v>0</v>
      </c>
    </row>
    <row r="19761" spans="1:4" hidden="1" x14ac:dyDescent="0.3">
      <c r="A19761" t="s">
        <v>1090</v>
      </c>
      <c r="B19761" t="s">
        <v>259</v>
      </c>
      <c r="C19761" s="1">
        <f>HYPERLINK("https://cao.dolgi.msk.ru/account/1011382096/", 1011382096)</f>
        <v>1011382096</v>
      </c>
      <c r="D19761">
        <v>0</v>
      </c>
    </row>
    <row r="19762" spans="1:4" x14ac:dyDescent="0.3">
      <c r="A19762" t="s">
        <v>1090</v>
      </c>
      <c r="B19762" t="s">
        <v>100</v>
      </c>
      <c r="C19762" s="1">
        <f>HYPERLINK("https://cao.dolgi.msk.ru/account/1011382045/", 1011382045)</f>
        <v>1011382045</v>
      </c>
      <c r="D19762">
        <v>8558.1200000000008</v>
      </c>
    </row>
    <row r="19763" spans="1:4" hidden="1" x14ac:dyDescent="0.3">
      <c r="A19763" t="s">
        <v>1090</v>
      </c>
      <c r="B19763" t="s">
        <v>72</v>
      </c>
      <c r="C19763" s="1">
        <f>HYPERLINK("https://cao.dolgi.msk.ru/account/1011381659/", 1011381659)</f>
        <v>1011381659</v>
      </c>
      <c r="D19763">
        <v>0</v>
      </c>
    </row>
    <row r="19764" spans="1:4" hidden="1" x14ac:dyDescent="0.3">
      <c r="A19764" t="s">
        <v>1090</v>
      </c>
      <c r="B19764" t="s">
        <v>73</v>
      </c>
      <c r="C19764" s="1">
        <f>HYPERLINK("https://cao.dolgi.msk.ru/account/1011381827/", 1011381827)</f>
        <v>1011381827</v>
      </c>
      <c r="D19764">
        <v>0</v>
      </c>
    </row>
    <row r="19765" spans="1:4" hidden="1" x14ac:dyDescent="0.3">
      <c r="A19765" t="s">
        <v>1090</v>
      </c>
      <c r="B19765" t="s">
        <v>74</v>
      </c>
      <c r="C19765" s="1">
        <f>HYPERLINK("https://cao.dolgi.msk.ru/account/1011382264/", 1011382264)</f>
        <v>1011382264</v>
      </c>
      <c r="D19765">
        <v>-5291.39</v>
      </c>
    </row>
    <row r="19766" spans="1:4" hidden="1" x14ac:dyDescent="0.3">
      <c r="A19766" t="s">
        <v>1090</v>
      </c>
      <c r="B19766" t="s">
        <v>75</v>
      </c>
      <c r="C19766" s="1">
        <f>HYPERLINK("https://cao.dolgi.msk.ru/account/1011381552/", 1011381552)</f>
        <v>1011381552</v>
      </c>
      <c r="D19766">
        <v>0</v>
      </c>
    </row>
    <row r="19767" spans="1:4" hidden="1" x14ac:dyDescent="0.3">
      <c r="A19767" t="s">
        <v>1090</v>
      </c>
      <c r="B19767" t="s">
        <v>76</v>
      </c>
      <c r="C19767" s="1">
        <f>HYPERLINK("https://cao.dolgi.msk.ru/account/1011382352/", 1011382352)</f>
        <v>1011382352</v>
      </c>
      <c r="D19767">
        <v>-9643.17</v>
      </c>
    </row>
    <row r="19768" spans="1:4" hidden="1" x14ac:dyDescent="0.3">
      <c r="A19768" t="s">
        <v>1090</v>
      </c>
      <c r="B19768" t="s">
        <v>78</v>
      </c>
      <c r="C19768" s="1">
        <f>HYPERLINK("https://cao.dolgi.msk.ru/account/1011382205/", 1011382205)</f>
        <v>1011382205</v>
      </c>
      <c r="D19768">
        <v>0</v>
      </c>
    </row>
    <row r="19769" spans="1:4" x14ac:dyDescent="0.3">
      <c r="A19769" t="s">
        <v>1090</v>
      </c>
      <c r="B19769" t="s">
        <v>79</v>
      </c>
      <c r="C19769" s="1">
        <f>HYPERLINK("https://cao.dolgi.msk.ru/account/1011381798/", 1011381798)</f>
        <v>1011381798</v>
      </c>
      <c r="D19769">
        <v>10338.27</v>
      </c>
    </row>
    <row r="19770" spans="1:4" hidden="1" x14ac:dyDescent="0.3">
      <c r="A19770" t="s">
        <v>1090</v>
      </c>
      <c r="B19770" t="s">
        <v>80</v>
      </c>
      <c r="C19770" s="1">
        <f>HYPERLINK("https://cao.dolgi.msk.ru/account/1011382221/", 1011382221)</f>
        <v>1011382221</v>
      </c>
      <c r="D19770">
        <v>0</v>
      </c>
    </row>
    <row r="19771" spans="1:4" hidden="1" x14ac:dyDescent="0.3">
      <c r="A19771" t="s">
        <v>1090</v>
      </c>
      <c r="B19771" t="s">
        <v>81</v>
      </c>
      <c r="C19771" s="1">
        <f>HYPERLINK("https://cao.dolgi.msk.ru/account/1011381405/", 1011381405)</f>
        <v>1011381405</v>
      </c>
      <c r="D19771">
        <v>-4502.26</v>
      </c>
    </row>
    <row r="19772" spans="1:4" hidden="1" x14ac:dyDescent="0.3">
      <c r="A19772" t="s">
        <v>1090</v>
      </c>
      <c r="B19772" t="s">
        <v>81</v>
      </c>
      <c r="C19772" s="1">
        <f>HYPERLINK("https://cao.dolgi.msk.ru/account/1011382504/", 1011382504)</f>
        <v>1011382504</v>
      </c>
      <c r="D19772">
        <v>-3490.41</v>
      </c>
    </row>
    <row r="19773" spans="1:4" hidden="1" x14ac:dyDescent="0.3">
      <c r="A19773" t="s">
        <v>1090</v>
      </c>
      <c r="B19773" t="s">
        <v>101</v>
      </c>
      <c r="C19773" s="1">
        <f>HYPERLINK("https://cao.dolgi.msk.ru/account/1011381413/", 1011381413)</f>
        <v>1011381413</v>
      </c>
      <c r="D19773">
        <v>0</v>
      </c>
    </row>
    <row r="19774" spans="1:4" hidden="1" x14ac:dyDescent="0.3">
      <c r="A19774" t="s">
        <v>1090</v>
      </c>
      <c r="B19774" t="s">
        <v>82</v>
      </c>
      <c r="C19774" s="1">
        <f>HYPERLINK("https://cao.dolgi.msk.ru/account/1011381421/", 1011381421)</f>
        <v>1011381421</v>
      </c>
      <c r="D19774">
        <v>0</v>
      </c>
    </row>
    <row r="19775" spans="1:4" x14ac:dyDescent="0.3">
      <c r="A19775" t="s">
        <v>1090</v>
      </c>
      <c r="B19775" t="s">
        <v>83</v>
      </c>
      <c r="C19775" s="1">
        <f>HYPERLINK("https://cao.dolgi.msk.ru/account/1011382053/", 1011382053)</f>
        <v>1011382053</v>
      </c>
      <c r="D19775">
        <v>2176</v>
      </c>
    </row>
    <row r="19776" spans="1:4" hidden="1" x14ac:dyDescent="0.3">
      <c r="A19776" t="s">
        <v>1090</v>
      </c>
      <c r="B19776" t="s">
        <v>84</v>
      </c>
      <c r="C19776" s="1">
        <f>HYPERLINK("https://cao.dolgi.msk.ru/account/1011382109/", 1011382109)</f>
        <v>1011382109</v>
      </c>
      <c r="D19776">
        <v>0</v>
      </c>
    </row>
    <row r="19777" spans="1:4" x14ac:dyDescent="0.3">
      <c r="A19777" t="s">
        <v>1090</v>
      </c>
      <c r="B19777" t="s">
        <v>85</v>
      </c>
      <c r="C19777" s="1">
        <f>HYPERLINK("https://cao.dolgi.msk.ru/account/1011382483/", 1011382483)</f>
        <v>1011382483</v>
      </c>
      <c r="D19777">
        <v>5607</v>
      </c>
    </row>
    <row r="19778" spans="1:4" hidden="1" x14ac:dyDescent="0.3">
      <c r="A19778" t="s">
        <v>1090</v>
      </c>
      <c r="B19778" t="s">
        <v>102</v>
      </c>
      <c r="C19778" s="1">
        <f>HYPERLINK("https://cao.dolgi.msk.ru/account/1011382272/", 1011382272)</f>
        <v>1011382272</v>
      </c>
      <c r="D19778">
        <v>0</v>
      </c>
    </row>
    <row r="19779" spans="1:4" x14ac:dyDescent="0.3">
      <c r="A19779" t="s">
        <v>1090</v>
      </c>
      <c r="B19779" t="s">
        <v>103</v>
      </c>
      <c r="C19779" s="1">
        <f>HYPERLINK("https://cao.dolgi.msk.ru/account/1011381464/", 1011381464)</f>
        <v>1011381464</v>
      </c>
      <c r="D19779">
        <v>7426.43</v>
      </c>
    </row>
    <row r="19780" spans="1:4" x14ac:dyDescent="0.3">
      <c r="A19780" t="s">
        <v>1090</v>
      </c>
      <c r="B19780" t="s">
        <v>104</v>
      </c>
      <c r="C19780" s="1">
        <f>HYPERLINK("https://cao.dolgi.msk.ru/account/1011382387/", 1011382387)</f>
        <v>1011382387</v>
      </c>
      <c r="D19780">
        <v>32546.61</v>
      </c>
    </row>
    <row r="19781" spans="1:4" hidden="1" x14ac:dyDescent="0.3">
      <c r="A19781" t="s">
        <v>1090</v>
      </c>
      <c r="B19781" t="s">
        <v>105</v>
      </c>
      <c r="C19781" s="1">
        <f>HYPERLINK("https://cao.dolgi.msk.ru/account/1011381763/", 1011381763)</f>
        <v>1011381763</v>
      </c>
      <c r="D19781">
        <v>-9782.1299999999992</v>
      </c>
    </row>
    <row r="19782" spans="1:4" hidden="1" x14ac:dyDescent="0.3">
      <c r="A19782" t="s">
        <v>1090</v>
      </c>
      <c r="B19782" t="s">
        <v>106</v>
      </c>
      <c r="C19782" s="1">
        <f>HYPERLINK("https://cao.dolgi.msk.ru/account/1011381528/", 1011381528)</f>
        <v>1011381528</v>
      </c>
      <c r="D19782">
        <v>-7832.65</v>
      </c>
    </row>
    <row r="19783" spans="1:4" hidden="1" x14ac:dyDescent="0.3">
      <c r="A19783" t="s">
        <v>1090</v>
      </c>
      <c r="B19783" t="s">
        <v>107</v>
      </c>
      <c r="C19783" s="1">
        <f>HYPERLINK("https://cao.dolgi.msk.ru/account/1011382117/", 1011382117)</f>
        <v>1011382117</v>
      </c>
      <c r="D19783">
        <v>-9181.0300000000007</v>
      </c>
    </row>
    <row r="19784" spans="1:4" hidden="1" x14ac:dyDescent="0.3">
      <c r="A19784" t="s">
        <v>1090</v>
      </c>
      <c r="B19784" t="s">
        <v>108</v>
      </c>
      <c r="C19784" s="1">
        <f>HYPERLINK("https://cao.dolgi.msk.ru/account/1011381667/", 1011381667)</f>
        <v>1011381667</v>
      </c>
      <c r="D19784">
        <v>0</v>
      </c>
    </row>
    <row r="19785" spans="1:4" hidden="1" x14ac:dyDescent="0.3">
      <c r="A19785" t="s">
        <v>1090</v>
      </c>
      <c r="B19785" t="s">
        <v>109</v>
      </c>
      <c r="C19785" s="1">
        <f>HYPERLINK("https://cao.dolgi.msk.ru/account/1011382408/", 1011382408)</f>
        <v>1011382408</v>
      </c>
      <c r="D19785">
        <v>0</v>
      </c>
    </row>
    <row r="19786" spans="1:4" hidden="1" x14ac:dyDescent="0.3">
      <c r="A19786" t="s">
        <v>1090</v>
      </c>
      <c r="B19786" t="s">
        <v>110</v>
      </c>
      <c r="C19786" s="1">
        <f>HYPERLINK("https://cao.dolgi.msk.ru/account/1011381894/", 1011381894)</f>
        <v>1011381894</v>
      </c>
      <c r="D19786">
        <v>0</v>
      </c>
    </row>
    <row r="19787" spans="1:4" hidden="1" x14ac:dyDescent="0.3">
      <c r="A19787" t="s">
        <v>1090</v>
      </c>
      <c r="B19787" t="s">
        <v>110</v>
      </c>
      <c r="C19787" s="1">
        <f>HYPERLINK("https://cao.dolgi.msk.ru/account/1011381982/", 1011381982)</f>
        <v>1011381982</v>
      </c>
      <c r="D19787">
        <v>0</v>
      </c>
    </row>
    <row r="19788" spans="1:4" hidden="1" x14ac:dyDescent="0.3">
      <c r="A19788" t="s">
        <v>1090</v>
      </c>
      <c r="B19788" t="s">
        <v>111</v>
      </c>
      <c r="C19788" s="1">
        <f>HYPERLINK("https://cao.dolgi.msk.ru/account/1011382555/", 1011382555)</f>
        <v>1011382555</v>
      </c>
      <c r="D19788">
        <v>0</v>
      </c>
    </row>
    <row r="19789" spans="1:4" hidden="1" x14ac:dyDescent="0.3">
      <c r="A19789" t="s">
        <v>1090</v>
      </c>
      <c r="B19789" t="s">
        <v>112</v>
      </c>
      <c r="C19789" s="1">
        <f>HYPERLINK("https://cao.dolgi.msk.ru/account/1011381704/", 1011381704)</f>
        <v>1011381704</v>
      </c>
      <c r="D19789">
        <v>0</v>
      </c>
    </row>
    <row r="19790" spans="1:4" hidden="1" x14ac:dyDescent="0.3">
      <c r="A19790" t="s">
        <v>1090</v>
      </c>
      <c r="B19790" t="s">
        <v>113</v>
      </c>
      <c r="C19790" s="1">
        <f>HYPERLINK("https://cao.dolgi.msk.ru/account/1011382141/", 1011382141)</f>
        <v>1011382141</v>
      </c>
      <c r="D19790">
        <v>0</v>
      </c>
    </row>
    <row r="19791" spans="1:4" hidden="1" x14ac:dyDescent="0.3">
      <c r="A19791" t="s">
        <v>1090</v>
      </c>
      <c r="B19791" t="s">
        <v>114</v>
      </c>
      <c r="C19791" s="1">
        <f>HYPERLINK("https://cao.dolgi.msk.ru/account/1011505228/", 1011505228)</f>
        <v>1011505228</v>
      </c>
      <c r="D19791">
        <v>0</v>
      </c>
    </row>
    <row r="19792" spans="1:4" hidden="1" x14ac:dyDescent="0.3">
      <c r="A19792" t="s">
        <v>1090</v>
      </c>
      <c r="B19792" t="s">
        <v>115</v>
      </c>
      <c r="C19792" s="1">
        <f>HYPERLINK("https://cao.dolgi.msk.ru/account/1011382248/", 1011382248)</f>
        <v>1011382248</v>
      </c>
      <c r="D19792">
        <v>-3518.54</v>
      </c>
    </row>
    <row r="19793" spans="1:4" hidden="1" x14ac:dyDescent="0.3">
      <c r="A19793" t="s">
        <v>1090</v>
      </c>
      <c r="B19793" t="s">
        <v>115</v>
      </c>
      <c r="C19793" s="1">
        <f>HYPERLINK("https://cao.dolgi.msk.ru/account/1011382432/", 1011382432)</f>
        <v>1011382432</v>
      </c>
      <c r="D19793">
        <v>-3197.86</v>
      </c>
    </row>
    <row r="19794" spans="1:4" hidden="1" x14ac:dyDescent="0.3">
      <c r="A19794" t="s">
        <v>1090</v>
      </c>
      <c r="B19794" t="s">
        <v>116</v>
      </c>
      <c r="C19794" s="1">
        <f>HYPERLINK("https://cao.dolgi.msk.ru/account/1011381472/", 1011381472)</f>
        <v>1011381472</v>
      </c>
      <c r="D19794">
        <v>-481.32</v>
      </c>
    </row>
    <row r="19795" spans="1:4" hidden="1" x14ac:dyDescent="0.3">
      <c r="A19795" t="s">
        <v>1090</v>
      </c>
      <c r="B19795" t="s">
        <v>266</v>
      </c>
      <c r="C19795" s="1">
        <f>HYPERLINK("https://cao.dolgi.msk.ru/account/1011381587/", 1011381587)</f>
        <v>1011381587</v>
      </c>
      <c r="D19795">
        <v>0</v>
      </c>
    </row>
    <row r="19796" spans="1:4" hidden="1" x14ac:dyDescent="0.3">
      <c r="A19796" t="s">
        <v>1090</v>
      </c>
      <c r="B19796" t="s">
        <v>117</v>
      </c>
      <c r="C19796" s="1">
        <f>HYPERLINK("https://cao.dolgi.msk.ru/account/1011381683/", 1011381683)</f>
        <v>1011381683</v>
      </c>
      <c r="D19796">
        <v>0</v>
      </c>
    </row>
    <row r="19797" spans="1:4" x14ac:dyDescent="0.3">
      <c r="A19797" t="s">
        <v>1090</v>
      </c>
      <c r="B19797" t="s">
        <v>118</v>
      </c>
      <c r="C19797" s="1">
        <f>HYPERLINK("https://cao.dolgi.msk.ru/account/1011381771/", 1011381771)</f>
        <v>1011381771</v>
      </c>
      <c r="D19797">
        <v>2376.39</v>
      </c>
    </row>
    <row r="19798" spans="1:4" hidden="1" x14ac:dyDescent="0.3">
      <c r="A19798" t="s">
        <v>1090</v>
      </c>
      <c r="B19798" t="s">
        <v>119</v>
      </c>
      <c r="C19798" s="1">
        <f>HYPERLINK("https://cao.dolgi.msk.ru/account/1011382299/", 1011382299)</f>
        <v>1011382299</v>
      </c>
      <c r="D19798">
        <v>-7992.85</v>
      </c>
    </row>
    <row r="19799" spans="1:4" hidden="1" x14ac:dyDescent="0.3">
      <c r="A19799" t="s">
        <v>1090</v>
      </c>
      <c r="B19799" t="s">
        <v>120</v>
      </c>
      <c r="C19799" s="1">
        <f>HYPERLINK("https://cao.dolgi.msk.ru/account/1011382459/", 1011382459)</f>
        <v>1011382459</v>
      </c>
      <c r="D19799">
        <v>0</v>
      </c>
    </row>
    <row r="19800" spans="1:4" hidden="1" x14ac:dyDescent="0.3">
      <c r="A19800" t="s">
        <v>1090</v>
      </c>
      <c r="B19800" t="s">
        <v>121</v>
      </c>
      <c r="C19800" s="1">
        <f>HYPERLINK("https://cao.dolgi.msk.ru/account/1011382029/", 1011382029)</f>
        <v>1011382029</v>
      </c>
      <c r="D19800">
        <v>0</v>
      </c>
    </row>
    <row r="19801" spans="1:4" x14ac:dyDescent="0.3">
      <c r="A19801" t="s">
        <v>1090</v>
      </c>
      <c r="B19801" t="s">
        <v>122</v>
      </c>
      <c r="C19801" s="1">
        <f>HYPERLINK("https://cao.dolgi.msk.ru/account/1011381907/", 1011381907)</f>
        <v>1011381907</v>
      </c>
      <c r="D19801">
        <v>8470.61</v>
      </c>
    </row>
    <row r="19802" spans="1:4" hidden="1" x14ac:dyDescent="0.3">
      <c r="A19802" t="s">
        <v>1090</v>
      </c>
      <c r="B19802" t="s">
        <v>123</v>
      </c>
      <c r="C19802" s="1">
        <f>HYPERLINK("https://cao.dolgi.msk.ru/account/1011382184/", 1011382184)</f>
        <v>1011382184</v>
      </c>
      <c r="D19802">
        <v>-897.74</v>
      </c>
    </row>
    <row r="19803" spans="1:4" hidden="1" x14ac:dyDescent="0.3">
      <c r="A19803" t="s">
        <v>1090</v>
      </c>
      <c r="B19803" t="s">
        <v>124</v>
      </c>
      <c r="C19803" s="1">
        <f>HYPERLINK("https://cao.dolgi.msk.ru/account/1011382336/", 1011382336)</f>
        <v>1011382336</v>
      </c>
      <c r="D19803">
        <v>0</v>
      </c>
    </row>
    <row r="19804" spans="1:4" hidden="1" x14ac:dyDescent="0.3">
      <c r="A19804" t="s">
        <v>1090</v>
      </c>
      <c r="B19804" t="s">
        <v>125</v>
      </c>
      <c r="C19804" s="1">
        <f>HYPERLINK("https://cao.dolgi.msk.ru/account/1011381923/", 1011381923)</f>
        <v>1011381923</v>
      </c>
      <c r="D19804">
        <v>-12770.14</v>
      </c>
    </row>
    <row r="19805" spans="1:4" hidden="1" x14ac:dyDescent="0.3">
      <c r="A19805" t="s">
        <v>1090</v>
      </c>
      <c r="B19805" t="s">
        <v>126</v>
      </c>
      <c r="C19805" s="1">
        <f>HYPERLINK("https://cao.dolgi.msk.ru/account/1011381691/", 1011381691)</f>
        <v>1011381691</v>
      </c>
      <c r="D19805">
        <v>-4477.09</v>
      </c>
    </row>
    <row r="19806" spans="1:4" hidden="1" x14ac:dyDescent="0.3">
      <c r="A19806" t="s">
        <v>1090</v>
      </c>
      <c r="B19806" t="s">
        <v>127</v>
      </c>
      <c r="C19806" s="1">
        <f>HYPERLINK("https://cao.dolgi.msk.ru/account/1011381739/", 1011381739)</f>
        <v>1011381739</v>
      </c>
      <c r="D19806">
        <v>0</v>
      </c>
    </row>
    <row r="19807" spans="1:4" hidden="1" x14ac:dyDescent="0.3">
      <c r="A19807" t="s">
        <v>1091</v>
      </c>
      <c r="B19807" t="s">
        <v>138</v>
      </c>
      <c r="C19807" s="1">
        <f>HYPERLINK("https://cao.dolgi.msk.ru/account/1011124409/", 1011124409)</f>
        <v>1011124409</v>
      </c>
      <c r="D19807">
        <v>-18636.54</v>
      </c>
    </row>
    <row r="19808" spans="1:4" hidden="1" x14ac:dyDescent="0.3">
      <c r="A19808" t="s">
        <v>1091</v>
      </c>
      <c r="B19808" t="s">
        <v>139</v>
      </c>
      <c r="C19808" s="1">
        <f>HYPERLINK("https://cao.dolgi.msk.ru/account/1011124601/", 1011124601)</f>
        <v>1011124601</v>
      </c>
      <c r="D19808">
        <v>-980.4</v>
      </c>
    </row>
    <row r="19809" spans="1:4" hidden="1" x14ac:dyDescent="0.3">
      <c r="A19809" t="s">
        <v>1091</v>
      </c>
      <c r="B19809" t="s">
        <v>141</v>
      </c>
      <c r="C19809" s="1">
        <f>HYPERLINK("https://cao.dolgi.msk.ru/account/1011124572/", 1011124572)</f>
        <v>1011124572</v>
      </c>
      <c r="D19809">
        <v>-6552.26</v>
      </c>
    </row>
    <row r="19810" spans="1:4" hidden="1" x14ac:dyDescent="0.3">
      <c r="A19810" t="s">
        <v>1091</v>
      </c>
      <c r="B19810" t="s">
        <v>142</v>
      </c>
      <c r="C19810" s="1">
        <f>HYPERLINK("https://cao.dolgi.msk.ru/account/1011124476/", 1011124476)</f>
        <v>1011124476</v>
      </c>
      <c r="D19810">
        <v>0</v>
      </c>
    </row>
    <row r="19811" spans="1:4" x14ac:dyDescent="0.3">
      <c r="A19811" t="s">
        <v>1091</v>
      </c>
      <c r="B19811" t="s">
        <v>143</v>
      </c>
      <c r="C19811" s="1">
        <f>HYPERLINK("https://cao.dolgi.msk.ru/account/1011124679/", 1011124679)</f>
        <v>1011124679</v>
      </c>
      <c r="D19811">
        <v>20232.669999999998</v>
      </c>
    </row>
    <row r="19812" spans="1:4" hidden="1" x14ac:dyDescent="0.3">
      <c r="A19812" t="s">
        <v>1091</v>
      </c>
      <c r="B19812" t="s">
        <v>144</v>
      </c>
      <c r="C19812" s="1">
        <f>HYPERLINK("https://cao.dolgi.msk.ru/account/1011124513/", 1011124513)</f>
        <v>1011124513</v>
      </c>
      <c r="D19812">
        <v>0</v>
      </c>
    </row>
    <row r="19813" spans="1:4" x14ac:dyDescent="0.3">
      <c r="A19813" t="s">
        <v>1091</v>
      </c>
      <c r="B19813" t="s">
        <v>145</v>
      </c>
      <c r="C19813" s="1">
        <f>HYPERLINK("https://cao.dolgi.msk.ru/account/1011124599/", 1011124599)</f>
        <v>1011124599</v>
      </c>
      <c r="D19813">
        <v>20512.939999999999</v>
      </c>
    </row>
    <row r="19814" spans="1:4" x14ac:dyDescent="0.3">
      <c r="A19814" t="s">
        <v>1091</v>
      </c>
      <c r="B19814" t="s">
        <v>146</v>
      </c>
      <c r="C19814" s="1">
        <f>HYPERLINK("https://cao.dolgi.msk.ru/account/1011124484/", 1011124484)</f>
        <v>1011124484</v>
      </c>
      <c r="D19814">
        <v>59202.04</v>
      </c>
    </row>
    <row r="19815" spans="1:4" hidden="1" x14ac:dyDescent="0.3">
      <c r="A19815" t="s">
        <v>1091</v>
      </c>
      <c r="B19815" t="s">
        <v>147</v>
      </c>
      <c r="C19815" s="1">
        <f>HYPERLINK("https://cao.dolgi.msk.ru/account/1011124687/", 1011124687)</f>
        <v>1011124687</v>
      </c>
      <c r="D19815">
        <v>0</v>
      </c>
    </row>
    <row r="19816" spans="1:4" hidden="1" x14ac:dyDescent="0.3">
      <c r="A19816" t="s">
        <v>1091</v>
      </c>
      <c r="B19816" t="s">
        <v>148</v>
      </c>
      <c r="C19816" s="1">
        <f>HYPERLINK("https://cao.dolgi.msk.ru/account/1011124636/", 1011124636)</f>
        <v>1011124636</v>
      </c>
      <c r="D19816">
        <v>0</v>
      </c>
    </row>
    <row r="19817" spans="1:4" hidden="1" x14ac:dyDescent="0.3">
      <c r="A19817" t="s">
        <v>1091</v>
      </c>
      <c r="B19817" t="s">
        <v>149</v>
      </c>
      <c r="C19817" s="1">
        <f>HYPERLINK("https://cao.dolgi.msk.ru/account/1011124417/", 1011124417)</f>
        <v>1011124417</v>
      </c>
      <c r="D19817">
        <v>0</v>
      </c>
    </row>
    <row r="19818" spans="1:4" hidden="1" x14ac:dyDescent="0.3">
      <c r="A19818" t="s">
        <v>1091</v>
      </c>
      <c r="B19818" t="s">
        <v>150</v>
      </c>
      <c r="C19818" s="1">
        <f>HYPERLINK("https://cao.dolgi.msk.ru/account/1011124708/", 1011124708)</f>
        <v>1011124708</v>
      </c>
      <c r="D19818">
        <v>0</v>
      </c>
    </row>
    <row r="19819" spans="1:4" hidden="1" x14ac:dyDescent="0.3">
      <c r="A19819" t="s">
        <v>1091</v>
      </c>
      <c r="B19819" t="s">
        <v>151</v>
      </c>
      <c r="C19819" s="1">
        <f>HYPERLINK("https://cao.dolgi.msk.ru/account/1011124441/", 1011124441)</f>
        <v>1011124441</v>
      </c>
      <c r="D19819">
        <v>0</v>
      </c>
    </row>
    <row r="19820" spans="1:4" hidden="1" x14ac:dyDescent="0.3">
      <c r="A19820" t="s">
        <v>1091</v>
      </c>
      <c r="B19820" t="s">
        <v>152</v>
      </c>
      <c r="C19820" s="1">
        <f>HYPERLINK("https://cao.dolgi.msk.ru/account/1011124425/", 1011124425)</f>
        <v>1011124425</v>
      </c>
      <c r="D19820">
        <v>-5973.26</v>
      </c>
    </row>
    <row r="19821" spans="1:4" hidden="1" x14ac:dyDescent="0.3">
      <c r="A19821" t="s">
        <v>1091</v>
      </c>
      <c r="B19821" t="s">
        <v>153</v>
      </c>
      <c r="C19821" s="1">
        <f>HYPERLINK("https://cao.dolgi.msk.ru/account/1011124521/", 1011124521)</f>
        <v>1011124521</v>
      </c>
      <c r="D19821">
        <v>0</v>
      </c>
    </row>
    <row r="19822" spans="1:4" hidden="1" x14ac:dyDescent="0.3">
      <c r="A19822" t="s">
        <v>1091</v>
      </c>
      <c r="B19822" t="s">
        <v>154</v>
      </c>
      <c r="C19822" s="1">
        <f>HYPERLINK("https://cao.dolgi.msk.ru/account/1011124716/", 1011124716)</f>
        <v>1011124716</v>
      </c>
      <c r="D19822">
        <v>0</v>
      </c>
    </row>
    <row r="19823" spans="1:4" hidden="1" x14ac:dyDescent="0.3">
      <c r="A19823" t="s">
        <v>1091</v>
      </c>
      <c r="B19823" t="s">
        <v>155</v>
      </c>
      <c r="C19823" s="1">
        <f>HYPERLINK("https://cao.dolgi.msk.ru/account/1011124468/", 1011124468)</f>
        <v>1011124468</v>
      </c>
      <c r="D19823">
        <v>0</v>
      </c>
    </row>
    <row r="19824" spans="1:4" x14ac:dyDescent="0.3">
      <c r="A19824" t="s">
        <v>1091</v>
      </c>
      <c r="B19824" t="s">
        <v>156</v>
      </c>
      <c r="C19824" s="1">
        <f>HYPERLINK("https://cao.dolgi.msk.ru/account/1011124433/", 1011124433)</f>
        <v>1011124433</v>
      </c>
      <c r="D19824">
        <v>266249.07</v>
      </c>
    </row>
    <row r="19825" spans="1:4" hidden="1" x14ac:dyDescent="0.3">
      <c r="A19825" t="s">
        <v>1091</v>
      </c>
      <c r="B19825" t="s">
        <v>157</v>
      </c>
      <c r="C19825" s="1">
        <f>HYPERLINK("https://cao.dolgi.msk.ru/account/1011124644/", 1011124644)</f>
        <v>1011124644</v>
      </c>
      <c r="D19825">
        <v>0</v>
      </c>
    </row>
    <row r="19826" spans="1:4" hidden="1" x14ac:dyDescent="0.3">
      <c r="A19826" t="s">
        <v>1091</v>
      </c>
      <c r="B19826" t="s">
        <v>158</v>
      </c>
      <c r="C19826" s="1">
        <f>HYPERLINK("https://cao.dolgi.msk.ru/account/1011124628/", 1011124628)</f>
        <v>1011124628</v>
      </c>
      <c r="D19826">
        <v>0</v>
      </c>
    </row>
    <row r="19827" spans="1:4" x14ac:dyDescent="0.3">
      <c r="A19827" t="s">
        <v>1091</v>
      </c>
      <c r="B19827" t="s">
        <v>159</v>
      </c>
      <c r="C19827" s="1">
        <f>HYPERLINK("https://cao.dolgi.msk.ru/account/1011124724/", 1011124724)</f>
        <v>1011124724</v>
      </c>
      <c r="D19827">
        <v>13201.2</v>
      </c>
    </row>
    <row r="19828" spans="1:4" hidden="1" x14ac:dyDescent="0.3">
      <c r="A19828" t="s">
        <v>1091</v>
      </c>
      <c r="B19828" t="s">
        <v>160</v>
      </c>
      <c r="C19828" s="1">
        <f>HYPERLINK("https://cao.dolgi.msk.ru/account/1011124492/", 1011124492)</f>
        <v>1011124492</v>
      </c>
      <c r="D19828">
        <v>-6136.95</v>
      </c>
    </row>
    <row r="19829" spans="1:4" hidden="1" x14ac:dyDescent="0.3">
      <c r="A19829" t="s">
        <v>1091</v>
      </c>
      <c r="B19829" t="s">
        <v>161</v>
      </c>
      <c r="C19829" s="1">
        <f>HYPERLINK("https://cao.dolgi.msk.ru/account/1011124505/", 1011124505)</f>
        <v>1011124505</v>
      </c>
      <c r="D19829">
        <v>0</v>
      </c>
    </row>
    <row r="19830" spans="1:4" hidden="1" x14ac:dyDescent="0.3">
      <c r="A19830" t="s">
        <v>1091</v>
      </c>
      <c r="B19830" t="s">
        <v>162</v>
      </c>
      <c r="C19830" s="1">
        <f>HYPERLINK("https://cao.dolgi.msk.ru/account/1011124548/", 1011124548)</f>
        <v>1011124548</v>
      </c>
      <c r="D19830">
        <v>-9800.7999999999993</v>
      </c>
    </row>
    <row r="19831" spans="1:4" hidden="1" x14ac:dyDescent="0.3">
      <c r="A19831" t="s">
        <v>1091</v>
      </c>
      <c r="B19831" t="s">
        <v>163</v>
      </c>
      <c r="C19831" s="1">
        <f>HYPERLINK("https://cao.dolgi.msk.ru/account/1011124652/", 1011124652)</f>
        <v>1011124652</v>
      </c>
      <c r="D19831">
        <v>0</v>
      </c>
    </row>
    <row r="19832" spans="1:4" hidden="1" x14ac:dyDescent="0.3">
      <c r="A19832" t="s">
        <v>1091</v>
      </c>
      <c r="B19832" t="s">
        <v>164</v>
      </c>
      <c r="C19832" s="1">
        <f>HYPERLINK("https://cao.dolgi.msk.ru/account/1011124556/", 1011124556)</f>
        <v>1011124556</v>
      </c>
      <c r="D19832">
        <v>-276.55</v>
      </c>
    </row>
    <row r="19833" spans="1:4" hidden="1" x14ac:dyDescent="0.3">
      <c r="A19833" t="s">
        <v>1091</v>
      </c>
      <c r="B19833" t="s">
        <v>164</v>
      </c>
      <c r="C19833" s="1">
        <f>HYPERLINK("https://cao.dolgi.msk.ru/account/1011124732/", 1011124732)</f>
        <v>1011124732</v>
      </c>
      <c r="D19833">
        <v>-187.65</v>
      </c>
    </row>
    <row r="19834" spans="1:4" x14ac:dyDescent="0.3">
      <c r="A19834" t="s">
        <v>1091</v>
      </c>
      <c r="B19834" t="s">
        <v>165</v>
      </c>
      <c r="C19834" s="1">
        <f>HYPERLINK("https://cao.dolgi.msk.ru/account/1011124396/", 1011124396)</f>
        <v>1011124396</v>
      </c>
      <c r="D19834">
        <v>3861</v>
      </c>
    </row>
    <row r="19835" spans="1:4" hidden="1" x14ac:dyDescent="0.3">
      <c r="A19835" t="s">
        <v>1092</v>
      </c>
      <c r="B19835" t="s">
        <v>6</v>
      </c>
      <c r="C19835" s="1">
        <f>HYPERLINK("https://cao.dolgi.msk.ru/account/1010263685/", 1010263685)</f>
        <v>1010263685</v>
      </c>
      <c r="D19835">
        <v>-9570.7000000000007</v>
      </c>
    </row>
    <row r="19836" spans="1:4" x14ac:dyDescent="0.3">
      <c r="A19836" t="s">
        <v>1092</v>
      </c>
      <c r="B19836" t="s">
        <v>28</v>
      </c>
      <c r="C19836" s="1">
        <f>HYPERLINK("https://cao.dolgi.msk.ru/account/1010265891/", 1010265891)</f>
        <v>1010265891</v>
      </c>
      <c r="D19836">
        <v>8502.52</v>
      </c>
    </row>
    <row r="19837" spans="1:4" hidden="1" x14ac:dyDescent="0.3">
      <c r="A19837" t="s">
        <v>1092</v>
      </c>
      <c r="B19837" t="s">
        <v>35</v>
      </c>
      <c r="C19837" s="1">
        <f>HYPERLINK("https://cao.dolgi.msk.ru/account/1010263693/", 1010263693)</f>
        <v>1010263693</v>
      </c>
      <c r="D19837">
        <v>0</v>
      </c>
    </row>
    <row r="19838" spans="1:4" hidden="1" x14ac:dyDescent="0.3">
      <c r="A19838" t="s">
        <v>1092</v>
      </c>
      <c r="B19838" t="s">
        <v>5</v>
      </c>
      <c r="C19838" s="1">
        <f>HYPERLINK("https://cao.dolgi.msk.ru/account/1010263706/", 1010263706)</f>
        <v>1010263706</v>
      </c>
      <c r="D19838">
        <v>-21.84</v>
      </c>
    </row>
    <row r="19839" spans="1:4" hidden="1" x14ac:dyDescent="0.3">
      <c r="A19839" t="s">
        <v>1092</v>
      </c>
      <c r="B19839" t="s">
        <v>7</v>
      </c>
      <c r="C19839" s="1">
        <f>HYPERLINK("https://cao.dolgi.msk.ru/account/1010265402/", 1010265402)</f>
        <v>1010265402</v>
      </c>
      <c r="D19839">
        <v>0</v>
      </c>
    </row>
    <row r="19840" spans="1:4" hidden="1" x14ac:dyDescent="0.3">
      <c r="A19840" t="s">
        <v>1092</v>
      </c>
      <c r="B19840" t="s">
        <v>8</v>
      </c>
      <c r="C19840" s="1">
        <f>HYPERLINK("https://cao.dolgi.msk.ru/account/1010264688/", 1010264688)</f>
        <v>1010264688</v>
      </c>
      <c r="D19840">
        <v>0</v>
      </c>
    </row>
    <row r="19841" spans="1:4" hidden="1" x14ac:dyDescent="0.3">
      <c r="A19841" t="s">
        <v>1092</v>
      </c>
      <c r="B19841" t="s">
        <v>31</v>
      </c>
      <c r="C19841" s="1">
        <f>HYPERLINK("https://cao.dolgi.msk.ru/account/1010263714/", 1010263714)</f>
        <v>1010263714</v>
      </c>
      <c r="D19841">
        <v>-12491.3</v>
      </c>
    </row>
    <row r="19842" spans="1:4" hidden="1" x14ac:dyDescent="0.3">
      <c r="A19842" t="s">
        <v>1092</v>
      </c>
      <c r="B19842" t="s">
        <v>9</v>
      </c>
      <c r="C19842" s="1">
        <f>HYPERLINK("https://cao.dolgi.msk.ru/account/1010263722/", 1010263722)</f>
        <v>1010263722</v>
      </c>
      <c r="D19842">
        <v>-1998.48</v>
      </c>
    </row>
    <row r="19843" spans="1:4" hidden="1" x14ac:dyDescent="0.3">
      <c r="A19843" t="s">
        <v>1092</v>
      </c>
      <c r="B19843" t="s">
        <v>10</v>
      </c>
      <c r="C19843" s="1">
        <f>HYPERLINK("https://cao.dolgi.msk.ru/account/1010263749/", 1010263749)</f>
        <v>1010263749</v>
      </c>
      <c r="D19843">
        <v>-14.97</v>
      </c>
    </row>
    <row r="19844" spans="1:4" hidden="1" x14ac:dyDescent="0.3">
      <c r="A19844" t="s">
        <v>1092</v>
      </c>
      <c r="B19844" t="s">
        <v>11</v>
      </c>
      <c r="C19844" s="1">
        <f>HYPERLINK("https://cao.dolgi.msk.ru/account/1010263757/", 1010263757)</f>
        <v>1010263757</v>
      </c>
      <c r="D19844">
        <v>-35.86</v>
      </c>
    </row>
    <row r="19845" spans="1:4" hidden="1" x14ac:dyDescent="0.3">
      <c r="A19845" t="s">
        <v>1092</v>
      </c>
      <c r="B19845" t="s">
        <v>12</v>
      </c>
      <c r="C19845" s="1">
        <f>HYPERLINK("https://cao.dolgi.msk.ru/account/1010263765/", 1010263765)</f>
        <v>1010263765</v>
      </c>
      <c r="D19845">
        <v>0</v>
      </c>
    </row>
    <row r="19846" spans="1:4" hidden="1" x14ac:dyDescent="0.3">
      <c r="A19846" t="s">
        <v>1092</v>
      </c>
      <c r="B19846" t="s">
        <v>23</v>
      </c>
      <c r="C19846" s="1">
        <f>HYPERLINK("https://cao.dolgi.msk.ru/account/1010263773/", 1010263773)</f>
        <v>1010263773</v>
      </c>
      <c r="D19846">
        <v>0</v>
      </c>
    </row>
    <row r="19847" spans="1:4" x14ac:dyDescent="0.3">
      <c r="A19847" t="s">
        <v>1092</v>
      </c>
      <c r="B19847" t="s">
        <v>13</v>
      </c>
      <c r="C19847" s="1">
        <f>HYPERLINK("https://cao.dolgi.msk.ru/account/1010263781/", 1010263781)</f>
        <v>1010263781</v>
      </c>
      <c r="D19847">
        <v>4506.9799999999996</v>
      </c>
    </row>
    <row r="19848" spans="1:4" x14ac:dyDescent="0.3">
      <c r="A19848" t="s">
        <v>1092</v>
      </c>
      <c r="B19848" t="s">
        <v>14</v>
      </c>
      <c r="C19848" s="1">
        <f>HYPERLINK("https://cao.dolgi.msk.ru/account/1010263802/", 1010263802)</f>
        <v>1010263802</v>
      </c>
      <c r="D19848">
        <v>3882.36</v>
      </c>
    </row>
    <row r="19849" spans="1:4" hidden="1" x14ac:dyDescent="0.3">
      <c r="A19849" t="s">
        <v>1092</v>
      </c>
      <c r="B19849" t="s">
        <v>16</v>
      </c>
      <c r="C19849" s="1">
        <f>HYPERLINK("https://cao.dolgi.msk.ru/account/1010265613/", 1010265613)</f>
        <v>1010265613</v>
      </c>
      <c r="D19849">
        <v>-580.14</v>
      </c>
    </row>
    <row r="19850" spans="1:4" hidden="1" x14ac:dyDescent="0.3">
      <c r="A19850" t="s">
        <v>1092</v>
      </c>
      <c r="B19850" t="s">
        <v>17</v>
      </c>
      <c r="C19850" s="1">
        <f>HYPERLINK("https://cao.dolgi.msk.ru/account/1010263837/", 1010263837)</f>
        <v>1010263837</v>
      </c>
      <c r="D19850">
        <v>0</v>
      </c>
    </row>
    <row r="19851" spans="1:4" hidden="1" x14ac:dyDescent="0.3">
      <c r="A19851" t="s">
        <v>1092</v>
      </c>
      <c r="B19851" t="s">
        <v>18</v>
      </c>
      <c r="C19851" s="1">
        <f>HYPERLINK("https://cao.dolgi.msk.ru/account/1010263845/", 1010263845)</f>
        <v>1010263845</v>
      </c>
      <c r="D19851">
        <v>-3480.68</v>
      </c>
    </row>
    <row r="19852" spans="1:4" x14ac:dyDescent="0.3">
      <c r="A19852" t="s">
        <v>1092</v>
      </c>
      <c r="B19852" t="s">
        <v>1093</v>
      </c>
      <c r="C19852" s="1">
        <f>HYPERLINK("https://cao.dolgi.msk.ru/account/1011135984/", 1011135984)</f>
        <v>1011135984</v>
      </c>
      <c r="D19852">
        <v>2399.88</v>
      </c>
    </row>
    <row r="19853" spans="1:4" x14ac:dyDescent="0.3">
      <c r="A19853" t="s">
        <v>1092</v>
      </c>
      <c r="B19853" t="s">
        <v>19</v>
      </c>
      <c r="C19853" s="1">
        <f>HYPERLINK("https://cao.dolgi.msk.ru/account/1010263853/", 1010263853)</f>
        <v>1010263853</v>
      </c>
      <c r="D19853">
        <v>47676.75</v>
      </c>
    </row>
    <row r="19854" spans="1:4" hidden="1" x14ac:dyDescent="0.3">
      <c r="A19854" t="s">
        <v>1092</v>
      </c>
      <c r="B19854" t="s">
        <v>20</v>
      </c>
      <c r="C19854" s="1">
        <f>HYPERLINK("https://cao.dolgi.msk.ru/account/1010263861/", 1010263861)</f>
        <v>1010263861</v>
      </c>
      <c r="D19854">
        <v>0</v>
      </c>
    </row>
    <row r="19855" spans="1:4" hidden="1" x14ac:dyDescent="0.3">
      <c r="A19855" t="s">
        <v>1092</v>
      </c>
      <c r="B19855" t="s">
        <v>21</v>
      </c>
      <c r="C19855" s="1">
        <f>HYPERLINK("https://cao.dolgi.msk.ru/account/1010263888/", 1010263888)</f>
        <v>1010263888</v>
      </c>
      <c r="D19855">
        <v>-8425.32</v>
      </c>
    </row>
    <row r="19856" spans="1:4" hidden="1" x14ac:dyDescent="0.3">
      <c r="A19856" t="s">
        <v>1092</v>
      </c>
      <c r="B19856" t="s">
        <v>22</v>
      </c>
      <c r="C19856" s="1">
        <f>HYPERLINK("https://cao.dolgi.msk.ru/account/1010265605/", 1010265605)</f>
        <v>1010265605</v>
      </c>
      <c r="D19856">
        <v>0</v>
      </c>
    </row>
    <row r="19857" spans="1:4" hidden="1" x14ac:dyDescent="0.3">
      <c r="A19857" t="s">
        <v>1092</v>
      </c>
      <c r="B19857" t="s">
        <v>24</v>
      </c>
      <c r="C19857" s="1">
        <f>HYPERLINK("https://cao.dolgi.msk.ru/account/1010263896/", 1010263896)</f>
        <v>1010263896</v>
      </c>
      <c r="D19857">
        <v>-112.86</v>
      </c>
    </row>
    <row r="19858" spans="1:4" x14ac:dyDescent="0.3">
      <c r="A19858" t="s">
        <v>1092</v>
      </c>
      <c r="B19858" t="s">
        <v>25</v>
      </c>
      <c r="C19858" s="1">
        <f>HYPERLINK("https://cao.dolgi.msk.ru/account/1010263917/", 1010263917)</f>
        <v>1010263917</v>
      </c>
      <c r="D19858">
        <v>21383.39</v>
      </c>
    </row>
    <row r="19859" spans="1:4" x14ac:dyDescent="0.3">
      <c r="A19859" t="s">
        <v>1092</v>
      </c>
      <c r="B19859" t="s">
        <v>26</v>
      </c>
      <c r="C19859" s="1">
        <f>HYPERLINK("https://cao.dolgi.msk.ru/account/1011027529/", 1011027529)</f>
        <v>1011027529</v>
      </c>
      <c r="D19859">
        <v>18052.419999999998</v>
      </c>
    </row>
    <row r="19860" spans="1:4" x14ac:dyDescent="0.3">
      <c r="A19860" t="s">
        <v>1092</v>
      </c>
      <c r="B19860" t="s">
        <v>27</v>
      </c>
      <c r="C19860" s="1">
        <f>HYPERLINK("https://cao.dolgi.msk.ru/account/1010273752/", 1010273752)</f>
        <v>1010273752</v>
      </c>
      <c r="D19860">
        <v>13276.85</v>
      </c>
    </row>
    <row r="19861" spans="1:4" hidden="1" x14ac:dyDescent="0.3">
      <c r="A19861" t="s">
        <v>1092</v>
      </c>
      <c r="B19861" t="s">
        <v>29</v>
      </c>
      <c r="C19861" s="1">
        <f>HYPERLINK("https://cao.dolgi.msk.ru/account/1010263933/", 1010263933)</f>
        <v>1010263933</v>
      </c>
      <c r="D19861">
        <v>-200.72</v>
      </c>
    </row>
    <row r="19862" spans="1:4" hidden="1" x14ac:dyDescent="0.3">
      <c r="A19862" t="s">
        <v>1092</v>
      </c>
      <c r="B19862" t="s">
        <v>38</v>
      </c>
      <c r="C19862" s="1">
        <f>HYPERLINK("https://cao.dolgi.msk.ru/account/1010263941/", 1010263941)</f>
        <v>1010263941</v>
      </c>
      <c r="D19862">
        <v>-14.72</v>
      </c>
    </row>
    <row r="19863" spans="1:4" x14ac:dyDescent="0.3">
      <c r="A19863" t="s">
        <v>1092</v>
      </c>
      <c r="B19863" t="s">
        <v>1094</v>
      </c>
      <c r="C19863" s="1">
        <f>HYPERLINK("https://cao.dolgi.msk.ru/account/1011017419/", 1011017419)</f>
        <v>1011017419</v>
      </c>
      <c r="D19863">
        <v>2899.89</v>
      </c>
    </row>
    <row r="19864" spans="1:4" x14ac:dyDescent="0.3">
      <c r="A19864" t="s">
        <v>1092</v>
      </c>
      <c r="B19864" t="s">
        <v>39</v>
      </c>
      <c r="C19864" s="1">
        <f>HYPERLINK("https://cao.dolgi.msk.ru/account/1010264039/", 1010264039)</f>
        <v>1010264039</v>
      </c>
      <c r="D19864">
        <v>283.13</v>
      </c>
    </row>
    <row r="19865" spans="1:4" hidden="1" x14ac:dyDescent="0.3">
      <c r="A19865" t="s">
        <v>1092</v>
      </c>
      <c r="B19865" t="s">
        <v>40</v>
      </c>
      <c r="C19865" s="1">
        <f>HYPERLINK("https://cao.dolgi.msk.ru/account/1010263968/", 1010263968)</f>
        <v>1010263968</v>
      </c>
      <c r="D19865">
        <v>0</v>
      </c>
    </row>
    <row r="19866" spans="1:4" hidden="1" x14ac:dyDescent="0.3">
      <c r="A19866" t="s">
        <v>1092</v>
      </c>
      <c r="B19866" t="s">
        <v>41</v>
      </c>
      <c r="C19866" s="1">
        <f>HYPERLINK("https://cao.dolgi.msk.ru/account/1010263976/", 1010263976)</f>
        <v>1010263976</v>
      </c>
      <c r="D19866">
        <v>0</v>
      </c>
    </row>
    <row r="19867" spans="1:4" hidden="1" x14ac:dyDescent="0.3">
      <c r="A19867" t="s">
        <v>1092</v>
      </c>
      <c r="B19867" t="s">
        <v>51</v>
      </c>
      <c r="C19867" s="1">
        <f>HYPERLINK("https://cao.dolgi.msk.ru/account/1010263984/", 1010263984)</f>
        <v>1010263984</v>
      </c>
      <c r="D19867">
        <v>-16.760000000000002</v>
      </c>
    </row>
    <row r="19868" spans="1:4" hidden="1" x14ac:dyDescent="0.3">
      <c r="A19868" t="s">
        <v>1092</v>
      </c>
      <c r="B19868" t="s">
        <v>52</v>
      </c>
      <c r="C19868" s="1">
        <f>HYPERLINK("https://cao.dolgi.msk.ru/account/1010264004/", 1010264004)</f>
        <v>1010264004</v>
      </c>
      <c r="D19868">
        <v>-47.7</v>
      </c>
    </row>
    <row r="19869" spans="1:4" hidden="1" x14ac:dyDescent="0.3">
      <c r="A19869" t="s">
        <v>1092</v>
      </c>
      <c r="B19869" t="s">
        <v>53</v>
      </c>
      <c r="C19869" s="1">
        <f>HYPERLINK("https://cao.dolgi.msk.ru/account/1010264012/", 1010264012)</f>
        <v>1010264012</v>
      </c>
      <c r="D19869">
        <v>0</v>
      </c>
    </row>
    <row r="19870" spans="1:4" hidden="1" x14ac:dyDescent="0.3">
      <c r="A19870" t="s">
        <v>1092</v>
      </c>
      <c r="B19870" t="s">
        <v>54</v>
      </c>
      <c r="C19870" s="1">
        <f>HYPERLINK("https://cao.dolgi.msk.ru/account/1010265293/", 1010265293)</f>
        <v>1010265293</v>
      </c>
      <c r="D19870">
        <v>-81.88</v>
      </c>
    </row>
    <row r="19871" spans="1:4" hidden="1" x14ac:dyDescent="0.3">
      <c r="A19871" t="s">
        <v>1092</v>
      </c>
      <c r="B19871" t="s">
        <v>55</v>
      </c>
      <c r="C19871" s="1">
        <f>HYPERLINK("https://cao.dolgi.msk.ru/account/1010264194/", 1010264194)</f>
        <v>1010264194</v>
      </c>
      <c r="D19871">
        <v>0</v>
      </c>
    </row>
    <row r="19872" spans="1:4" hidden="1" x14ac:dyDescent="0.3">
      <c r="A19872" t="s">
        <v>1092</v>
      </c>
      <c r="B19872" t="s">
        <v>56</v>
      </c>
      <c r="C19872" s="1">
        <f>HYPERLINK("https://cao.dolgi.msk.ru/account/1010264047/", 1010264047)</f>
        <v>1010264047</v>
      </c>
      <c r="D19872">
        <v>-2124.19</v>
      </c>
    </row>
    <row r="19873" spans="1:4" hidden="1" x14ac:dyDescent="0.3">
      <c r="A19873" t="s">
        <v>1092</v>
      </c>
      <c r="B19873" t="s">
        <v>87</v>
      </c>
      <c r="C19873" s="1">
        <f>HYPERLINK("https://cao.dolgi.msk.ru/account/1010264055/", 1010264055)</f>
        <v>1010264055</v>
      </c>
      <c r="D19873">
        <v>-8391.7800000000007</v>
      </c>
    </row>
    <row r="19874" spans="1:4" hidden="1" x14ac:dyDescent="0.3">
      <c r="A19874" t="s">
        <v>1092</v>
      </c>
      <c r="B19874" t="s">
        <v>88</v>
      </c>
      <c r="C19874" s="1">
        <f>HYPERLINK("https://cao.dolgi.msk.ru/account/1010264063/", 1010264063)</f>
        <v>1010264063</v>
      </c>
      <c r="D19874">
        <v>0</v>
      </c>
    </row>
    <row r="19875" spans="1:4" hidden="1" x14ac:dyDescent="0.3">
      <c r="A19875" t="s">
        <v>1092</v>
      </c>
      <c r="B19875" t="s">
        <v>89</v>
      </c>
      <c r="C19875" s="1">
        <f>HYPERLINK("https://cao.dolgi.msk.ru/account/1010263925/", 1010263925)</f>
        <v>1010263925</v>
      </c>
      <c r="D19875">
        <v>0</v>
      </c>
    </row>
    <row r="19876" spans="1:4" hidden="1" x14ac:dyDescent="0.3">
      <c r="A19876" t="s">
        <v>1092</v>
      </c>
      <c r="B19876" t="s">
        <v>90</v>
      </c>
      <c r="C19876" s="1">
        <f>HYPERLINK("https://cao.dolgi.msk.ru/account/1010265875/", 1010265875)</f>
        <v>1010265875</v>
      </c>
      <c r="D19876">
        <v>-9.14</v>
      </c>
    </row>
    <row r="19877" spans="1:4" hidden="1" x14ac:dyDescent="0.3">
      <c r="A19877" t="s">
        <v>1092</v>
      </c>
      <c r="B19877" t="s">
        <v>96</v>
      </c>
      <c r="C19877" s="1">
        <f>HYPERLINK("https://cao.dolgi.msk.ru/account/1010264098/", 1010264098)</f>
        <v>1010264098</v>
      </c>
      <c r="D19877">
        <v>-135.69</v>
      </c>
    </row>
    <row r="19878" spans="1:4" hidden="1" x14ac:dyDescent="0.3">
      <c r="A19878" t="s">
        <v>1092</v>
      </c>
      <c r="B19878" t="s">
        <v>97</v>
      </c>
      <c r="C19878" s="1">
        <f>HYPERLINK("https://cao.dolgi.msk.ru/account/1010264119/", 1010264119)</f>
        <v>1010264119</v>
      </c>
      <c r="D19878">
        <v>-6557.71</v>
      </c>
    </row>
    <row r="19879" spans="1:4" hidden="1" x14ac:dyDescent="0.3">
      <c r="A19879" t="s">
        <v>1092</v>
      </c>
      <c r="B19879" t="s">
        <v>98</v>
      </c>
      <c r="C19879" s="1">
        <f>HYPERLINK("https://cao.dolgi.msk.ru/account/1010264127/", 1010264127)</f>
        <v>1010264127</v>
      </c>
      <c r="D19879">
        <v>-5780.23</v>
      </c>
    </row>
    <row r="19880" spans="1:4" hidden="1" x14ac:dyDescent="0.3">
      <c r="A19880" t="s">
        <v>1092</v>
      </c>
      <c r="B19880" t="s">
        <v>58</v>
      </c>
      <c r="C19880" s="1">
        <f>HYPERLINK("https://cao.dolgi.msk.ru/account/1010264354/", 1010264354)</f>
        <v>1010264354</v>
      </c>
      <c r="D19880">
        <v>0</v>
      </c>
    </row>
    <row r="19881" spans="1:4" x14ac:dyDescent="0.3">
      <c r="A19881" t="s">
        <v>1092</v>
      </c>
      <c r="B19881" t="s">
        <v>59</v>
      </c>
      <c r="C19881" s="1">
        <f>HYPERLINK("https://cao.dolgi.msk.ru/account/1010266018/", 1010266018)</f>
        <v>1010266018</v>
      </c>
      <c r="D19881">
        <v>3146.67</v>
      </c>
    </row>
    <row r="19882" spans="1:4" hidden="1" x14ac:dyDescent="0.3">
      <c r="A19882" t="s">
        <v>1092</v>
      </c>
      <c r="B19882" t="s">
        <v>60</v>
      </c>
      <c r="C19882" s="1">
        <f>HYPERLINK("https://cao.dolgi.msk.ru/account/1010264135/", 1010264135)</f>
        <v>1010264135</v>
      </c>
      <c r="D19882">
        <v>0</v>
      </c>
    </row>
    <row r="19883" spans="1:4" x14ac:dyDescent="0.3">
      <c r="A19883" t="s">
        <v>1095</v>
      </c>
      <c r="B19883" t="s">
        <v>1096</v>
      </c>
      <c r="C19883" s="1">
        <f>HYPERLINK("https://cao.dolgi.msk.ru/account/1011541421/", 1011541421)</f>
        <v>1011541421</v>
      </c>
      <c r="D19883">
        <v>3394.9</v>
      </c>
    </row>
    <row r="19884" spans="1:4" hidden="1" x14ac:dyDescent="0.3">
      <c r="A19884" t="s">
        <v>1095</v>
      </c>
      <c r="B19884" t="s">
        <v>6</v>
      </c>
      <c r="C19884" s="1">
        <f>HYPERLINK("https://cao.dolgi.msk.ru/account/1010264784/", 1010264784)</f>
        <v>1010264784</v>
      </c>
      <c r="D19884">
        <v>-44.3</v>
      </c>
    </row>
    <row r="19885" spans="1:4" x14ac:dyDescent="0.3">
      <c r="A19885" t="s">
        <v>1095</v>
      </c>
      <c r="B19885" t="s">
        <v>6</v>
      </c>
      <c r="C19885" s="1">
        <f>HYPERLINK("https://cao.dolgi.msk.ru/account/1010265592/", 1010265592)</f>
        <v>1010265592</v>
      </c>
      <c r="D19885">
        <v>10793.04</v>
      </c>
    </row>
    <row r="19886" spans="1:4" x14ac:dyDescent="0.3">
      <c r="A19886" t="s">
        <v>1095</v>
      </c>
      <c r="B19886" t="s">
        <v>6</v>
      </c>
      <c r="C19886" s="1">
        <f>HYPERLINK("https://cao.dolgi.msk.ru/account/1010265621/", 1010265621)</f>
        <v>1010265621</v>
      </c>
      <c r="D19886">
        <v>41874.29</v>
      </c>
    </row>
    <row r="19887" spans="1:4" hidden="1" x14ac:dyDescent="0.3">
      <c r="A19887" t="s">
        <v>1095</v>
      </c>
      <c r="B19887" t="s">
        <v>6</v>
      </c>
      <c r="C19887" s="1">
        <f>HYPERLINK("https://cao.dolgi.msk.ru/account/1010273947/", 1010273947)</f>
        <v>1010273947</v>
      </c>
      <c r="D19887">
        <v>-5144.8900000000003</v>
      </c>
    </row>
    <row r="19888" spans="1:4" x14ac:dyDescent="0.3">
      <c r="A19888" t="s">
        <v>1095</v>
      </c>
      <c r="B19888" t="s">
        <v>6</v>
      </c>
      <c r="C19888" s="1">
        <f>HYPERLINK("https://cao.dolgi.msk.ru/account/1011025259/", 1011025259)</f>
        <v>1011025259</v>
      </c>
      <c r="D19888">
        <v>5051.92</v>
      </c>
    </row>
    <row r="19889" spans="1:4" x14ac:dyDescent="0.3">
      <c r="A19889" t="s">
        <v>1095</v>
      </c>
      <c r="B19889" t="s">
        <v>6</v>
      </c>
      <c r="C19889" s="1">
        <f>HYPERLINK("https://cao.dolgi.msk.ru/account/1019017536/", 1019017536)</f>
        <v>1019017536</v>
      </c>
      <c r="D19889">
        <v>108.07</v>
      </c>
    </row>
    <row r="19890" spans="1:4" hidden="1" x14ac:dyDescent="0.3">
      <c r="A19890" t="s">
        <v>1095</v>
      </c>
      <c r="B19890" t="s">
        <v>65</v>
      </c>
      <c r="C19890" s="1">
        <f>HYPERLINK("https://cao.dolgi.msk.ru/account/1010264151/", 1010264151)</f>
        <v>1010264151</v>
      </c>
      <c r="D19890">
        <v>-11.31</v>
      </c>
    </row>
    <row r="19891" spans="1:4" hidden="1" x14ac:dyDescent="0.3">
      <c r="A19891" t="s">
        <v>1095</v>
      </c>
      <c r="B19891" t="s">
        <v>66</v>
      </c>
      <c r="C19891" s="1">
        <f>HYPERLINK("https://cao.dolgi.msk.ru/account/1010264178/", 1010264178)</f>
        <v>1010264178</v>
      </c>
      <c r="D19891">
        <v>-16.71</v>
      </c>
    </row>
    <row r="19892" spans="1:4" hidden="1" x14ac:dyDescent="0.3">
      <c r="A19892" t="s">
        <v>1095</v>
      </c>
      <c r="B19892" t="s">
        <v>67</v>
      </c>
      <c r="C19892" s="1">
        <f>HYPERLINK("https://cao.dolgi.msk.ru/account/1010264186/", 1010264186)</f>
        <v>1010264186</v>
      </c>
      <c r="D19892">
        <v>-11612.65</v>
      </c>
    </row>
    <row r="19893" spans="1:4" x14ac:dyDescent="0.3">
      <c r="A19893" t="s">
        <v>1095</v>
      </c>
      <c r="B19893" t="s">
        <v>68</v>
      </c>
      <c r="C19893" s="1">
        <f>HYPERLINK("https://cao.dolgi.msk.ru/account/1010264207/", 1010264207)</f>
        <v>1010264207</v>
      </c>
      <c r="D19893">
        <v>35796.15</v>
      </c>
    </row>
    <row r="19894" spans="1:4" x14ac:dyDescent="0.3">
      <c r="A19894" t="s">
        <v>1095</v>
      </c>
      <c r="B19894" t="s">
        <v>73</v>
      </c>
      <c r="C19894" s="1">
        <f>HYPERLINK("https://cao.dolgi.msk.ru/account/1010264223/", 1010264223)</f>
        <v>1010264223</v>
      </c>
      <c r="D19894">
        <v>73350.960000000006</v>
      </c>
    </row>
    <row r="19895" spans="1:4" hidden="1" x14ac:dyDescent="0.3">
      <c r="A19895" t="s">
        <v>1095</v>
      </c>
      <c r="B19895" t="s">
        <v>621</v>
      </c>
      <c r="C19895" s="1">
        <f>HYPERLINK("https://cao.dolgi.msk.ru/account/1010264231/", 1010264231)</f>
        <v>1010264231</v>
      </c>
      <c r="D19895">
        <v>-809.11</v>
      </c>
    </row>
    <row r="19896" spans="1:4" hidden="1" x14ac:dyDescent="0.3">
      <c r="A19896" t="s">
        <v>1095</v>
      </c>
      <c r="B19896" t="s">
        <v>74</v>
      </c>
      <c r="C19896" s="1">
        <f>HYPERLINK("https://cao.dolgi.msk.ru/account/1010264258/", 1010264258)</f>
        <v>1010264258</v>
      </c>
      <c r="D19896">
        <v>-6163.94</v>
      </c>
    </row>
    <row r="19897" spans="1:4" hidden="1" x14ac:dyDescent="0.3">
      <c r="A19897" t="s">
        <v>1095</v>
      </c>
      <c r="B19897" t="s">
        <v>75</v>
      </c>
      <c r="C19897" s="1">
        <f>HYPERLINK("https://cao.dolgi.msk.ru/account/1010264266/", 1010264266)</f>
        <v>1010264266</v>
      </c>
      <c r="D19897">
        <v>-3820.25</v>
      </c>
    </row>
    <row r="19898" spans="1:4" hidden="1" x14ac:dyDescent="0.3">
      <c r="A19898" t="s">
        <v>1095</v>
      </c>
      <c r="B19898" t="s">
        <v>76</v>
      </c>
      <c r="C19898" s="1">
        <f>HYPERLINK("https://cao.dolgi.msk.ru/account/1010264274/", 1010264274)</f>
        <v>1010264274</v>
      </c>
      <c r="D19898">
        <v>0</v>
      </c>
    </row>
    <row r="19899" spans="1:4" hidden="1" x14ac:dyDescent="0.3">
      <c r="A19899" t="s">
        <v>1095</v>
      </c>
      <c r="B19899" t="s">
        <v>77</v>
      </c>
      <c r="C19899" s="1">
        <f>HYPERLINK("https://cao.dolgi.msk.ru/account/1010264282/", 1010264282)</f>
        <v>1010264282</v>
      </c>
      <c r="D19899">
        <v>-3672.34</v>
      </c>
    </row>
    <row r="19900" spans="1:4" hidden="1" x14ac:dyDescent="0.3">
      <c r="A19900" t="s">
        <v>1095</v>
      </c>
      <c r="B19900" t="s">
        <v>77</v>
      </c>
      <c r="C19900" s="1">
        <f>HYPERLINK("https://cao.dolgi.msk.ru/account/1010264303/", 1010264303)</f>
        <v>1010264303</v>
      </c>
      <c r="D19900">
        <v>0</v>
      </c>
    </row>
    <row r="19901" spans="1:4" hidden="1" x14ac:dyDescent="0.3">
      <c r="A19901" t="s">
        <v>1095</v>
      </c>
      <c r="B19901" t="s">
        <v>78</v>
      </c>
      <c r="C19901" s="1">
        <f>HYPERLINK("https://cao.dolgi.msk.ru/account/1010264311/", 1010264311)</f>
        <v>1010264311</v>
      </c>
      <c r="D19901">
        <v>-17441.38</v>
      </c>
    </row>
    <row r="19902" spans="1:4" hidden="1" x14ac:dyDescent="0.3">
      <c r="A19902" t="s">
        <v>1095</v>
      </c>
      <c r="B19902" t="s">
        <v>79</v>
      </c>
      <c r="C19902" s="1">
        <f>HYPERLINK("https://cao.dolgi.msk.ru/account/1010264338/", 1010264338)</f>
        <v>1010264338</v>
      </c>
      <c r="D19902">
        <v>-52.72</v>
      </c>
    </row>
    <row r="19903" spans="1:4" hidden="1" x14ac:dyDescent="0.3">
      <c r="A19903" t="s">
        <v>1095</v>
      </c>
      <c r="B19903" t="s">
        <v>80</v>
      </c>
      <c r="C19903" s="1">
        <f>HYPERLINK("https://cao.dolgi.msk.ru/account/1010264346/", 1010264346)</f>
        <v>1010264346</v>
      </c>
      <c r="D19903">
        <v>-2.4700000000000002</v>
      </c>
    </row>
    <row r="19904" spans="1:4" hidden="1" x14ac:dyDescent="0.3">
      <c r="A19904" t="s">
        <v>1095</v>
      </c>
      <c r="B19904" t="s">
        <v>81</v>
      </c>
      <c r="C19904" s="1">
        <f>HYPERLINK("https://cao.dolgi.msk.ru/account/1010264362/", 1010264362)</f>
        <v>1010264362</v>
      </c>
      <c r="D19904">
        <v>0</v>
      </c>
    </row>
    <row r="19905" spans="1:4" hidden="1" x14ac:dyDescent="0.3">
      <c r="A19905" t="s">
        <v>1095</v>
      </c>
      <c r="B19905" t="s">
        <v>101</v>
      </c>
      <c r="C19905" s="1">
        <f>HYPERLINK("https://cao.dolgi.msk.ru/account/1010264389/", 1010264389)</f>
        <v>1010264389</v>
      </c>
      <c r="D19905">
        <v>-0.35</v>
      </c>
    </row>
    <row r="19906" spans="1:4" hidden="1" x14ac:dyDescent="0.3">
      <c r="A19906" t="s">
        <v>1095</v>
      </c>
      <c r="B19906" t="s">
        <v>82</v>
      </c>
      <c r="C19906" s="1">
        <f>HYPERLINK("https://cao.dolgi.msk.ru/account/1010264397/", 1010264397)</f>
        <v>1010264397</v>
      </c>
      <c r="D19906">
        <v>-4326.6899999999996</v>
      </c>
    </row>
    <row r="19907" spans="1:4" hidden="1" x14ac:dyDescent="0.3">
      <c r="A19907" t="s">
        <v>1095</v>
      </c>
      <c r="B19907" t="s">
        <v>83</v>
      </c>
      <c r="C19907" s="1">
        <f>HYPERLINK("https://cao.dolgi.msk.ru/account/1010264426/", 1010264426)</f>
        <v>1010264426</v>
      </c>
      <c r="D19907">
        <v>-4566.7299999999996</v>
      </c>
    </row>
    <row r="19908" spans="1:4" hidden="1" x14ac:dyDescent="0.3">
      <c r="A19908" t="s">
        <v>1095</v>
      </c>
      <c r="B19908" t="s">
        <v>1097</v>
      </c>
      <c r="C19908" s="1">
        <f>HYPERLINK("https://cao.dolgi.msk.ru/account/1010264434/", 1010264434)</f>
        <v>1010264434</v>
      </c>
      <c r="D19908">
        <v>-238.71</v>
      </c>
    </row>
    <row r="19909" spans="1:4" x14ac:dyDescent="0.3">
      <c r="A19909" t="s">
        <v>1095</v>
      </c>
      <c r="B19909" t="s">
        <v>1098</v>
      </c>
      <c r="C19909" s="1">
        <f>HYPERLINK("https://cao.dolgi.msk.ru/account/1010264442/", 1010264442)</f>
        <v>1010264442</v>
      </c>
      <c r="D19909">
        <v>3557.67</v>
      </c>
    </row>
    <row r="19910" spans="1:4" hidden="1" x14ac:dyDescent="0.3">
      <c r="A19910" t="s">
        <v>1095</v>
      </c>
      <c r="B19910" t="s">
        <v>85</v>
      </c>
      <c r="C19910" s="1">
        <f>HYPERLINK("https://cao.dolgi.msk.ru/account/1010264469/", 1010264469)</f>
        <v>1010264469</v>
      </c>
      <c r="D19910">
        <v>0</v>
      </c>
    </row>
    <row r="19911" spans="1:4" hidden="1" x14ac:dyDescent="0.3">
      <c r="A19911" t="s">
        <v>1095</v>
      </c>
      <c r="B19911" t="s">
        <v>102</v>
      </c>
      <c r="C19911" s="1">
        <f>HYPERLINK("https://cao.dolgi.msk.ru/account/1010265904/", 1010265904)</f>
        <v>1010265904</v>
      </c>
      <c r="D19911">
        <v>-39.69</v>
      </c>
    </row>
    <row r="19912" spans="1:4" x14ac:dyDescent="0.3">
      <c r="A19912" t="s">
        <v>1095</v>
      </c>
      <c r="B19912" t="s">
        <v>103</v>
      </c>
      <c r="C19912" s="1">
        <f>HYPERLINK("https://cao.dolgi.msk.ru/account/1010264506/", 1010264506)</f>
        <v>1010264506</v>
      </c>
      <c r="D19912">
        <v>34149.61</v>
      </c>
    </row>
    <row r="19913" spans="1:4" hidden="1" x14ac:dyDescent="0.3">
      <c r="A19913" t="s">
        <v>1095</v>
      </c>
      <c r="B19913" t="s">
        <v>104</v>
      </c>
      <c r="C19913" s="1">
        <f>HYPERLINK("https://cao.dolgi.msk.ru/account/1010264485/", 1010264485)</f>
        <v>1010264485</v>
      </c>
      <c r="D19913">
        <v>-3644.7</v>
      </c>
    </row>
    <row r="19914" spans="1:4" hidden="1" x14ac:dyDescent="0.3">
      <c r="A19914" t="s">
        <v>1095</v>
      </c>
      <c r="B19914" t="s">
        <v>105</v>
      </c>
      <c r="C19914" s="1">
        <f>HYPERLINK("https://cao.dolgi.msk.ru/account/1010264493/", 1010264493)</f>
        <v>1010264493</v>
      </c>
      <c r="D19914">
        <v>0</v>
      </c>
    </row>
    <row r="19915" spans="1:4" hidden="1" x14ac:dyDescent="0.3">
      <c r="A19915" t="s">
        <v>1095</v>
      </c>
      <c r="B19915" t="s">
        <v>106</v>
      </c>
      <c r="C19915" s="1">
        <f>HYPERLINK("https://cao.dolgi.msk.ru/account/1010264514/", 1010264514)</f>
        <v>1010264514</v>
      </c>
      <c r="D19915">
        <v>-11.38</v>
      </c>
    </row>
    <row r="19916" spans="1:4" x14ac:dyDescent="0.3">
      <c r="A19916" t="s">
        <v>1095</v>
      </c>
      <c r="B19916" t="s">
        <v>107</v>
      </c>
      <c r="C19916" s="1">
        <f>HYPERLINK("https://cao.dolgi.msk.ru/account/1010264522/", 1010264522)</f>
        <v>1010264522</v>
      </c>
      <c r="D19916">
        <v>6193.23</v>
      </c>
    </row>
    <row r="19917" spans="1:4" hidden="1" x14ac:dyDescent="0.3">
      <c r="A19917" t="s">
        <v>1095</v>
      </c>
      <c r="B19917" t="s">
        <v>107</v>
      </c>
      <c r="C19917" s="1">
        <f>HYPERLINK("https://cao.dolgi.msk.ru/account/1010264549/", 1010264549)</f>
        <v>1010264549</v>
      </c>
      <c r="D19917">
        <v>-4065.16</v>
      </c>
    </row>
    <row r="19918" spans="1:4" hidden="1" x14ac:dyDescent="0.3">
      <c r="A19918" t="s">
        <v>1095</v>
      </c>
      <c r="B19918" t="s">
        <v>108</v>
      </c>
      <c r="C19918" s="1">
        <f>HYPERLINK("https://cao.dolgi.msk.ru/account/1010264557/", 1010264557)</f>
        <v>1010264557</v>
      </c>
      <c r="D19918">
        <v>-5328.73</v>
      </c>
    </row>
    <row r="19919" spans="1:4" hidden="1" x14ac:dyDescent="0.3">
      <c r="A19919" t="s">
        <v>1095</v>
      </c>
      <c r="B19919" t="s">
        <v>109</v>
      </c>
      <c r="C19919" s="1">
        <f>HYPERLINK("https://cao.dolgi.msk.ru/account/1010264565/", 1010264565)</f>
        <v>1010264565</v>
      </c>
      <c r="D19919">
        <v>0</v>
      </c>
    </row>
    <row r="19920" spans="1:4" x14ac:dyDescent="0.3">
      <c r="A19920" t="s">
        <v>1095</v>
      </c>
      <c r="B19920" t="s">
        <v>110</v>
      </c>
      <c r="C19920" s="1">
        <f>HYPERLINK("https://cao.dolgi.msk.ru/account/1010264573/", 1010264573)</f>
        <v>1010264573</v>
      </c>
      <c r="D19920">
        <v>183374.32</v>
      </c>
    </row>
    <row r="19921" spans="1:4" hidden="1" x14ac:dyDescent="0.3">
      <c r="A19921" t="s">
        <v>1095</v>
      </c>
      <c r="B19921" t="s">
        <v>111</v>
      </c>
      <c r="C19921" s="1">
        <f>HYPERLINK("https://cao.dolgi.msk.ru/account/1010264581/", 1010264581)</f>
        <v>1010264581</v>
      </c>
      <c r="D19921">
        <v>0</v>
      </c>
    </row>
    <row r="19922" spans="1:4" hidden="1" x14ac:dyDescent="0.3">
      <c r="A19922" t="s">
        <v>1095</v>
      </c>
      <c r="B19922" t="s">
        <v>112</v>
      </c>
      <c r="C19922" s="1">
        <f>HYPERLINK("https://cao.dolgi.msk.ru/account/1010264602/", 1010264602)</f>
        <v>1010264602</v>
      </c>
      <c r="D19922">
        <v>0</v>
      </c>
    </row>
    <row r="19923" spans="1:4" hidden="1" x14ac:dyDescent="0.3">
      <c r="A19923" t="s">
        <v>1095</v>
      </c>
      <c r="B19923" t="s">
        <v>113</v>
      </c>
      <c r="C19923" s="1">
        <f>HYPERLINK("https://cao.dolgi.msk.ru/account/1010264629/", 1010264629)</f>
        <v>1010264629</v>
      </c>
      <c r="D19923">
        <v>-188.8</v>
      </c>
    </row>
    <row r="19924" spans="1:4" hidden="1" x14ac:dyDescent="0.3">
      <c r="A19924" t="s">
        <v>1095</v>
      </c>
      <c r="B19924" t="s">
        <v>114</v>
      </c>
      <c r="C19924" s="1">
        <f>HYPERLINK("https://cao.dolgi.msk.ru/account/1010264645/", 1010264645)</f>
        <v>1010264645</v>
      </c>
      <c r="D19924">
        <v>-6705.37</v>
      </c>
    </row>
    <row r="19925" spans="1:4" hidden="1" x14ac:dyDescent="0.3">
      <c r="A19925" t="s">
        <v>1095</v>
      </c>
      <c r="B19925" t="s">
        <v>115</v>
      </c>
      <c r="C19925" s="1">
        <f>HYPERLINK("https://cao.dolgi.msk.ru/account/1010264653/", 1010264653)</f>
        <v>1010264653</v>
      </c>
      <c r="D19925">
        <v>0</v>
      </c>
    </row>
    <row r="19926" spans="1:4" hidden="1" x14ac:dyDescent="0.3">
      <c r="A19926" t="s">
        <v>1095</v>
      </c>
      <c r="B19926" t="s">
        <v>116</v>
      </c>
      <c r="C19926" s="1">
        <f>HYPERLINK("https://cao.dolgi.msk.ru/account/1010264661/", 1010264661)</f>
        <v>1010264661</v>
      </c>
      <c r="D19926">
        <v>0</v>
      </c>
    </row>
    <row r="19927" spans="1:4" hidden="1" x14ac:dyDescent="0.3">
      <c r="A19927" t="s">
        <v>1095</v>
      </c>
      <c r="B19927" t="s">
        <v>1099</v>
      </c>
      <c r="C19927" s="1">
        <f>HYPERLINK("https://cao.dolgi.msk.ru/account/1010264696/", 1010264696)</f>
        <v>1010264696</v>
      </c>
      <c r="D19927">
        <v>-3356.35</v>
      </c>
    </row>
    <row r="19928" spans="1:4" hidden="1" x14ac:dyDescent="0.3">
      <c r="A19928" t="s">
        <v>1095</v>
      </c>
      <c r="B19928" t="s">
        <v>266</v>
      </c>
      <c r="C19928" s="1">
        <f>HYPERLINK("https://cao.dolgi.msk.ru/account/1010264709/", 1010264709)</f>
        <v>1010264709</v>
      </c>
      <c r="D19928">
        <v>0</v>
      </c>
    </row>
    <row r="19929" spans="1:4" hidden="1" x14ac:dyDescent="0.3">
      <c r="A19929" t="s">
        <v>1095</v>
      </c>
      <c r="B19929" t="s">
        <v>117</v>
      </c>
      <c r="C19929" s="1">
        <f>HYPERLINK("https://cao.dolgi.msk.ru/account/1010264725/", 1010264725)</f>
        <v>1010264725</v>
      </c>
      <c r="D19929">
        <v>-1265.83</v>
      </c>
    </row>
    <row r="19930" spans="1:4" hidden="1" x14ac:dyDescent="0.3">
      <c r="A19930" t="s">
        <v>1095</v>
      </c>
      <c r="B19930" t="s">
        <v>118</v>
      </c>
      <c r="C19930" s="1">
        <f>HYPERLINK("https://cao.dolgi.msk.ru/account/1010264733/", 1010264733)</f>
        <v>1010264733</v>
      </c>
      <c r="D19930">
        <v>0</v>
      </c>
    </row>
    <row r="19931" spans="1:4" hidden="1" x14ac:dyDescent="0.3">
      <c r="A19931" t="s">
        <v>1095</v>
      </c>
      <c r="B19931" t="s">
        <v>119</v>
      </c>
      <c r="C19931" s="1">
        <f>HYPERLINK("https://cao.dolgi.msk.ru/account/1010264741/", 1010264741)</f>
        <v>1010264741</v>
      </c>
      <c r="D19931">
        <v>-5360.4</v>
      </c>
    </row>
    <row r="19932" spans="1:4" hidden="1" x14ac:dyDescent="0.3">
      <c r="A19932" t="s">
        <v>1095</v>
      </c>
      <c r="B19932" t="s">
        <v>120</v>
      </c>
      <c r="C19932" s="1">
        <f>HYPERLINK("https://cao.dolgi.msk.ru/account/1010264768/", 1010264768)</f>
        <v>1010264768</v>
      </c>
      <c r="D19932">
        <v>-12963.31</v>
      </c>
    </row>
    <row r="19933" spans="1:4" hidden="1" x14ac:dyDescent="0.3">
      <c r="A19933" t="s">
        <v>1095</v>
      </c>
      <c r="B19933" t="s">
        <v>121</v>
      </c>
      <c r="C19933" s="1">
        <f>HYPERLINK("https://cao.dolgi.msk.ru/account/1010264776/", 1010264776)</f>
        <v>1010264776</v>
      </c>
      <c r="D19933">
        <v>0</v>
      </c>
    </row>
    <row r="19934" spans="1:4" hidden="1" x14ac:dyDescent="0.3">
      <c r="A19934" t="s">
        <v>1095</v>
      </c>
      <c r="B19934" t="s">
        <v>122</v>
      </c>
      <c r="C19934" s="1">
        <f>HYPERLINK("https://cao.dolgi.msk.ru/account/1010264792/", 1010264792)</f>
        <v>1010264792</v>
      </c>
      <c r="D19934">
        <v>0</v>
      </c>
    </row>
    <row r="19935" spans="1:4" hidden="1" x14ac:dyDescent="0.3">
      <c r="A19935" t="s">
        <v>1095</v>
      </c>
      <c r="B19935" t="s">
        <v>123</v>
      </c>
      <c r="C19935" s="1">
        <f>HYPERLINK("https://cao.dolgi.msk.ru/account/1010266261/", 1010266261)</f>
        <v>1010266261</v>
      </c>
      <c r="D19935">
        <v>-16.93</v>
      </c>
    </row>
    <row r="19936" spans="1:4" hidden="1" x14ac:dyDescent="0.3">
      <c r="A19936" t="s">
        <v>1095</v>
      </c>
      <c r="B19936" t="s">
        <v>124</v>
      </c>
      <c r="C19936" s="1">
        <f>HYPERLINK("https://cao.dolgi.msk.ru/account/1010264813/", 1010264813)</f>
        <v>1010264813</v>
      </c>
      <c r="D19936">
        <v>0</v>
      </c>
    </row>
    <row r="19937" spans="1:4" hidden="1" x14ac:dyDescent="0.3">
      <c r="A19937" t="s">
        <v>1095</v>
      </c>
      <c r="B19937" t="s">
        <v>125</v>
      </c>
      <c r="C19937" s="1">
        <f>HYPERLINK("https://cao.dolgi.msk.ru/account/1010264821/", 1010264821)</f>
        <v>1010264821</v>
      </c>
      <c r="D19937">
        <v>-8.2899999999999991</v>
      </c>
    </row>
    <row r="19938" spans="1:4" hidden="1" x14ac:dyDescent="0.3">
      <c r="A19938" t="s">
        <v>1095</v>
      </c>
      <c r="B19938" t="s">
        <v>126</v>
      </c>
      <c r="C19938" s="1">
        <f>HYPERLINK("https://cao.dolgi.msk.ru/account/1010264848/", 1010264848)</f>
        <v>1010264848</v>
      </c>
      <c r="D19938">
        <v>0</v>
      </c>
    </row>
    <row r="19939" spans="1:4" hidden="1" x14ac:dyDescent="0.3">
      <c r="A19939" t="s">
        <v>1095</v>
      </c>
      <c r="B19939" t="s">
        <v>126</v>
      </c>
      <c r="C19939" s="1">
        <f>HYPERLINK("https://cao.dolgi.msk.ru/account/1011120993/", 1011120993)</f>
        <v>1011120993</v>
      </c>
      <c r="D19939">
        <v>0</v>
      </c>
    </row>
    <row r="19940" spans="1:4" x14ac:dyDescent="0.3">
      <c r="A19940" t="s">
        <v>1095</v>
      </c>
      <c r="B19940" t="s">
        <v>127</v>
      </c>
      <c r="C19940" s="1">
        <f>HYPERLINK("https://cao.dolgi.msk.ru/account/1010264856/", 1010264856)</f>
        <v>1010264856</v>
      </c>
      <c r="D19940">
        <v>39.9</v>
      </c>
    </row>
    <row r="19941" spans="1:4" x14ac:dyDescent="0.3">
      <c r="A19941" t="s">
        <v>1095</v>
      </c>
      <c r="B19941" t="s">
        <v>262</v>
      </c>
      <c r="C19941" s="1">
        <f>HYPERLINK("https://cao.dolgi.msk.ru/account/1010264872/", 1010264872)</f>
        <v>1010264872</v>
      </c>
      <c r="D19941">
        <v>75752.12</v>
      </c>
    </row>
    <row r="19942" spans="1:4" x14ac:dyDescent="0.3">
      <c r="A19942" t="s">
        <v>1095</v>
      </c>
      <c r="B19942" t="s">
        <v>128</v>
      </c>
      <c r="C19942" s="1">
        <f>HYPERLINK("https://cao.dolgi.msk.ru/account/1010272039/", 1010272039)</f>
        <v>1010272039</v>
      </c>
      <c r="D19942">
        <v>1540.54</v>
      </c>
    </row>
    <row r="19943" spans="1:4" x14ac:dyDescent="0.3">
      <c r="A19943" t="s">
        <v>1095</v>
      </c>
      <c r="B19943" t="s">
        <v>129</v>
      </c>
      <c r="C19943" s="1">
        <f>HYPERLINK("https://cao.dolgi.msk.ru/account/1011530124/", 1011530124)</f>
        <v>1011530124</v>
      </c>
      <c r="D19943">
        <v>12282.9</v>
      </c>
    </row>
    <row r="19944" spans="1:4" hidden="1" x14ac:dyDescent="0.3">
      <c r="A19944" t="s">
        <v>1095</v>
      </c>
      <c r="B19944" t="s">
        <v>130</v>
      </c>
      <c r="C19944" s="1">
        <f>HYPERLINK("https://cao.dolgi.msk.ru/account/1010264928/", 1010264928)</f>
        <v>1010264928</v>
      </c>
      <c r="D19944">
        <v>-51.38</v>
      </c>
    </row>
    <row r="19945" spans="1:4" hidden="1" x14ac:dyDescent="0.3">
      <c r="A19945" t="s">
        <v>1095</v>
      </c>
      <c r="B19945" t="s">
        <v>1100</v>
      </c>
      <c r="C19945" s="1">
        <f>HYPERLINK("https://cao.dolgi.msk.ru/account/1010264936/", 1010264936)</f>
        <v>1010264936</v>
      </c>
      <c r="D19945">
        <v>0</v>
      </c>
    </row>
    <row r="19946" spans="1:4" hidden="1" x14ac:dyDescent="0.3">
      <c r="A19946" t="s">
        <v>1095</v>
      </c>
      <c r="B19946" t="s">
        <v>1100</v>
      </c>
      <c r="C19946" s="1">
        <f>HYPERLINK("https://cao.dolgi.msk.ru/account/1011097092/", 1011097092)</f>
        <v>1011097092</v>
      </c>
      <c r="D19946">
        <v>0</v>
      </c>
    </row>
    <row r="19947" spans="1:4" hidden="1" x14ac:dyDescent="0.3">
      <c r="A19947" t="s">
        <v>1095</v>
      </c>
      <c r="B19947" t="s">
        <v>131</v>
      </c>
      <c r="C19947" s="1">
        <f>HYPERLINK("https://cao.dolgi.msk.ru/account/1010266931/", 1010266931)</f>
        <v>1010266931</v>
      </c>
      <c r="D19947">
        <v>-6244.14</v>
      </c>
    </row>
    <row r="19948" spans="1:4" hidden="1" x14ac:dyDescent="0.3">
      <c r="A19948" t="s">
        <v>1095</v>
      </c>
      <c r="B19948" t="s">
        <v>132</v>
      </c>
      <c r="C19948" s="1">
        <f>HYPERLINK("https://cao.dolgi.msk.ru/account/1010264952/", 1010264952)</f>
        <v>1010264952</v>
      </c>
      <c r="D19948">
        <v>-204.07</v>
      </c>
    </row>
    <row r="19949" spans="1:4" hidden="1" x14ac:dyDescent="0.3">
      <c r="A19949" t="s">
        <v>1095</v>
      </c>
      <c r="B19949" t="s">
        <v>133</v>
      </c>
      <c r="C19949" s="1">
        <f>HYPERLINK("https://cao.dolgi.msk.ru/account/1010264979/", 1010264979)</f>
        <v>1010264979</v>
      </c>
      <c r="D19949">
        <v>-4387.3100000000004</v>
      </c>
    </row>
    <row r="19950" spans="1:4" hidden="1" x14ac:dyDescent="0.3">
      <c r="A19950" t="s">
        <v>1095</v>
      </c>
      <c r="B19950" t="s">
        <v>134</v>
      </c>
      <c r="C19950" s="1">
        <f>HYPERLINK("https://cao.dolgi.msk.ru/account/1010264987/", 1010264987)</f>
        <v>1010264987</v>
      </c>
      <c r="D19950">
        <v>-23.55</v>
      </c>
    </row>
    <row r="19951" spans="1:4" hidden="1" x14ac:dyDescent="0.3">
      <c r="A19951" t="s">
        <v>1095</v>
      </c>
      <c r="B19951" t="s">
        <v>135</v>
      </c>
      <c r="C19951" s="1">
        <f>HYPERLINK("https://cao.dolgi.msk.ru/account/1010265939/", 1010265939)</f>
        <v>1010265939</v>
      </c>
      <c r="D19951">
        <v>0</v>
      </c>
    </row>
    <row r="19952" spans="1:4" hidden="1" x14ac:dyDescent="0.3">
      <c r="A19952" t="s">
        <v>1095</v>
      </c>
      <c r="B19952" t="s">
        <v>264</v>
      </c>
      <c r="C19952" s="1">
        <f>HYPERLINK("https://cao.dolgi.msk.ru/account/1010265015/", 1010265015)</f>
        <v>1010265015</v>
      </c>
      <c r="D19952">
        <v>-1084.67</v>
      </c>
    </row>
    <row r="19953" spans="1:4" hidden="1" x14ac:dyDescent="0.3">
      <c r="A19953" t="s">
        <v>1095</v>
      </c>
      <c r="B19953" t="s">
        <v>264</v>
      </c>
      <c r="C19953" s="1">
        <f>HYPERLINK("https://cao.dolgi.msk.ru/account/1011103819/", 1011103819)</f>
        <v>1011103819</v>
      </c>
      <c r="D19953">
        <v>0</v>
      </c>
    </row>
    <row r="19954" spans="1:4" hidden="1" x14ac:dyDescent="0.3">
      <c r="A19954" t="s">
        <v>1095</v>
      </c>
      <c r="B19954" t="s">
        <v>136</v>
      </c>
      <c r="C19954" s="1">
        <f>HYPERLINK("https://cao.dolgi.msk.ru/account/1010265023/", 1010265023)</f>
        <v>1010265023</v>
      </c>
      <c r="D19954">
        <v>0</v>
      </c>
    </row>
    <row r="19955" spans="1:4" x14ac:dyDescent="0.3">
      <c r="A19955" t="s">
        <v>1095</v>
      </c>
      <c r="B19955" t="s">
        <v>137</v>
      </c>
      <c r="C19955" s="1">
        <f>HYPERLINK("https://cao.dolgi.msk.ru/account/1010265066/", 1010265066)</f>
        <v>1010265066</v>
      </c>
      <c r="D19955">
        <v>15392.03</v>
      </c>
    </row>
    <row r="19956" spans="1:4" hidden="1" x14ac:dyDescent="0.3">
      <c r="A19956" t="s">
        <v>1095</v>
      </c>
      <c r="B19956" t="s">
        <v>138</v>
      </c>
      <c r="C19956" s="1">
        <f>HYPERLINK("https://cao.dolgi.msk.ru/account/1010265074/", 1010265074)</f>
        <v>1010265074</v>
      </c>
      <c r="D19956">
        <v>-43.07</v>
      </c>
    </row>
    <row r="19957" spans="1:4" hidden="1" x14ac:dyDescent="0.3">
      <c r="A19957" t="s">
        <v>1095</v>
      </c>
      <c r="B19957" t="s">
        <v>139</v>
      </c>
      <c r="C19957" s="1">
        <f>HYPERLINK("https://cao.dolgi.msk.ru/account/1010265082/", 1010265082)</f>
        <v>1010265082</v>
      </c>
      <c r="D19957">
        <v>-58.97</v>
      </c>
    </row>
    <row r="19958" spans="1:4" x14ac:dyDescent="0.3">
      <c r="A19958" t="s">
        <v>1095</v>
      </c>
      <c r="B19958" t="s">
        <v>140</v>
      </c>
      <c r="C19958" s="1">
        <f>HYPERLINK("https://cao.dolgi.msk.ru/account/1010265103/", 1010265103)</f>
        <v>1010265103</v>
      </c>
      <c r="D19958">
        <v>34.58</v>
      </c>
    </row>
    <row r="19959" spans="1:4" hidden="1" x14ac:dyDescent="0.3">
      <c r="A19959" t="s">
        <v>1095</v>
      </c>
      <c r="B19959" t="s">
        <v>1101</v>
      </c>
      <c r="C19959" s="1">
        <f>HYPERLINK("https://cao.dolgi.msk.ru/account/1019018133/", 1019018133)</f>
        <v>1019018133</v>
      </c>
      <c r="D19959">
        <v>0</v>
      </c>
    </row>
    <row r="19960" spans="1:4" hidden="1" x14ac:dyDescent="0.3">
      <c r="A19960" t="s">
        <v>1095</v>
      </c>
      <c r="B19960" t="s">
        <v>141</v>
      </c>
      <c r="C19960" s="1">
        <f>HYPERLINK("https://cao.dolgi.msk.ru/account/1010265111/", 1010265111)</f>
        <v>1010265111</v>
      </c>
      <c r="D19960">
        <v>-3636.65</v>
      </c>
    </row>
    <row r="19961" spans="1:4" hidden="1" x14ac:dyDescent="0.3">
      <c r="A19961" t="s">
        <v>1095</v>
      </c>
      <c r="B19961" t="s">
        <v>141</v>
      </c>
      <c r="C19961" s="1">
        <f>HYPERLINK("https://cao.dolgi.msk.ru/account/1010266093/", 1010266093)</f>
        <v>1010266093</v>
      </c>
      <c r="D19961">
        <v>-4367.8900000000003</v>
      </c>
    </row>
    <row r="19962" spans="1:4" x14ac:dyDescent="0.3">
      <c r="A19962" t="s">
        <v>1095</v>
      </c>
      <c r="B19962" t="s">
        <v>1102</v>
      </c>
      <c r="C19962" s="1">
        <f>HYPERLINK("https://cao.dolgi.msk.ru/account/1011379313/", 1011379313)</f>
        <v>1011379313</v>
      </c>
      <c r="D19962">
        <v>2915.49</v>
      </c>
    </row>
    <row r="19963" spans="1:4" x14ac:dyDescent="0.3">
      <c r="A19963" t="s">
        <v>1095</v>
      </c>
      <c r="B19963" t="s">
        <v>142</v>
      </c>
      <c r="C19963" s="1">
        <f>HYPERLINK("https://cao.dolgi.msk.ru/account/1010265138/", 1010265138)</f>
        <v>1010265138</v>
      </c>
      <c r="D19963">
        <v>18535.240000000002</v>
      </c>
    </row>
    <row r="19964" spans="1:4" hidden="1" x14ac:dyDescent="0.3">
      <c r="A19964" t="s">
        <v>1095</v>
      </c>
      <c r="B19964" t="s">
        <v>142</v>
      </c>
      <c r="C19964" s="1">
        <f>HYPERLINK("https://cao.dolgi.msk.ru/account/1011120782/", 1011120782)</f>
        <v>1011120782</v>
      </c>
      <c r="D19964">
        <v>-3333.25</v>
      </c>
    </row>
    <row r="19965" spans="1:4" hidden="1" x14ac:dyDescent="0.3">
      <c r="A19965" t="s">
        <v>1095</v>
      </c>
      <c r="B19965" t="s">
        <v>143</v>
      </c>
      <c r="C19965" s="1">
        <f>HYPERLINK("https://cao.dolgi.msk.ru/account/1010265154/", 1010265154)</f>
        <v>1010265154</v>
      </c>
      <c r="D19965">
        <v>0</v>
      </c>
    </row>
    <row r="19966" spans="1:4" hidden="1" x14ac:dyDescent="0.3">
      <c r="A19966" t="s">
        <v>1095</v>
      </c>
      <c r="B19966" t="s">
        <v>144</v>
      </c>
      <c r="C19966" s="1">
        <f>HYPERLINK("https://cao.dolgi.msk.ru/account/1010264418/", 1010264418)</f>
        <v>1010264418</v>
      </c>
      <c r="D19966">
        <v>0</v>
      </c>
    </row>
    <row r="19967" spans="1:4" hidden="1" x14ac:dyDescent="0.3">
      <c r="A19967" t="s">
        <v>1095</v>
      </c>
      <c r="B19967" t="s">
        <v>145</v>
      </c>
      <c r="C19967" s="1">
        <f>HYPERLINK("https://cao.dolgi.msk.ru/account/1010265162/", 1010265162)</f>
        <v>1010265162</v>
      </c>
      <c r="D19967">
        <v>-57.46</v>
      </c>
    </row>
    <row r="19968" spans="1:4" hidden="1" x14ac:dyDescent="0.3">
      <c r="A19968" t="s">
        <v>1095</v>
      </c>
      <c r="B19968" t="s">
        <v>1103</v>
      </c>
      <c r="C19968" s="1">
        <f>HYPERLINK("https://cao.dolgi.msk.ru/account/1010265189/", 1010265189)</f>
        <v>1010265189</v>
      </c>
      <c r="D19968">
        <v>0</v>
      </c>
    </row>
    <row r="19969" spans="1:4" x14ac:dyDescent="0.3">
      <c r="A19969" t="s">
        <v>1095</v>
      </c>
      <c r="B19969" t="s">
        <v>1104</v>
      </c>
      <c r="C19969" s="1">
        <f>HYPERLINK("https://cao.dolgi.msk.ru/account/1010265197/", 1010265197)</f>
        <v>1010265197</v>
      </c>
      <c r="D19969">
        <v>5329.38</v>
      </c>
    </row>
    <row r="19970" spans="1:4" hidden="1" x14ac:dyDescent="0.3">
      <c r="A19970" t="s">
        <v>1095</v>
      </c>
      <c r="B19970" t="s">
        <v>146</v>
      </c>
      <c r="C19970" s="1">
        <f>HYPERLINK("https://cao.dolgi.msk.ru/account/1010265218/", 1010265218)</f>
        <v>1010265218</v>
      </c>
      <c r="D19970">
        <v>-10819.64</v>
      </c>
    </row>
    <row r="19971" spans="1:4" hidden="1" x14ac:dyDescent="0.3">
      <c r="A19971" t="s">
        <v>1095</v>
      </c>
      <c r="B19971" t="s">
        <v>147</v>
      </c>
      <c r="C19971" s="1">
        <f>HYPERLINK("https://cao.dolgi.msk.ru/account/1010265226/", 1010265226)</f>
        <v>1010265226</v>
      </c>
      <c r="D19971">
        <v>0</v>
      </c>
    </row>
    <row r="19972" spans="1:4" hidden="1" x14ac:dyDescent="0.3">
      <c r="A19972" t="s">
        <v>1095</v>
      </c>
      <c r="B19972" t="s">
        <v>148</v>
      </c>
      <c r="C19972" s="1">
        <f>HYPERLINK("https://cao.dolgi.msk.ru/account/1010265234/", 1010265234)</f>
        <v>1010265234</v>
      </c>
      <c r="D19972">
        <v>0</v>
      </c>
    </row>
    <row r="19973" spans="1:4" hidden="1" x14ac:dyDescent="0.3">
      <c r="A19973" t="s">
        <v>1095</v>
      </c>
      <c r="B19973" t="s">
        <v>149</v>
      </c>
      <c r="C19973" s="1">
        <f>HYPERLINK("https://cao.dolgi.msk.ru/account/1010265242/", 1010265242)</f>
        <v>1010265242</v>
      </c>
      <c r="D19973">
        <v>-33.99</v>
      </c>
    </row>
    <row r="19974" spans="1:4" hidden="1" x14ac:dyDescent="0.3">
      <c r="A19974" t="s">
        <v>1095</v>
      </c>
      <c r="B19974" t="s">
        <v>150</v>
      </c>
      <c r="C19974" s="1">
        <f>HYPERLINK("https://cao.dolgi.msk.ru/account/1010265269/", 1010265269)</f>
        <v>1010265269</v>
      </c>
      <c r="D19974">
        <v>0</v>
      </c>
    </row>
    <row r="19975" spans="1:4" x14ac:dyDescent="0.3">
      <c r="A19975" t="s">
        <v>1095</v>
      </c>
      <c r="B19975" t="s">
        <v>151</v>
      </c>
      <c r="C19975" s="1">
        <f>HYPERLINK("https://cao.dolgi.msk.ru/account/1011534467/", 1011534467)</f>
        <v>1011534467</v>
      </c>
      <c r="D19975">
        <v>30017.64</v>
      </c>
    </row>
    <row r="19976" spans="1:4" hidden="1" x14ac:dyDescent="0.3">
      <c r="A19976" t="s">
        <v>1095</v>
      </c>
      <c r="B19976" t="s">
        <v>1105</v>
      </c>
      <c r="C19976" s="1">
        <f>HYPERLINK("https://cao.dolgi.msk.ru/account/1010265277/", 1010265277)</f>
        <v>1010265277</v>
      </c>
      <c r="D19976">
        <v>0</v>
      </c>
    </row>
    <row r="19977" spans="1:4" hidden="1" x14ac:dyDescent="0.3">
      <c r="A19977" t="s">
        <v>1095</v>
      </c>
      <c r="B19977" t="s">
        <v>152</v>
      </c>
      <c r="C19977" s="1">
        <f>HYPERLINK("https://cao.dolgi.msk.ru/account/1010265306/", 1010265306)</f>
        <v>1010265306</v>
      </c>
      <c r="D19977">
        <v>-16055.09</v>
      </c>
    </row>
    <row r="19978" spans="1:4" hidden="1" x14ac:dyDescent="0.3">
      <c r="A19978" t="s">
        <v>1095</v>
      </c>
      <c r="B19978" t="s">
        <v>153</v>
      </c>
      <c r="C19978" s="1">
        <f>HYPERLINK("https://cao.dolgi.msk.ru/account/1010265322/", 1010265322)</f>
        <v>1010265322</v>
      </c>
      <c r="D19978">
        <v>-4369.6499999999996</v>
      </c>
    </row>
    <row r="19979" spans="1:4" hidden="1" x14ac:dyDescent="0.3">
      <c r="A19979" t="s">
        <v>1095</v>
      </c>
      <c r="B19979" t="s">
        <v>154</v>
      </c>
      <c r="C19979" s="1">
        <f>HYPERLINK("https://cao.dolgi.msk.ru/account/1010265349/", 1010265349)</f>
        <v>1010265349</v>
      </c>
      <c r="D19979">
        <v>0</v>
      </c>
    </row>
    <row r="19980" spans="1:4" hidden="1" x14ac:dyDescent="0.3">
      <c r="A19980" t="s">
        <v>1095</v>
      </c>
      <c r="B19980" t="s">
        <v>155</v>
      </c>
      <c r="C19980" s="1">
        <f>HYPERLINK("https://cao.dolgi.msk.ru/account/1010265357/", 1010265357)</f>
        <v>1010265357</v>
      </c>
      <c r="D19980">
        <v>-46.42</v>
      </c>
    </row>
    <row r="19981" spans="1:4" hidden="1" x14ac:dyDescent="0.3">
      <c r="A19981" t="s">
        <v>1095</v>
      </c>
      <c r="B19981" t="s">
        <v>156</v>
      </c>
      <c r="C19981" s="1">
        <f>HYPERLINK("https://cao.dolgi.msk.ru/account/1010265365/", 1010265365)</f>
        <v>1010265365</v>
      </c>
      <c r="D19981">
        <v>-4420.99</v>
      </c>
    </row>
    <row r="19982" spans="1:4" hidden="1" x14ac:dyDescent="0.3">
      <c r="A19982" t="s">
        <v>1095</v>
      </c>
      <c r="B19982" t="s">
        <v>156</v>
      </c>
      <c r="C19982" s="1">
        <f>HYPERLINK("https://cao.dolgi.msk.ru/account/1010273373/", 1010273373)</f>
        <v>1010273373</v>
      </c>
      <c r="D19982">
        <v>-161.27000000000001</v>
      </c>
    </row>
    <row r="19983" spans="1:4" hidden="1" x14ac:dyDescent="0.3">
      <c r="A19983" t="s">
        <v>1095</v>
      </c>
      <c r="B19983" t="s">
        <v>156</v>
      </c>
      <c r="C19983" s="1">
        <f>HYPERLINK("https://cao.dolgi.msk.ru/account/1010273381/", 1010273381)</f>
        <v>1010273381</v>
      </c>
      <c r="D19983">
        <v>-961.69</v>
      </c>
    </row>
    <row r="19984" spans="1:4" x14ac:dyDescent="0.3">
      <c r="A19984" t="s">
        <v>1095</v>
      </c>
      <c r="B19984" t="s">
        <v>157</v>
      </c>
      <c r="C19984" s="1">
        <f>HYPERLINK("https://cao.dolgi.msk.ru/account/1010265373/", 1010265373)</f>
        <v>1010265373</v>
      </c>
      <c r="D19984">
        <v>17137.52</v>
      </c>
    </row>
    <row r="19985" spans="1:4" hidden="1" x14ac:dyDescent="0.3">
      <c r="A19985" t="s">
        <v>1095</v>
      </c>
      <c r="B19985" t="s">
        <v>158</v>
      </c>
      <c r="C19985" s="1">
        <f>HYPERLINK("https://cao.dolgi.msk.ru/account/1010265381/", 1010265381)</f>
        <v>1010265381</v>
      </c>
      <c r="D19985">
        <v>-8601.2199999999993</v>
      </c>
    </row>
    <row r="19986" spans="1:4" x14ac:dyDescent="0.3">
      <c r="A19986" t="s">
        <v>1095</v>
      </c>
      <c r="B19986" t="s">
        <v>1106</v>
      </c>
      <c r="C19986" s="1">
        <f>HYPERLINK("https://cao.dolgi.msk.ru/account/1011379321/", 1011379321)</f>
        <v>1011379321</v>
      </c>
      <c r="D19986">
        <v>3173.17</v>
      </c>
    </row>
    <row r="19987" spans="1:4" x14ac:dyDescent="0.3">
      <c r="A19987" t="s">
        <v>1095</v>
      </c>
      <c r="B19987" t="s">
        <v>159</v>
      </c>
      <c r="C19987" s="1">
        <f>HYPERLINK("https://cao.dolgi.msk.ru/account/1010265429/", 1010265429)</f>
        <v>1010265429</v>
      </c>
      <c r="D19987">
        <v>344.19</v>
      </c>
    </row>
    <row r="19988" spans="1:4" hidden="1" x14ac:dyDescent="0.3">
      <c r="A19988" t="s">
        <v>1095</v>
      </c>
      <c r="B19988" t="s">
        <v>160</v>
      </c>
      <c r="C19988" s="1">
        <f>HYPERLINK("https://cao.dolgi.msk.ru/account/1010265437/", 1010265437)</f>
        <v>1010265437</v>
      </c>
      <c r="D19988">
        <v>0</v>
      </c>
    </row>
    <row r="19989" spans="1:4" hidden="1" x14ac:dyDescent="0.3">
      <c r="A19989" t="s">
        <v>1095</v>
      </c>
      <c r="B19989" t="s">
        <v>161</v>
      </c>
      <c r="C19989" s="1">
        <f>HYPERLINK("https://cao.dolgi.msk.ru/account/1010265445/", 1010265445)</f>
        <v>1010265445</v>
      </c>
      <c r="D19989">
        <v>-4957.3900000000003</v>
      </c>
    </row>
    <row r="19990" spans="1:4" hidden="1" x14ac:dyDescent="0.3">
      <c r="A19990" t="s">
        <v>1095</v>
      </c>
      <c r="B19990" t="s">
        <v>1107</v>
      </c>
      <c r="C19990" s="1">
        <f>HYPERLINK("https://cao.dolgi.msk.ru/account/1010265453/", 1010265453)</f>
        <v>1010265453</v>
      </c>
      <c r="D19990">
        <v>-66</v>
      </c>
    </row>
    <row r="19991" spans="1:4" hidden="1" x14ac:dyDescent="0.3">
      <c r="A19991" t="s">
        <v>1095</v>
      </c>
      <c r="B19991" t="s">
        <v>1108</v>
      </c>
      <c r="C19991" s="1">
        <f>HYPERLINK("https://cao.dolgi.msk.ru/account/1010266122/", 1010266122)</f>
        <v>1010266122</v>
      </c>
      <c r="D19991">
        <v>0</v>
      </c>
    </row>
    <row r="19992" spans="1:4" hidden="1" x14ac:dyDescent="0.3">
      <c r="A19992" t="s">
        <v>1095</v>
      </c>
      <c r="B19992" t="s">
        <v>162</v>
      </c>
      <c r="C19992" s="1">
        <f>HYPERLINK("https://cao.dolgi.msk.ru/account/1010265461/", 1010265461)</f>
        <v>1010265461</v>
      </c>
      <c r="D19992">
        <v>0</v>
      </c>
    </row>
    <row r="19993" spans="1:4" hidden="1" x14ac:dyDescent="0.3">
      <c r="A19993" t="s">
        <v>1095</v>
      </c>
      <c r="B19993" t="s">
        <v>163</v>
      </c>
      <c r="C19993" s="1">
        <f>HYPERLINK("https://cao.dolgi.msk.ru/account/1010265488/", 1010265488)</f>
        <v>1010265488</v>
      </c>
      <c r="D19993">
        <v>-206.61</v>
      </c>
    </row>
    <row r="19994" spans="1:4" hidden="1" x14ac:dyDescent="0.3">
      <c r="A19994" t="s">
        <v>1095</v>
      </c>
      <c r="B19994" t="s">
        <v>164</v>
      </c>
      <c r="C19994" s="1">
        <f>HYPERLINK("https://cao.dolgi.msk.ru/account/1010265496/", 1010265496)</f>
        <v>1010265496</v>
      </c>
      <c r="D19994">
        <v>-6177.31</v>
      </c>
    </row>
    <row r="19995" spans="1:4" hidden="1" x14ac:dyDescent="0.3">
      <c r="A19995" t="s">
        <v>1095</v>
      </c>
      <c r="B19995" t="s">
        <v>165</v>
      </c>
      <c r="C19995" s="1">
        <f>HYPERLINK("https://cao.dolgi.msk.ru/account/1010265509/", 1010265509)</f>
        <v>1010265509</v>
      </c>
      <c r="D19995">
        <v>-27.45</v>
      </c>
    </row>
    <row r="19996" spans="1:4" hidden="1" x14ac:dyDescent="0.3">
      <c r="A19996" t="s">
        <v>1095</v>
      </c>
      <c r="B19996" t="s">
        <v>166</v>
      </c>
      <c r="C19996" s="1">
        <f>HYPERLINK("https://cao.dolgi.msk.ru/account/1010265517/", 1010265517)</f>
        <v>1010265517</v>
      </c>
      <c r="D19996">
        <v>-906.91</v>
      </c>
    </row>
    <row r="19997" spans="1:4" hidden="1" x14ac:dyDescent="0.3">
      <c r="A19997" t="s">
        <v>1095</v>
      </c>
      <c r="B19997" t="s">
        <v>167</v>
      </c>
      <c r="C19997" s="1">
        <f>HYPERLINK("https://cao.dolgi.msk.ru/account/1010265525/", 1010265525)</f>
        <v>1010265525</v>
      </c>
      <c r="D19997">
        <v>-37.28</v>
      </c>
    </row>
    <row r="19998" spans="1:4" hidden="1" x14ac:dyDescent="0.3">
      <c r="A19998" t="s">
        <v>1095</v>
      </c>
      <c r="B19998" t="s">
        <v>168</v>
      </c>
      <c r="C19998" s="1">
        <f>HYPERLINK("https://cao.dolgi.msk.ru/account/1010265533/", 1010265533)</f>
        <v>1010265533</v>
      </c>
      <c r="D19998">
        <v>-10809.07</v>
      </c>
    </row>
    <row r="19999" spans="1:4" hidden="1" x14ac:dyDescent="0.3">
      <c r="A19999" t="s">
        <v>1095</v>
      </c>
      <c r="B19999" t="s">
        <v>169</v>
      </c>
      <c r="C19999" s="1">
        <f>HYPERLINK("https://cao.dolgi.msk.ru/account/1010265541/", 1010265541)</f>
        <v>1010265541</v>
      </c>
      <c r="D19999">
        <v>0</v>
      </c>
    </row>
    <row r="20000" spans="1:4" hidden="1" x14ac:dyDescent="0.3">
      <c r="A20000" t="s">
        <v>1095</v>
      </c>
      <c r="B20000" t="s">
        <v>170</v>
      </c>
      <c r="C20000" s="1">
        <f>HYPERLINK("https://cao.dolgi.msk.ru/account/1010265568/", 1010265568)</f>
        <v>1010265568</v>
      </c>
      <c r="D20000">
        <v>-304.42</v>
      </c>
    </row>
    <row r="20001" spans="1:4" hidden="1" x14ac:dyDescent="0.3">
      <c r="A20001" t="s">
        <v>1095</v>
      </c>
      <c r="B20001" t="s">
        <v>171</v>
      </c>
      <c r="C20001" s="1">
        <f>HYPERLINK("https://cao.dolgi.msk.ru/account/1010265576/", 1010265576)</f>
        <v>1010265576</v>
      </c>
      <c r="D20001">
        <v>-831.31</v>
      </c>
    </row>
    <row r="20002" spans="1:4" hidden="1" x14ac:dyDescent="0.3">
      <c r="A20002" t="s">
        <v>1095</v>
      </c>
      <c r="B20002" t="s">
        <v>172</v>
      </c>
      <c r="C20002" s="1">
        <f>HYPERLINK("https://cao.dolgi.msk.ru/account/1019019451/", 1019019451)</f>
        <v>1019019451</v>
      </c>
      <c r="D20002">
        <v>0</v>
      </c>
    </row>
    <row r="20003" spans="1:4" hidden="1" x14ac:dyDescent="0.3">
      <c r="A20003" t="s">
        <v>1109</v>
      </c>
      <c r="B20003" t="s">
        <v>196</v>
      </c>
      <c r="C20003" s="1">
        <f>HYPERLINK("https://cao.dolgi.msk.ru/account/1011371725/", 1011371725)</f>
        <v>1011371725</v>
      </c>
      <c r="D20003">
        <v>-8757.33</v>
      </c>
    </row>
    <row r="20004" spans="1:4" hidden="1" x14ac:dyDescent="0.3">
      <c r="A20004" t="s">
        <v>1109</v>
      </c>
      <c r="B20004" t="s">
        <v>197</v>
      </c>
      <c r="C20004" s="1">
        <f>HYPERLINK("https://cao.dolgi.msk.ru/account/1011371629/", 1011371629)</f>
        <v>1011371629</v>
      </c>
      <c r="D20004">
        <v>-8349.31</v>
      </c>
    </row>
    <row r="20005" spans="1:4" x14ac:dyDescent="0.3">
      <c r="A20005" t="s">
        <v>1109</v>
      </c>
      <c r="B20005" t="s">
        <v>198</v>
      </c>
      <c r="C20005" s="1">
        <f>HYPERLINK("https://cao.dolgi.msk.ru/account/1011371709/", 1011371709)</f>
        <v>1011371709</v>
      </c>
      <c r="D20005">
        <v>90685.759999999995</v>
      </c>
    </row>
    <row r="20006" spans="1:4" hidden="1" x14ac:dyDescent="0.3">
      <c r="A20006" t="s">
        <v>1109</v>
      </c>
      <c r="B20006" t="s">
        <v>199</v>
      </c>
      <c r="C20006" s="1">
        <f>HYPERLINK("https://cao.dolgi.msk.ru/account/1011371637/", 1011371637)</f>
        <v>1011371637</v>
      </c>
      <c r="D20006">
        <v>0</v>
      </c>
    </row>
    <row r="20007" spans="1:4" x14ac:dyDescent="0.3">
      <c r="A20007" t="s">
        <v>1109</v>
      </c>
      <c r="B20007" t="s">
        <v>200</v>
      </c>
      <c r="C20007" s="1">
        <f>HYPERLINK("https://cao.dolgi.msk.ru/account/1011371792/", 1011371792)</f>
        <v>1011371792</v>
      </c>
      <c r="D20007">
        <v>77809.45</v>
      </c>
    </row>
    <row r="20008" spans="1:4" hidden="1" x14ac:dyDescent="0.3">
      <c r="A20008" t="s">
        <v>1109</v>
      </c>
      <c r="B20008" t="s">
        <v>201</v>
      </c>
      <c r="C20008" s="1">
        <f>HYPERLINK("https://cao.dolgi.msk.ru/account/1011371661/", 1011371661)</f>
        <v>1011371661</v>
      </c>
      <c r="D20008">
        <v>-6824.45</v>
      </c>
    </row>
    <row r="20009" spans="1:4" x14ac:dyDescent="0.3">
      <c r="A20009" t="s">
        <v>1109</v>
      </c>
      <c r="B20009" t="s">
        <v>202</v>
      </c>
      <c r="C20009" s="1">
        <f>HYPERLINK("https://cao.dolgi.msk.ru/account/1011371565/", 1011371565)</f>
        <v>1011371565</v>
      </c>
      <c r="D20009">
        <v>11714.6</v>
      </c>
    </row>
    <row r="20010" spans="1:4" hidden="1" x14ac:dyDescent="0.3">
      <c r="A20010" t="s">
        <v>1109</v>
      </c>
      <c r="B20010" t="s">
        <v>203</v>
      </c>
      <c r="C20010" s="1">
        <f>HYPERLINK("https://cao.dolgi.msk.ru/account/1011371776/", 1011371776)</f>
        <v>1011371776</v>
      </c>
      <c r="D20010">
        <v>0</v>
      </c>
    </row>
    <row r="20011" spans="1:4" x14ac:dyDescent="0.3">
      <c r="A20011" t="s">
        <v>1109</v>
      </c>
      <c r="B20011" t="s">
        <v>205</v>
      </c>
      <c r="C20011" s="1">
        <f>HYPERLINK("https://cao.dolgi.msk.ru/account/1011371768/", 1011371768)</f>
        <v>1011371768</v>
      </c>
      <c r="D20011">
        <v>12213.46</v>
      </c>
    </row>
    <row r="20012" spans="1:4" x14ac:dyDescent="0.3">
      <c r="A20012" t="s">
        <v>1109</v>
      </c>
      <c r="B20012" t="s">
        <v>206</v>
      </c>
      <c r="C20012" s="1">
        <f>HYPERLINK("https://cao.dolgi.msk.ru/account/1011371514/", 1011371514)</f>
        <v>1011371514</v>
      </c>
      <c r="D20012">
        <v>73874.19</v>
      </c>
    </row>
    <row r="20013" spans="1:4" hidden="1" x14ac:dyDescent="0.3">
      <c r="A20013" t="s">
        <v>1109</v>
      </c>
      <c r="B20013" t="s">
        <v>207</v>
      </c>
      <c r="C20013" s="1">
        <f>HYPERLINK("https://cao.dolgi.msk.ru/account/1011371602/", 1011371602)</f>
        <v>1011371602</v>
      </c>
      <c r="D20013">
        <v>0</v>
      </c>
    </row>
    <row r="20014" spans="1:4" hidden="1" x14ac:dyDescent="0.3">
      <c r="A20014" t="s">
        <v>1109</v>
      </c>
      <c r="B20014" t="s">
        <v>208</v>
      </c>
      <c r="C20014" s="1">
        <f>HYPERLINK("https://cao.dolgi.msk.ru/account/1011371549/", 1011371549)</f>
        <v>1011371549</v>
      </c>
      <c r="D20014">
        <v>0</v>
      </c>
    </row>
    <row r="20015" spans="1:4" hidden="1" x14ac:dyDescent="0.3">
      <c r="A20015" t="s">
        <v>1109</v>
      </c>
      <c r="B20015" t="s">
        <v>1110</v>
      </c>
      <c r="C20015" s="1">
        <f>HYPERLINK("https://cao.dolgi.msk.ru/account/1011371645/", 1011371645)</f>
        <v>1011371645</v>
      </c>
      <c r="D20015">
        <v>0</v>
      </c>
    </row>
    <row r="20016" spans="1:4" x14ac:dyDescent="0.3">
      <c r="A20016" t="s">
        <v>1109</v>
      </c>
      <c r="B20016" t="s">
        <v>1111</v>
      </c>
      <c r="C20016" s="1">
        <f>HYPERLINK("https://cao.dolgi.msk.ru/account/1011371717/", 1011371717)</f>
        <v>1011371717</v>
      </c>
      <c r="D20016">
        <v>8006.58</v>
      </c>
    </row>
    <row r="20017" spans="1:4" x14ac:dyDescent="0.3">
      <c r="A20017" t="s">
        <v>1109</v>
      </c>
      <c r="B20017" t="s">
        <v>327</v>
      </c>
      <c r="C20017" s="1">
        <f>HYPERLINK("https://cao.dolgi.msk.ru/account/1011371733/", 1011371733)</f>
        <v>1011371733</v>
      </c>
      <c r="D20017">
        <v>14088.4</v>
      </c>
    </row>
    <row r="20018" spans="1:4" x14ac:dyDescent="0.3">
      <c r="A20018" t="s">
        <v>1109</v>
      </c>
      <c r="B20018" t="s">
        <v>209</v>
      </c>
      <c r="C20018" s="1">
        <f>HYPERLINK("https://cao.dolgi.msk.ru/account/1011371784/", 1011371784)</f>
        <v>1011371784</v>
      </c>
      <c r="D20018">
        <v>9438.42</v>
      </c>
    </row>
    <row r="20019" spans="1:4" hidden="1" x14ac:dyDescent="0.3">
      <c r="A20019" t="s">
        <v>1109</v>
      </c>
      <c r="B20019" t="s">
        <v>210</v>
      </c>
      <c r="C20019" s="1">
        <f>HYPERLINK("https://cao.dolgi.msk.ru/account/1011371573/", 1011371573)</f>
        <v>1011371573</v>
      </c>
      <c r="D20019">
        <v>-11943.51</v>
      </c>
    </row>
    <row r="20020" spans="1:4" x14ac:dyDescent="0.3">
      <c r="A20020" t="s">
        <v>1109</v>
      </c>
      <c r="B20020" t="s">
        <v>210</v>
      </c>
      <c r="C20020" s="1">
        <f>HYPERLINK("https://cao.dolgi.msk.ru/account/1011371581/", 1011371581)</f>
        <v>1011371581</v>
      </c>
      <c r="D20020">
        <v>12490.36</v>
      </c>
    </row>
    <row r="20021" spans="1:4" hidden="1" x14ac:dyDescent="0.3">
      <c r="A20021" t="s">
        <v>1109</v>
      </c>
      <c r="B20021" t="s">
        <v>211</v>
      </c>
      <c r="C20021" s="1">
        <f>HYPERLINK("https://cao.dolgi.msk.ru/account/1011371688/", 1011371688)</f>
        <v>1011371688</v>
      </c>
      <c r="D20021">
        <v>0</v>
      </c>
    </row>
    <row r="20022" spans="1:4" hidden="1" x14ac:dyDescent="0.3">
      <c r="A20022" t="s">
        <v>1109</v>
      </c>
      <c r="B20022" t="s">
        <v>212</v>
      </c>
      <c r="C20022" s="1">
        <f>HYPERLINK("https://cao.dolgi.msk.ru/account/1011371696/", 1011371696)</f>
        <v>1011371696</v>
      </c>
      <c r="D20022">
        <v>-8967.15</v>
      </c>
    </row>
    <row r="20023" spans="1:4" hidden="1" x14ac:dyDescent="0.3">
      <c r="A20023" t="s">
        <v>1109</v>
      </c>
      <c r="B20023" t="s">
        <v>213</v>
      </c>
      <c r="C20023" s="1">
        <f>HYPERLINK("https://cao.dolgi.msk.ru/account/1011371741/", 1011371741)</f>
        <v>1011371741</v>
      </c>
      <c r="D20023">
        <v>0</v>
      </c>
    </row>
    <row r="20024" spans="1:4" hidden="1" x14ac:dyDescent="0.3">
      <c r="A20024" t="s">
        <v>1109</v>
      </c>
      <c r="B20024" t="s">
        <v>214</v>
      </c>
      <c r="C20024" s="1">
        <f>HYPERLINK("https://cao.dolgi.msk.ru/account/1011371522/", 1011371522)</f>
        <v>1011371522</v>
      </c>
      <c r="D20024">
        <v>0</v>
      </c>
    </row>
    <row r="20025" spans="1:4" hidden="1" x14ac:dyDescent="0.3">
      <c r="A20025" t="s">
        <v>1109</v>
      </c>
      <c r="B20025" t="s">
        <v>215</v>
      </c>
      <c r="C20025" s="1">
        <f>HYPERLINK("https://cao.dolgi.msk.ru/account/1011371557/", 1011371557)</f>
        <v>1011371557</v>
      </c>
      <c r="D20025">
        <v>-7855.69</v>
      </c>
    </row>
    <row r="20026" spans="1:4" hidden="1" x14ac:dyDescent="0.3">
      <c r="A20026" t="s">
        <v>1109</v>
      </c>
      <c r="B20026" t="s">
        <v>215</v>
      </c>
      <c r="C20026" s="1">
        <f>HYPERLINK("https://cao.dolgi.msk.ru/account/1011371653/", 1011371653)</f>
        <v>1011371653</v>
      </c>
      <c r="D20026">
        <v>-3125.95</v>
      </c>
    </row>
    <row r="20027" spans="1:4" x14ac:dyDescent="0.3">
      <c r="A20027" t="s">
        <v>1112</v>
      </c>
      <c r="B20027" t="s">
        <v>6</v>
      </c>
      <c r="C20027" s="1">
        <f>HYPERLINK("https://cao.dolgi.msk.ru/account/1011355514/", 1011355514)</f>
        <v>1011355514</v>
      </c>
      <c r="D20027">
        <v>13896.87</v>
      </c>
    </row>
    <row r="20028" spans="1:4" x14ac:dyDescent="0.3">
      <c r="A20028" t="s">
        <v>1112</v>
      </c>
      <c r="B20028" t="s">
        <v>28</v>
      </c>
      <c r="C20028" s="1">
        <f>HYPERLINK("https://cao.dolgi.msk.ru/account/1011355725/", 1011355725)</f>
        <v>1011355725</v>
      </c>
      <c r="D20028">
        <v>5374.26</v>
      </c>
    </row>
    <row r="20029" spans="1:4" hidden="1" x14ac:dyDescent="0.3">
      <c r="A20029" t="s">
        <v>1112</v>
      </c>
      <c r="B20029" t="s">
        <v>35</v>
      </c>
      <c r="C20029" s="1">
        <f>HYPERLINK("https://cao.dolgi.msk.ru/account/1011355055/", 1011355055)</f>
        <v>1011355055</v>
      </c>
      <c r="D20029">
        <v>0</v>
      </c>
    </row>
    <row r="20030" spans="1:4" hidden="1" x14ac:dyDescent="0.3">
      <c r="A20030" t="s">
        <v>1112</v>
      </c>
      <c r="B20030" t="s">
        <v>5</v>
      </c>
      <c r="C20030" s="1">
        <f>HYPERLINK("https://cao.dolgi.msk.ru/account/1011356031/", 1011356031)</f>
        <v>1011356031</v>
      </c>
      <c r="D20030">
        <v>-224.98</v>
      </c>
    </row>
    <row r="20031" spans="1:4" hidden="1" x14ac:dyDescent="0.3">
      <c r="A20031" t="s">
        <v>1112</v>
      </c>
      <c r="B20031" t="s">
        <v>7</v>
      </c>
      <c r="C20031" s="1">
        <f>HYPERLINK("https://cao.dolgi.msk.ru/account/1011355557/", 1011355557)</f>
        <v>1011355557</v>
      </c>
      <c r="D20031">
        <v>0</v>
      </c>
    </row>
    <row r="20032" spans="1:4" hidden="1" x14ac:dyDescent="0.3">
      <c r="A20032" t="s">
        <v>1112</v>
      </c>
      <c r="B20032" t="s">
        <v>8</v>
      </c>
      <c r="C20032" s="1">
        <f>HYPERLINK("https://cao.dolgi.msk.ru/account/1011355899/", 1011355899)</f>
        <v>1011355899</v>
      </c>
      <c r="D20032">
        <v>0</v>
      </c>
    </row>
    <row r="20033" spans="1:4" hidden="1" x14ac:dyDescent="0.3">
      <c r="A20033" t="s">
        <v>1112</v>
      </c>
      <c r="B20033" t="s">
        <v>31</v>
      </c>
      <c r="C20033" s="1">
        <f>HYPERLINK("https://cao.dolgi.msk.ru/account/1011355485/", 1011355485)</f>
        <v>1011355485</v>
      </c>
      <c r="D20033">
        <v>0</v>
      </c>
    </row>
    <row r="20034" spans="1:4" hidden="1" x14ac:dyDescent="0.3">
      <c r="A20034" t="s">
        <v>1112</v>
      </c>
      <c r="B20034" t="s">
        <v>9</v>
      </c>
      <c r="C20034" s="1">
        <f>HYPERLINK("https://cao.dolgi.msk.ru/account/1011355418/", 1011355418)</f>
        <v>1011355418</v>
      </c>
      <c r="D20034">
        <v>0</v>
      </c>
    </row>
    <row r="20035" spans="1:4" hidden="1" x14ac:dyDescent="0.3">
      <c r="A20035" t="s">
        <v>1112</v>
      </c>
      <c r="B20035" t="s">
        <v>10</v>
      </c>
      <c r="C20035" s="1">
        <f>HYPERLINK("https://cao.dolgi.msk.ru/account/1011355688/", 1011355688)</f>
        <v>1011355688</v>
      </c>
      <c r="D20035">
        <v>-3286.79</v>
      </c>
    </row>
    <row r="20036" spans="1:4" hidden="1" x14ac:dyDescent="0.3">
      <c r="A20036" t="s">
        <v>1112</v>
      </c>
      <c r="B20036" t="s">
        <v>11</v>
      </c>
      <c r="C20036" s="1">
        <f>HYPERLINK("https://cao.dolgi.msk.ru/account/1011355135/", 1011355135)</f>
        <v>1011355135</v>
      </c>
      <c r="D20036">
        <v>-3469.61</v>
      </c>
    </row>
    <row r="20037" spans="1:4" hidden="1" x14ac:dyDescent="0.3">
      <c r="A20037" t="s">
        <v>1112</v>
      </c>
      <c r="B20037" t="s">
        <v>12</v>
      </c>
      <c r="C20037" s="1">
        <f>HYPERLINK("https://cao.dolgi.msk.ru/account/1011355207/", 1011355207)</f>
        <v>1011355207</v>
      </c>
      <c r="D20037">
        <v>0</v>
      </c>
    </row>
    <row r="20038" spans="1:4" hidden="1" x14ac:dyDescent="0.3">
      <c r="A20038" t="s">
        <v>1112</v>
      </c>
      <c r="B20038" t="s">
        <v>23</v>
      </c>
      <c r="C20038" s="1">
        <f>HYPERLINK("https://cao.dolgi.msk.ru/account/1011355709/", 1011355709)</f>
        <v>1011355709</v>
      </c>
      <c r="D20038">
        <v>-8352.2000000000007</v>
      </c>
    </row>
    <row r="20039" spans="1:4" x14ac:dyDescent="0.3">
      <c r="A20039" t="s">
        <v>1112</v>
      </c>
      <c r="B20039" t="s">
        <v>13</v>
      </c>
      <c r="C20039" s="1">
        <f>HYPERLINK("https://cao.dolgi.msk.ru/account/1011355952/", 1011355952)</f>
        <v>1011355952</v>
      </c>
      <c r="D20039">
        <v>3714.96</v>
      </c>
    </row>
    <row r="20040" spans="1:4" hidden="1" x14ac:dyDescent="0.3">
      <c r="A20040" t="s">
        <v>1112</v>
      </c>
      <c r="B20040" t="s">
        <v>14</v>
      </c>
      <c r="C20040" s="1">
        <f>HYPERLINK("https://cao.dolgi.msk.ru/account/1011355901/", 1011355901)</f>
        <v>1011355901</v>
      </c>
      <c r="D20040">
        <v>-126.79</v>
      </c>
    </row>
    <row r="20041" spans="1:4" hidden="1" x14ac:dyDescent="0.3">
      <c r="A20041" t="s">
        <v>1112</v>
      </c>
      <c r="B20041" t="s">
        <v>16</v>
      </c>
      <c r="C20041" s="1">
        <f>HYPERLINK("https://cao.dolgi.msk.ru/account/1011355776/", 1011355776)</f>
        <v>1011355776</v>
      </c>
      <c r="D20041">
        <v>0</v>
      </c>
    </row>
    <row r="20042" spans="1:4" hidden="1" x14ac:dyDescent="0.3">
      <c r="A20042" t="s">
        <v>1112</v>
      </c>
      <c r="B20042" t="s">
        <v>17</v>
      </c>
      <c r="C20042" s="1">
        <f>HYPERLINK("https://cao.dolgi.msk.ru/account/1011355039/", 1011355039)</f>
        <v>1011355039</v>
      </c>
      <c r="D20042">
        <v>0</v>
      </c>
    </row>
    <row r="20043" spans="1:4" hidden="1" x14ac:dyDescent="0.3">
      <c r="A20043" t="s">
        <v>1112</v>
      </c>
      <c r="B20043" t="s">
        <v>18</v>
      </c>
      <c r="C20043" s="1">
        <f>HYPERLINK("https://cao.dolgi.msk.ru/account/1011355426/", 1011355426)</f>
        <v>1011355426</v>
      </c>
      <c r="D20043">
        <v>-12102.4</v>
      </c>
    </row>
    <row r="20044" spans="1:4" hidden="1" x14ac:dyDescent="0.3">
      <c r="A20044" t="s">
        <v>1112</v>
      </c>
      <c r="B20044" t="s">
        <v>19</v>
      </c>
      <c r="C20044" s="1">
        <f>HYPERLINK("https://cao.dolgi.msk.ru/account/1011355223/", 1011355223)</f>
        <v>1011355223</v>
      </c>
      <c r="D20044">
        <v>0</v>
      </c>
    </row>
    <row r="20045" spans="1:4" hidden="1" x14ac:dyDescent="0.3">
      <c r="A20045" t="s">
        <v>1112</v>
      </c>
      <c r="B20045" t="s">
        <v>20</v>
      </c>
      <c r="C20045" s="1">
        <f>HYPERLINK("https://cao.dolgi.msk.ru/account/1011355362/", 1011355362)</f>
        <v>1011355362</v>
      </c>
      <c r="D20045">
        <v>0</v>
      </c>
    </row>
    <row r="20046" spans="1:4" hidden="1" x14ac:dyDescent="0.3">
      <c r="A20046" t="s">
        <v>1112</v>
      </c>
      <c r="B20046" t="s">
        <v>21</v>
      </c>
      <c r="C20046" s="1">
        <f>HYPERLINK("https://cao.dolgi.msk.ru/account/1011355311/", 1011355311)</f>
        <v>1011355311</v>
      </c>
      <c r="D20046">
        <v>-9408.5400000000009</v>
      </c>
    </row>
    <row r="20047" spans="1:4" hidden="1" x14ac:dyDescent="0.3">
      <c r="A20047" t="s">
        <v>1112</v>
      </c>
      <c r="B20047" t="s">
        <v>22</v>
      </c>
      <c r="C20047" s="1">
        <f>HYPERLINK("https://cao.dolgi.msk.ru/account/1011355717/", 1011355717)</f>
        <v>1011355717</v>
      </c>
      <c r="D20047">
        <v>0</v>
      </c>
    </row>
    <row r="20048" spans="1:4" hidden="1" x14ac:dyDescent="0.3">
      <c r="A20048" t="s">
        <v>1112</v>
      </c>
      <c r="B20048" t="s">
        <v>24</v>
      </c>
      <c r="C20048" s="1">
        <f>HYPERLINK("https://cao.dolgi.msk.ru/account/1011355493/", 1011355493)</f>
        <v>1011355493</v>
      </c>
      <c r="D20048">
        <v>-17928.41</v>
      </c>
    </row>
    <row r="20049" spans="1:4" hidden="1" x14ac:dyDescent="0.3">
      <c r="A20049" t="s">
        <v>1112</v>
      </c>
      <c r="B20049" t="s">
        <v>25</v>
      </c>
      <c r="C20049" s="1">
        <f>HYPERLINK("https://cao.dolgi.msk.ru/account/1011355303/", 1011355303)</f>
        <v>1011355303</v>
      </c>
      <c r="D20049">
        <v>0</v>
      </c>
    </row>
    <row r="20050" spans="1:4" hidden="1" x14ac:dyDescent="0.3">
      <c r="A20050" t="s">
        <v>1112</v>
      </c>
      <c r="B20050" t="s">
        <v>25</v>
      </c>
      <c r="C20050" s="1">
        <f>HYPERLINK("https://cao.dolgi.msk.ru/account/1011355565/", 1011355565)</f>
        <v>1011355565</v>
      </c>
      <c r="D20050">
        <v>0</v>
      </c>
    </row>
    <row r="20051" spans="1:4" hidden="1" x14ac:dyDescent="0.3">
      <c r="A20051" t="s">
        <v>1112</v>
      </c>
      <c r="B20051" t="s">
        <v>26</v>
      </c>
      <c r="C20051" s="1">
        <f>HYPERLINK("https://cao.dolgi.msk.ru/account/1011355987/", 1011355987)</f>
        <v>1011355987</v>
      </c>
      <c r="D20051">
        <v>0</v>
      </c>
    </row>
    <row r="20052" spans="1:4" hidden="1" x14ac:dyDescent="0.3">
      <c r="A20052" t="s">
        <v>1112</v>
      </c>
      <c r="B20052" t="s">
        <v>26</v>
      </c>
      <c r="C20052" s="1">
        <f>HYPERLINK("https://cao.dolgi.msk.ru/account/1011356058/", 1011356058)</f>
        <v>1011356058</v>
      </c>
      <c r="D20052">
        <v>0</v>
      </c>
    </row>
    <row r="20053" spans="1:4" hidden="1" x14ac:dyDescent="0.3">
      <c r="A20053" t="s">
        <v>1112</v>
      </c>
      <c r="B20053" t="s">
        <v>27</v>
      </c>
      <c r="C20053" s="1">
        <f>HYPERLINK("https://cao.dolgi.msk.ru/account/1011355661/", 1011355661)</f>
        <v>1011355661</v>
      </c>
      <c r="D20053">
        <v>0</v>
      </c>
    </row>
    <row r="20054" spans="1:4" hidden="1" x14ac:dyDescent="0.3">
      <c r="A20054" t="s">
        <v>1112</v>
      </c>
      <c r="B20054" t="s">
        <v>29</v>
      </c>
      <c r="C20054" s="1">
        <f>HYPERLINK("https://cao.dolgi.msk.ru/account/1011355813/", 1011355813)</f>
        <v>1011355813</v>
      </c>
      <c r="D20054">
        <v>0</v>
      </c>
    </row>
    <row r="20055" spans="1:4" hidden="1" x14ac:dyDescent="0.3">
      <c r="A20055" t="s">
        <v>1112</v>
      </c>
      <c r="B20055" t="s">
        <v>38</v>
      </c>
      <c r="C20055" s="1">
        <f>HYPERLINK("https://cao.dolgi.msk.ru/account/1011355186/", 1011355186)</f>
        <v>1011355186</v>
      </c>
      <c r="D20055">
        <v>-10728.85</v>
      </c>
    </row>
    <row r="20056" spans="1:4" hidden="1" x14ac:dyDescent="0.3">
      <c r="A20056" t="s">
        <v>1112</v>
      </c>
      <c r="B20056" t="s">
        <v>39</v>
      </c>
      <c r="C20056" s="1">
        <f>HYPERLINK("https://cao.dolgi.msk.ru/account/1011355266/", 1011355266)</f>
        <v>1011355266</v>
      </c>
      <c r="D20056">
        <v>0</v>
      </c>
    </row>
    <row r="20057" spans="1:4" hidden="1" x14ac:dyDescent="0.3">
      <c r="A20057" t="s">
        <v>1112</v>
      </c>
      <c r="B20057" t="s">
        <v>40</v>
      </c>
      <c r="C20057" s="1">
        <f>HYPERLINK("https://cao.dolgi.msk.ru/account/1011355063/", 1011355063)</f>
        <v>1011355063</v>
      </c>
      <c r="D20057">
        <v>0</v>
      </c>
    </row>
    <row r="20058" spans="1:4" hidden="1" x14ac:dyDescent="0.3">
      <c r="A20058" t="s">
        <v>1112</v>
      </c>
      <c r="B20058" t="s">
        <v>41</v>
      </c>
      <c r="C20058" s="1">
        <f>HYPERLINK("https://cao.dolgi.msk.ru/account/1011355098/", 1011355098)</f>
        <v>1011355098</v>
      </c>
      <c r="D20058">
        <v>0</v>
      </c>
    </row>
    <row r="20059" spans="1:4" hidden="1" x14ac:dyDescent="0.3">
      <c r="A20059" t="s">
        <v>1112</v>
      </c>
      <c r="B20059" t="s">
        <v>51</v>
      </c>
      <c r="C20059" s="1">
        <f>HYPERLINK("https://cao.dolgi.msk.ru/account/1011355434/", 1011355434)</f>
        <v>1011355434</v>
      </c>
      <c r="D20059">
        <v>0</v>
      </c>
    </row>
    <row r="20060" spans="1:4" hidden="1" x14ac:dyDescent="0.3">
      <c r="A20060" t="s">
        <v>1112</v>
      </c>
      <c r="B20060" t="s">
        <v>52</v>
      </c>
      <c r="C20060" s="1">
        <f>HYPERLINK("https://cao.dolgi.msk.ru/account/1011355506/", 1011355506)</f>
        <v>1011355506</v>
      </c>
      <c r="D20060">
        <v>-3316.87</v>
      </c>
    </row>
    <row r="20061" spans="1:4" hidden="1" x14ac:dyDescent="0.3">
      <c r="A20061" t="s">
        <v>1112</v>
      </c>
      <c r="B20061" t="s">
        <v>53</v>
      </c>
      <c r="C20061" s="1">
        <f>HYPERLINK("https://cao.dolgi.msk.ru/account/1011355928/", 1011355928)</f>
        <v>1011355928</v>
      </c>
      <c r="D20061">
        <v>0</v>
      </c>
    </row>
    <row r="20062" spans="1:4" hidden="1" x14ac:dyDescent="0.3">
      <c r="A20062" t="s">
        <v>1112</v>
      </c>
      <c r="B20062" t="s">
        <v>54</v>
      </c>
      <c r="C20062" s="1">
        <f>HYPERLINK("https://cao.dolgi.msk.ru/account/1011355821/", 1011355821)</f>
        <v>1011355821</v>
      </c>
      <c r="D20062">
        <v>0</v>
      </c>
    </row>
    <row r="20063" spans="1:4" hidden="1" x14ac:dyDescent="0.3">
      <c r="A20063" t="s">
        <v>1112</v>
      </c>
      <c r="B20063" t="s">
        <v>55</v>
      </c>
      <c r="C20063" s="1">
        <f>HYPERLINK("https://cao.dolgi.msk.ru/account/1011355389/", 1011355389)</f>
        <v>1011355389</v>
      </c>
      <c r="D20063">
        <v>0</v>
      </c>
    </row>
    <row r="20064" spans="1:4" hidden="1" x14ac:dyDescent="0.3">
      <c r="A20064" t="s">
        <v>1112</v>
      </c>
      <c r="B20064" t="s">
        <v>56</v>
      </c>
      <c r="C20064" s="1">
        <f>HYPERLINK("https://cao.dolgi.msk.ru/account/1011355848/", 1011355848)</f>
        <v>1011355848</v>
      </c>
      <c r="D20064">
        <v>0</v>
      </c>
    </row>
    <row r="20065" spans="1:4" x14ac:dyDescent="0.3">
      <c r="A20065" t="s">
        <v>1112</v>
      </c>
      <c r="B20065" t="s">
        <v>87</v>
      </c>
      <c r="C20065" s="1">
        <f>HYPERLINK("https://cao.dolgi.msk.ru/account/1011355696/", 1011355696)</f>
        <v>1011355696</v>
      </c>
      <c r="D20065">
        <v>7207.63</v>
      </c>
    </row>
    <row r="20066" spans="1:4" hidden="1" x14ac:dyDescent="0.3">
      <c r="A20066" t="s">
        <v>1112</v>
      </c>
      <c r="B20066" t="s">
        <v>88</v>
      </c>
      <c r="C20066" s="1">
        <f>HYPERLINK("https://cao.dolgi.msk.ru/account/1011355581/", 1011355581)</f>
        <v>1011355581</v>
      </c>
      <c r="D20066">
        <v>-5793.45</v>
      </c>
    </row>
    <row r="20067" spans="1:4" hidden="1" x14ac:dyDescent="0.3">
      <c r="A20067" t="s">
        <v>1112</v>
      </c>
      <c r="B20067" t="s">
        <v>89</v>
      </c>
      <c r="C20067" s="1">
        <f>HYPERLINK("https://cao.dolgi.msk.ru/account/1011356007/", 1011356007)</f>
        <v>1011356007</v>
      </c>
      <c r="D20067">
        <v>0</v>
      </c>
    </row>
    <row r="20068" spans="1:4" hidden="1" x14ac:dyDescent="0.3">
      <c r="A20068" t="s">
        <v>1112</v>
      </c>
      <c r="B20068" t="s">
        <v>90</v>
      </c>
      <c r="C20068" s="1">
        <f>HYPERLINK("https://cao.dolgi.msk.ru/account/1011355047/", 1011355047)</f>
        <v>1011355047</v>
      </c>
      <c r="D20068">
        <v>-6525.47</v>
      </c>
    </row>
    <row r="20069" spans="1:4" hidden="1" x14ac:dyDescent="0.3">
      <c r="A20069" t="s">
        <v>1112</v>
      </c>
      <c r="B20069" t="s">
        <v>96</v>
      </c>
      <c r="C20069" s="1">
        <f>HYPERLINK("https://cao.dolgi.msk.ru/account/1011355442/", 1011355442)</f>
        <v>1011355442</v>
      </c>
      <c r="D20069">
        <v>-381.12</v>
      </c>
    </row>
    <row r="20070" spans="1:4" x14ac:dyDescent="0.3">
      <c r="A20070" t="s">
        <v>1112</v>
      </c>
      <c r="B20070" t="s">
        <v>97</v>
      </c>
      <c r="C20070" s="1">
        <f>HYPERLINK("https://cao.dolgi.msk.ru/account/1011355143/", 1011355143)</f>
        <v>1011355143</v>
      </c>
      <c r="D20070">
        <v>152329.46</v>
      </c>
    </row>
    <row r="20071" spans="1:4" hidden="1" x14ac:dyDescent="0.3">
      <c r="A20071" t="s">
        <v>1112</v>
      </c>
      <c r="B20071" t="s">
        <v>98</v>
      </c>
      <c r="C20071" s="1">
        <f>HYPERLINK("https://cao.dolgi.msk.ru/account/1011355522/", 1011355522)</f>
        <v>1011355522</v>
      </c>
      <c r="D20071">
        <v>0</v>
      </c>
    </row>
    <row r="20072" spans="1:4" hidden="1" x14ac:dyDescent="0.3">
      <c r="A20072" t="s">
        <v>1112</v>
      </c>
      <c r="B20072" t="s">
        <v>58</v>
      </c>
      <c r="C20072" s="1">
        <f>HYPERLINK("https://cao.dolgi.msk.ru/account/1011355215/", 1011355215)</f>
        <v>1011355215</v>
      </c>
      <c r="D20072">
        <v>-65.52</v>
      </c>
    </row>
    <row r="20073" spans="1:4" x14ac:dyDescent="0.3">
      <c r="A20073" t="s">
        <v>1112</v>
      </c>
      <c r="B20073" t="s">
        <v>59</v>
      </c>
      <c r="C20073" s="1">
        <f>HYPERLINK("https://cao.dolgi.msk.ru/account/1011355979/", 1011355979)</f>
        <v>1011355979</v>
      </c>
      <c r="D20073">
        <v>5451.44</v>
      </c>
    </row>
    <row r="20074" spans="1:4" hidden="1" x14ac:dyDescent="0.3">
      <c r="A20074" t="s">
        <v>1112</v>
      </c>
      <c r="B20074" t="s">
        <v>60</v>
      </c>
      <c r="C20074" s="1">
        <f>HYPERLINK("https://cao.dolgi.msk.ru/account/1011355194/", 1011355194)</f>
        <v>1011355194</v>
      </c>
      <c r="D20074">
        <v>-5796.01</v>
      </c>
    </row>
    <row r="20075" spans="1:4" hidden="1" x14ac:dyDescent="0.3">
      <c r="A20075" t="s">
        <v>1112</v>
      </c>
      <c r="B20075" t="s">
        <v>61</v>
      </c>
      <c r="C20075" s="1">
        <f>HYPERLINK("https://cao.dolgi.msk.ru/account/1011355573/", 1011355573)</f>
        <v>1011355573</v>
      </c>
      <c r="D20075">
        <v>-6719.48</v>
      </c>
    </row>
    <row r="20076" spans="1:4" x14ac:dyDescent="0.3">
      <c r="A20076" t="s">
        <v>1112</v>
      </c>
      <c r="B20076" t="s">
        <v>62</v>
      </c>
      <c r="C20076" s="1">
        <f>HYPERLINK("https://cao.dolgi.msk.ru/account/1011355629/", 1011355629)</f>
        <v>1011355629</v>
      </c>
      <c r="D20076">
        <v>5506.15</v>
      </c>
    </row>
    <row r="20077" spans="1:4" hidden="1" x14ac:dyDescent="0.3">
      <c r="A20077" t="s">
        <v>1112</v>
      </c>
      <c r="B20077" t="s">
        <v>63</v>
      </c>
      <c r="C20077" s="1">
        <f>HYPERLINK("https://cao.dolgi.msk.ru/account/1011355119/", 1011355119)</f>
        <v>1011355119</v>
      </c>
      <c r="D20077">
        <v>0</v>
      </c>
    </row>
    <row r="20078" spans="1:4" x14ac:dyDescent="0.3">
      <c r="A20078" t="s">
        <v>1112</v>
      </c>
      <c r="B20078" t="s">
        <v>64</v>
      </c>
      <c r="C20078" s="1">
        <f>HYPERLINK("https://cao.dolgi.msk.ru/account/1011355469/", 1011355469)</f>
        <v>1011355469</v>
      </c>
      <c r="D20078">
        <v>5266.88</v>
      </c>
    </row>
    <row r="20079" spans="1:4" hidden="1" x14ac:dyDescent="0.3">
      <c r="A20079" t="s">
        <v>1112</v>
      </c>
      <c r="B20079" t="s">
        <v>65</v>
      </c>
      <c r="C20079" s="1">
        <f>HYPERLINK("https://cao.dolgi.msk.ru/account/1011356015/", 1011356015)</f>
        <v>1011356015</v>
      </c>
      <c r="D20079">
        <v>-4916.51</v>
      </c>
    </row>
    <row r="20080" spans="1:4" hidden="1" x14ac:dyDescent="0.3">
      <c r="A20080" t="s">
        <v>1112</v>
      </c>
      <c r="B20080" t="s">
        <v>66</v>
      </c>
      <c r="C20080" s="1">
        <f>HYPERLINK("https://cao.dolgi.msk.ru/account/1011355151/", 1011355151)</f>
        <v>1011355151</v>
      </c>
      <c r="D20080">
        <v>-5121.8900000000003</v>
      </c>
    </row>
    <row r="20081" spans="1:4" x14ac:dyDescent="0.3">
      <c r="A20081" t="s">
        <v>1112</v>
      </c>
      <c r="B20081" t="s">
        <v>67</v>
      </c>
      <c r="C20081" s="1">
        <f>HYPERLINK("https://cao.dolgi.msk.ru/account/1011355645/", 1011355645)</f>
        <v>1011355645</v>
      </c>
      <c r="D20081">
        <v>13502.35</v>
      </c>
    </row>
    <row r="20082" spans="1:4" hidden="1" x14ac:dyDescent="0.3">
      <c r="A20082" t="s">
        <v>1112</v>
      </c>
      <c r="B20082" t="s">
        <v>68</v>
      </c>
      <c r="C20082" s="1">
        <f>HYPERLINK("https://cao.dolgi.msk.ru/account/1011355274/", 1011355274)</f>
        <v>1011355274</v>
      </c>
      <c r="D20082">
        <v>0</v>
      </c>
    </row>
    <row r="20083" spans="1:4" hidden="1" x14ac:dyDescent="0.3">
      <c r="A20083" t="s">
        <v>1112</v>
      </c>
      <c r="B20083" t="s">
        <v>69</v>
      </c>
      <c r="C20083" s="1">
        <f>HYPERLINK("https://cao.dolgi.msk.ru/account/1011356023/", 1011356023)</f>
        <v>1011356023</v>
      </c>
      <c r="D20083">
        <v>-2135.54</v>
      </c>
    </row>
    <row r="20084" spans="1:4" hidden="1" x14ac:dyDescent="0.3">
      <c r="A20084" t="s">
        <v>1112</v>
      </c>
      <c r="B20084" t="s">
        <v>70</v>
      </c>
      <c r="C20084" s="1">
        <f>HYPERLINK("https://cao.dolgi.msk.ru/account/1011355346/", 1011355346)</f>
        <v>1011355346</v>
      </c>
      <c r="D20084">
        <v>0</v>
      </c>
    </row>
    <row r="20085" spans="1:4" hidden="1" x14ac:dyDescent="0.3">
      <c r="A20085" t="s">
        <v>1112</v>
      </c>
      <c r="B20085" t="s">
        <v>259</v>
      </c>
      <c r="C20085" s="1">
        <f>HYPERLINK("https://cao.dolgi.msk.ru/account/1011355864/", 1011355864)</f>
        <v>1011355864</v>
      </c>
      <c r="D20085">
        <v>-357.53</v>
      </c>
    </row>
    <row r="20086" spans="1:4" x14ac:dyDescent="0.3">
      <c r="A20086" t="s">
        <v>1112</v>
      </c>
      <c r="B20086" t="s">
        <v>100</v>
      </c>
      <c r="C20086" s="1">
        <f>HYPERLINK("https://cao.dolgi.msk.ru/account/1011355354/", 1011355354)</f>
        <v>1011355354</v>
      </c>
      <c r="D20086">
        <v>4342.1899999999996</v>
      </c>
    </row>
    <row r="20087" spans="1:4" hidden="1" x14ac:dyDescent="0.3">
      <c r="A20087" t="s">
        <v>1112</v>
      </c>
      <c r="B20087" t="s">
        <v>72</v>
      </c>
      <c r="C20087" s="1">
        <f>HYPERLINK("https://cao.dolgi.msk.ru/account/1011355995/", 1011355995)</f>
        <v>1011355995</v>
      </c>
      <c r="D20087">
        <v>0</v>
      </c>
    </row>
    <row r="20088" spans="1:4" hidden="1" x14ac:dyDescent="0.3">
      <c r="A20088" t="s">
        <v>1112</v>
      </c>
      <c r="B20088" t="s">
        <v>73</v>
      </c>
      <c r="C20088" s="1">
        <f>HYPERLINK("https://cao.dolgi.msk.ru/account/1011355477/", 1011355477)</f>
        <v>1011355477</v>
      </c>
      <c r="D20088">
        <v>-272.74</v>
      </c>
    </row>
    <row r="20089" spans="1:4" hidden="1" x14ac:dyDescent="0.3">
      <c r="A20089" t="s">
        <v>1112</v>
      </c>
      <c r="B20089" t="s">
        <v>74</v>
      </c>
      <c r="C20089" s="1">
        <f>HYPERLINK("https://cao.dolgi.msk.ru/account/1011355397/", 1011355397)</f>
        <v>1011355397</v>
      </c>
      <c r="D20089">
        <v>0</v>
      </c>
    </row>
    <row r="20090" spans="1:4" hidden="1" x14ac:dyDescent="0.3">
      <c r="A20090" t="s">
        <v>1112</v>
      </c>
      <c r="B20090" t="s">
        <v>75</v>
      </c>
      <c r="C20090" s="1">
        <f>HYPERLINK("https://cao.dolgi.msk.ru/account/1011355936/", 1011355936)</f>
        <v>1011355936</v>
      </c>
      <c r="D20090">
        <v>0</v>
      </c>
    </row>
    <row r="20091" spans="1:4" hidden="1" x14ac:dyDescent="0.3">
      <c r="A20091" t="s">
        <v>1112</v>
      </c>
      <c r="B20091" t="s">
        <v>76</v>
      </c>
      <c r="C20091" s="1">
        <f>HYPERLINK("https://cao.dolgi.msk.ru/account/1011355784/", 1011355784)</f>
        <v>1011355784</v>
      </c>
      <c r="D20091">
        <v>0</v>
      </c>
    </row>
    <row r="20092" spans="1:4" hidden="1" x14ac:dyDescent="0.3">
      <c r="A20092" t="s">
        <v>1112</v>
      </c>
      <c r="B20092" t="s">
        <v>77</v>
      </c>
      <c r="C20092" s="1">
        <f>HYPERLINK("https://cao.dolgi.msk.ru/account/1011355602/", 1011355602)</f>
        <v>1011355602</v>
      </c>
      <c r="D20092">
        <v>0</v>
      </c>
    </row>
    <row r="20093" spans="1:4" x14ac:dyDescent="0.3">
      <c r="A20093" t="s">
        <v>1112</v>
      </c>
      <c r="B20093" t="s">
        <v>78</v>
      </c>
      <c r="C20093" s="1">
        <f>HYPERLINK("https://cao.dolgi.msk.ru/account/1011355178/", 1011355178)</f>
        <v>1011355178</v>
      </c>
      <c r="D20093">
        <v>10190.11</v>
      </c>
    </row>
    <row r="20094" spans="1:4" hidden="1" x14ac:dyDescent="0.3">
      <c r="A20094" t="s">
        <v>1112</v>
      </c>
      <c r="B20094" t="s">
        <v>79</v>
      </c>
      <c r="C20094" s="1">
        <f>HYPERLINK("https://cao.dolgi.msk.ru/account/1011355741/", 1011355741)</f>
        <v>1011355741</v>
      </c>
      <c r="D20094">
        <v>0</v>
      </c>
    </row>
    <row r="20095" spans="1:4" hidden="1" x14ac:dyDescent="0.3">
      <c r="A20095" t="s">
        <v>1112</v>
      </c>
      <c r="B20095" t="s">
        <v>80</v>
      </c>
      <c r="C20095" s="1">
        <f>HYPERLINK("https://cao.dolgi.msk.ru/account/1011355549/", 1011355549)</f>
        <v>1011355549</v>
      </c>
      <c r="D20095">
        <v>0</v>
      </c>
    </row>
    <row r="20096" spans="1:4" hidden="1" x14ac:dyDescent="0.3">
      <c r="A20096" t="s">
        <v>1112</v>
      </c>
      <c r="B20096" t="s">
        <v>81</v>
      </c>
      <c r="C20096" s="1">
        <f>HYPERLINK("https://cao.dolgi.msk.ru/account/1011355338/", 1011355338)</f>
        <v>1011355338</v>
      </c>
      <c r="D20096">
        <v>0</v>
      </c>
    </row>
    <row r="20097" spans="1:4" hidden="1" x14ac:dyDescent="0.3">
      <c r="A20097" t="s">
        <v>1112</v>
      </c>
      <c r="B20097" t="s">
        <v>101</v>
      </c>
      <c r="C20097" s="1">
        <f>HYPERLINK("https://cao.dolgi.msk.ru/account/1011355127/", 1011355127)</f>
        <v>1011355127</v>
      </c>
      <c r="D20097">
        <v>-32.770000000000003</v>
      </c>
    </row>
    <row r="20098" spans="1:4" hidden="1" x14ac:dyDescent="0.3">
      <c r="A20098" t="s">
        <v>1112</v>
      </c>
      <c r="B20098" t="s">
        <v>82</v>
      </c>
      <c r="C20098" s="1">
        <f>HYPERLINK("https://cao.dolgi.msk.ru/account/1011355637/", 1011355637)</f>
        <v>1011355637</v>
      </c>
      <c r="D20098">
        <v>-9164.92</v>
      </c>
    </row>
    <row r="20099" spans="1:4" hidden="1" x14ac:dyDescent="0.3">
      <c r="A20099" t="s">
        <v>1112</v>
      </c>
      <c r="B20099" t="s">
        <v>83</v>
      </c>
      <c r="C20099" s="1">
        <f>HYPERLINK("https://cao.dolgi.msk.ru/account/1011355282/", 1011355282)</f>
        <v>1011355282</v>
      </c>
      <c r="D20099">
        <v>-2528.94</v>
      </c>
    </row>
    <row r="20100" spans="1:4" hidden="1" x14ac:dyDescent="0.3">
      <c r="A20100" t="s">
        <v>1112</v>
      </c>
      <c r="B20100" t="s">
        <v>84</v>
      </c>
      <c r="C20100" s="1">
        <f>HYPERLINK("https://cao.dolgi.msk.ru/account/1011355733/", 1011355733)</f>
        <v>1011355733</v>
      </c>
      <c r="D20100">
        <v>-6493.67</v>
      </c>
    </row>
    <row r="20101" spans="1:4" hidden="1" x14ac:dyDescent="0.3">
      <c r="A20101" t="s">
        <v>1112</v>
      </c>
      <c r="B20101" t="s">
        <v>85</v>
      </c>
      <c r="C20101" s="1">
        <f>HYPERLINK("https://cao.dolgi.msk.ru/account/1011355805/", 1011355805)</f>
        <v>1011355805</v>
      </c>
      <c r="D20101">
        <v>-1953.63</v>
      </c>
    </row>
    <row r="20102" spans="1:4" x14ac:dyDescent="0.3">
      <c r="A20102" t="s">
        <v>1112</v>
      </c>
      <c r="B20102" t="s">
        <v>102</v>
      </c>
      <c r="C20102" s="1">
        <f>HYPERLINK("https://cao.dolgi.msk.ru/account/1011355653/", 1011355653)</f>
        <v>1011355653</v>
      </c>
      <c r="D20102">
        <v>316.64</v>
      </c>
    </row>
    <row r="20103" spans="1:4" hidden="1" x14ac:dyDescent="0.3">
      <c r="A20103" t="s">
        <v>1112</v>
      </c>
      <c r="B20103" t="s">
        <v>103</v>
      </c>
      <c r="C20103" s="1">
        <f>HYPERLINK("https://cao.dolgi.msk.ru/account/1011355071/", 1011355071)</f>
        <v>1011355071</v>
      </c>
      <c r="D20103">
        <v>0</v>
      </c>
    </row>
    <row r="20104" spans="1:4" hidden="1" x14ac:dyDescent="0.3">
      <c r="A20104" t="s">
        <v>1112</v>
      </c>
      <c r="B20104" t="s">
        <v>104</v>
      </c>
      <c r="C20104" s="1">
        <f>HYPERLINK("https://cao.dolgi.msk.ru/account/1011355258/", 1011355258)</f>
        <v>1011355258</v>
      </c>
      <c r="D20104">
        <v>0</v>
      </c>
    </row>
    <row r="20105" spans="1:4" hidden="1" x14ac:dyDescent="0.3">
      <c r="A20105" t="s">
        <v>1112</v>
      </c>
      <c r="B20105" t="s">
        <v>105</v>
      </c>
      <c r="C20105" s="1">
        <f>HYPERLINK("https://cao.dolgi.msk.ru/account/1011355856/", 1011355856)</f>
        <v>1011355856</v>
      </c>
      <c r="D20105">
        <v>0</v>
      </c>
    </row>
    <row r="20106" spans="1:4" hidden="1" x14ac:dyDescent="0.3">
      <c r="A20106" t="s">
        <v>1112</v>
      </c>
      <c r="B20106" t="s">
        <v>106</v>
      </c>
      <c r="C20106" s="1">
        <f>HYPERLINK("https://cao.dolgi.msk.ru/account/1011355792/", 1011355792)</f>
        <v>1011355792</v>
      </c>
      <c r="D20106">
        <v>-3834.33</v>
      </c>
    </row>
    <row r="20107" spans="1:4" hidden="1" x14ac:dyDescent="0.3">
      <c r="A20107" t="s">
        <v>1112</v>
      </c>
      <c r="B20107" t="s">
        <v>107</v>
      </c>
      <c r="C20107" s="1">
        <f>HYPERLINK("https://cao.dolgi.msk.ru/account/1011355872/", 1011355872)</f>
        <v>1011355872</v>
      </c>
      <c r="D20107">
        <v>-6096.34</v>
      </c>
    </row>
    <row r="20108" spans="1:4" hidden="1" x14ac:dyDescent="0.3">
      <c r="A20108" t="s">
        <v>1112</v>
      </c>
      <c r="B20108" t="s">
        <v>108</v>
      </c>
      <c r="C20108" s="1">
        <f>HYPERLINK("https://cao.dolgi.msk.ru/account/1011355944/", 1011355944)</f>
        <v>1011355944</v>
      </c>
      <c r="D20108">
        <v>-368.86</v>
      </c>
    </row>
    <row r="20109" spans="1:4" hidden="1" x14ac:dyDescent="0.3">
      <c r="A20109" t="s">
        <v>1113</v>
      </c>
      <c r="B20109" t="s">
        <v>6</v>
      </c>
      <c r="C20109" s="1">
        <f>HYPERLINK("https://cao.dolgi.msk.ru/account/1011540189/", 1011540189)</f>
        <v>1011540189</v>
      </c>
      <c r="D20109">
        <v>0</v>
      </c>
    </row>
    <row r="20110" spans="1:4" x14ac:dyDescent="0.3">
      <c r="A20110" t="s">
        <v>1113</v>
      </c>
      <c r="B20110" t="s">
        <v>28</v>
      </c>
      <c r="C20110" s="1">
        <f>HYPERLINK("https://cao.dolgi.msk.ru/account/1011540197/", 1011540197)</f>
        <v>1011540197</v>
      </c>
      <c r="D20110">
        <v>17409.37</v>
      </c>
    </row>
    <row r="20111" spans="1:4" x14ac:dyDescent="0.3">
      <c r="A20111" t="s">
        <v>1113</v>
      </c>
      <c r="B20111" t="s">
        <v>35</v>
      </c>
      <c r="C20111" s="1">
        <f>HYPERLINK("https://cao.dolgi.msk.ru/account/1011540218/", 1011540218)</f>
        <v>1011540218</v>
      </c>
      <c r="D20111">
        <v>36639.71</v>
      </c>
    </row>
    <row r="20112" spans="1:4" x14ac:dyDescent="0.3">
      <c r="A20112" t="s">
        <v>1113</v>
      </c>
      <c r="B20112" t="s">
        <v>5</v>
      </c>
      <c r="C20112" s="1">
        <f>HYPERLINK("https://cao.dolgi.msk.ru/account/1011540226/", 1011540226)</f>
        <v>1011540226</v>
      </c>
      <c r="D20112">
        <v>62031.95</v>
      </c>
    </row>
    <row r="20113" spans="1:4" hidden="1" x14ac:dyDescent="0.3">
      <c r="A20113" t="s">
        <v>1113</v>
      </c>
      <c r="B20113" t="s">
        <v>7</v>
      </c>
      <c r="C20113" s="1">
        <f>HYPERLINK("https://cao.dolgi.msk.ru/account/1011540234/", 1011540234)</f>
        <v>1011540234</v>
      </c>
      <c r="D20113">
        <v>-8161.5</v>
      </c>
    </row>
    <row r="20114" spans="1:4" hidden="1" x14ac:dyDescent="0.3">
      <c r="A20114" t="s">
        <v>1113</v>
      </c>
      <c r="B20114" t="s">
        <v>8</v>
      </c>
      <c r="C20114" s="1">
        <f>HYPERLINK("https://cao.dolgi.msk.ru/account/1011540242/", 1011540242)</f>
        <v>1011540242</v>
      </c>
      <c r="D20114">
        <v>-441.42</v>
      </c>
    </row>
    <row r="20115" spans="1:4" hidden="1" x14ac:dyDescent="0.3">
      <c r="A20115" t="s">
        <v>1113</v>
      </c>
      <c r="B20115" t="s">
        <v>31</v>
      </c>
      <c r="C20115" s="1">
        <f>HYPERLINK("https://cao.dolgi.msk.ru/account/1011540269/", 1011540269)</f>
        <v>1011540269</v>
      </c>
      <c r="D20115">
        <v>0</v>
      </c>
    </row>
    <row r="20116" spans="1:4" x14ac:dyDescent="0.3">
      <c r="A20116" t="s">
        <v>1113</v>
      </c>
      <c r="B20116" t="s">
        <v>9</v>
      </c>
      <c r="C20116" s="1">
        <f>HYPERLINK("https://cao.dolgi.msk.ru/account/1011540277/", 1011540277)</f>
        <v>1011540277</v>
      </c>
      <c r="D20116">
        <v>62031.95</v>
      </c>
    </row>
    <row r="20117" spans="1:4" x14ac:dyDescent="0.3">
      <c r="A20117" t="s">
        <v>1113</v>
      </c>
      <c r="B20117" t="s">
        <v>10</v>
      </c>
      <c r="C20117" s="1">
        <f>HYPERLINK("https://cao.dolgi.msk.ru/account/1011540285/", 1011540285)</f>
        <v>1011540285</v>
      </c>
      <c r="D20117">
        <v>50682.69</v>
      </c>
    </row>
    <row r="20118" spans="1:4" x14ac:dyDescent="0.3">
      <c r="A20118" t="s">
        <v>1113</v>
      </c>
      <c r="B20118" t="s">
        <v>11</v>
      </c>
      <c r="C20118" s="1">
        <f>HYPERLINK("https://cao.dolgi.msk.ru/account/1011540293/", 1011540293)</f>
        <v>1011540293</v>
      </c>
      <c r="D20118">
        <v>21473.18</v>
      </c>
    </row>
    <row r="20119" spans="1:4" hidden="1" x14ac:dyDescent="0.3">
      <c r="A20119" t="s">
        <v>1113</v>
      </c>
      <c r="B20119" t="s">
        <v>12</v>
      </c>
      <c r="C20119" s="1">
        <f>HYPERLINK("https://cao.dolgi.msk.ru/account/1011540306/", 1011540306)</f>
        <v>1011540306</v>
      </c>
      <c r="D20119">
        <v>0</v>
      </c>
    </row>
    <row r="20120" spans="1:4" x14ac:dyDescent="0.3">
      <c r="A20120" t="s">
        <v>1113</v>
      </c>
      <c r="B20120" t="s">
        <v>23</v>
      </c>
      <c r="C20120" s="1">
        <f>HYPERLINK("https://cao.dolgi.msk.ru/account/1011540314/", 1011540314)</f>
        <v>1011540314</v>
      </c>
      <c r="D20120">
        <v>74327.740000000005</v>
      </c>
    </row>
    <row r="20121" spans="1:4" x14ac:dyDescent="0.3">
      <c r="A20121" t="s">
        <v>1113</v>
      </c>
      <c r="B20121" t="s">
        <v>13</v>
      </c>
      <c r="C20121" s="1">
        <f>HYPERLINK("https://cao.dolgi.msk.ru/account/1011540322/", 1011540322)</f>
        <v>1011540322</v>
      </c>
      <c r="D20121">
        <v>16556.740000000002</v>
      </c>
    </row>
    <row r="20122" spans="1:4" x14ac:dyDescent="0.3">
      <c r="A20122" t="s">
        <v>1113</v>
      </c>
      <c r="B20122" t="s">
        <v>14</v>
      </c>
      <c r="C20122" s="1">
        <f>HYPERLINK("https://cao.dolgi.msk.ru/account/1011540349/", 1011540349)</f>
        <v>1011540349</v>
      </c>
      <c r="D20122">
        <v>73875.05</v>
      </c>
    </row>
    <row r="20123" spans="1:4" x14ac:dyDescent="0.3">
      <c r="A20123" t="s">
        <v>1113</v>
      </c>
      <c r="B20123" t="s">
        <v>16</v>
      </c>
      <c r="C20123" s="1">
        <f>HYPERLINK("https://cao.dolgi.msk.ru/account/1011542395/", 1011542395)</f>
        <v>1011542395</v>
      </c>
      <c r="D20123">
        <v>9921.85</v>
      </c>
    </row>
    <row r="20124" spans="1:4" hidden="1" x14ac:dyDescent="0.3">
      <c r="A20124" t="s">
        <v>1113</v>
      </c>
      <c r="B20124" t="s">
        <v>17</v>
      </c>
      <c r="C20124" s="1">
        <f>HYPERLINK("https://cao.dolgi.msk.ru/account/1011540365/", 1011540365)</f>
        <v>1011540365</v>
      </c>
      <c r="D20124">
        <v>0</v>
      </c>
    </row>
    <row r="20125" spans="1:4" hidden="1" x14ac:dyDescent="0.3">
      <c r="A20125" t="s">
        <v>1113</v>
      </c>
      <c r="B20125" t="s">
        <v>18</v>
      </c>
      <c r="C20125" s="1">
        <f>HYPERLINK("https://cao.dolgi.msk.ru/account/1011540373/", 1011540373)</f>
        <v>1011540373</v>
      </c>
      <c r="D20125">
        <v>0</v>
      </c>
    </row>
    <row r="20126" spans="1:4" hidden="1" x14ac:dyDescent="0.3">
      <c r="A20126" t="s">
        <v>1113</v>
      </c>
      <c r="B20126" t="s">
        <v>19</v>
      </c>
      <c r="C20126" s="1">
        <f>HYPERLINK("https://cao.dolgi.msk.ru/account/1011540381/", 1011540381)</f>
        <v>1011540381</v>
      </c>
      <c r="D20126">
        <v>-18497.259999999998</v>
      </c>
    </row>
    <row r="20127" spans="1:4" x14ac:dyDescent="0.3">
      <c r="A20127" t="s">
        <v>1113</v>
      </c>
      <c r="B20127" t="s">
        <v>20</v>
      </c>
      <c r="C20127" s="1">
        <f>HYPERLINK("https://cao.dolgi.msk.ru/account/1011540429/", 1011540429)</f>
        <v>1011540429</v>
      </c>
      <c r="D20127">
        <v>19656.13</v>
      </c>
    </row>
    <row r="20128" spans="1:4" x14ac:dyDescent="0.3">
      <c r="A20128" t="s">
        <v>1113</v>
      </c>
      <c r="B20128" t="s">
        <v>21</v>
      </c>
      <c r="C20128" s="1">
        <f>HYPERLINK("https://cao.dolgi.msk.ru/account/1011540437/", 1011540437)</f>
        <v>1011540437</v>
      </c>
      <c r="D20128">
        <v>17279.86</v>
      </c>
    </row>
    <row r="20129" spans="1:4" hidden="1" x14ac:dyDescent="0.3">
      <c r="A20129" t="s">
        <v>1113</v>
      </c>
      <c r="B20129" t="s">
        <v>22</v>
      </c>
      <c r="C20129" s="1">
        <f>HYPERLINK("https://cao.dolgi.msk.ru/account/1011540445/", 1011540445)</f>
        <v>1011540445</v>
      </c>
      <c r="D20129">
        <v>-8012.12</v>
      </c>
    </row>
    <row r="20130" spans="1:4" x14ac:dyDescent="0.3">
      <c r="A20130" t="s">
        <v>1113</v>
      </c>
      <c r="B20130" t="s">
        <v>24</v>
      </c>
      <c r="C20130" s="1">
        <f>HYPERLINK("https://cao.dolgi.msk.ru/account/1011540453/", 1011540453)</f>
        <v>1011540453</v>
      </c>
      <c r="D20130">
        <v>49827.72</v>
      </c>
    </row>
    <row r="20131" spans="1:4" x14ac:dyDescent="0.3">
      <c r="A20131" t="s">
        <v>1113</v>
      </c>
      <c r="B20131" t="s">
        <v>25</v>
      </c>
      <c r="C20131" s="1">
        <f>HYPERLINK("https://cao.dolgi.msk.ru/account/1011540461/", 1011540461)</f>
        <v>1011540461</v>
      </c>
      <c r="D20131">
        <v>26310.89</v>
      </c>
    </row>
    <row r="20132" spans="1:4" hidden="1" x14ac:dyDescent="0.3">
      <c r="A20132" t="s">
        <v>1113</v>
      </c>
      <c r="B20132" t="s">
        <v>26</v>
      </c>
      <c r="C20132" s="1">
        <f>HYPERLINK("https://cao.dolgi.msk.ru/account/1011540488/", 1011540488)</f>
        <v>1011540488</v>
      </c>
      <c r="D20132">
        <v>-7107.34</v>
      </c>
    </row>
    <row r="20133" spans="1:4" x14ac:dyDescent="0.3">
      <c r="A20133" t="s">
        <v>1113</v>
      </c>
      <c r="B20133" t="s">
        <v>27</v>
      </c>
      <c r="C20133" s="1">
        <f>HYPERLINK("https://cao.dolgi.msk.ru/account/1011540496/", 1011540496)</f>
        <v>1011540496</v>
      </c>
      <c r="D20133">
        <v>31997.06</v>
      </c>
    </row>
    <row r="20134" spans="1:4" x14ac:dyDescent="0.3">
      <c r="A20134" t="s">
        <v>1113</v>
      </c>
      <c r="B20134" t="s">
        <v>29</v>
      </c>
      <c r="C20134" s="1">
        <f>HYPERLINK("https://cao.dolgi.msk.ru/account/1011540509/", 1011540509)</f>
        <v>1011540509</v>
      </c>
      <c r="D20134">
        <v>11664.65</v>
      </c>
    </row>
    <row r="20135" spans="1:4" hidden="1" x14ac:dyDescent="0.3">
      <c r="A20135" t="s">
        <v>1113</v>
      </c>
      <c r="B20135" t="s">
        <v>38</v>
      </c>
      <c r="C20135" s="1">
        <f>HYPERLINK("https://cao.dolgi.msk.ru/account/1011540517/", 1011540517)</f>
        <v>1011540517</v>
      </c>
      <c r="D20135">
        <v>0</v>
      </c>
    </row>
    <row r="20136" spans="1:4" x14ac:dyDescent="0.3">
      <c r="A20136" t="s">
        <v>1113</v>
      </c>
      <c r="B20136" t="s">
        <v>39</v>
      </c>
      <c r="C20136" s="1">
        <f>HYPERLINK("https://cao.dolgi.msk.ru/account/1011540525/", 1011540525)</f>
        <v>1011540525</v>
      </c>
      <c r="D20136">
        <v>12802.36</v>
      </c>
    </row>
    <row r="20137" spans="1:4" x14ac:dyDescent="0.3">
      <c r="A20137" t="s">
        <v>1113</v>
      </c>
      <c r="B20137" t="s">
        <v>40</v>
      </c>
      <c r="C20137" s="1">
        <f>HYPERLINK("https://cao.dolgi.msk.ru/account/1011540533/", 1011540533)</f>
        <v>1011540533</v>
      </c>
      <c r="D20137">
        <v>37731.68</v>
      </c>
    </row>
    <row r="20138" spans="1:4" hidden="1" x14ac:dyDescent="0.3">
      <c r="A20138" t="s">
        <v>1113</v>
      </c>
      <c r="B20138" t="s">
        <v>41</v>
      </c>
      <c r="C20138" s="1">
        <f>HYPERLINK("https://cao.dolgi.msk.ru/account/1011540541/", 1011540541)</f>
        <v>1011540541</v>
      </c>
      <c r="D20138">
        <v>-9023.9500000000007</v>
      </c>
    </row>
    <row r="20139" spans="1:4" x14ac:dyDescent="0.3">
      <c r="A20139" t="s">
        <v>1113</v>
      </c>
      <c r="B20139" t="s">
        <v>51</v>
      </c>
      <c r="C20139" s="1">
        <f>HYPERLINK("https://cao.dolgi.msk.ru/account/1011540568/", 1011540568)</f>
        <v>1011540568</v>
      </c>
      <c r="D20139">
        <v>72187.77</v>
      </c>
    </row>
    <row r="20140" spans="1:4" hidden="1" x14ac:dyDescent="0.3">
      <c r="A20140" t="s">
        <v>1113</v>
      </c>
      <c r="B20140" t="s">
        <v>52</v>
      </c>
      <c r="C20140" s="1">
        <f>HYPERLINK("https://cao.dolgi.msk.ru/account/1011540576/", 1011540576)</f>
        <v>1011540576</v>
      </c>
      <c r="D20140">
        <v>0</v>
      </c>
    </row>
    <row r="20141" spans="1:4" x14ac:dyDescent="0.3">
      <c r="A20141" t="s">
        <v>1113</v>
      </c>
      <c r="B20141" t="s">
        <v>53</v>
      </c>
      <c r="C20141" s="1">
        <f>HYPERLINK("https://cao.dolgi.msk.ru/account/1011540584/", 1011540584)</f>
        <v>1011540584</v>
      </c>
      <c r="D20141">
        <v>5290.07</v>
      </c>
    </row>
    <row r="20142" spans="1:4" x14ac:dyDescent="0.3">
      <c r="A20142" t="s">
        <v>1113</v>
      </c>
      <c r="B20142" t="s">
        <v>54</v>
      </c>
      <c r="C20142" s="1">
        <f>HYPERLINK("https://cao.dolgi.msk.ru/account/1011540592/", 1011540592)</f>
        <v>1011540592</v>
      </c>
      <c r="D20142">
        <v>38245.949999999997</v>
      </c>
    </row>
    <row r="20143" spans="1:4" hidden="1" x14ac:dyDescent="0.3">
      <c r="A20143" t="s">
        <v>1113</v>
      </c>
      <c r="B20143" t="s">
        <v>55</v>
      </c>
      <c r="C20143" s="1">
        <f>HYPERLINK("https://cao.dolgi.msk.ru/account/1011540605/", 1011540605)</f>
        <v>1011540605</v>
      </c>
      <c r="D20143">
        <v>0</v>
      </c>
    </row>
    <row r="20144" spans="1:4" x14ac:dyDescent="0.3">
      <c r="A20144" t="s">
        <v>1113</v>
      </c>
      <c r="B20144" t="s">
        <v>56</v>
      </c>
      <c r="C20144" s="1">
        <f>HYPERLINK("https://cao.dolgi.msk.ru/account/1011540621/", 1011540621)</f>
        <v>1011540621</v>
      </c>
      <c r="D20144">
        <v>32840.35</v>
      </c>
    </row>
    <row r="20145" spans="1:4" x14ac:dyDescent="0.3">
      <c r="A20145" t="s">
        <v>1113</v>
      </c>
      <c r="B20145" t="s">
        <v>87</v>
      </c>
      <c r="C20145" s="1">
        <f>HYPERLINK("https://cao.dolgi.msk.ru/account/1011540648/", 1011540648)</f>
        <v>1011540648</v>
      </c>
      <c r="D20145">
        <v>46750.75</v>
      </c>
    </row>
    <row r="20146" spans="1:4" x14ac:dyDescent="0.3">
      <c r="A20146" t="s">
        <v>1113</v>
      </c>
      <c r="B20146" t="s">
        <v>88</v>
      </c>
      <c r="C20146" s="1">
        <f>HYPERLINK("https://cao.dolgi.msk.ru/account/1011540656/", 1011540656)</f>
        <v>1011540656</v>
      </c>
      <c r="D20146">
        <v>14797.56</v>
      </c>
    </row>
    <row r="20147" spans="1:4" hidden="1" x14ac:dyDescent="0.3">
      <c r="A20147" t="s">
        <v>1113</v>
      </c>
      <c r="B20147" t="s">
        <v>89</v>
      </c>
      <c r="C20147" s="1">
        <f>HYPERLINK("https://cao.dolgi.msk.ru/account/1011540664/", 1011540664)</f>
        <v>1011540664</v>
      </c>
      <c r="D20147">
        <v>-3019.96</v>
      </c>
    </row>
    <row r="20148" spans="1:4" x14ac:dyDescent="0.3">
      <c r="A20148" t="s">
        <v>1113</v>
      </c>
      <c r="B20148" t="s">
        <v>90</v>
      </c>
      <c r="C20148" s="1">
        <f>HYPERLINK("https://cao.dolgi.msk.ru/account/1011540672/", 1011540672)</f>
        <v>1011540672</v>
      </c>
      <c r="D20148">
        <v>21852.15</v>
      </c>
    </row>
    <row r="20149" spans="1:4" hidden="1" x14ac:dyDescent="0.3">
      <c r="A20149" t="s">
        <v>1113</v>
      </c>
      <c r="B20149" t="s">
        <v>96</v>
      </c>
      <c r="C20149" s="1">
        <f>HYPERLINK("https://cao.dolgi.msk.ru/account/1011540699/", 1011540699)</f>
        <v>1011540699</v>
      </c>
      <c r="D20149">
        <v>-555.83000000000004</v>
      </c>
    </row>
    <row r="20150" spans="1:4" x14ac:dyDescent="0.3">
      <c r="A20150" t="s">
        <v>1113</v>
      </c>
      <c r="B20150" t="s">
        <v>97</v>
      </c>
      <c r="C20150" s="1">
        <f>HYPERLINK("https://cao.dolgi.msk.ru/account/1011540701/", 1011540701)</f>
        <v>1011540701</v>
      </c>
      <c r="D20150">
        <v>55974.3</v>
      </c>
    </row>
    <row r="20151" spans="1:4" hidden="1" x14ac:dyDescent="0.3">
      <c r="A20151" t="s">
        <v>1113</v>
      </c>
      <c r="B20151" t="s">
        <v>98</v>
      </c>
      <c r="C20151" s="1">
        <f>HYPERLINK("https://cao.dolgi.msk.ru/account/1011540728/", 1011540728)</f>
        <v>1011540728</v>
      </c>
      <c r="D20151">
        <v>0</v>
      </c>
    </row>
    <row r="20152" spans="1:4" x14ac:dyDescent="0.3">
      <c r="A20152" t="s">
        <v>1113</v>
      </c>
      <c r="B20152" t="s">
        <v>58</v>
      </c>
      <c r="C20152" s="1">
        <f>HYPERLINK("https://cao.dolgi.msk.ru/account/1011540736/", 1011540736)</f>
        <v>1011540736</v>
      </c>
      <c r="D20152">
        <v>30703.49</v>
      </c>
    </row>
    <row r="20153" spans="1:4" x14ac:dyDescent="0.3">
      <c r="A20153" t="s">
        <v>1113</v>
      </c>
      <c r="B20153" t="s">
        <v>59</v>
      </c>
      <c r="C20153" s="1">
        <f>HYPERLINK("https://cao.dolgi.msk.ru/account/1011540744/", 1011540744)</f>
        <v>1011540744</v>
      </c>
      <c r="D20153">
        <v>62608.05</v>
      </c>
    </row>
    <row r="20154" spans="1:4" x14ac:dyDescent="0.3">
      <c r="A20154" t="s">
        <v>1113</v>
      </c>
      <c r="B20154" t="s">
        <v>60</v>
      </c>
      <c r="C20154" s="1">
        <f>HYPERLINK("https://cao.dolgi.msk.ru/account/1011540752/", 1011540752)</f>
        <v>1011540752</v>
      </c>
      <c r="D20154">
        <v>47048.87</v>
      </c>
    </row>
    <row r="20155" spans="1:4" x14ac:dyDescent="0.3">
      <c r="A20155" t="s">
        <v>1113</v>
      </c>
      <c r="B20155" t="s">
        <v>61</v>
      </c>
      <c r="C20155" s="1">
        <f>HYPERLINK("https://cao.dolgi.msk.ru/account/1011540779/", 1011540779)</f>
        <v>1011540779</v>
      </c>
      <c r="D20155">
        <v>31269.37</v>
      </c>
    </row>
    <row r="20156" spans="1:4" hidden="1" x14ac:dyDescent="0.3">
      <c r="A20156" t="s">
        <v>1113</v>
      </c>
      <c r="B20156" t="s">
        <v>62</v>
      </c>
      <c r="C20156" s="1">
        <f>HYPERLINK("https://cao.dolgi.msk.ru/account/1011540787/", 1011540787)</f>
        <v>1011540787</v>
      </c>
      <c r="D20156">
        <v>-838.96</v>
      </c>
    </row>
    <row r="20157" spans="1:4" x14ac:dyDescent="0.3">
      <c r="A20157" t="s">
        <v>1113</v>
      </c>
      <c r="B20157" t="s">
        <v>63</v>
      </c>
      <c r="C20157" s="1">
        <f>HYPERLINK("https://cao.dolgi.msk.ru/account/1011540795/", 1011540795)</f>
        <v>1011540795</v>
      </c>
      <c r="D20157">
        <v>47747.9</v>
      </c>
    </row>
    <row r="20158" spans="1:4" x14ac:dyDescent="0.3">
      <c r="A20158" t="s">
        <v>1113</v>
      </c>
      <c r="B20158" t="s">
        <v>64</v>
      </c>
      <c r="C20158" s="1">
        <f>HYPERLINK("https://cao.dolgi.msk.ru/account/1011540808/", 1011540808)</f>
        <v>1011540808</v>
      </c>
      <c r="D20158">
        <v>12265.24</v>
      </c>
    </row>
    <row r="20159" spans="1:4" x14ac:dyDescent="0.3">
      <c r="A20159" t="s">
        <v>1113</v>
      </c>
      <c r="B20159" t="s">
        <v>65</v>
      </c>
      <c r="C20159" s="1">
        <f>HYPERLINK("https://cao.dolgi.msk.ru/account/1011540824/", 1011540824)</f>
        <v>1011540824</v>
      </c>
      <c r="D20159">
        <v>19413</v>
      </c>
    </row>
    <row r="20160" spans="1:4" x14ac:dyDescent="0.3">
      <c r="A20160" t="s">
        <v>1113</v>
      </c>
      <c r="B20160" t="s">
        <v>66</v>
      </c>
      <c r="C20160" s="1">
        <f>HYPERLINK("https://cao.dolgi.msk.ru/account/1011540832/", 1011540832)</f>
        <v>1011540832</v>
      </c>
      <c r="D20160">
        <v>41912.019999999997</v>
      </c>
    </row>
    <row r="20161" spans="1:4" x14ac:dyDescent="0.3">
      <c r="A20161" t="s">
        <v>1113</v>
      </c>
      <c r="B20161" t="s">
        <v>67</v>
      </c>
      <c r="C20161" s="1">
        <f>HYPERLINK("https://cao.dolgi.msk.ru/account/1011540867/", 1011540867)</f>
        <v>1011540867</v>
      </c>
      <c r="D20161">
        <v>24319.91</v>
      </c>
    </row>
    <row r="20162" spans="1:4" hidden="1" x14ac:dyDescent="0.3">
      <c r="A20162" t="s">
        <v>1113</v>
      </c>
      <c r="B20162" t="s">
        <v>68</v>
      </c>
      <c r="C20162" s="1">
        <f>HYPERLINK("https://cao.dolgi.msk.ru/account/1011540875/", 1011540875)</f>
        <v>1011540875</v>
      </c>
      <c r="D20162">
        <v>-8118.72</v>
      </c>
    </row>
    <row r="20163" spans="1:4" x14ac:dyDescent="0.3">
      <c r="A20163" t="s">
        <v>1113</v>
      </c>
      <c r="B20163" t="s">
        <v>69</v>
      </c>
      <c r="C20163" s="1">
        <f>HYPERLINK("https://cao.dolgi.msk.ru/account/1011540883/", 1011540883)</f>
        <v>1011540883</v>
      </c>
      <c r="D20163">
        <v>19500.61</v>
      </c>
    </row>
    <row r="20164" spans="1:4" hidden="1" x14ac:dyDescent="0.3">
      <c r="A20164" t="s">
        <v>1113</v>
      </c>
      <c r="B20164" t="s">
        <v>70</v>
      </c>
      <c r="C20164" s="1">
        <f>HYPERLINK("https://cao.dolgi.msk.ru/account/1011541851/", 1011541851)</f>
        <v>1011541851</v>
      </c>
      <c r="D20164">
        <v>-11899.24</v>
      </c>
    </row>
    <row r="20165" spans="1:4" hidden="1" x14ac:dyDescent="0.3">
      <c r="A20165" t="s">
        <v>1113</v>
      </c>
      <c r="B20165" t="s">
        <v>259</v>
      </c>
      <c r="C20165" s="1">
        <f>HYPERLINK("https://cao.dolgi.msk.ru/account/1011540904/", 1011540904)</f>
        <v>1011540904</v>
      </c>
      <c r="D20165">
        <v>0</v>
      </c>
    </row>
    <row r="20166" spans="1:4" hidden="1" x14ac:dyDescent="0.3">
      <c r="A20166" t="s">
        <v>1113</v>
      </c>
      <c r="B20166" t="s">
        <v>100</v>
      </c>
      <c r="C20166" s="1">
        <f>HYPERLINK("https://cao.dolgi.msk.ru/account/1011540912/", 1011540912)</f>
        <v>1011540912</v>
      </c>
      <c r="D20166">
        <v>0</v>
      </c>
    </row>
    <row r="20167" spans="1:4" hidden="1" x14ac:dyDescent="0.3">
      <c r="A20167" t="s">
        <v>1113</v>
      </c>
      <c r="B20167" t="s">
        <v>72</v>
      </c>
      <c r="C20167" s="1">
        <f>HYPERLINK("https://cao.dolgi.msk.ru/account/1011540939/", 1011540939)</f>
        <v>1011540939</v>
      </c>
      <c r="D20167">
        <v>-29282.68</v>
      </c>
    </row>
    <row r="20168" spans="1:4" x14ac:dyDescent="0.3">
      <c r="A20168" t="s">
        <v>1113</v>
      </c>
      <c r="B20168" t="s">
        <v>73</v>
      </c>
      <c r="C20168" s="1">
        <f>HYPERLINK("https://cao.dolgi.msk.ru/account/1011540963/", 1011540963)</f>
        <v>1011540963</v>
      </c>
      <c r="D20168">
        <v>11673.61</v>
      </c>
    </row>
    <row r="20169" spans="1:4" hidden="1" x14ac:dyDescent="0.3">
      <c r="A20169" t="s">
        <v>1113</v>
      </c>
      <c r="B20169" t="s">
        <v>74</v>
      </c>
      <c r="C20169" s="1">
        <f>HYPERLINK("https://cao.dolgi.msk.ru/account/1011540971/", 1011540971)</f>
        <v>1011540971</v>
      </c>
      <c r="D20169">
        <v>-3711.31</v>
      </c>
    </row>
    <row r="20170" spans="1:4" hidden="1" x14ac:dyDescent="0.3">
      <c r="A20170" t="s">
        <v>1113</v>
      </c>
      <c r="B20170" t="s">
        <v>75</v>
      </c>
      <c r="C20170" s="1">
        <f>HYPERLINK("https://cao.dolgi.msk.ru/account/1011540998/", 1011540998)</f>
        <v>1011540998</v>
      </c>
      <c r="D20170">
        <v>0</v>
      </c>
    </row>
    <row r="20171" spans="1:4" hidden="1" x14ac:dyDescent="0.3">
      <c r="A20171" t="s">
        <v>1113</v>
      </c>
      <c r="B20171" t="s">
        <v>76</v>
      </c>
      <c r="C20171" s="1">
        <f>HYPERLINK("https://cao.dolgi.msk.ru/account/1011541018/", 1011541018)</f>
        <v>1011541018</v>
      </c>
      <c r="D20171">
        <v>-2765.13</v>
      </c>
    </row>
    <row r="20172" spans="1:4" x14ac:dyDescent="0.3">
      <c r="A20172" t="s">
        <v>1113</v>
      </c>
      <c r="B20172" t="s">
        <v>79</v>
      </c>
      <c r="C20172" s="1">
        <f>HYPERLINK("https://cao.dolgi.msk.ru/account/1011541026/", 1011541026)</f>
        <v>1011541026</v>
      </c>
      <c r="D20172">
        <v>15650.22</v>
      </c>
    </row>
    <row r="20173" spans="1:4" x14ac:dyDescent="0.3">
      <c r="A20173" t="s">
        <v>1113</v>
      </c>
      <c r="B20173" t="s">
        <v>101</v>
      </c>
      <c r="C20173" s="1">
        <f>HYPERLINK("https://cao.dolgi.msk.ru/account/1011540162/", 1011540162)</f>
        <v>1011540162</v>
      </c>
      <c r="D20173">
        <v>34142.11</v>
      </c>
    </row>
    <row r="20174" spans="1:4" x14ac:dyDescent="0.3">
      <c r="A20174" t="s">
        <v>1113</v>
      </c>
      <c r="B20174" t="s">
        <v>82</v>
      </c>
      <c r="C20174" s="1">
        <f>HYPERLINK("https://cao.dolgi.msk.ru/account/1011541085/", 1011541085)</f>
        <v>1011541085</v>
      </c>
      <c r="D20174">
        <v>14053.79</v>
      </c>
    </row>
    <row r="20175" spans="1:4" x14ac:dyDescent="0.3">
      <c r="A20175" t="s">
        <v>1113</v>
      </c>
      <c r="B20175" t="s">
        <v>84</v>
      </c>
      <c r="C20175" s="1">
        <f>HYPERLINK("https://cao.dolgi.msk.ru/account/1011541093/", 1011541093)</f>
        <v>1011541093</v>
      </c>
      <c r="D20175">
        <v>19738.490000000002</v>
      </c>
    </row>
    <row r="20176" spans="1:4" x14ac:dyDescent="0.3">
      <c r="A20176" t="s">
        <v>1113</v>
      </c>
      <c r="B20176" t="s">
        <v>85</v>
      </c>
      <c r="C20176" s="1">
        <f>HYPERLINK("https://cao.dolgi.msk.ru/account/1011541106/", 1011541106)</f>
        <v>1011541106</v>
      </c>
      <c r="D20176">
        <v>18092.71</v>
      </c>
    </row>
    <row r="20177" spans="1:4" x14ac:dyDescent="0.3">
      <c r="A20177" t="s">
        <v>1113</v>
      </c>
      <c r="B20177" t="s">
        <v>102</v>
      </c>
      <c r="C20177" s="1">
        <f>HYPERLINK("https://cao.dolgi.msk.ru/account/1011541114/", 1011541114)</f>
        <v>1011541114</v>
      </c>
      <c r="D20177">
        <v>26246.73</v>
      </c>
    </row>
    <row r="20178" spans="1:4" x14ac:dyDescent="0.3">
      <c r="A20178" t="s">
        <v>1113</v>
      </c>
      <c r="B20178" t="s">
        <v>103</v>
      </c>
      <c r="C20178" s="1">
        <f>HYPERLINK("https://cao.dolgi.msk.ru/account/1011541122/", 1011541122)</f>
        <v>1011541122</v>
      </c>
      <c r="D20178">
        <v>18001.48</v>
      </c>
    </row>
    <row r="20179" spans="1:4" x14ac:dyDescent="0.3">
      <c r="A20179" t="s">
        <v>1113</v>
      </c>
      <c r="B20179" t="s">
        <v>104</v>
      </c>
      <c r="C20179" s="1">
        <f>HYPERLINK("https://cao.dolgi.msk.ru/account/1011541149/", 1011541149)</f>
        <v>1011541149</v>
      </c>
      <c r="D20179">
        <v>39324.42</v>
      </c>
    </row>
    <row r="20180" spans="1:4" x14ac:dyDescent="0.3">
      <c r="A20180" t="s">
        <v>1113</v>
      </c>
      <c r="B20180" t="s">
        <v>105</v>
      </c>
      <c r="C20180" s="1">
        <f>HYPERLINK("https://cao.dolgi.msk.ru/account/1011541157/", 1011541157)</f>
        <v>1011541157</v>
      </c>
      <c r="D20180">
        <v>14335.97</v>
      </c>
    </row>
    <row r="20181" spans="1:4" x14ac:dyDescent="0.3">
      <c r="A20181" t="s">
        <v>1114</v>
      </c>
      <c r="B20181" t="s">
        <v>6</v>
      </c>
      <c r="C20181" s="1">
        <f>HYPERLINK("https://cao.dolgi.msk.ru/account/1011446555/", 1011446555)</f>
        <v>1011446555</v>
      </c>
      <c r="D20181">
        <v>118635.29</v>
      </c>
    </row>
    <row r="20182" spans="1:4" hidden="1" x14ac:dyDescent="0.3">
      <c r="A20182" t="s">
        <v>1114</v>
      </c>
      <c r="B20182" t="s">
        <v>28</v>
      </c>
      <c r="C20182" s="1">
        <f>HYPERLINK("https://cao.dolgi.msk.ru/account/1011446395/", 1011446395)</f>
        <v>1011446395</v>
      </c>
      <c r="D20182">
        <v>0</v>
      </c>
    </row>
    <row r="20183" spans="1:4" hidden="1" x14ac:dyDescent="0.3">
      <c r="A20183" t="s">
        <v>1114</v>
      </c>
      <c r="B20183" t="s">
        <v>35</v>
      </c>
      <c r="C20183" s="1">
        <f>HYPERLINK("https://cao.dolgi.msk.ru/account/1011446205/", 1011446205)</f>
        <v>1011446205</v>
      </c>
      <c r="D20183">
        <v>-170.39</v>
      </c>
    </row>
    <row r="20184" spans="1:4" hidden="1" x14ac:dyDescent="0.3">
      <c r="A20184" t="s">
        <v>1114</v>
      </c>
      <c r="B20184" t="s">
        <v>5</v>
      </c>
      <c r="C20184" s="1">
        <f>HYPERLINK("https://cao.dolgi.msk.ru/account/1011446352/", 1011446352)</f>
        <v>1011446352</v>
      </c>
      <c r="D20184">
        <v>0</v>
      </c>
    </row>
    <row r="20185" spans="1:4" hidden="1" x14ac:dyDescent="0.3">
      <c r="A20185" t="s">
        <v>1114</v>
      </c>
      <c r="B20185" t="s">
        <v>7</v>
      </c>
      <c r="C20185" s="1">
        <f>HYPERLINK("https://cao.dolgi.msk.ru/account/1011445923/", 1011445923)</f>
        <v>1011445923</v>
      </c>
      <c r="D20185">
        <v>-3942.76</v>
      </c>
    </row>
    <row r="20186" spans="1:4" hidden="1" x14ac:dyDescent="0.3">
      <c r="A20186" t="s">
        <v>1114</v>
      </c>
      <c r="B20186" t="s">
        <v>8</v>
      </c>
      <c r="C20186" s="1">
        <f>HYPERLINK("https://cao.dolgi.msk.ru/account/1011446408/", 1011446408)</f>
        <v>1011446408</v>
      </c>
      <c r="D20186">
        <v>0</v>
      </c>
    </row>
    <row r="20187" spans="1:4" hidden="1" x14ac:dyDescent="0.3">
      <c r="A20187" t="s">
        <v>1114</v>
      </c>
      <c r="B20187" t="s">
        <v>31</v>
      </c>
      <c r="C20187" s="1">
        <f>HYPERLINK("https://cao.dolgi.msk.ru/account/1011445958/", 1011445958)</f>
        <v>1011445958</v>
      </c>
      <c r="D20187">
        <v>-4706.83</v>
      </c>
    </row>
    <row r="20188" spans="1:4" hidden="1" x14ac:dyDescent="0.3">
      <c r="A20188" t="s">
        <v>1114</v>
      </c>
      <c r="B20188" t="s">
        <v>9</v>
      </c>
      <c r="C20188" s="1">
        <f>HYPERLINK("https://cao.dolgi.msk.ru/account/1011446053/", 1011446053)</f>
        <v>1011446053</v>
      </c>
      <c r="D20188">
        <v>0</v>
      </c>
    </row>
    <row r="20189" spans="1:4" x14ac:dyDescent="0.3">
      <c r="A20189" t="s">
        <v>1114</v>
      </c>
      <c r="B20189" t="s">
        <v>10</v>
      </c>
      <c r="C20189" s="1">
        <f>HYPERLINK("https://cao.dolgi.msk.ru/account/1011445894/", 1011445894)</f>
        <v>1011445894</v>
      </c>
      <c r="D20189">
        <v>9093.18</v>
      </c>
    </row>
    <row r="20190" spans="1:4" hidden="1" x14ac:dyDescent="0.3">
      <c r="A20190" t="s">
        <v>1114</v>
      </c>
      <c r="B20190" t="s">
        <v>11</v>
      </c>
      <c r="C20190" s="1">
        <f>HYPERLINK("https://cao.dolgi.msk.ru/account/1011446125/", 1011446125)</f>
        <v>1011446125</v>
      </c>
      <c r="D20190">
        <v>0</v>
      </c>
    </row>
    <row r="20191" spans="1:4" x14ac:dyDescent="0.3">
      <c r="A20191" t="s">
        <v>1114</v>
      </c>
      <c r="B20191" t="s">
        <v>12</v>
      </c>
      <c r="C20191" s="1">
        <f>HYPERLINK("https://cao.dolgi.msk.ru/account/1011446424/", 1011446424)</f>
        <v>1011446424</v>
      </c>
      <c r="D20191">
        <v>5729.84</v>
      </c>
    </row>
    <row r="20192" spans="1:4" hidden="1" x14ac:dyDescent="0.3">
      <c r="A20192" t="s">
        <v>1114</v>
      </c>
      <c r="B20192" t="s">
        <v>23</v>
      </c>
      <c r="C20192" s="1">
        <f>HYPERLINK("https://cao.dolgi.msk.ru/account/1011446117/", 1011446117)</f>
        <v>1011446117</v>
      </c>
      <c r="D20192">
        <v>-1785.22</v>
      </c>
    </row>
    <row r="20193" spans="1:4" hidden="1" x14ac:dyDescent="0.3">
      <c r="A20193" t="s">
        <v>1114</v>
      </c>
      <c r="B20193" t="s">
        <v>13</v>
      </c>
      <c r="C20193" s="1">
        <f>HYPERLINK("https://cao.dolgi.msk.ru/account/1011446264/", 1011446264)</f>
        <v>1011446264</v>
      </c>
      <c r="D20193">
        <v>0</v>
      </c>
    </row>
    <row r="20194" spans="1:4" hidden="1" x14ac:dyDescent="0.3">
      <c r="A20194" t="s">
        <v>1114</v>
      </c>
      <c r="B20194" t="s">
        <v>14</v>
      </c>
      <c r="C20194" s="1">
        <f>HYPERLINK("https://cao.dolgi.msk.ru/account/1011446176/", 1011446176)</f>
        <v>1011446176</v>
      </c>
      <c r="D20194">
        <v>0</v>
      </c>
    </row>
    <row r="20195" spans="1:4" hidden="1" x14ac:dyDescent="0.3">
      <c r="A20195" t="s">
        <v>1114</v>
      </c>
      <c r="B20195" t="s">
        <v>16</v>
      </c>
      <c r="C20195" s="1">
        <f>HYPERLINK("https://cao.dolgi.msk.ru/account/1011446221/", 1011446221)</f>
        <v>1011446221</v>
      </c>
      <c r="D20195">
        <v>0</v>
      </c>
    </row>
    <row r="20196" spans="1:4" hidden="1" x14ac:dyDescent="0.3">
      <c r="A20196" t="s">
        <v>1114</v>
      </c>
      <c r="B20196" t="s">
        <v>17</v>
      </c>
      <c r="C20196" s="1">
        <f>HYPERLINK("https://cao.dolgi.msk.ru/account/1011445798/", 1011445798)</f>
        <v>1011445798</v>
      </c>
      <c r="D20196">
        <v>0</v>
      </c>
    </row>
    <row r="20197" spans="1:4" hidden="1" x14ac:dyDescent="0.3">
      <c r="A20197" t="s">
        <v>1114</v>
      </c>
      <c r="B20197" t="s">
        <v>18</v>
      </c>
      <c r="C20197" s="1">
        <f>HYPERLINK("https://cao.dolgi.msk.ru/account/1011446213/", 1011446213)</f>
        <v>1011446213</v>
      </c>
      <c r="D20197">
        <v>-2591.94</v>
      </c>
    </row>
    <row r="20198" spans="1:4" hidden="1" x14ac:dyDescent="0.3">
      <c r="A20198" t="s">
        <v>1114</v>
      </c>
      <c r="B20198" t="s">
        <v>19</v>
      </c>
      <c r="C20198" s="1">
        <f>HYPERLINK("https://cao.dolgi.msk.ru/account/1011446088/", 1011446088)</f>
        <v>1011446088</v>
      </c>
      <c r="D20198">
        <v>-6467.15</v>
      </c>
    </row>
    <row r="20199" spans="1:4" hidden="1" x14ac:dyDescent="0.3">
      <c r="A20199" t="s">
        <v>1114</v>
      </c>
      <c r="B20199" t="s">
        <v>20</v>
      </c>
      <c r="C20199" s="1">
        <f>HYPERLINK("https://cao.dolgi.msk.ru/account/1011446272/", 1011446272)</f>
        <v>1011446272</v>
      </c>
      <c r="D20199">
        <v>0</v>
      </c>
    </row>
    <row r="20200" spans="1:4" hidden="1" x14ac:dyDescent="0.3">
      <c r="A20200" t="s">
        <v>1114</v>
      </c>
      <c r="B20200" t="s">
        <v>21</v>
      </c>
      <c r="C20200" s="1">
        <f>HYPERLINK("https://cao.dolgi.msk.ru/account/1011446184/", 1011446184)</f>
        <v>1011446184</v>
      </c>
      <c r="D20200">
        <v>0</v>
      </c>
    </row>
    <row r="20201" spans="1:4" hidden="1" x14ac:dyDescent="0.3">
      <c r="A20201" t="s">
        <v>1114</v>
      </c>
      <c r="B20201" t="s">
        <v>21</v>
      </c>
      <c r="C20201" s="1">
        <f>HYPERLINK("https://cao.dolgi.msk.ru/account/1011446539/", 1011446539)</f>
        <v>1011446539</v>
      </c>
      <c r="D20201">
        <v>0</v>
      </c>
    </row>
    <row r="20202" spans="1:4" hidden="1" x14ac:dyDescent="0.3">
      <c r="A20202" t="s">
        <v>1114</v>
      </c>
      <c r="B20202" t="s">
        <v>22</v>
      </c>
      <c r="C20202" s="1">
        <f>HYPERLINK("https://cao.dolgi.msk.ru/account/1011446432/", 1011446432)</f>
        <v>1011446432</v>
      </c>
      <c r="D20202">
        <v>0</v>
      </c>
    </row>
    <row r="20203" spans="1:4" hidden="1" x14ac:dyDescent="0.3">
      <c r="A20203" t="s">
        <v>1114</v>
      </c>
      <c r="B20203" t="s">
        <v>24</v>
      </c>
      <c r="C20203" s="1">
        <f>HYPERLINK("https://cao.dolgi.msk.ru/account/1011445835/", 1011445835)</f>
        <v>1011445835</v>
      </c>
      <c r="D20203">
        <v>0</v>
      </c>
    </row>
    <row r="20204" spans="1:4" hidden="1" x14ac:dyDescent="0.3">
      <c r="A20204" t="s">
        <v>1114</v>
      </c>
      <c r="B20204" t="s">
        <v>25</v>
      </c>
      <c r="C20204" s="1">
        <f>HYPERLINK("https://cao.dolgi.msk.ru/account/1011446379/", 1011446379)</f>
        <v>1011446379</v>
      </c>
      <c r="D20204">
        <v>0</v>
      </c>
    </row>
    <row r="20205" spans="1:4" hidden="1" x14ac:dyDescent="0.3">
      <c r="A20205" t="s">
        <v>1114</v>
      </c>
      <c r="B20205" t="s">
        <v>26</v>
      </c>
      <c r="C20205" s="1">
        <f>HYPERLINK("https://cao.dolgi.msk.ru/account/1011539209/", 1011539209)</f>
        <v>1011539209</v>
      </c>
      <c r="D20205">
        <v>0</v>
      </c>
    </row>
    <row r="20206" spans="1:4" hidden="1" x14ac:dyDescent="0.3">
      <c r="A20206" t="s">
        <v>1114</v>
      </c>
      <c r="B20206" t="s">
        <v>27</v>
      </c>
      <c r="C20206" s="1">
        <f>HYPERLINK("https://cao.dolgi.msk.ru/account/1011445982/", 1011445982)</f>
        <v>1011445982</v>
      </c>
      <c r="D20206">
        <v>-3778.49</v>
      </c>
    </row>
    <row r="20207" spans="1:4" x14ac:dyDescent="0.3">
      <c r="A20207" t="s">
        <v>1114</v>
      </c>
      <c r="B20207" t="s">
        <v>29</v>
      </c>
      <c r="C20207" s="1">
        <f>HYPERLINK("https://cao.dolgi.msk.ru/account/1011446459/", 1011446459)</f>
        <v>1011446459</v>
      </c>
      <c r="D20207">
        <v>5845.05</v>
      </c>
    </row>
    <row r="20208" spans="1:4" hidden="1" x14ac:dyDescent="0.3">
      <c r="A20208" t="s">
        <v>1114</v>
      </c>
      <c r="B20208" t="s">
        <v>38</v>
      </c>
      <c r="C20208" s="1">
        <f>HYPERLINK("https://cao.dolgi.msk.ru/account/1011445931/", 1011445931)</f>
        <v>1011445931</v>
      </c>
      <c r="D20208">
        <v>0</v>
      </c>
    </row>
    <row r="20209" spans="1:4" hidden="1" x14ac:dyDescent="0.3">
      <c r="A20209" t="s">
        <v>1114</v>
      </c>
      <c r="B20209" t="s">
        <v>38</v>
      </c>
      <c r="C20209" s="1">
        <f>HYPERLINK("https://cao.dolgi.msk.ru/account/1011445966/", 1011445966)</f>
        <v>1011445966</v>
      </c>
      <c r="D20209">
        <v>0</v>
      </c>
    </row>
    <row r="20210" spans="1:4" hidden="1" x14ac:dyDescent="0.3">
      <c r="A20210" t="s">
        <v>1114</v>
      </c>
      <c r="B20210" t="s">
        <v>39</v>
      </c>
      <c r="C20210" s="1">
        <f>HYPERLINK("https://cao.dolgi.msk.ru/account/1011446467/", 1011446467)</f>
        <v>1011446467</v>
      </c>
      <c r="D20210">
        <v>-4275.45</v>
      </c>
    </row>
    <row r="20211" spans="1:4" hidden="1" x14ac:dyDescent="0.3">
      <c r="A20211" t="s">
        <v>1114</v>
      </c>
      <c r="B20211" t="s">
        <v>40</v>
      </c>
      <c r="C20211" s="1">
        <f>HYPERLINK("https://cao.dolgi.msk.ru/account/1011445683/", 1011445683)</f>
        <v>1011445683</v>
      </c>
      <c r="D20211">
        <v>0</v>
      </c>
    </row>
    <row r="20212" spans="1:4" hidden="1" x14ac:dyDescent="0.3">
      <c r="A20212" t="s">
        <v>1114</v>
      </c>
      <c r="B20212" t="s">
        <v>41</v>
      </c>
      <c r="C20212" s="1">
        <f>HYPERLINK("https://cao.dolgi.msk.ru/account/1011446475/", 1011446475)</f>
        <v>1011446475</v>
      </c>
      <c r="D20212">
        <v>0</v>
      </c>
    </row>
    <row r="20213" spans="1:4" hidden="1" x14ac:dyDescent="0.3">
      <c r="A20213" t="s">
        <v>1114</v>
      </c>
      <c r="B20213" t="s">
        <v>51</v>
      </c>
      <c r="C20213" s="1">
        <f>HYPERLINK("https://cao.dolgi.msk.ru/account/1011445747/", 1011445747)</f>
        <v>1011445747</v>
      </c>
      <c r="D20213">
        <v>0</v>
      </c>
    </row>
    <row r="20214" spans="1:4" hidden="1" x14ac:dyDescent="0.3">
      <c r="A20214" t="s">
        <v>1114</v>
      </c>
      <c r="B20214" t="s">
        <v>52</v>
      </c>
      <c r="C20214" s="1">
        <f>HYPERLINK("https://cao.dolgi.msk.ru/account/1011446328/", 1011446328)</f>
        <v>1011446328</v>
      </c>
      <c r="D20214">
        <v>-530.96</v>
      </c>
    </row>
    <row r="20215" spans="1:4" hidden="1" x14ac:dyDescent="0.3">
      <c r="A20215" t="s">
        <v>1114</v>
      </c>
      <c r="B20215" t="s">
        <v>53</v>
      </c>
      <c r="C20215" s="1">
        <f>HYPERLINK("https://cao.dolgi.msk.ru/account/1011446133/", 1011446133)</f>
        <v>1011446133</v>
      </c>
      <c r="D20215">
        <v>-41.18</v>
      </c>
    </row>
    <row r="20216" spans="1:4" hidden="1" x14ac:dyDescent="0.3">
      <c r="A20216" t="s">
        <v>1114</v>
      </c>
      <c r="B20216" t="s">
        <v>54</v>
      </c>
      <c r="C20216" s="1">
        <f>HYPERLINK("https://cao.dolgi.msk.ru/account/1011446299/", 1011446299)</f>
        <v>1011446299</v>
      </c>
      <c r="D20216">
        <v>0</v>
      </c>
    </row>
    <row r="20217" spans="1:4" hidden="1" x14ac:dyDescent="0.3">
      <c r="A20217" t="s">
        <v>1114</v>
      </c>
      <c r="B20217" t="s">
        <v>55</v>
      </c>
      <c r="C20217" s="1">
        <f>HYPERLINK("https://cao.dolgi.msk.ru/account/1011445907/", 1011445907)</f>
        <v>1011445907</v>
      </c>
      <c r="D20217">
        <v>0</v>
      </c>
    </row>
    <row r="20218" spans="1:4" hidden="1" x14ac:dyDescent="0.3">
      <c r="A20218" t="s">
        <v>1114</v>
      </c>
      <c r="B20218" t="s">
        <v>56</v>
      </c>
      <c r="C20218" s="1">
        <f>HYPERLINK("https://cao.dolgi.msk.ru/account/1011446483/", 1011446483)</f>
        <v>1011446483</v>
      </c>
      <c r="D20218">
        <v>-169.99</v>
      </c>
    </row>
    <row r="20219" spans="1:4" hidden="1" x14ac:dyDescent="0.3">
      <c r="A20219" t="s">
        <v>1114</v>
      </c>
      <c r="B20219" t="s">
        <v>87</v>
      </c>
      <c r="C20219" s="1">
        <f>HYPERLINK("https://cao.dolgi.msk.ru/account/1011446096/", 1011446096)</f>
        <v>1011446096</v>
      </c>
      <c r="D20219">
        <v>0</v>
      </c>
    </row>
    <row r="20220" spans="1:4" hidden="1" x14ac:dyDescent="0.3">
      <c r="A20220" t="s">
        <v>1114</v>
      </c>
      <c r="B20220" t="s">
        <v>88</v>
      </c>
      <c r="C20220" s="1">
        <f>HYPERLINK("https://cao.dolgi.msk.ru/account/1011445691/", 1011445691)</f>
        <v>1011445691</v>
      </c>
      <c r="D20220">
        <v>0</v>
      </c>
    </row>
    <row r="20221" spans="1:4" hidden="1" x14ac:dyDescent="0.3">
      <c r="A20221" t="s">
        <v>1114</v>
      </c>
      <c r="B20221" t="s">
        <v>89</v>
      </c>
      <c r="C20221" s="1">
        <f>HYPERLINK("https://cao.dolgi.msk.ru/account/1011446344/", 1011446344)</f>
        <v>1011446344</v>
      </c>
      <c r="D20221">
        <v>0</v>
      </c>
    </row>
    <row r="20222" spans="1:4" x14ac:dyDescent="0.3">
      <c r="A20222" t="s">
        <v>1114</v>
      </c>
      <c r="B20222" t="s">
        <v>90</v>
      </c>
      <c r="C20222" s="1">
        <f>HYPERLINK("https://cao.dolgi.msk.ru/account/1011445915/", 1011445915)</f>
        <v>1011445915</v>
      </c>
      <c r="D20222">
        <v>15447.19</v>
      </c>
    </row>
    <row r="20223" spans="1:4" hidden="1" x14ac:dyDescent="0.3">
      <c r="A20223" t="s">
        <v>1114</v>
      </c>
      <c r="B20223" t="s">
        <v>96</v>
      </c>
      <c r="C20223" s="1">
        <f>HYPERLINK("https://cao.dolgi.msk.ru/account/1011446248/", 1011446248)</f>
        <v>1011446248</v>
      </c>
      <c r="D20223">
        <v>-391.53</v>
      </c>
    </row>
    <row r="20224" spans="1:4" x14ac:dyDescent="0.3">
      <c r="A20224" t="s">
        <v>1114</v>
      </c>
      <c r="B20224" t="s">
        <v>97</v>
      </c>
      <c r="C20224" s="1">
        <f>HYPERLINK("https://cao.dolgi.msk.ru/account/1011445819/", 1011445819)</f>
        <v>1011445819</v>
      </c>
      <c r="D20224">
        <v>6622.06</v>
      </c>
    </row>
    <row r="20225" spans="1:4" hidden="1" x14ac:dyDescent="0.3">
      <c r="A20225" t="s">
        <v>1114</v>
      </c>
      <c r="B20225" t="s">
        <v>98</v>
      </c>
      <c r="C20225" s="1">
        <f>HYPERLINK("https://cao.dolgi.msk.ru/account/1011446061/", 1011446061)</f>
        <v>1011446061</v>
      </c>
      <c r="D20225">
        <v>0</v>
      </c>
    </row>
    <row r="20226" spans="1:4" x14ac:dyDescent="0.3">
      <c r="A20226" t="s">
        <v>1114</v>
      </c>
      <c r="B20226" t="s">
        <v>58</v>
      </c>
      <c r="C20226" s="1">
        <f>HYPERLINK("https://cao.dolgi.msk.ru/account/1011446256/", 1011446256)</f>
        <v>1011446256</v>
      </c>
      <c r="D20226">
        <v>72555.960000000006</v>
      </c>
    </row>
    <row r="20227" spans="1:4" hidden="1" x14ac:dyDescent="0.3">
      <c r="A20227" t="s">
        <v>1114</v>
      </c>
      <c r="B20227" t="s">
        <v>59</v>
      </c>
      <c r="C20227" s="1">
        <f>HYPERLINK("https://cao.dolgi.msk.ru/account/1011445755/", 1011445755)</f>
        <v>1011445755</v>
      </c>
      <c r="D20227">
        <v>0</v>
      </c>
    </row>
    <row r="20228" spans="1:4" hidden="1" x14ac:dyDescent="0.3">
      <c r="A20228" t="s">
        <v>1114</v>
      </c>
      <c r="B20228" t="s">
        <v>60</v>
      </c>
      <c r="C20228" s="1">
        <f>HYPERLINK("https://cao.dolgi.msk.ru/account/1011446029/", 1011446029)</f>
        <v>1011446029</v>
      </c>
      <c r="D20228">
        <v>-41.18</v>
      </c>
    </row>
    <row r="20229" spans="1:4" hidden="1" x14ac:dyDescent="0.3">
      <c r="A20229" t="s">
        <v>1114</v>
      </c>
      <c r="B20229" t="s">
        <v>61</v>
      </c>
      <c r="C20229" s="1">
        <f>HYPERLINK("https://cao.dolgi.msk.ru/account/1011446037/", 1011446037)</f>
        <v>1011446037</v>
      </c>
      <c r="D20229">
        <v>0</v>
      </c>
    </row>
    <row r="20230" spans="1:4" hidden="1" x14ac:dyDescent="0.3">
      <c r="A20230" t="s">
        <v>1114</v>
      </c>
      <c r="B20230" t="s">
        <v>62</v>
      </c>
      <c r="C20230" s="1">
        <f>HYPERLINK("https://cao.dolgi.msk.ru/account/1011445974/", 1011445974)</f>
        <v>1011445974</v>
      </c>
      <c r="D20230">
        <v>-719.23</v>
      </c>
    </row>
    <row r="20231" spans="1:4" hidden="1" x14ac:dyDescent="0.3">
      <c r="A20231" t="s">
        <v>1114</v>
      </c>
      <c r="B20231" t="s">
        <v>63</v>
      </c>
      <c r="C20231" s="1">
        <f>HYPERLINK("https://cao.dolgi.msk.ru/account/1011445712/", 1011445712)</f>
        <v>1011445712</v>
      </c>
      <c r="D20231">
        <v>0</v>
      </c>
    </row>
    <row r="20232" spans="1:4" hidden="1" x14ac:dyDescent="0.3">
      <c r="A20232" t="s">
        <v>1114</v>
      </c>
      <c r="B20232" t="s">
        <v>64</v>
      </c>
      <c r="C20232" s="1">
        <f>HYPERLINK("https://cao.dolgi.msk.ru/account/1011445843/", 1011445843)</f>
        <v>1011445843</v>
      </c>
      <c r="D20232">
        <v>-41.18</v>
      </c>
    </row>
    <row r="20233" spans="1:4" hidden="1" x14ac:dyDescent="0.3">
      <c r="A20233" t="s">
        <v>1114</v>
      </c>
      <c r="B20233" t="s">
        <v>65</v>
      </c>
      <c r="C20233" s="1">
        <f>HYPERLINK("https://cao.dolgi.msk.ru/account/1011445851/", 1011445851)</f>
        <v>1011445851</v>
      </c>
      <c r="D20233">
        <v>0</v>
      </c>
    </row>
    <row r="20234" spans="1:4" hidden="1" x14ac:dyDescent="0.3">
      <c r="A20234" t="s">
        <v>1114</v>
      </c>
      <c r="B20234" t="s">
        <v>66</v>
      </c>
      <c r="C20234" s="1">
        <f>HYPERLINK("https://cao.dolgi.msk.ru/account/1011445739/", 1011445739)</f>
        <v>1011445739</v>
      </c>
      <c r="D20234">
        <v>0</v>
      </c>
    </row>
    <row r="20235" spans="1:4" hidden="1" x14ac:dyDescent="0.3">
      <c r="A20235" t="s">
        <v>1114</v>
      </c>
      <c r="B20235" t="s">
        <v>67</v>
      </c>
      <c r="C20235" s="1">
        <f>HYPERLINK("https://cao.dolgi.msk.ru/account/1011445771/", 1011445771)</f>
        <v>1011445771</v>
      </c>
      <c r="D20235">
        <v>-2785.99</v>
      </c>
    </row>
    <row r="20236" spans="1:4" hidden="1" x14ac:dyDescent="0.3">
      <c r="A20236" t="s">
        <v>1114</v>
      </c>
      <c r="B20236" t="s">
        <v>68</v>
      </c>
      <c r="C20236" s="1">
        <f>HYPERLINK("https://cao.dolgi.msk.ru/account/1011446504/", 1011446504)</f>
        <v>1011446504</v>
      </c>
      <c r="D20236">
        <v>0</v>
      </c>
    </row>
    <row r="20237" spans="1:4" x14ac:dyDescent="0.3">
      <c r="A20237" t="s">
        <v>1114</v>
      </c>
      <c r="B20237" t="s">
        <v>69</v>
      </c>
      <c r="C20237" s="1">
        <f>HYPERLINK("https://cao.dolgi.msk.ru/account/1011446192/", 1011446192)</f>
        <v>1011446192</v>
      </c>
      <c r="D20237">
        <v>4790.18</v>
      </c>
    </row>
    <row r="20238" spans="1:4" hidden="1" x14ac:dyDescent="0.3">
      <c r="A20238" t="s">
        <v>1114</v>
      </c>
      <c r="B20238" t="s">
        <v>70</v>
      </c>
      <c r="C20238" s="1">
        <f>HYPERLINK("https://cao.dolgi.msk.ru/account/1011446387/", 1011446387)</f>
        <v>1011446387</v>
      </c>
      <c r="D20238">
        <v>0</v>
      </c>
    </row>
    <row r="20239" spans="1:4" x14ac:dyDescent="0.3">
      <c r="A20239" t="s">
        <v>1114</v>
      </c>
      <c r="B20239" t="s">
        <v>259</v>
      </c>
      <c r="C20239" s="1">
        <f>HYPERLINK("https://cao.dolgi.msk.ru/account/1011445704/", 1011445704)</f>
        <v>1011445704</v>
      </c>
      <c r="D20239">
        <v>34579.660000000003</v>
      </c>
    </row>
    <row r="20240" spans="1:4" hidden="1" x14ac:dyDescent="0.3">
      <c r="A20240" t="s">
        <v>1114</v>
      </c>
      <c r="B20240" t="s">
        <v>100</v>
      </c>
      <c r="C20240" s="1">
        <f>HYPERLINK("https://cao.dolgi.msk.ru/account/1011446547/", 1011446547)</f>
        <v>1011446547</v>
      </c>
      <c r="D20240">
        <v>-6712.76</v>
      </c>
    </row>
    <row r="20241" spans="1:4" hidden="1" x14ac:dyDescent="0.3">
      <c r="A20241" t="s">
        <v>1114</v>
      </c>
      <c r="B20241" t="s">
        <v>72</v>
      </c>
      <c r="C20241" s="1">
        <f>HYPERLINK("https://cao.dolgi.msk.ru/account/1011446491/", 1011446491)</f>
        <v>1011446491</v>
      </c>
      <c r="D20241">
        <v>0</v>
      </c>
    </row>
    <row r="20242" spans="1:4" hidden="1" x14ac:dyDescent="0.3">
      <c r="A20242" t="s">
        <v>1114</v>
      </c>
      <c r="B20242" t="s">
        <v>73</v>
      </c>
      <c r="C20242" s="1">
        <f>HYPERLINK("https://cao.dolgi.msk.ru/account/1011445763/", 1011445763)</f>
        <v>1011445763</v>
      </c>
      <c r="D20242">
        <v>-5305.6</v>
      </c>
    </row>
    <row r="20243" spans="1:4" hidden="1" x14ac:dyDescent="0.3">
      <c r="A20243" t="s">
        <v>1114</v>
      </c>
      <c r="B20243" t="s">
        <v>74</v>
      </c>
      <c r="C20243" s="1">
        <f>HYPERLINK("https://cao.dolgi.msk.ru/account/1011446563/", 1011446563)</f>
        <v>1011446563</v>
      </c>
      <c r="D20243">
        <v>-81739.679999999993</v>
      </c>
    </row>
    <row r="20244" spans="1:4" hidden="1" x14ac:dyDescent="0.3">
      <c r="A20244" t="s">
        <v>1114</v>
      </c>
      <c r="B20244" t="s">
        <v>75</v>
      </c>
      <c r="C20244" s="1">
        <f>HYPERLINK("https://cao.dolgi.msk.ru/account/1011446301/", 1011446301)</f>
        <v>1011446301</v>
      </c>
      <c r="D20244">
        <v>0</v>
      </c>
    </row>
    <row r="20245" spans="1:4" x14ac:dyDescent="0.3">
      <c r="A20245" t="s">
        <v>1114</v>
      </c>
      <c r="B20245" t="s">
        <v>76</v>
      </c>
      <c r="C20245" s="1">
        <f>HYPERLINK("https://cao.dolgi.msk.ru/account/1011446141/", 1011446141)</f>
        <v>1011446141</v>
      </c>
      <c r="D20245">
        <v>16.149999999999999</v>
      </c>
    </row>
    <row r="20246" spans="1:4" hidden="1" x14ac:dyDescent="0.3">
      <c r="A20246" t="s">
        <v>1114</v>
      </c>
      <c r="B20246" t="s">
        <v>77</v>
      </c>
      <c r="C20246" s="1">
        <f>HYPERLINK("https://cao.dolgi.msk.ru/account/1011445886/", 1011445886)</f>
        <v>1011445886</v>
      </c>
      <c r="D20246">
        <v>0</v>
      </c>
    </row>
    <row r="20247" spans="1:4" x14ac:dyDescent="0.3">
      <c r="A20247" t="s">
        <v>1114</v>
      </c>
      <c r="B20247" t="s">
        <v>78</v>
      </c>
      <c r="C20247" s="1">
        <f>HYPERLINK("https://cao.dolgi.msk.ru/account/1011446416/", 1011446416)</f>
        <v>1011446416</v>
      </c>
      <c r="D20247">
        <v>271007.61</v>
      </c>
    </row>
    <row r="20248" spans="1:4" hidden="1" x14ac:dyDescent="0.3">
      <c r="A20248" t="s">
        <v>1114</v>
      </c>
      <c r="B20248" t="s">
        <v>79</v>
      </c>
      <c r="C20248" s="1">
        <f>HYPERLINK("https://cao.dolgi.msk.ru/account/1011445827/", 1011445827)</f>
        <v>1011445827</v>
      </c>
      <c r="D20248">
        <v>0</v>
      </c>
    </row>
    <row r="20249" spans="1:4" hidden="1" x14ac:dyDescent="0.3">
      <c r="A20249" t="s">
        <v>1114</v>
      </c>
      <c r="B20249" t="s">
        <v>80</v>
      </c>
      <c r="C20249" s="1">
        <f>HYPERLINK("https://cao.dolgi.msk.ru/account/1011446045/", 1011446045)</f>
        <v>1011446045</v>
      </c>
      <c r="D20249">
        <v>-116463.47</v>
      </c>
    </row>
    <row r="20250" spans="1:4" x14ac:dyDescent="0.3">
      <c r="A20250" t="s">
        <v>1114</v>
      </c>
      <c r="B20250" t="s">
        <v>81</v>
      </c>
      <c r="C20250" s="1">
        <f>HYPERLINK("https://cao.dolgi.msk.ru/account/1011445878/", 1011445878)</f>
        <v>1011445878</v>
      </c>
      <c r="D20250">
        <v>4839.33</v>
      </c>
    </row>
    <row r="20251" spans="1:4" hidden="1" x14ac:dyDescent="0.3">
      <c r="A20251" t="s">
        <v>1114</v>
      </c>
      <c r="B20251" t="s">
        <v>101</v>
      </c>
      <c r="C20251" s="1">
        <f>HYPERLINK("https://cao.dolgi.msk.ru/account/1011446168/", 1011446168)</f>
        <v>1011446168</v>
      </c>
      <c r="D20251">
        <v>0</v>
      </c>
    </row>
    <row r="20252" spans="1:4" x14ac:dyDescent="0.3">
      <c r="A20252" t="s">
        <v>1114</v>
      </c>
      <c r="B20252" t="s">
        <v>82</v>
      </c>
      <c r="C20252" s="1">
        <f>HYPERLINK("https://cao.dolgi.msk.ru/account/1011446512/", 1011446512)</f>
        <v>1011446512</v>
      </c>
      <c r="D20252">
        <v>16892.41</v>
      </c>
    </row>
    <row r="20253" spans="1:4" x14ac:dyDescent="0.3">
      <c r="A20253" t="s">
        <v>1114</v>
      </c>
      <c r="B20253" t="s">
        <v>82</v>
      </c>
      <c r="C20253" s="1">
        <f>HYPERLINK("https://cao.dolgi.msk.ru/account/1011538898/", 1011538898)</f>
        <v>1011538898</v>
      </c>
      <c r="D20253">
        <v>8477.17</v>
      </c>
    </row>
    <row r="20254" spans="1:4" hidden="1" x14ac:dyDescent="0.3">
      <c r="A20254" t="s">
        <v>1114</v>
      </c>
      <c r="B20254" t="s">
        <v>83</v>
      </c>
      <c r="C20254" s="1">
        <f>HYPERLINK("https://cao.dolgi.msk.ru/account/1011446109/", 1011446109)</f>
        <v>1011446109</v>
      </c>
      <c r="D20254">
        <v>0</v>
      </c>
    </row>
    <row r="20255" spans="1:4" hidden="1" x14ac:dyDescent="0.3">
      <c r="A20255" t="s">
        <v>1114</v>
      </c>
      <c r="B20255" t="s">
        <v>84</v>
      </c>
      <c r="C20255" s="1">
        <f>HYPERLINK("https://cao.dolgi.msk.ru/account/1011446002/", 1011446002)</f>
        <v>1011446002</v>
      </c>
      <c r="D20255">
        <v>-55.65</v>
      </c>
    </row>
    <row r="20256" spans="1:4" hidden="1" x14ac:dyDescent="0.3">
      <c r="A20256" t="s">
        <v>1115</v>
      </c>
      <c r="B20256" t="s">
        <v>6</v>
      </c>
      <c r="C20256" s="1">
        <f>HYPERLINK("https://cao.dolgi.msk.ru/account/1011328831/", 1011328831)</f>
        <v>1011328831</v>
      </c>
      <c r="D20256">
        <v>0</v>
      </c>
    </row>
    <row r="20257" spans="1:4" hidden="1" x14ac:dyDescent="0.3">
      <c r="A20257" t="s">
        <v>1115</v>
      </c>
      <c r="B20257" t="s">
        <v>28</v>
      </c>
      <c r="C20257" s="1">
        <f>HYPERLINK("https://cao.dolgi.msk.ru/account/1011328866/", 1011328866)</f>
        <v>1011328866</v>
      </c>
      <c r="D20257">
        <v>-33.770000000000003</v>
      </c>
    </row>
    <row r="20258" spans="1:4" hidden="1" x14ac:dyDescent="0.3">
      <c r="A20258" t="s">
        <v>1115</v>
      </c>
      <c r="B20258" t="s">
        <v>28</v>
      </c>
      <c r="C20258" s="1">
        <f>HYPERLINK("https://cao.dolgi.msk.ru/account/1011328938/", 1011328938)</f>
        <v>1011328938</v>
      </c>
      <c r="D20258">
        <v>-151.97</v>
      </c>
    </row>
    <row r="20259" spans="1:4" hidden="1" x14ac:dyDescent="0.3">
      <c r="A20259" t="s">
        <v>1115</v>
      </c>
      <c r="B20259" t="s">
        <v>35</v>
      </c>
      <c r="C20259" s="1">
        <f>HYPERLINK("https://cao.dolgi.msk.ru/account/1011329068/", 1011329068)</f>
        <v>1011329068</v>
      </c>
      <c r="D20259">
        <v>0</v>
      </c>
    </row>
    <row r="20260" spans="1:4" hidden="1" x14ac:dyDescent="0.3">
      <c r="A20260" t="s">
        <v>1115</v>
      </c>
      <c r="B20260" t="s">
        <v>5</v>
      </c>
      <c r="C20260" s="1">
        <f>HYPERLINK("https://cao.dolgi.msk.ru/account/1011328946/", 1011328946)</f>
        <v>1011328946</v>
      </c>
      <c r="D20260">
        <v>0</v>
      </c>
    </row>
    <row r="20261" spans="1:4" x14ac:dyDescent="0.3">
      <c r="A20261" t="s">
        <v>1115</v>
      </c>
      <c r="B20261" t="s">
        <v>748</v>
      </c>
      <c r="C20261" s="1">
        <f>HYPERLINK("https://cao.dolgi.msk.ru/account/1011379241/", 1011379241)</f>
        <v>1011379241</v>
      </c>
      <c r="D20261">
        <v>1580.01</v>
      </c>
    </row>
    <row r="20262" spans="1:4" hidden="1" x14ac:dyDescent="0.3">
      <c r="A20262" t="s">
        <v>1115</v>
      </c>
      <c r="B20262" t="s">
        <v>7</v>
      </c>
      <c r="C20262" s="1">
        <f>HYPERLINK("https://cao.dolgi.msk.ru/account/1011328858/", 1011328858)</f>
        <v>1011328858</v>
      </c>
      <c r="D20262">
        <v>-13439.01</v>
      </c>
    </row>
    <row r="20263" spans="1:4" hidden="1" x14ac:dyDescent="0.3">
      <c r="A20263" t="s">
        <v>1115</v>
      </c>
      <c r="B20263" t="s">
        <v>8</v>
      </c>
      <c r="C20263" s="1">
        <f>HYPERLINK("https://cao.dolgi.msk.ru/account/1011328903/", 1011328903)</f>
        <v>1011328903</v>
      </c>
      <c r="D20263">
        <v>0</v>
      </c>
    </row>
    <row r="20264" spans="1:4" x14ac:dyDescent="0.3">
      <c r="A20264" t="s">
        <v>1115</v>
      </c>
      <c r="B20264" t="s">
        <v>31</v>
      </c>
      <c r="C20264" s="1">
        <f>HYPERLINK("https://cao.dolgi.msk.ru/account/1011328743/", 1011328743)</f>
        <v>1011328743</v>
      </c>
      <c r="D20264">
        <v>7276</v>
      </c>
    </row>
    <row r="20265" spans="1:4" hidden="1" x14ac:dyDescent="0.3">
      <c r="A20265" t="s">
        <v>1115</v>
      </c>
      <c r="B20265" t="s">
        <v>9</v>
      </c>
      <c r="C20265" s="1">
        <f>HYPERLINK("https://cao.dolgi.msk.ru/account/1011328786/", 1011328786)</f>
        <v>1011328786</v>
      </c>
      <c r="D20265">
        <v>0</v>
      </c>
    </row>
    <row r="20266" spans="1:4" hidden="1" x14ac:dyDescent="0.3">
      <c r="A20266" t="s">
        <v>1115</v>
      </c>
      <c r="B20266" t="s">
        <v>10</v>
      </c>
      <c r="C20266" s="1">
        <f>HYPERLINK("https://cao.dolgi.msk.ru/account/1011328778/", 1011328778)</f>
        <v>1011328778</v>
      </c>
      <c r="D20266">
        <v>-7028.59</v>
      </c>
    </row>
    <row r="20267" spans="1:4" hidden="1" x14ac:dyDescent="0.3">
      <c r="A20267" t="s">
        <v>1115</v>
      </c>
      <c r="B20267" t="s">
        <v>11</v>
      </c>
      <c r="C20267" s="1">
        <f>HYPERLINK("https://cao.dolgi.msk.ru/account/1011328911/", 1011328911)</f>
        <v>1011328911</v>
      </c>
      <c r="D20267">
        <v>0</v>
      </c>
    </row>
    <row r="20268" spans="1:4" x14ac:dyDescent="0.3">
      <c r="A20268" t="s">
        <v>1115</v>
      </c>
      <c r="B20268" t="s">
        <v>12</v>
      </c>
      <c r="C20268" s="1">
        <f>HYPERLINK("https://cao.dolgi.msk.ru/account/1011328989/", 1011328989)</f>
        <v>1011328989</v>
      </c>
      <c r="D20268">
        <v>8023.01</v>
      </c>
    </row>
    <row r="20269" spans="1:4" hidden="1" x14ac:dyDescent="0.3">
      <c r="A20269" t="s">
        <v>1115</v>
      </c>
      <c r="B20269" t="s">
        <v>23</v>
      </c>
      <c r="C20269" s="1">
        <f>HYPERLINK("https://cao.dolgi.msk.ru/account/1011329076/", 1011329076)</f>
        <v>1011329076</v>
      </c>
      <c r="D20269">
        <v>-846.55</v>
      </c>
    </row>
    <row r="20270" spans="1:4" hidden="1" x14ac:dyDescent="0.3">
      <c r="A20270" t="s">
        <v>1115</v>
      </c>
      <c r="B20270" t="s">
        <v>13</v>
      </c>
      <c r="C20270" s="1">
        <f>HYPERLINK("https://cao.dolgi.msk.ru/account/1011329025/", 1011329025)</f>
        <v>1011329025</v>
      </c>
      <c r="D20270">
        <v>-9515.57</v>
      </c>
    </row>
    <row r="20271" spans="1:4" hidden="1" x14ac:dyDescent="0.3">
      <c r="A20271" t="s">
        <v>1115</v>
      </c>
      <c r="B20271" t="s">
        <v>14</v>
      </c>
      <c r="C20271" s="1">
        <f>HYPERLINK("https://cao.dolgi.msk.ru/account/1011329033/", 1011329033)</f>
        <v>1011329033</v>
      </c>
      <c r="D20271">
        <v>0</v>
      </c>
    </row>
    <row r="20272" spans="1:4" hidden="1" x14ac:dyDescent="0.3">
      <c r="A20272" t="s">
        <v>1115</v>
      </c>
      <c r="B20272" t="s">
        <v>16</v>
      </c>
      <c r="C20272" s="1">
        <f>HYPERLINK("https://cao.dolgi.msk.ru/account/1011324638/", 1011324638)</f>
        <v>1011324638</v>
      </c>
      <c r="D20272">
        <v>0</v>
      </c>
    </row>
    <row r="20273" spans="1:4" hidden="1" x14ac:dyDescent="0.3">
      <c r="A20273" t="s">
        <v>1115</v>
      </c>
      <c r="B20273" t="s">
        <v>16</v>
      </c>
      <c r="C20273" s="1">
        <f>HYPERLINK("https://cao.dolgi.msk.ru/account/1011328815/", 1011328815)</f>
        <v>1011328815</v>
      </c>
      <c r="D20273">
        <v>-3130.94</v>
      </c>
    </row>
    <row r="20274" spans="1:4" x14ac:dyDescent="0.3">
      <c r="A20274" t="s">
        <v>1115</v>
      </c>
      <c r="B20274" t="s">
        <v>16</v>
      </c>
      <c r="C20274" s="1">
        <f>HYPERLINK("https://cao.dolgi.msk.ru/account/1011338706/", 1011338706)</f>
        <v>1011338706</v>
      </c>
      <c r="D20274">
        <v>1887.68</v>
      </c>
    </row>
    <row r="20275" spans="1:4" x14ac:dyDescent="0.3">
      <c r="A20275" t="s">
        <v>1115</v>
      </c>
      <c r="B20275" t="s">
        <v>1116</v>
      </c>
      <c r="C20275" s="1">
        <f>HYPERLINK("https://cao.dolgi.msk.ru/account/1011504882/", 1011504882)</f>
        <v>1011504882</v>
      </c>
      <c r="D20275">
        <v>21383.78</v>
      </c>
    </row>
    <row r="20276" spans="1:4" x14ac:dyDescent="0.3">
      <c r="A20276" t="s">
        <v>1115</v>
      </c>
      <c r="B20276" t="s">
        <v>17</v>
      </c>
      <c r="C20276" s="1">
        <f>HYPERLINK("https://cao.dolgi.msk.ru/account/1011328874/", 1011328874)</f>
        <v>1011328874</v>
      </c>
      <c r="D20276">
        <v>57829.33</v>
      </c>
    </row>
    <row r="20277" spans="1:4" hidden="1" x14ac:dyDescent="0.3">
      <c r="A20277" t="s">
        <v>1115</v>
      </c>
      <c r="B20277" t="s">
        <v>18</v>
      </c>
      <c r="C20277" s="1">
        <f>HYPERLINK("https://cao.dolgi.msk.ru/account/1011328962/", 1011328962)</f>
        <v>1011328962</v>
      </c>
      <c r="D20277">
        <v>0</v>
      </c>
    </row>
    <row r="20278" spans="1:4" hidden="1" x14ac:dyDescent="0.3">
      <c r="A20278" t="s">
        <v>1115</v>
      </c>
      <c r="B20278" t="s">
        <v>19</v>
      </c>
      <c r="C20278" s="1">
        <f>HYPERLINK("https://cao.dolgi.msk.ru/account/1011328735/", 1011328735)</f>
        <v>1011328735</v>
      </c>
      <c r="D20278">
        <v>-4808.2299999999996</v>
      </c>
    </row>
    <row r="20279" spans="1:4" hidden="1" x14ac:dyDescent="0.3">
      <c r="A20279" t="s">
        <v>1115</v>
      </c>
      <c r="B20279" t="s">
        <v>20</v>
      </c>
      <c r="C20279" s="1">
        <f>HYPERLINK("https://cao.dolgi.msk.ru/account/1011329009/", 1011329009)</f>
        <v>1011329009</v>
      </c>
      <c r="D20279">
        <v>0</v>
      </c>
    </row>
    <row r="20280" spans="1:4" hidden="1" x14ac:dyDescent="0.3">
      <c r="A20280" t="s">
        <v>1115</v>
      </c>
      <c r="B20280" t="s">
        <v>21</v>
      </c>
      <c r="C20280" s="1">
        <f>HYPERLINK("https://cao.dolgi.msk.ru/account/1011328794/", 1011328794)</f>
        <v>1011328794</v>
      </c>
      <c r="D20280">
        <v>0</v>
      </c>
    </row>
    <row r="20281" spans="1:4" hidden="1" x14ac:dyDescent="0.3">
      <c r="A20281" t="s">
        <v>1115</v>
      </c>
      <c r="B20281" t="s">
        <v>22</v>
      </c>
      <c r="C20281" s="1">
        <f>HYPERLINK("https://cao.dolgi.msk.ru/account/1011328954/", 1011328954)</f>
        <v>1011328954</v>
      </c>
      <c r="D20281">
        <v>0</v>
      </c>
    </row>
    <row r="20282" spans="1:4" hidden="1" x14ac:dyDescent="0.3">
      <c r="A20282" t="s">
        <v>1115</v>
      </c>
      <c r="B20282" t="s">
        <v>24</v>
      </c>
      <c r="C20282" s="1">
        <f>HYPERLINK("https://cao.dolgi.msk.ru/account/1011329041/", 1011329041)</f>
        <v>1011329041</v>
      </c>
      <c r="D20282">
        <v>0</v>
      </c>
    </row>
    <row r="20283" spans="1:4" x14ac:dyDescent="0.3">
      <c r="A20283" t="s">
        <v>1115</v>
      </c>
      <c r="B20283" t="s">
        <v>25</v>
      </c>
      <c r="C20283" s="1">
        <f>HYPERLINK("https://cao.dolgi.msk.ru/account/1011328807/", 1011328807)</f>
        <v>1011328807</v>
      </c>
      <c r="D20283">
        <v>6495.65</v>
      </c>
    </row>
    <row r="20284" spans="1:4" hidden="1" x14ac:dyDescent="0.3">
      <c r="A20284" t="s">
        <v>1115</v>
      </c>
      <c r="B20284" t="s">
        <v>26</v>
      </c>
      <c r="C20284" s="1">
        <f>HYPERLINK("https://cao.dolgi.msk.ru/account/1011329084/", 1011329084)</f>
        <v>1011329084</v>
      </c>
      <c r="D20284">
        <v>0</v>
      </c>
    </row>
    <row r="20285" spans="1:4" hidden="1" x14ac:dyDescent="0.3">
      <c r="A20285" t="s">
        <v>1115</v>
      </c>
      <c r="B20285" t="s">
        <v>27</v>
      </c>
      <c r="C20285" s="1">
        <f>HYPERLINK("https://cao.dolgi.msk.ru/account/1011328823/", 1011328823)</f>
        <v>1011328823</v>
      </c>
      <c r="D20285">
        <v>0</v>
      </c>
    </row>
    <row r="20286" spans="1:4" hidden="1" x14ac:dyDescent="0.3">
      <c r="A20286" t="s">
        <v>1115</v>
      </c>
      <c r="B20286" t="s">
        <v>29</v>
      </c>
      <c r="C20286" s="1">
        <f>HYPERLINK("https://cao.dolgi.msk.ru/account/1011329017/", 1011329017)</f>
        <v>1011329017</v>
      </c>
      <c r="D20286">
        <v>0</v>
      </c>
    </row>
    <row r="20287" spans="1:4" hidden="1" x14ac:dyDescent="0.3">
      <c r="A20287" t="s">
        <v>1115</v>
      </c>
      <c r="B20287" t="s">
        <v>38</v>
      </c>
      <c r="C20287" s="1">
        <f>HYPERLINK("https://cao.dolgi.msk.ru/account/1011328882/", 1011328882)</f>
        <v>1011328882</v>
      </c>
      <c r="D20287">
        <v>-808.87</v>
      </c>
    </row>
    <row r="20288" spans="1:4" hidden="1" x14ac:dyDescent="0.3">
      <c r="A20288" t="s">
        <v>1115</v>
      </c>
      <c r="B20288" t="s">
        <v>39</v>
      </c>
      <c r="C20288" s="1">
        <f>HYPERLINK("https://cao.dolgi.msk.ru/account/1011328751/", 1011328751)</f>
        <v>1011328751</v>
      </c>
      <c r="D20288">
        <v>0</v>
      </c>
    </row>
    <row r="20289" spans="1:4" x14ac:dyDescent="0.3">
      <c r="A20289" t="s">
        <v>1117</v>
      </c>
      <c r="B20289" t="s">
        <v>6</v>
      </c>
      <c r="C20289" s="1">
        <f>HYPERLINK("https://cao.dolgi.msk.ru/account/1011448008/", 1011448008)</f>
        <v>1011448008</v>
      </c>
      <c r="D20289">
        <v>19011.05</v>
      </c>
    </row>
    <row r="20290" spans="1:4" hidden="1" x14ac:dyDescent="0.3">
      <c r="A20290" t="s">
        <v>1117</v>
      </c>
      <c r="B20290" t="s">
        <v>28</v>
      </c>
      <c r="C20290" s="1">
        <f>HYPERLINK("https://cao.dolgi.msk.ru/account/1011447531/", 1011447531)</f>
        <v>1011447531</v>
      </c>
      <c r="D20290">
        <v>0</v>
      </c>
    </row>
    <row r="20291" spans="1:4" hidden="1" x14ac:dyDescent="0.3">
      <c r="A20291" t="s">
        <v>1117</v>
      </c>
      <c r="B20291" t="s">
        <v>28</v>
      </c>
      <c r="C20291" s="1">
        <f>HYPERLINK("https://cao.dolgi.msk.ru/account/1011447988/", 1011447988)</f>
        <v>1011447988</v>
      </c>
      <c r="D20291">
        <v>0</v>
      </c>
    </row>
    <row r="20292" spans="1:4" x14ac:dyDescent="0.3">
      <c r="A20292" t="s">
        <v>1117</v>
      </c>
      <c r="B20292" t="s">
        <v>35</v>
      </c>
      <c r="C20292" s="1">
        <f>HYPERLINK("https://cao.dolgi.msk.ru/account/1011447822/", 1011447822)</f>
        <v>1011447822</v>
      </c>
      <c r="D20292">
        <v>4380.1000000000004</v>
      </c>
    </row>
    <row r="20293" spans="1:4" x14ac:dyDescent="0.3">
      <c r="A20293" t="s">
        <v>1117</v>
      </c>
      <c r="B20293" t="s">
        <v>35</v>
      </c>
      <c r="C20293" s="1">
        <f>HYPERLINK("https://cao.dolgi.msk.ru/account/1011448032/", 1011448032)</f>
        <v>1011448032</v>
      </c>
      <c r="D20293">
        <v>91678.88</v>
      </c>
    </row>
    <row r="20294" spans="1:4" x14ac:dyDescent="0.3">
      <c r="A20294" t="s">
        <v>1117</v>
      </c>
      <c r="B20294" t="s">
        <v>35</v>
      </c>
      <c r="C20294" s="1">
        <f>HYPERLINK("https://cao.dolgi.msk.ru/account/1011448059/", 1011448059)</f>
        <v>1011448059</v>
      </c>
      <c r="D20294">
        <v>168223.91</v>
      </c>
    </row>
    <row r="20295" spans="1:4" hidden="1" x14ac:dyDescent="0.3">
      <c r="A20295" t="s">
        <v>1117</v>
      </c>
      <c r="B20295" t="s">
        <v>5</v>
      </c>
      <c r="C20295" s="1">
        <f>HYPERLINK("https://cao.dolgi.msk.ru/account/1011447769/", 1011447769)</f>
        <v>1011447769</v>
      </c>
      <c r="D20295">
        <v>-8269.4</v>
      </c>
    </row>
    <row r="20296" spans="1:4" hidden="1" x14ac:dyDescent="0.3">
      <c r="A20296" t="s">
        <v>1117</v>
      </c>
      <c r="B20296" t="s">
        <v>7</v>
      </c>
      <c r="C20296" s="1">
        <f>HYPERLINK("https://cao.dolgi.msk.ru/account/1011447558/", 1011447558)</f>
        <v>1011447558</v>
      </c>
      <c r="D20296">
        <v>0</v>
      </c>
    </row>
    <row r="20297" spans="1:4" hidden="1" x14ac:dyDescent="0.3">
      <c r="A20297" t="s">
        <v>1117</v>
      </c>
      <c r="B20297" t="s">
        <v>8</v>
      </c>
      <c r="C20297" s="1">
        <f>HYPERLINK("https://cao.dolgi.msk.ru/account/1011447523/", 1011447523)</f>
        <v>1011447523</v>
      </c>
      <c r="D20297">
        <v>0</v>
      </c>
    </row>
    <row r="20298" spans="1:4" hidden="1" x14ac:dyDescent="0.3">
      <c r="A20298" t="s">
        <v>1117</v>
      </c>
      <c r="B20298" t="s">
        <v>31</v>
      </c>
      <c r="C20298" s="1">
        <f>HYPERLINK("https://cao.dolgi.msk.ru/account/1011447937/", 1011447937)</f>
        <v>1011447937</v>
      </c>
      <c r="D20298">
        <v>0</v>
      </c>
    </row>
    <row r="20299" spans="1:4" hidden="1" x14ac:dyDescent="0.3">
      <c r="A20299" t="s">
        <v>1117</v>
      </c>
      <c r="B20299" t="s">
        <v>9</v>
      </c>
      <c r="C20299" s="1">
        <f>HYPERLINK("https://cao.dolgi.msk.ru/account/1011447785/", 1011447785)</f>
        <v>1011447785</v>
      </c>
      <c r="D20299">
        <v>-10650.42</v>
      </c>
    </row>
    <row r="20300" spans="1:4" hidden="1" x14ac:dyDescent="0.3">
      <c r="A20300" t="s">
        <v>1117</v>
      </c>
      <c r="B20300" t="s">
        <v>10</v>
      </c>
      <c r="C20300" s="1">
        <f>HYPERLINK("https://cao.dolgi.msk.ru/account/1011447654/", 1011447654)</f>
        <v>1011447654</v>
      </c>
      <c r="D20300">
        <v>-5491.12</v>
      </c>
    </row>
    <row r="20301" spans="1:4" hidden="1" x14ac:dyDescent="0.3">
      <c r="A20301" t="s">
        <v>1117</v>
      </c>
      <c r="B20301" t="s">
        <v>10</v>
      </c>
      <c r="C20301" s="1">
        <f>HYPERLINK("https://cao.dolgi.msk.ru/account/1011447793/", 1011447793)</f>
        <v>1011447793</v>
      </c>
      <c r="D20301">
        <v>-1632.2</v>
      </c>
    </row>
    <row r="20302" spans="1:4" hidden="1" x14ac:dyDescent="0.3">
      <c r="A20302" t="s">
        <v>1117</v>
      </c>
      <c r="B20302" t="s">
        <v>11</v>
      </c>
      <c r="C20302" s="1">
        <f>HYPERLINK("https://cao.dolgi.msk.ru/account/1011447953/", 1011447953)</f>
        <v>1011447953</v>
      </c>
      <c r="D20302">
        <v>0</v>
      </c>
    </row>
    <row r="20303" spans="1:4" hidden="1" x14ac:dyDescent="0.3">
      <c r="A20303" t="s">
        <v>1117</v>
      </c>
      <c r="B20303" t="s">
        <v>12</v>
      </c>
      <c r="C20303" s="1">
        <f>HYPERLINK("https://cao.dolgi.msk.ru/account/1011448067/", 1011448067)</f>
        <v>1011448067</v>
      </c>
      <c r="D20303">
        <v>0</v>
      </c>
    </row>
    <row r="20304" spans="1:4" hidden="1" x14ac:dyDescent="0.3">
      <c r="A20304" t="s">
        <v>1117</v>
      </c>
      <c r="B20304" t="s">
        <v>23</v>
      </c>
      <c r="C20304" s="1">
        <f>HYPERLINK("https://cao.dolgi.msk.ru/account/1011447945/", 1011447945)</f>
        <v>1011447945</v>
      </c>
      <c r="D20304">
        <v>-6002.7</v>
      </c>
    </row>
    <row r="20305" spans="1:4" hidden="1" x14ac:dyDescent="0.3">
      <c r="A20305" t="s">
        <v>1117</v>
      </c>
      <c r="B20305" t="s">
        <v>13</v>
      </c>
      <c r="C20305" s="1">
        <f>HYPERLINK("https://cao.dolgi.msk.ru/account/1011447734/", 1011447734)</f>
        <v>1011447734</v>
      </c>
      <c r="D20305">
        <v>0</v>
      </c>
    </row>
    <row r="20306" spans="1:4" hidden="1" x14ac:dyDescent="0.3">
      <c r="A20306" t="s">
        <v>1117</v>
      </c>
      <c r="B20306" t="s">
        <v>14</v>
      </c>
      <c r="C20306" s="1">
        <f>HYPERLINK("https://cao.dolgi.msk.ru/account/1011447865/", 1011447865)</f>
        <v>1011447865</v>
      </c>
      <c r="D20306">
        <v>0</v>
      </c>
    </row>
    <row r="20307" spans="1:4" hidden="1" x14ac:dyDescent="0.3">
      <c r="A20307" t="s">
        <v>1117</v>
      </c>
      <c r="B20307" t="s">
        <v>16</v>
      </c>
      <c r="C20307" s="1">
        <f>HYPERLINK("https://cao.dolgi.msk.ru/account/1011447814/", 1011447814)</f>
        <v>1011447814</v>
      </c>
      <c r="D20307">
        <v>-6400.24</v>
      </c>
    </row>
    <row r="20308" spans="1:4" hidden="1" x14ac:dyDescent="0.3">
      <c r="A20308" t="s">
        <v>1117</v>
      </c>
      <c r="B20308" t="s">
        <v>17</v>
      </c>
      <c r="C20308" s="1">
        <f>HYPERLINK("https://cao.dolgi.msk.ru/account/1011447638/", 1011447638)</f>
        <v>1011447638</v>
      </c>
      <c r="D20308">
        <v>-6743.98</v>
      </c>
    </row>
    <row r="20309" spans="1:4" x14ac:dyDescent="0.3">
      <c r="A20309" t="s">
        <v>1117</v>
      </c>
      <c r="B20309" t="s">
        <v>18</v>
      </c>
      <c r="C20309" s="1">
        <f>HYPERLINK("https://cao.dolgi.msk.ru/account/1011447996/", 1011447996)</f>
        <v>1011447996</v>
      </c>
      <c r="D20309">
        <v>12470.22</v>
      </c>
    </row>
    <row r="20310" spans="1:4" x14ac:dyDescent="0.3">
      <c r="A20310" t="s">
        <v>1117</v>
      </c>
      <c r="B20310" t="s">
        <v>19</v>
      </c>
      <c r="C20310" s="1">
        <f>HYPERLINK("https://cao.dolgi.msk.ru/account/1011447697/", 1011447697)</f>
        <v>1011447697</v>
      </c>
      <c r="D20310">
        <v>16130.79</v>
      </c>
    </row>
    <row r="20311" spans="1:4" hidden="1" x14ac:dyDescent="0.3">
      <c r="A20311" t="s">
        <v>1117</v>
      </c>
      <c r="B20311" t="s">
        <v>20</v>
      </c>
      <c r="C20311" s="1">
        <f>HYPERLINK("https://cao.dolgi.msk.ru/account/1011447881/", 1011447881)</f>
        <v>1011447881</v>
      </c>
      <c r="D20311">
        <v>-1787.26</v>
      </c>
    </row>
    <row r="20312" spans="1:4" hidden="1" x14ac:dyDescent="0.3">
      <c r="A20312" t="s">
        <v>1117</v>
      </c>
      <c r="B20312" t="s">
        <v>21</v>
      </c>
      <c r="C20312" s="1">
        <f>HYPERLINK("https://cao.dolgi.msk.ru/account/1011447742/", 1011447742)</f>
        <v>1011447742</v>
      </c>
      <c r="D20312">
        <v>-5652.86</v>
      </c>
    </row>
    <row r="20313" spans="1:4" hidden="1" x14ac:dyDescent="0.3">
      <c r="A20313" t="s">
        <v>1117</v>
      </c>
      <c r="B20313" t="s">
        <v>22</v>
      </c>
      <c r="C20313" s="1">
        <f>HYPERLINK("https://cao.dolgi.msk.ru/account/1011447603/", 1011447603)</f>
        <v>1011447603</v>
      </c>
      <c r="D20313">
        <v>0</v>
      </c>
    </row>
    <row r="20314" spans="1:4" hidden="1" x14ac:dyDescent="0.3">
      <c r="A20314" t="s">
        <v>1117</v>
      </c>
      <c r="B20314" t="s">
        <v>24</v>
      </c>
      <c r="C20314" s="1">
        <f>HYPERLINK("https://cao.dolgi.msk.ru/account/1011447689/", 1011447689)</f>
        <v>1011447689</v>
      </c>
      <c r="D20314">
        <v>0</v>
      </c>
    </row>
    <row r="20315" spans="1:4" hidden="1" x14ac:dyDescent="0.3">
      <c r="A20315" t="s">
        <v>1117</v>
      </c>
      <c r="B20315" t="s">
        <v>25</v>
      </c>
      <c r="C20315" s="1">
        <f>HYPERLINK("https://cao.dolgi.msk.ru/account/1011447662/", 1011447662)</f>
        <v>1011447662</v>
      </c>
      <c r="D20315">
        <v>0</v>
      </c>
    </row>
    <row r="20316" spans="1:4" hidden="1" x14ac:dyDescent="0.3">
      <c r="A20316" t="s">
        <v>1117</v>
      </c>
      <c r="B20316" t="s">
        <v>25</v>
      </c>
      <c r="C20316" s="1">
        <f>HYPERLINK("https://cao.dolgi.msk.ru/account/1011448016/", 1011448016)</f>
        <v>1011448016</v>
      </c>
      <c r="D20316">
        <v>0</v>
      </c>
    </row>
    <row r="20317" spans="1:4" hidden="1" x14ac:dyDescent="0.3">
      <c r="A20317" t="s">
        <v>1117</v>
      </c>
      <c r="B20317" t="s">
        <v>26</v>
      </c>
      <c r="C20317" s="1">
        <f>HYPERLINK("https://cao.dolgi.msk.ru/account/1011447961/", 1011447961)</f>
        <v>1011447961</v>
      </c>
      <c r="D20317">
        <v>0</v>
      </c>
    </row>
    <row r="20318" spans="1:4" hidden="1" x14ac:dyDescent="0.3">
      <c r="A20318" t="s">
        <v>1117</v>
      </c>
      <c r="B20318" t="s">
        <v>27</v>
      </c>
      <c r="C20318" s="1">
        <f>HYPERLINK("https://cao.dolgi.msk.ru/account/1011447726/", 1011447726)</f>
        <v>1011447726</v>
      </c>
      <c r="D20318">
        <v>-5451.85</v>
      </c>
    </row>
    <row r="20319" spans="1:4" hidden="1" x14ac:dyDescent="0.3">
      <c r="A20319" t="s">
        <v>1117</v>
      </c>
      <c r="B20319" t="s">
        <v>29</v>
      </c>
      <c r="C20319" s="1">
        <f>HYPERLINK("https://cao.dolgi.msk.ru/account/1011447718/", 1011447718)</f>
        <v>1011447718</v>
      </c>
      <c r="D20319">
        <v>-1751.84</v>
      </c>
    </row>
    <row r="20320" spans="1:4" hidden="1" x14ac:dyDescent="0.3">
      <c r="A20320" t="s">
        <v>1117</v>
      </c>
      <c r="B20320" t="s">
        <v>38</v>
      </c>
      <c r="C20320" s="1">
        <f>HYPERLINK("https://cao.dolgi.msk.ru/account/1011448024/", 1011448024)</f>
        <v>1011448024</v>
      </c>
      <c r="D20320">
        <v>0</v>
      </c>
    </row>
    <row r="20321" spans="1:4" hidden="1" x14ac:dyDescent="0.3">
      <c r="A20321" t="s">
        <v>1117</v>
      </c>
      <c r="B20321" t="s">
        <v>39</v>
      </c>
      <c r="C20321" s="1">
        <f>HYPERLINK("https://cao.dolgi.msk.ru/account/1011447646/", 1011447646)</f>
        <v>1011447646</v>
      </c>
      <c r="D20321">
        <v>0</v>
      </c>
    </row>
    <row r="20322" spans="1:4" hidden="1" x14ac:dyDescent="0.3">
      <c r="A20322" t="s">
        <v>1117</v>
      </c>
      <c r="B20322" t="s">
        <v>40</v>
      </c>
      <c r="C20322" s="1">
        <f>HYPERLINK("https://cao.dolgi.msk.ru/account/1011447929/", 1011447929)</f>
        <v>1011447929</v>
      </c>
      <c r="D20322">
        <v>0</v>
      </c>
    </row>
    <row r="20323" spans="1:4" hidden="1" x14ac:dyDescent="0.3">
      <c r="A20323" t="s">
        <v>1117</v>
      </c>
      <c r="B20323" t="s">
        <v>41</v>
      </c>
      <c r="C20323" s="1">
        <f>HYPERLINK("https://cao.dolgi.msk.ru/account/1011448091/", 1011448091)</f>
        <v>1011448091</v>
      </c>
      <c r="D20323">
        <v>0</v>
      </c>
    </row>
    <row r="20324" spans="1:4" hidden="1" x14ac:dyDescent="0.3">
      <c r="A20324" t="s">
        <v>1117</v>
      </c>
      <c r="B20324" t="s">
        <v>51</v>
      </c>
      <c r="C20324" s="1">
        <f>HYPERLINK("https://cao.dolgi.msk.ru/account/1011447611/", 1011447611)</f>
        <v>1011447611</v>
      </c>
      <c r="D20324">
        <v>0</v>
      </c>
    </row>
    <row r="20325" spans="1:4" hidden="1" x14ac:dyDescent="0.3">
      <c r="A20325" t="s">
        <v>1117</v>
      </c>
      <c r="B20325" t="s">
        <v>52</v>
      </c>
      <c r="C20325" s="1">
        <f>HYPERLINK("https://cao.dolgi.msk.ru/account/1011447849/", 1011447849)</f>
        <v>1011447849</v>
      </c>
      <c r="D20325">
        <v>0</v>
      </c>
    </row>
    <row r="20326" spans="1:4" hidden="1" x14ac:dyDescent="0.3">
      <c r="A20326" t="s">
        <v>1117</v>
      </c>
      <c r="B20326" t="s">
        <v>53</v>
      </c>
      <c r="C20326" s="1">
        <f>HYPERLINK("https://cao.dolgi.msk.ru/account/1011447582/", 1011447582)</f>
        <v>1011447582</v>
      </c>
      <c r="D20326">
        <v>0</v>
      </c>
    </row>
    <row r="20327" spans="1:4" hidden="1" x14ac:dyDescent="0.3">
      <c r="A20327" t="s">
        <v>1117</v>
      </c>
      <c r="B20327" t="s">
        <v>54</v>
      </c>
      <c r="C20327" s="1">
        <f>HYPERLINK("https://cao.dolgi.msk.ru/account/1011447873/", 1011447873)</f>
        <v>1011447873</v>
      </c>
      <c r="D20327">
        <v>0</v>
      </c>
    </row>
    <row r="20328" spans="1:4" hidden="1" x14ac:dyDescent="0.3">
      <c r="A20328" t="s">
        <v>1117</v>
      </c>
      <c r="B20328" t="s">
        <v>55</v>
      </c>
      <c r="C20328" s="1">
        <f>HYPERLINK("https://cao.dolgi.msk.ru/account/1011447574/", 1011447574)</f>
        <v>1011447574</v>
      </c>
      <c r="D20328">
        <v>0</v>
      </c>
    </row>
    <row r="20329" spans="1:4" hidden="1" x14ac:dyDescent="0.3">
      <c r="A20329" t="s">
        <v>1117</v>
      </c>
      <c r="B20329" t="s">
        <v>56</v>
      </c>
      <c r="C20329" s="1">
        <f>HYPERLINK("https://cao.dolgi.msk.ru/account/1011447777/", 1011447777)</f>
        <v>1011447777</v>
      </c>
      <c r="D20329">
        <v>0</v>
      </c>
    </row>
    <row r="20330" spans="1:4" hidden="1" x14ac:dyDescent="0.3">
      <c r="A20330" t="s">
        <v>1117</v>
      </c>
      <c r="B20330" t="s">
        <v>87</v>
      </c>
      <c r="C20330" s="1">
        <f>HYPERLINK("https://cao.dolgi.msk.ru/account/1011447902/", 1011447902)</f>
        <v>1011447902</v>
      </c>
      <c r="D20330">
        <v>0</v>
      </c>
    </row>
    <row r="20331" spans="1:4" hidden="1" x14ac:dyDescent="0.3">
      <c r="A20331" t="s">
        <v>1117</v>
      </c>
      <c r="B20331" t="s">
        <v>88</v>
      </c>
      <c r="C20331" s="1">
        <f>HYPERLINK("https://cao.dolgi.msk.ru/account/1011447806/", 1011447806)</f>
        <v>1011447806</v>
      </c>
      <c r="D20331">
        <v>-16788.41</v>
      </c>
    </row>
    <row r="20332" spans="1:4" hidden="1" x14ac:dyDescent="0.3">
      <c r="A20332" t="s">
        <v>1117</v>
      </c>
      <c r="B20332" t="s">
        <v>88</v>
      </c>
      <c r="C20332" s="1">
        <f>HYPERLINK("https://cao.dolgi.msk.ru/account/1011526432/", 1011526432)</f>
        <v>1011526432</v>
      </c>
      <c r="D20332">
        <v>-14.94</v>
      </c>
    </row>
    <row r="20333" spans="1:4" hidden="1" x14ac:dyDescent="0.3">
      <c r="A20333" t="s">
        <v>1117</v>
      </c>
      <c r="B20333" t="s">
        <v>89</v>
      </c>
      <c r="C20333" s="1">
        <f>HYPERLINK("https://cao.dolgi.msk.ru/account/1011447857/", 1011447857)</f>
        <v>1011447857</v>
      </c>
      <c r="D20333">
        <v>-8488.66</v>
      </c>
    </row>
    <row r="20334" spans="1:4" hidden="1" x14ac:dyDescent="0.3">
      <c r="A20334" t="s">
        <v>1117</v>
      </c>
      <c r="B20334" t="s">
        <v>90</v>
      </c>
      <c r="C20334" s="1">
        <f>HYPERLINK("https://cao.dolgi.msk.ru/account/1011448075/", 1011448075)</f>
        <v>1011448075</v>
      </c>
      <c r="D20334">
        <v>0</v>
      </c>
    </row>
    <row r="20335" spans="1:4" hidden="1" x14ac:dyDescent="0.3">
      <c r="A20335" t="s">
        <v>1117</v>
      </c>
      <c r="B20335" t="s">
        <v>90</v>
      </c>
      <c r="C20335" s="1">
        <f>HYPERLINK("https://cao.dolgi.msk.ru/account/1011514845/", 1011514845)</f>
        <v>1011514845</v>
      </c>
      <c r="D20335">
        <v>0</v>
      </c>
    </row>
    <row r="20336" spans="1:4" hidden="1" x14ac:dyDescent="0.3">
      <c r="A20336" t="s">
        <v>1118</v>
      </c>
      <c r="B20336" t="s">
        <v>6</v>
      </c>
      <c r="C20336" s="1">
        <f>HYPERLINK("https://cao.dolgi.msk.ru/account/1011312469/", 1011312469)</f>
        <v>1011312469</v>
      </c>
      <c r="D20336">
        <v>0</v>
      </c>
    </row>
    <row r="20337" spans="1:4" x14ac:dyDescent="0.3">
      <c r="A20337" t="s">
        <v>1118</v>
      </c>
      <c r="B20337" t="s">
        <v>35</v>
      </c>
      <c r="C20337" s="1">
        <f>HYPERLINK("https://cao.dolgi.msk.ru/account/1011504903/", 1011504903)</f>
        <v>1011504903</v>
      </c>
      <c r="D20337">
        <v>49547.03</v>
      </c>
    </row>
    <row r="20338" spans="1:4" x14ac:dyDescent="0.3">
      <c r="A20338" t="s">
        <v>1118</v>
      </c>
      <c r="B20338" t="s">
        <v>5</v>
      </c>
      <c r="C20338" s="1">
        <f>HYPERLINK("https://cao.dolgi.msk.ru/account/1011312848/", 1011312848)</f>
        <v>1011312848</v>
      </c>
      <c r="D20338">
        <v>88.84</v>
      </c>
    </row>
    <row r="20339" spans="1:4" hidden="1" x14ac:dyDescent="0.3">
      <c r="A20339" t="s">
        <v>1118</v>
      </c>
      <c r="B20339" t="s">
        <v>7</v>
      </c>
      <c r="C20339" s="1">
        <f>HYPERLINK("https://cao.dolgi.msk.ru/account/1011312661/", 1011312661)</f>
        <v>1011312661</v>
      </c>
      <c r="D20339">
        <v>0</v>
      </c>
    </row>
    <row r="20340" spans="1:4" hidden="1" x14ac:dyDescent="0.3">
      <c r="A20340" t="s">
        <v>1118</v>
      </c>
      <c r="B20340" t="s">
        <v>8</v>
      </c>
      <c r="C20340" s="1">
        <f>HYPERLINK("https://cao.dolgi.msk.ru/account/1011312557/", 1011312557)</f>
        <v>1011312557</v>
      </c>
      <c r="D20340">
        <v>0</v>
      </c>
    </row>
    <row r="20341" spans="1:4" hidden="1" x14ac:dyDescent="0.3">
      <c r="A20341" t="s">
        <v>1118</v>
      </c>
      <c r="B20341" t="s">
        <v>31</v>
      </c>
      <c r="C20341" s="1">
        <f>HYPERLINK("https://cao.dolgi.msk.ru/account/1011312581/", 1011312581)</f>
        <v>1011312581</v>
      </c>
      <c r="D20341">
        <v>0</v>
      </c>
    </row>
    <row r="20342" spans="1:4" hidden="1" x14ac:dyDescent="0.3">
      <c r="A20342" t="s">
        <v>1118</v>
      </c>
      <c r="B20342" t="s">
        <v>9</v>
      </c>
      <c r="C20342" s="1">
        <f>HYPERLINK("https://cao.dolgi.msk.ru/account/1011312813/", 1011312813)</f>
        <v>1011312813</v>
      </c>
      <c r="D20342">
        <v>0</v>
      </c>
    </row>
    <row r="20343" spans="1:4" hidden="1" x14ac:dyDescent="0.3">
      <c r="A20343" t="s">
        <v>1118</v>
      </c>
      <c r="B20343" t="s">
        <v>10</v>
      </c>
      <c r="C20343" s="1">
        <f>HYPERLINK("https://cao.dolgi.msk.ru/account/1011312696/", 1011312696)</f>
        <v>1011312696</v>
      </c>
      <c r="D20343">
        <v>-1648.49</v>
      </c>
    </row>
    <row r="20344" spans="1:4" hidden="1" x14ac:dyDescent="0.3">
      <c r="A20344" t="s">
        <v>1118</v>
      </c>
      <c r="B20344" t="s">
        <v>11</v>
      </c>
      <c r="C20344" s="1">
        <f>HYPERLINK("https://cao.dolgi.msk.ru/account/1011312768/", 1011312768)</f>
        <v>1011312768</v>
      </c>
      <c r="D20344">
        <v>-4328.2700000000004</v>
      </c>
    </row>
    <row r="20345" spans="1:4" hidden="1" x14ac:dyDescent="0.3">
      <c r="A20345" t="s">
        <v>1118</v>
      </c>
      <c r="B20345" t="s">
        <v>12</v>
      </c>
      <c r="C20345" s="1">
        <f>HYPERLINK("https://cao.dolgi.msk.ru/account/1011312645/", 1011312645)</f>
        <v>1011312645</v>
      </c>
      <c r="D20345">
        <v>-6037.05</v>
      </c>
    </row>
    <row r="20346" spans="1:4" hidden="1" x14ac:dyDescent="0.3">
      <c r="A20346" t="s">
        <v>1118</v>
      </c>
      <c r="B20346" t="s">
        <v>23</v>
      </c>
      <c r="C20346" s="1">
        <f>HYPERLINK("https://cao.dolgi.msk.ru/account/1011312792/", 1011312792)</f>
        <v>1011312792</v>
      </c>
      <c r="D20346">
        <v>-21790.25</v>
      </c>
    </row>
    <row r="20347" spans="1:4" hidden="1" x14ac:dyDescent="0.3">
      <c r="A20347" t="s">
        <v>1118</v>
      </c>
      <c r="B20347" t="s">
        <v>13</v>
      </c>
      <c r="C20347" s="1">
        <f>HYPERLINK("https://cao.dolgi.msk.ru/account/1011312899/", 1011312899)</f>
        <v>1011312899</v>
      </c>
      <c r="D20347">
        <v>0</v>
      </c>
    </row>
    <row r="20348" spans="1:4" x14ac:dyDescent="0.3">
      <c r="A20348" t="s">
        <v>1118</v>
      </c>
      <c r="B20348" t="s">
        <v>14</v>
      </c>
      <c r="C20348" s="1">
        <f>HYPERLINK("https://cao.dolgi.msk.ru/account/1011312741/", 1011312741)</f>
        <v>1011312741</v>
      </c>
      <c r="D20348">
        <v>7780.31</v>
      </c>
    </row>
    <row r="20349" spans="1:4" hidden="1" x14ac:dyDescent="0.3">
      <c r="A20349" t="s">
        <v>1118</v>
      </c>
      <c r="B20349" t="s">
        <v>16</v>
      </c>
      <c r="C20349" s="1">
        <f>HYPERLINK("https://cao.dolgi.msk.ru/account/1011312733/", 1011312733)</f>
        <v>1011312733</v>
      </c>
      <c r="D20349">
        <v>0</v>
      </c>
    </row>
    <row r="20350" spans="1:4" hidden="1" x14ac:dyDescent="0.3">
      <c r="A20350" t="s">
        <v>1118</v>
      </c>
      <c r="B20350" t="s">
        <v>17</v>
      </c>
      <c r="C20350" s="1">
        <f>HYPERLINK("https://cao.dolgi.msk.ru/account/1011312821/", 1011312821)</f>
        <v>1011312821</v>
      </c>
      <c r="D20350">
        <v>-6695.65</v>
      </c>
    </row>
    <row r="20351" spans="1:4" x14ac:dyDescent="0.3">
      <c r="A20351" t="s">
        <v>1118</v>
      </c>
      <c r="B20351" t="s">
        <v>18</v>
      </c>
      <c r="C20351" s="1">
        <f>HYPERLINK("https://cao.dolgi.msk.ru/account/1011312864/", 1011312864)</f>
        <v>1011312864</v>
      </c>
      <c r="D20351">
        <v>5126.09</v>
      </c>
    </row>
    <row r="20352" spans="1:4" hidden="1" x14ac:dyDescent="0.3">
      <c r="A20352" t="s">
        <v>1118</v>
      </c>
      <c r="B20352" t="s">
        <v>19</v>
      </c>
      <c r="C20352" s="1">
        <f>HYPERLINK("https://cao.dolgi.msk.ru/account/1011312653/", 1011312653)</f>
        <v>1011312653</v>
      </c>
      <c r="D20352">
        <v>0</v>
      </c>
    </row>
    <row r="20353" spans="1:4" hidden="1" x14ac:dyDescent="0.3">
      <c r="A20353" t="s">
        <v>1118</v>
      </c>
      <c r="B20353" t="s">
        <v>21</v>
      </c>
      <c r="C20353" s="1">
        <f>HYPERLINK("https://cao.dolgi.msk.ru/account/1011312717/", 1011312717)</f>
        <v>1011312717</v>
      </c>
      <c r="D20353">
        <v>-9354.99</v>
      </c>
    </row>
    <row r="20354" spans="1:4" hidden="1" x14ac:dyDescent="0.3">
      <c r="A20354" t="s">
        <v>1118</v>
      </c>
      <c r="B20354" t="s">
        <v>22</v>
      </c>
      <c r="C20354" s="1">
        <f>HYPERLINK("https://cao.dolgi.msk.ru/account/1011312565/", 1011312565)</f>
        <v>1011312565</v>
      </c>
      <c r="D20354">
        <v>-9504.42</v>
      </c>
    </row>
    <row r="20355" spans="1:4" hidden="1" x14ac:dyDescent="0.3">
      <c r="A20355" t="s">
        <v>1118</v>
      </c>
      <c r="B20355" t="s">
        <v>24</v>
      </c>
      <c r="C20355" s="1">
        <f>HYPERLINK("https://cao.dolgi.msk.ru/account/1011312522/", 1011312522)</f>
        <v>1011312522</v>
      </c>
      <c r="D20355">
        <v>0</v>
      </c>
    </row>
    <row r="20356" spans="1:4" x14ac:dyDescent="0.3">
      <c r="A20356" t="s">
        <v>1118</v>
      </c>
      <c r="B20356" t="s">
        <v>24</v>
      </c>
      <c r="C20356" s="1">
        <f>HYPERLINK("https://cao.dolgi.msk.ru/account/1011312776/", 1011312776)</f>
        <v>1011312776</v>
      </c>
      <c r="D20356">
        <v>7896.96</v>
      </c>
    </row>
    <row r="20357" spans="1:4" hidden="1" x14ac:dyDescent="0.3">
      <c r="A20357" t="s">
        <v>1118</v>
      </c>
      <c r="B20357" t="s">
        <v>25</v>
      </c>
      <c r="C20357" s="1">
        <f>HYPERLINK("https://cao.dolgi.msk.ru/account/1011312637/", 1011312637)</f>
        <v>1011312637</v>
      </c>
      <c r="D20357">
        <v>0</v>
      </c>
    </row>
    <row r="20358" spans="1:4" x14ac:dyDescent="0.3">
      <c r="A20358" t="s">
        <v>1118</v>
      </c>
      <c r="B20358" t="s">
        <v>26</v>
      </c>
      <c r="C20358" s="1">
        <f>HYPERLINK("https://cao.dolgi.msk.ru/account/1011312493/", 1011312493)</f>
        <v>1011312493</v>
      </c>
      <c r="D20358">
        <v>8979.7800000000007</v>
      </c>
    </row>
    <row r="20359" spans="1:4" hidden="1" x14ac:dyDescent="0.3">
      <c r="A20359" t="s">
        <v>1118</v>
      </c>
      <c r="B20359" t="s">
        <v>27</v>
      </c>
      <c r="C20359" s="1">
        <f>HYPERLINK("https://cao.dolgi.msk.ru/account/1011312442/", 1011312442)</f>
        <v>1011312442</v>
      </c>
      <c r="D20359">
        <v>0</v>
      </c>
    </row>
    <row r="20360" spans="1:4" hidden="1" x14ac:dyDescent="0.3">
      <c r="A20360" t="s">
        <v>1118</v>
      </c>
      <c r="B20360" t="s">
        <v>29</v>
      </c>
      <c r="C20360" s="1">
        <f>HYPERLINK("https://cao.dolgi.msk.ru/account/1011312477/", 1011312477)</f>
        <v>1011312477</v>
      </c>
      <c r="D20360">
        <v>0</v>
      </c>
    </row>
    <row r="20361" spans="1:4" hidden="1" x14ac:dyDescent="0.3">
      <c r="A20361" t="s">
        <v>1118</v>
      </c>
      <c r="B20361" t="s">
        <v>38</v>
      </c>
      <c r="C20361" s="1">
        <f>HYPERLINK("https://cao.dolgi.msk.ru/account/1011312856/", 1011312856)</f>
        <v>1011312856</v>
      </c>
      <c r="D20361">
        <v>-8881.73</v>
      </c>
    </row>
    <row r="20362" spans="1:4" hidden="1" x14ac:dyDescent="0.3">
      <c r="A20362" t="s">
        <v>1118</v>
      </c>
      <c r="B20362" t="s">
        <v>39</v>
      </c>
      <c r="C20362" s="1">
        <f>HYPERLINK("https://cao.dolgi.msk.ru/account/1011312805/", 1011312805)</f>
        <v>1011312805</v>
      </c>
      <c r="D20362">
        <v>0</v>
      </c>
    </row>
    <row r="20363" spans="1:4" hidden="1" x14ac:dyDescent="0.3">
      <c r="A20363" t="s">
        <v>1118</v>
      </c>
      <c r="B20363" t="s">
        <v>40</v>
      </c>
      <c r="C20363" s="1">
        <f>HYPERLINK("https://cao.dolgi.msk.ru/account/1011312514/", 1011312514)</f>
        <v>1011312514</v>
      </c>
      <c r="D20363">
        <v>-10465.219999999999</v>
      </c>
    </row>
    <row r="20364" spans="1:4" x14ac:dyDescent="0.3">
      <c r="A20364" t="s">
        <v>1118</v>
      </c>
      <c r="B20364" t="s">
        <v>51</v>
      </c>
      <c r="C20364" s="1">
        <f>HYPERLINK("https://cao.dolgi.msk.ru/account/1011312725/", 1011312725)</f>
        <v>1011312725</v>
      </c>
      <c r="D20364">
        <v>16296.42</v>
      </c>
    </row>
    <row r="20365" spans="1:4" hidden="1" x14ac:dyDescent="0.3">
      <c r="A20365" t="s">
        <v>1118</v>
      </c>
      <c r="B20365" t="s">
        <v>52</v>
      </c>
      <c r="C20365" s="1">
        <f>HYPERLINK("https://cao.dolgi.msk.ru/account/1011312573/", 1011312573)</f>
        <v>1011312573</v>
      </c>
      <c r="D20365">
        <v>0</v>
      </c>
    </row>
    <row r="20366" spans="1:4" hidden="1" x14ac:dyDescent="0.3">
      <c r="A20366" t="s">
        <v>1118</v>
      </c>
      <c r="B20366" t="s">
        <v>53</v>
      </c>
      <c r="C20366" s="1">
        <f>HYPERLINK("https://cao.dolgi.msk.ru/account/1011312709/", 1011312709)</f>
        <v>1011312709</v>
      </c>
      <c r="D20366">
        <v>-4242.58</v>
      </c>
    </row>
    <row r="20367" spans="1:4" hidden="1" x14ac:dyDescent="0.3">
      <c r="A20367" t="s">
        <v>1118</v>
      </c>
      <c r="B20367" t="s">
        <v>54</v>
      </c>
      <c r="C20367" s="1">
        <f>HYPERLINK("https://cao.dolgi.msk.ru/account/1011312506/", 1011312506)</f>
        <v>1011312506</v>
      </c>
      <c r="D20367">
        <v>0</v>
      </c>
    </row>
    <row r="20368" spans="1:4" hidden="1" x14ac:dyDescent="0.3">
      <c r="A20368" t="s">
        <v>1118</v>
      </c>
      <c r="B20368" t="s">
        <v>55</v>
      </c>
      <c r="C20368" s="1">
        <f>HYPERLINK("https://cao.dolgi.msk.ru/account/1011312602/", 1011312602)</f>
        <v>1011312602</v>
      </c>
      <c r="D20368">
        <v>0</v>
      </c>
    </row>
    <row r="20369" spans="1:4" hidden="1" x14ac:dyDescent="0.3">
      <c r="A20369" t="s">
        <v>1118</v>
      </c>
      <c r="B20369" t="s">
        <v>56</v>
      </c>
      <c r="C20369" s="1">
        <f>HYPERLINK("https://cao.dolgi.msk.ru/account/1011312872/", 1011312872)</f>
        <v>1011312872</v>
      </c>
      <c r="D20369">
        <v>0</v>
      </c>
    </row>
    <row r="20370" spans="1:4" hidden="1" x14ac:dyDescent="0.3">
      <c r="A20370" t="s">
        <v>1118</v>
      </c>
      <c r="B20370" t="s">
        <v>87</v>
      </c>
      <c r="C20370" s="1">
        <f>HYPERLINK("https://cao.dolgi.msk.ru/account/1011312688/", 1011312688)</f>
        <v>1011312688</v>
      </c>
      <c r="D20370">
        <v>-1882.26</v>
      </c>
    </row>
    <row r="20371" spans="1:4" hidden="1" x14ac:dyDescent="0.3">
      <c r="A20371" t="s">
        <v>1118</v>
      </c>
      <c r="B20371" t="s">
        <v>88</v>
      </c>
      <c r="C20371" s="1">
        <f>HYPERLINK("https://cao.dolgi.msk.ru/account/1011312629/", 1011312629)</f>
        <v>1011312629</v>
      </c>
      <c r="D20371">
        <v>0</v>
      </c>
    </row>
    <row r="20372" spans="1:4" hidden="1" x14ac:dyDescent="0.3">
      <c r="A20372" t="s">
        <v>1118</v>
      </c>
      <c r="B20372" t="s">
        <v>89</v>
      </c>
      <c r="C20372" s="1">
        <f>HYPERLINK("https://cao.dolgi.msk.ru/account/1011312784/", 1011312784)</f>
        <v>1011312784</v>
      </c>
      <c r="D20372">
        <v>-516.38</v>
      </c>
    </row>
    <row r="20373" spans="1:4" x14ac:dyDescent="0.3">
      <c r="A20373" t="s">
        <v>1118</v>
      </c>
      <c r="B20373" t="s">
        <v>90</v>
      </c>
      <c r="C20373" s="1">
        <f>HYPERLINK("https://cao.dolgi.msk.ru/account/1011312485/", 1011312485)</f>
        <v>1011312485</v>
      </c>
      <c r="D20373">
        <v>3891.31</v>
      </c>
    </row>
    <row r="20374" spans="1:4" hidden="1" x14ac:dyDescent="0.3">
      <c r="A20374" t="s">
        <v>1119</v>
      </c>
      <c r="B20374" t="s">
        <v>98</v>
      </c>
      <c r="C20374" s="1">
        <f>HYPERLINK("https://cao.dolgi.msk.ru/account/1011117268/", 1011117268)</f>
        <v>1011117268</v>
      </c>
      <c r="D20374">
        <v>0</v>
      </c>
    </row>
    <row r="20375" spans="1:4" hidden="1" x14ac:dyDescent="0.3">
      <c r="A20375" t="s">
        <v>1119</v>
      </c>
      <c r="B20375" t="s">
        <v>58</v>
      </c>
      <c r="C20375" s="1">
        <f>HYPERLINK("https://cao.dolgi.msk.ru/account/1011117276/", 1011117276)</f>
        <v>1011117276</v>
      </c>
      <c r="D20375">
        <v>0</v>
      </c>
    </row>
    <row r="20376" spans="1:4" x14ac:dyDescent="0.3">
      <c r="A20376" t="s">
        <v>1119</v>
      </c>
      <c r="B20376" t="s">
        <v>59</v>
      </c>
      <c r="C20376" s="1">
        <f>HYPERLINK("https://cao.dolgi.msk.ru/account/1011117284/", 1011117284)</f>
        <v>1011117284</v>
      </c>
      <c r="D20376">
        <v>6481.42</v>
      </c>
    </row>
    <row r="20377" spans="1:4" hidden="1" x14ac:dyDescent="0.3">
      <c r="A20377" t="s">
        <v>1119</v>
      </c>
      <c r="B20377" t="s">
        <v>60</v>
      </c>
      <c r="C20377" s="1">
        <f>HYPERLINK("https://cao.dolgi.msk.ru/account/1011117292/", 1011117292)</f>
        <v>1011117292</v>
      </c>
      <c r="D20377">
        <v>0</v>
      </c>
    </row>
    <row r="20378" spans="1:4" hidden="1" x14ac:dyDescent="0.3">
      <c r="A20378" t="s">
        <v>1119</v>
      </c>
      <c r="B20378" t="s">
        <v>61</v>
      </c>
      <c r="C20378" s="1">
        <f>HYPERLINK("https://cao.dolgi.msk.ru/account/1011117305/", 1011117305)</f>
        <v>1011117305</v>
      </c>
      <c r="D20378">
        <v>-7569.66</v>
      </c>
    </row>
    <row r="20379" spans="1:4" hidden="1" x14ac:dyDescent="0.3">
      <c r="A20379" t="s">
        <v>1119</v>
      </c>
      <c r="B20379" t="s">
        <v>62</v>
      </c>
      <c r="C20379" s="1">
        <f>HYPERLINK("https://cao.dolgi.msk.ru/account/1011117313/", 1011117313)</f>
        <v>1011117313</v>
      </c>
      <c r="D20379">
        <v>-9182.27</v>
      </c>
    </row>
    <row r="20380" spans="1:4" hidden="1" x14ac:dyDescent="0.3">
      <c r="A20380" t="s">
        <v>1119</v>
      </c>
      <c r="B20380" t="s">
        <v>63</v>
      </c>
      <c r="C20380" s="1">
        <f>HYPERLINK("https://cao.dolgi.msk.ru/account/1011117321/", 1011117321)</f>
        <v>1011117321</v>
      </c>
      <c r="D20380">
        <v>-7208.42</v>
      </c>
    </row>
    <row r="20381" spans="1:4" hidden="1" x14ac:dyDescent="0.3">
      <c r="A20381" t="s">
        <v>1119</v>
      </c>
      <c r="B20381" t="s">
        <v>64</v>
      </c>
      <c r="C20381" s="1">
        <f>HYPERLINK("https://cao.dolgi.msk.ru/account/1011117348/", 1011117348)</f>
        <v>1011117348</v>
      </c>
      <c r="D20381">
        <v>-7241.87</v>
      </c>
    </row>
    <row r="20382" spans="1:4" hidden="1" x14ac:dyDescent="0.3">
      <c r="A20382" t="s">
        <v>1119</v>
      </c>
      <c r="B20382" t="s">
        <v>65</v>
      </c>
      <c r="C20382" s="1">
        <f>HYPERLINK("https://cao.dolgi.msk.ru/account/1011117356/", 1011117356)</f>
        <v>1011117356</v>
      </c>
      <c r="D20382">
        <v>0</v>
      </c>
    </row>
    <row r="20383" spans="1:4" x14ac:dyDescent="0.3">
      <c r="A20383" t="s">
        <v>1119</v>
      </c>
      <c r="B20383" t="s">
        <v>66</v>
      </c>
      <c r="C20383" s="1">
        <f>HYPERLINK("https://cao.dolgi.msk.ru/account/1011117364/", 1011117364)</f>
        <v>1011117364</v>
      </c>
      <c r="D20383">
        <v>96940.75</v>
      </c>
    </row>
    <row r="20384" spans="1:4" hidden="1" x14ac:dyDescent="0.3">
      <c r="A20384" t="s">
        <v>1120</v>
      </c>
      <c r="B20384" t="s">
        <v>35</v>
      </c>
      <c r="C20384" s="1">
        <f>HYPERLINK("https://cao.dolgi.msk.ru/account/1011505869/", 1011505869)</f>
        <v>1011505869</v>
      </c>
      <c r="D20384">
        <v>0</v>
      </c>
    </row>
    <row r="20385" spans="1:4" hidden="1" x14ac:dyDescent="0.3">
      <c r="A20385" t="s">
        <v>1120</v>
      </c>
      <c r="B20385" t="s">
        <v>5</v>
      </c>
      <c r="C20385" s="1">
        <f>HYPERLINK("https://cao.dolgi.msk.ru/account/1011359697/", 1011359697)</f>
        <v>1011359697</v>
      </c>
      <c r="D20385">
        <v>-5407.72</v>
      </c>
    </row>
    <row r="20386" spans="1:4" hidden="1" x14ac:dyDescent="0.3">
      <c r="A20386" t="s">
        <v>1120</v>
      </c>
      <c r="B20386" t="s">
        <v>7</v>
      </c>
      <c r="C20386" s="1">
        <f>HYPERLINK("https://cao.dolgi.msk.ru/account/1011359611/", 1011359611)</f>
        <v>1011359611</v>
      </c>
      <c r="D20386">
        <v>-2317.5500000000002</v>
      </c>
    </row>
    <row r="20387" spans="1:4" hidden="1" x14ac:dyDescent="0.3">
      <c r="A20387" t="s">
        <v>1120</v>
      </c>
      <c r="B20387" t="s">
        <v>819</v>
      </c>
      <c r="C20387" s="1">
        <f>HYPERLINK("https://cao.dolgi.msk.ru/account/1011512356/", 1011512356)</f>
        <v>1011512356</v>
      </c>
      <c r="D20387">
        <v>-788.38</v>
      </c>
    </row>
    <row r="20388" spans="1:4" hidden="1" x14ac:dyDescent="0.3">
      <c r="A20388" t="s">
        <v>1120</v>
      </c>
      <c r="B20388" t="s">
        <v>8</v>
      </c>
      <c r="C20388" s="1">
        <f>HYPERLINK("https://cao.dolgi.msk.ru/account/1011117399/", 1011117399)</f>
        <v>1011117399</v>
      </c>
      <c r="D20388">
        <v>-8411.1299999999992</v>
      </c>
    </row>
    <row r="20389" spans="1:4" hidden="1" x14ac:dyDescent="0.3">
      <c r="A20389" t="s">
        <v>1120</v>
      </c>
      <c r="B20389" t="s">
        <v>31</v>
      </c>
      <c r="C20389" s="1">
        <f>HYPERLINK("https://cao.dolgi.msk.ru/account/1011117401/", 1011117401)</f>
        <v>1011117401</v>
      </c>
      <c r="D20389">
        <v>-937.21</v>
      </c>
    </row>
    <row r="20390" spans="1:4" x14ac:dyDescent="0.3">
      <c r="A20390" t="s">
        <v>1120</v>
      </c>
      <c r="B20390" t="s">
        <v>9</v>
      </c>
      <c r="C20390" s="1">
        <f>HYPERLINK("https://cao.dolgi.msk.ru/account/1011117428/", 1011117428)</f>
        <v>1011117428</v>
      </c>
      <c r="D20390">
        <v>3710.08</v>
      </c>
    </row>
    <row r="20391" spans="1:4" x14ac:dyDescent="0.3">
      <c r="A20391" t="s">
        <v>1120</v>
      </c>
      <c r="B20391" t="s">
        <v>10</v>
      </c>
      <c r="C20391" s="1">
        <f>HYPERLINK("https://cao.dolgi.msk.ru/account/1011514191/", 1011514191)</f>
        <v>1011514191</v>
      </c>
      <c r="D20391">
        <v>5740.17</v>
      </c>
    </row>
    <row r="20392" spans="1:4" hidden="1" x14ac:dyDescent="0.3">
      <c r="A20392" t="s">
        <v>1120</v>
      </c>
      <c r="B20392" t="s">
        <v>11</v>
      </c>
      <c r="C20392" s="1">
        <f>HYPERLINK("https://cao.dolgi.msk.ru/account/1011504161/", 1011504161)</f>
        <v>1011504161</v>
      </c>
      <c r="D20392">
        <v>0</v>
      </c>
    </row>
    <row r="20393" spans="1:4" x14ac:dyDescent="0.3">
      <c r="A20393" t="s">
        <v>1120</v>
      </c>
      <c r="B20393" t="s">
        <v>23</v>
      </c>
      <c r="C20393" s="1">
        <f>HYPERLINK("https://cao.dolgi.msk.ru/account/1011359689/", 1011359689)</f>
        <v>1011359689</v>
      </c>
      <c r="D20393">
        <v>19114.45</v>
      </c>
    </row>
    <row r="20394" spans="1:4" hidden="1" x14ac:dyDescent="0.3">
      <c r="A20394" t="s">
        <v>1120</v>
      </c>
      <c r="B20394" t="s">
        <v>13</v>
      </c>
      <c r="C20394" s="1">
        <f>HYPERLINK("https://cao.dolgi.msk.ru/account/1011117436/", 1011117436)</f>
        <v>1011117436</v>
      </c>
      <c r="D20394">
        <v>-7684.34</v>
      </c>
    </row>
    <row r="20395" spans="1:4" x14ac:dyDescent="0.3">
      <c r="A20395" t="s">
        <v>1120</v>
      </c>
      <c r="B20395" t="s">
        <v>14</v>
      </c>
      <c r="C20395" s="1">
        <f>HYPERLINK("https://cao.dolgi.msk.ru/account/1011117444/", 1011117444)</f>
        <v>1011117444</v>
      </c>
      <c r="D20395">
        <v>6564.52</v>
      </c>
    </row>
    <row r="20396" spans="1:4" hidden="1" x14ac:dyDescent="0.3">
      <c r="A20396" t="s">
        <v>1120</v>
      </c>
      <c r="B20396" t="s">
        <v>16</v>
      </c>
      <c r="C20396" s="1">
        <f>HYPERLINK("https://cao.dolgi.msk.ru/account/1011118076/", 1011118076)</f>
        <v>1011118076</v>
      </c>
      <c r="D20396">
        <v>-4039.84</v>
      </c>
    </row>
    <row r="20397" spans="1:4" x14ac:dyDescent="0.3">
      <c r="A20397" t="s">
        <v>1120</v>
      </c>
      <c r="B20397" t="s">
        <v>18</v>
      </c>
      <c r="C20397" s="1">
        <f>HYPERLINK("https://cao.dolgi.msk.ru/account/1011117452/", 1011117452)</f>
        <v>1011117452</v>
      </c>
      <c r="D20397">
        <v>105251.48</v>
      </c>
    </row>
    <row r="20398" spans="1:4" x14ac:dyDescent="0.3">
      <c r="A20398" t="s">
        <v>1120</v>
      </c>
      <c r="B20398" t="s">
        <v>19</v>
      </c>
      <c r="C20398" s="1">
        <f>HYPERLINK("https://cao.dolgi.msk.ru/account/1011117479/", 1011117479)</f>
        <v>1011117479</v>
      </c>
      <c r="D20398">
        <v>8883.9500000000007</v>
      </c>
    </row>
    <row r="20399" spans="1:4" hidden="1" x14ac:dyDescent="0.3">
      <c r="A20399" t="s">
        <v>1120</v>
      </c>
      <c r="B20399" t="s">
        <v>33</v>
      </c>
      <c r="C20399" s="1">
        <f>HYPERLINK("https://cao.dolgi.msk.ru/account/1011117487/", 1011117487)</f>
        <v>1011117487</v>
      </c>
      <c r="D20399">
        <v>-1492.2</v>
      </c>
    </row>
    <row r="20400" spans="1:4" hidden="1" x14ac:dyDescent="0.3">
      <c r="A20400" t="s">
        <v>1120</v>
      </c>
      <c r="B20400" t="s">
        <v>20</v>
      </c>
      <c r="C20400" s="1">
        <f>HYPERLINK("https://cao.dolgi.msk.ru/account/1011117495/", 1011117495)</f>
        <v>1011117495</v>
      </c>
      <c r="D20400">
        <v>-1169.3800000000001</v>
      </c>
    </row>
    <row r="20401" spans="1:4" hidden="1" x14ac:dyDescent="0.3">
      <c r="A20401" t="s">
        <v>1120</v>
      </c>
      <c r="B20401" t="s">
        <v>24</v>
      </c>
      <c r="C20401" s="1">
        <f>HYPERLINK("https://cao.dolgi.msk.ru/account/1011117508/", 1011117508)</f>
        <v>1011117508</v>
      </c>
      <c r="D20401">
        <v>-35001.99</v>
      </c>
    </row>
    <row r="20402" spans="1:4" hidden="1" x14ac:dyDescent="0.3">
      <c r="A20402" t="s">
        <v>1120</v>
      </c>
      <c r="B20402" t="s">
        <v>25</v>
      </c>
      <c r="C20402" s="1">
        <f>HYPERLINK("https://cao.dolgi.msk.ru/account/1011120483/", 1011120483)</f>
        <v>1011120483</v>
      </c>
      <c r="D20402">
        <v>-1516.57</v>
      </c>
    </row>
    <row r="20403" spans="1:4" hidden="1" x14ac:dyDescent="0.3">
      <c r="A20403" t="s">
        <v>1120</v>
      </c>
      <c r="B20403" t="s">
        <v>26</v>
      </c>
      <c r="C20403" s="1">
        <f>HYPERLINK("https://cao.dolgi.msk.ru/account/1011117516/", 1011117516)</f>
        <v>1011117516</v>
      </c>
      <c r="D20403">
        <v>-7905.59</v>
      </c>
    </row>
    <row r="20404" spans="1:4" hidden="1" x14ac:dyDescent="0.3">
      <c r="A20404" t="s">
        <v>1120</v>
      </c>
      <c r="B20404" t="s">
        <v>27</v>
      </c>
      <c r="C20404" s="1">
        <f>HYPERLINK("https://cao.dolgi.msk.ru/account/1011117524/", 1011117524)</f>
        <v>1011117524</v>
      </c>
      <c r="D20404">
        <v>-41173.949999999997</v>
      </c>
    </row>
    <row r="20405" spans="1:4" hidden="1" x14ac:dyDescent="0.3">
      <c r="A20405" t="s">
        <v>1120</v>
      </c>
      <c r="B20405" t="s">
        <v>29</v>
      </c>
      <c r="C20405" s="1">
        <f>HYPERLINK("https://cao.dolgi.msk.ru/account/1011359638/", 1011359638)</f>
        <v>1011359638</v>
      </c>
      <c r="D20405">
        <v>-5418.99</v>
      </c>
    </row>
    <row r="20406" spans="1:4" x14ac:dyDescent="0.3">
      <c r="A20406" t="s">
        <v>1120</v>
      </c>
      <c r="B20406" t="s">
        <v>38</v>
      </c>
      <c r="C20406" s="1">
        <f>HYPERLINK("https://cao.dolgi.msk.ru/account/1011117532/", 1011117532)</f>
        <v>1011117532</v>
      </c>
      <c r="D20406">
        <v>33008.75</v>
      </c>
    </row>
    <row r="20407" spans="1:4" x14ac:dyDescent="0.3">
      <c r="A20407" t="s">
        <v>1120</v>
      </c>
      <c r="B20407" t="s">
        <v>39</v>
      </c>
      <c r="C20407" s="1">
        <f>HYPERLINK("https://cao.dolgi.msk.ru/account/1011117559/", 1011117559)</f>
        <v>1011117559</v>
      </c>
      <c r="D20407">
        <v>757.98</v>
      </c>
    </row>
    <row r="20408" spans="1:4" hidden="1" x14ac:dyDescent="0.3">
      <c r="A20408" t="s">
        <v>1120</v>
      </c>
      <c r="B20408" t="s">
        <v>40</v>
      </c>
      <c r="C20408" s="1">
        <f>HYPERLINK("https://cao.dolgi.msk.ru/account/1011117567/", 1011117567)</f>
        <v>1011117567</v>
      </c>
      <c r="D20408">
        <v>-6157.41</v>
      </c>
    </row>
    <row r="20409" spans="1:4" hidden="1" x14ac:dyDescent="0.3">
      <c r="A20409" t="s">
        <v>1120</v>
      </c>
      <c r="B20409" t="s">
        <v>41</v>
      </c>
      <c r="C20409" s="1">
        <f>HYPERLINK("https://cao.dolgi.msk.ru/account/1011359646/", 1011359646)</f>
        <v>1011359646</v>
      </c>
      <c r="D20409">
        <v>-8448.8799999999992</v>
      </c>
    </row>
    <row r="20410" spans="1:4" hidden="1" x14ac:dyDescent="0.3">
      <c r="A20410" t="s">
        <v>1121</v>
      </c>
      <c r="B20410" t="s">
        <v>6</v>
      </c>
      <c r="C20410" s="1">
        <f>HYPERLINK("https://cao.dolgi.msk.ru/account/1011356437/", 1011356437)</f>
        <v>1011356437</v>
      </c>
      <c r="D20410">
        <v>0</v>
      </c>
    </row>
    <row r="20411" spans="1:4" hidden="1" x14ac:dyDescent="0.3">
      <c r="A20411" t="s">
        <v>1121</v>
      </c>
      <c r="B20411" t="s">
        <v>28</v>
      </c>
      <c r="C20411" s="1">
        <f>HYPERLINK("https://cao.dolgi.msk.ru/account/1011356189/", 1011356189)</f>
        <v>1011356189</v>
      </c>
      <c r="D20411">
        <v>0</v>
      </c>
    </row>
    <row r="20412" spans="1:4" hidden="1" x14ac:dyDescent="0.3">
      <c r="A20412" t="s">
        <v>1121</v>
      </c>
      <c r="B20412" t="s">
        <v>35</v>
      </c>
      <c r="C20412" s="1">
        <f>HYPERLINK("https://cao.dolgi.msk.ru/account/1011356533/", 1011356533)</f>
        <v>1011356533</v>
      </c>
      <c r="D20412">
        <v>-3971.93</v>
      </c>
    </row>
    <row r="20413" spans="1:4" hidden="1" x14ac:dyDescent="0.3">
      <c r="A20413" t="s">
        <v>1121</v>
      </c>
      <c r="B20413" t="s">
        <v>5</v>
      </c>
      <c r="C20413" s="1">
        <f>HYPERLINK("https://cao.dolgi.msk.ru/account/1011356701/", 1011356701)</f>
        <v>1011356701</v>
      </c>
      <c r="D20413">
        <v>0</v>
      </c>
    </row>
    <row r="20414" spans="1:4" hidden="1" x14ac:dyDescent="0.3">
      <c r="A20414" t="s">
        <v>1121</v>
      </c>
      <c r="B20414" t="s">
        <v>7</v>
      </c>
      <c r="C20414" s="1">
        <f>HYPERLINK("https://cao.dolgi.msk.ru/account/1011356445/", 1011356445)</f>
        <v>1011356445</v>
      </c>
      <c r="D20414">
        <v>-4921.59</v>
      </c>
    </row>
    <row r="20415" spans="1:4" hidden="1" x14ac:dyDescent="0.3">
      <c r="A20415" t="s">
        <v>1121</v>
      </c>
      <c r="B20415" t="s">
        <v>8</v>
      </c>
      <c r="C20415" s="1">
        <f>HYPERLINK("https://cao.dolgi.msk.ru/account/1011356242/", 1011356242)</f>
        <v>1011356242</v>
      </c>
      <c r="D20415">
        <v>-5497.23</v>
      </c>
    </row>
    <row r="20416" spans="1:4" hidden="1" x14ac:dyDescent="0.3">
      <c r="A20416" t="s">
        <v>1121</v>
      </c>
      <c r="B20416" t="s">
        <v>31</v>
      </c>
      <c r="C20416" s="1">
        <f>HYPERLINK("https://cao.dolgi.msk.ru/account/1011356138/", 1011356138)</f>
        <v>1011356138</v>
      </c>
      <c r="D20416">
        <v>-2345.04</v>
      </c>
    </row>
    <row r="20417" spans="1:4" hidden="1" x14ac:dyDescent="0.3">
      <c r="A20417" t="s">
        <v>1121</v>
      </c>
      <c r="B20417" t="s">
        <v>9</v>
      </c>
      <c r="C20417" s="1">
        <f>HYPERLINK("https://cao.dolgi.msk.ru/account/1011356269/", 1011356269)</f>
        <v>1011356269</v>
      </c>
      <c r="D20417">
        <v>0</v>
      </c>
    </row>
    <row r="20418" spans="1:4" hidden="1" x14ac:dyDescent="0.3">
      <c r="A20418" t="s">
        <v>1121</v>
      </c>
      <c r="B20418" t="s">
        <v>10</v>
      </c>
      <c r="C20418" s="1">
        <f>HYPERLINK("https://cao.dolgi.msk.ru/account/1011356453/", 1011356453)</f>
        <v>1011356453</v>
      </c>
      <c r="D20418">
        <v>0</v>
      </c>
    </row>
    <row r="20419" spans="1:4" x14ac:dyDescent="0.3">
      <c r="A20419" t="s">
        <v>1121</v>
      </c>
      <c r="B20419" t="s">
        <v>11</v>
      </c>
      <c r="C20419" s="1">
        <f>HYPERLINK("https://cao.dolgi.msk.ru/account/1011356314/", 1011356314)</f>
        <v>1011356314</v>
      </c>
      <c r="D20419">
        <v>5269.62</v>
      </c>
    </row>
    <row r="20420" spans="1:4" hidden="1" x14ac:dyDescent="0.3">
      <c r="A20420" t="s">
        <v>1121</v>
      </c>
      <c r="B20420" t="s">
        <v>12</v>
      </c>
      <c r="C20420" s="1">
        <f>HYPERLINK("https://cao.dolgi.msk.ru/account/1011356541/", 1011356541)</f>
        <v>1011356541</v>
      </c>
      <c r="D20420">
        <v>0</v>
      </c>
    </row>
    <row r="20421" spans="1:4" hidden="1" x14ac:dyDescent="0.3">
      <c r="A20421" t="s">
        <v>1121</v>
      </c>
      <c r="B20421" t="s">
        <v>23</v>
      </c>
      <c r="C20421" s="1">
        <f>HYPERLINK("https://cao.dolgi.msk.ru/account/1011356509/", 1011356509)</f>
        <v>1011356509</v>
      </c>
      <c r="D20421">
        <v>-4620.68</v>
      </c>
    </row>
    <row r="20422" spans="1:4" hidden="1" x14ac:dyDescent="0.3">
      <c r="A20422" t="s">
        <v>1121</v>
      </c>
      <c r="B20422" t="s">
        <v>13</v>
      </c>
      <c r="C20422" s="1">
        <f>HYPERLINK("https://cao.dolgi.msk.ru/account/1011356787/", 1011356787)</f>
        <v>1011356787</v>
      </c>
      <c r="D20422">
        <v>-6434.17</v>
      </c>
    </row>
    <row r="20423" spans="1:4" hidden="1" x14ac:dyDescent="0.3">
      <c r="A20423" t="s">
        <v>1121</v>
      </c>
      <c r="B20423" t="s">
        <v>14</v>
      </c>
      <c r="C20423" s="1">
        <f>HYPERLINK("https://cao.dolgi.msk.ru/account/1011356517/", 1011356517)</f>
        <v>1011356517</v>
      </c>
      <c r="D20423">
        <v>-422.18</v>
      </c>
    </row>
    <row r="20424" spans="1:4" hidden="1" x14ac:dyDescent="0.3">
      <c r="A20424" t="s">
        <v>1121</v>
      </c>
      <c r="B20424" t="s">
        <v>16</v>
      </c>
      <c r="C20424" s="1">
        <f>HYPERLINK("https://cao.dolgi.msk.ru/account/1011356322/", 1011356322)</f>
        <v>1011356322</v>
      </c>
      <c r="D20424">
        <v>0</v>
      </c>
    </row>
    <row r="20425" spans="1:4" hidden="1" x14ac:dyDescent="0.3">
      <c r="A20425" t="s">
        <v>1121</v>
      </c>
      <c r="B20425" t="s">
        <v>17</v>
      </c>
      <c r="C20425" s="1">
        <f>HYPERLINK("https://cao.dolgi.msk.ru/account/1011356808/", 1011356808)</f>
        <v>1011356808</v>
      </c>
      <c r="D20425">
        <v>0</v>
      </c>
    </row>
    <row r="20426" spans="1:4" hidden="1" x14ac:dyDescent="0.3">
      <c r="A20426" t="s">
        <v>1121</v>
      </c>
      <c r="B20426" t="s">
        <v>18</v>
      </c>
      <c r="C20426" s="1">
        <f>HYPERLINK("https://cao.dolgi.msk.ru/account/1011356365/", 1011356365)</f>
        <v>1011356365</v>
      </c>
      <c r="D20426">
        <v>-2868.26</v>
      </c>
    </row>
    <row r="20427" spans="1:4" hidden="1" x14ac:dyDescent="0.3">
      <c r="A20427" t="s">
        <v>1121</v>
      </c>
      <c r="B20427" t="s">
        <v>19</v>
      </c>
      <c r="C20427" s="1">
        <f>HYPERLINK("https://cao.dolgi.msk.ru/account/1011356277/", 1011356277)</f>
        <v>1011356277</v>
      </c>
      <c r="D20427">
        <v>0</v>
      </c>
    </row>
    <row r="20428" spans="1:4" hidden="1" x14ac:dyDescent="0.3">
      <c r="A20428" t="s">
        <v>1121</v>
      </c>
      <c r="B20428" t="s">
        <v>20</v>
      </c>
      <c r="C20428" s="1">
        <f>HYPERLINK("https://cao.dolgi.msk.ru/account/1011356402/", 1011356402)</f>
        <v>1011356402</v>
      </c>
      <c r="D20428">
        <v>0</v>
      </c>
    </row>
    <row r="20429" spans="1:4" hidden="1" x14ac:dyDescent="0.3">
      <c r="A20429" t="s">
        <v>1121</v>
      </c>
      <c r="B20429" t="s">
        <v>21</v>
      </c>
      <c r="C20429" s="1">
        <f>HYPERLINK("https://cao.dolgi.msk.ru/account/1011356074/", 1011356074)</f>
        <v>1011356074</v>
      </c>
      <c r="D20429">
        <v>0</v>
      </c>
    </row>
    <row r="20430" spans="1:4" hidden="1" x14ac:dyDescent="0.3">
      <c r="A20430" t="s">
        <v>1121</v>
      </c>
      <c r="B20430" t="s">
        <v>22</v>
      </c>
      <c r="C20430" s="1">
        <f>HYPERLINK("https://cao.dolgi.msk.ru/account/1011356162/", 1011356162)</f>
        <v>1011356162</v>
      </c>
      <c r="D20430">
        <v>0</v>
      </c>
    </row>
    <row r="20431" spans="1:4" x14ac:dyDescent="0.3">
      <c r="A20431" t="s">
        <v>1121</v>
      </c>
      <c r="B20431" t="s">
        <v>24</v>
      </c>
      <c r="C20431" s="1">
        <f>HYPERLINK("https://cao.dolgi.msk.ru/account/1011356197/", 1011356197)</f>
        <v>1011356197</v>
      </c>
      <c r="D20431">
        <v>109504.21</v>
      </c>
    </row>
    <row r="20432" spans="1:4" x14ac:dyDescent="0.3">
      <c r="A20432" t="s">
        <v>1121</v>
      </c>
      <c r="B20432" t="s">
        <v>25</v>
      </c>
      <c r="C20432" s="1">
        <f>HYPERLINK("https://cao.dolgi.msk.ru/account/1011356568/", 1011356568)</f>
        <v>1011356568</v>
      </c>
      <c r="D20432">
        <v>4446.93</v>
      </c>
    </row>
    <row r="20433" spans="1:4" x14ac:dyDescent="0.3">
      <c r="A20433" t="s">
        <v>1121</v>
      </c>
      <c r="B20433" t="s">
        <v>26</v>
      </c>
      <c r="C20433" s="1">
        <f>HYPERLINK("https://cao.dolgi.msk.ru/account/1011356285/", 1011356285)</f>
        <v>1011356285</v>
      </c>
      <c r="D20433">
        <v>4788.13</v>
      </c>
    </row>
    <row r="20434" spans="1:4" hidden="1" x14ac:dyDescent="0.3">
      <c r="A20434" t="s">
        <v>1121</v>
      </c>
      <c r="B20434" t="s">
        <v>27</v>
      </c>
      <c r="C20434" s="1">
        <f>HYPERLINK("https://cao.dolgi.msk.ru/account/1011356306/", 1011356306)</f>
        <v>1011356306</v>
      </c>
      <c r="D20434">
        <v>0</v>
      </c>
    </row>
    <row r="20435" spans="1:4" hidden="1" x14ac:dyDescent="0.3">
      <c r="A20435" t="s">
        <v>1121</v>
      </c>
      <c r="B20435" t="s">
        <v>29</v>
      </c>
      <c r="C20435" s="1">
        <f>HYPERLINK("https://cao.dolgi.msk.ru/account/1011356349/", 1011356349)</f>
        <v>1011356349</v>
      </c>
      <c r="D20435">
        <v>0</v>
      </c>
    </row>
    <row r="20436" spans="1:4" hidden="1" x14ac:dyDescent="0.3">
      <c r="A20436" t="s">
        <v>1121</v>
      </c>
      <c r="B20436" t="s">
        <v>38</v>
      </c>
      <c r="C20436" s="1">
        <f>HYPERLINK("https://cao.dolgi.msk.ru/account/1011356744/", 1011356744)</f>
        <v>1011356744</v>
      </c>
      <c r="D20436">
        <v>-6838.02</v>
      </c>
    </row>
    <row r="20437" spans="1:4" hidden="1" x14ac:dyDescent="0.3">
      <c r="A20437" t="s">
        <v>1121</v>
      </c>
      <c r="B20437" t="s">
        <v>39</v>
      </c>
      <c r="C20437" s="1">
        <f>HYPERLINK("https://cao.dolgi.msk.ru/account/1011356066/", 1011356066)</f>
        <v>1011356066</v>
      </c>
      <c r="D20437">
        <v>-4137.08</v>
      </c>
    </row>
    <row r="20438" spans="1:4" x14ac:dyDescent="0.3">
      <c r="A20438" t="s">
        <v>1121</v>
      </c>
      <c r="B20438" t="s">
        <v>40</v>
      </c>
      <c r="C20438" s="1">
        <f>HYPERLINK("https://cao.dolgi.msk.ru/account/1011356226/", 1011356226)</f>
        <v>1011356226</v>
      </c>
      <c r="D20438">
        <v>6275.67</v>
      </c>
    </row>
    <row r="20439" spans="1:4" x14ac:dyDescent="0.3">
      <c r="A20439" t="s">
        <v>1121</v>
      </c>
      <c r="B20439" t="s">
        <v>41</v>
      </c>
      <c r="C20439" s="1">
        <f>HYPERLINK("https://cao.dolgi.msk.ru/account/1011356154/", 1011356154)</f>
        <v>1011356154</v>
      </c>
      <c r="D20439">
        <v>24427.3</v>
      </c>
    </row>
    <row r="20440" spans="1:4" x14ac:dyDescent="0.3">
      <c r="A20440" t="s">
        <v>1121</v>
      </c>
      <c r="B20440" t="s">
        <v>51</v>
      </c>
      <c r="C20440" s="1">
        <f>HYPERLINK("https://cao.dolgi.msk.ru/account/1011356496/", 1011356496)</f>
        <v>1011356496</v>
      </c>
      <c r="D20440">
        <v>30724.12</v>
      </c>
    </row>
    <row r="20441" spans="1:4" hidden="1" x14ac:dyDescent="0.3">
      <c r="A20441" t="s">
        <v>1121</v>
      </c>
      <c r="B20441" t="s">
        <v>52</v>
      </c>
      <c r="C20441" s="1">
        <f>HYPERLINK("https://cao.dolgi.msk.ru/account/1011356103/", 1011356103)</f>
        <v>1011356103</v>
      </c>
      <c r="D20441">
        <v>0</v>
      </c>
    </row>
    <row r="20442" spans="1:4" hidden="1" x14ac:dyDescent="0.3">
      <c r="A20442" t="s">
        <v>1121</v>
      </c>
      <c r="B20442" t="s">
        <v>53</v>
      </c>
      <c r="C20442" s="1">
        <f>HYPERLINK("https://cao.dolgi.msk.ru/account/1011356664/", 1011356664)</f>
        <v>1011356664</v>
      </c>
      <c r="D20442">
        <v>-4367.08</v>
      </c>
    </row>
    <row r="20443" spans="1:4" hidden="1" x14ac:dyDescent="0.3">
      <c r="A20443" t="s">
        <v>1121</v>
      </c>
      <c r="B20443" t="s">
        <v>54</v>
      </c>
      <c r="C20443" s="1">
        <f>HYPERLINK("https://cao.dolgi.msk.ru/account/1011356381/", 1011356381)</f>
        <v>1011356381</v>
      </c>
      <c r="D20443">
        <v>0</v>
      </c>
    </row>
    <row r="20444" spans="1:4" hidden="1" x14ac:dyDescent="0.3">
      <c r="A20444" t="s">
        <v>1121</v>
      </c>
      <c r="B20444" t="s">
        <v>55</v>
      </c>
      <c r="C20444" s="1">
        <f>HYPERLINK("https://cao.dolgi.msk.ru/account/1011356218/", 1011356218)</f>
        <v>1011356218</v>
      </c>
      <c r="D20444">
        <v>0</v>
      </c>
    </row>
    <row r="20445" spans="1:4" hidden="1" x14ac:dyDescent="0.3">
      <c r="A20445" t="s">
        <v>1121</v>
      </c>
      <c r="B20445" t="s">
        <v>56</v>
      </c>
      <c r="C20445" s="1">
        <f>HYPERLINK("https://cao.dolgi.msk.ru/account/1011356752/", 1011356752)</f>
        <v>1011356752</v>
      </c>
      <c r="D20445">
        <v>-6016.93</v>
      </c>
    </row>
    <row r="20446" spans="1:4" hidden="1" x14ac:dyDescent="0.3">
      <c r="A20446" t="s">
        <v>1121</v>
      </c>
      <c r="B20446" t="s">
        <v>87</v>
      </c>
      <c r="C20446" s="1">
        <f>HYPERLINK("https://cao.dolgi.msk.ru/account/1011356779/", 1011356779)</f>
        <v>1011356779</v>
      </c>
      <c r="D20446">
        <v>-3964.19</v>
      </c>
    </row>
    <row r="20447" spans="1:4" hidden="1" x14ac:dyDescent="0.3">
      <c r="A20447" t="s">
        <v>1121</v>
      </c>
      <c r="B20447" t="s">
        <v>88</v>
      </c>
      <c r="C20447" s="1">
        <f>HYPERLINK("https://cao.dolgi.msk.ru/account/1011356656/", 1011356656)</f>
        <v>1011356656</v>
      </c>
      <c r="D20447">
        <v>-6563.3</v>
      </c>
    </row>
    <row r="20448" spans="1:4" hidden="1" x14ac:dyDescent="0.3">
      <c r="A20448" t="s">
        <v>1121</v>
      </c>
      <c r="B20448" t="s">
        <v>89</v>
      </c>
      <c r="C20448" s="1">
        <f>HYPERLINK("https://cao.dolgi.msk.ru/account/1011356605/", 1011356605)</f>
        <v>1011356605</v>
      </c>
      <c r="D20448">
        <v>-5728.3</v>
      </c>
    </row>
    <row r="20449" spans="1:4" x14ac:dyDescent="0.3">
      <c r="A20449" t="s">
        <v>1121</v>
      </c>
      <c r="B20449" t="s">
        <v>90</v>
      </c>
      <c r="C20449" s="1">
        <f>HYPERLINK("https://cao.dolgi.msk.ru/account/1011356584/", 1011356584)</f>
        <v>1011356584</v>
      </c>
      <c r="D20449">
        <v>4905.18</v>
      </c>
    </row>
    <row r="20450" spans="1:4" hidden="1" x14ac:dyDescent="0.3">
      <c r="A20450" t="s">
        <v>1121</v>
      </c>
      <c r="B20450" t="s">
        <v>96</v>
      </c>
      <c r="C20450" s="1">
        <f>HYPERLINK("https://cao.dolgi.msk.ru/account/1011356613/", 1011356613)</f>
        <v>1011356613</v>
      </c>
      <c r="D20450">
        <v>0</v>
      </c>
    </row>
    <row r="20451" spans="1:4" hidden="1" x14ac:dyDescent="0.3">
      <c r="A20451" t="s">
        <v>1121</v>
      </c>
      <c r="B20451" t="s">
        <v>97</v>
      </c>
      <c r="C20451" s="1">
        <f>HYPERLINK("https://cao.dolgi.msk.ru/account/1011356672/", 1011356672)</f>
        <v>1011356672</v>
      </c>
      <c r="D20451">
        <v>0</v>
      </c>
    </row>
    <row r="20452" spans="1:4" x14ac:dyDescent="0.3">
      <c r="A20452" t="s">
        <v>1121</v>
      </c>
      <c r="B20452" t="s">
        <v>98</v>
      </c>
      <c r="C20452" s="1">
        <f>HYPERLINK("https://cao.dolgi.msk.ru/account/1011356234/", 1011356234)</f>
        <v>1011356234</v>
      </c>
      <c r="D20452">
        <v>13598.69</v>
      </c>
    </row>
    <row r="20453" spans="1:4" hidden="1" x14ac:dyDescent="0.3">
      <c r="A20453" t="s">
        <v>1121</v>
      </c>
      <c r="B20453" t="s">
        <v>58</v>
      </c>
      <c r="C20453" s="1">
        <f>HYPERLINK("https://cao.dolgi.msk.ru/account/1011356621/", 1011356621)</f>
        <v>1011356621</v>
      </c>
      <c r="D20453">
        <v>-6842.02</v>
      </c>
    </row>
    <row r="20454" spans="1:4" hidden="1" x14ac:dyDescent="0.3">
      <c r="A20454" t="s">
        <v>1121</v>
      </c>
      <c r="B20454" t="s">
        <v>59</v>
      </c>
      <c r="C20454" s="1">
        <f>HYPERLINK("https://cao.dolgi.msk.ru/account/1011356082/", 1011356082)</f>
        <v>1011356082</v>
      </c>
      <c r="D20454">
        <v>-8000</v>
      </c>
    </row>
    <row r="20455" spans="1:4" hidden="1" x14ac:dyDescent="0.3">
      <c r="A20455" t="s">
        <v>1121</v>
      </c>
      <c r="B20455" t="s">
        <v>60</v>
      </c>
      <c r="C20455" s="1">
        <f>HYPERLINK("https://cao.dolgi.msk.ru/account/1011356699/", 1011356699)</f>
        <v>1011356699</v>
      </c>
      <c r="D20455">
        <v>-2945.23</v>
      </c>
    </row>
    <row r="20456" spans="1:4" x14ac:dyDescent="0.3">
      <c r="A20456" t="s">
        <v>1121</v>
      </c>
      <c r="B20456" t="s">
        <v>61</v>
      </c>
      <c r="C20456" s="1">
        <f>HYPERLINK("https://cao.dolgi.msk.ru/account/1011356795/", 1011356795)</f>
        <v>1011356795</v>
      </c>
      <c r="D20456">
        <v>13502.75</v>
      </c>
    </row>
    <row r="20457" spans="1:4" hidden="1" x14ac:dyDescent="0.3">
      <c r="A20457" t="s">
        <v>1121</v>
      </c>
      <c r="B20457" t="s">
        <v>62</v>
      </c>
      <c r="C20457" s="1">
        <f>HYPERLINK("https://cao.dolgi.msk.ru/account/1011356592/", 1011356592)</f>
        <v>1011356592</v>
      </c>
      <c r="D20457">
        <v>0</v>
      </c>
    </row>
    <row r="20458" spans="1:4" hidden="1" x14ac:dyDescent="0.3">
      <c r="A20458" t="s">
        <v>1121</v>
      </c>
      <c r="B20458" t="s">
        <v>63</v>
      </c>
      <c r="C20458" s="1">
        <f>HYPERLINK("https://cao.dolgi.msk.ru/account/1011356576/", 1011356576)</f>
        <v>1011356576</v>
      </c>
      <c r="D20458">
        <v>0</v>
      </c>
    </row>
    <row r="20459" spans="1:4" hidden="1" x14ac:dyDescent="0.3">
      <c r="A20459" t="s">
        <v>1121</v>
      </c>
      <c r="B20459" t="s">
        <v>64</v>
      </c>
      <c r="C20459" s="1">
        <f>HYPERLINK("https://cao.dolgi.msk.ru/account/1011356373/", 1011356373)</f>
        <v>1011356373</v>
      </c>
      <c r="D20459">
        <v>-4398.82</v>
      </c>
    </row>
    <row r="20460" spans="1:4" hidden="1" x14ac:dyDescent="0.3">
      <c r="A20460" t="s">
        <v>1121</v>
      </c>
      <c r="B20460" t="s">
        <v>65</v>
      </c>
      <c r="C20460" s="1">
        <f>HYPERLINK("https://cao.dolgi.msk.ru/account/1011356525/", 1011356525)</f>
        <v>1011356525</v>
      </c>
      <c r="D20460">
        <v>-136.81</v>
      </c>
    </row>
    <row r="20461" spans="1:4" hidden="1" x14ac:dyDescent="0.3">
      <c r="A20461" t="s">
        <v>1121</v>
      </c>
      <c r="B20461" t="s">
        <v>66</v>
      </c>
      <c r="C20461" s="1">
        <f>HYPERLINK("https://cao.dolgi.msk.ru/account/1011356736/", 1011356736)</f>
        <v>1011356736</v>
      </c>
      <c r="D20461">
        <v>-3689.39</v>
      </c>
    </row>
    <row r="20462" spans="1:4" hidden="1" x14ac:dyDescent="0.3">
      <c r="A20462" t="s">
        <v>1121</v>
      </c>
      <c r="B20462" t="s">
        <v>67</v>
      </c>
      <c r="C20462" s="1">
        <f>HYPERLINK("https://cao.dolgi.msk.ru/account/1011356429/", 1011356429)</f>
        <v>1011356429</v>
      </c>
      <c r="D20462">
        <v>0</v>
      </c>
    </row>
    <row r="20463" spans="1:4" hidden="1" x14ac:dyDescent="0.3">
      <c r="A20463" t="s">
        <v>1121</v>
      </c>
      <c r="B20463" t="s">
        <v>68</v>
      </c>
      <c r="C20463" s="1">
        <f>HYPERLINK("https://cao.dolgi.msk.ru/account/1011356111/", 1011356111)</f>
        <v>1011356111</v>
      </c>
      <c r="D20463">
        <v>0</v>
      </c>
    </row>
    <row r="20464" spans="1:4" x14ac:dyDescent="0.3">
      <c r="A20464" t="s">
        <v>1121</v>
      </c>
      <c r="B20464" t="s">
        <v>69</v>
      </c>
      <c r="C20464" s="1">
        <f>HYPERLINK("https://cao.dolgi.msk.ru/account/1011356293/", 1011356293)</f>
        <v>1011356293</v>
      </c>
      <c r="D20464">
        <v>9567.6299999999992</v>
      </c>
    </row>
    <row r="20465" spans="1:4" hidden="1" x14ac:dyDescent="0.3">
      <c r="A20465" t="s">
        <v>1121</v>
      </c>
      <c r="B20465" t="s">
        <v>70</v>
      </c>
      <c r="C20465" s="1">
        <f>HYPERLINK("https://cao.dolgi.msk.ru/account/1011356648/", 1011356648)</f>
        <v>1011356648</v>
      </c>
      <c r="D20465">
        <v>0</v>
      </c>
    </row>
    <row r="20466" spans="1:4" x14ac:dyDescent="0.3">
      <c r="A20466" t="s">
        <v>1121</v>
      </c>
      <c r="B20466" t="s">
        <v>259</v>
      </c>
      <c r="C20466" s="1">
        <f>HYPERLINK("https://cao.dolgi.msk.ru/account/1011356488/", 1011356488)</f>
        <v>1011356488</v>
      </c>
      <c r="D20466">
        <v>10602.06</v>
      </c>
    </row>
    <row r="20467" spans="1:4" hidden="1" x14ac:dyDescent="0.3">
      <c r="A20467" t="s">
        <v>1121</v>
      </c>
      <c r="B20467" t="s">
        <v>100</v>
      </c>
      <c r="C20467" s="1">
        <f>HYPERLINK("https://cao.dolgi.msk.ru/account/1011356728/", 1011356728)</f>
        <v>1011356728</v>
      </c>
      <c r="D20467">
        <v>0</v>
      </c>
    </row>
    <row r="20468" spans="1:4" hidden="1" x14ac:dyDescent="0.3">
      <c r="A20468" t="s">
        <v>1121</v>
      </c>
      <c r="B20468" t="s">
        <v>72</v>
      </c>
      <c r="C20468" s="1">
        <f>HYPERLINK("https://cao.dolgi.msk.ru/account/1011356146/", 1011356146)</f>
        <v>1011356146</v>
      </c>
      <c r="D20468">
        <v>-5392.83</v>
      </c>
    </row>
    <row r="20469" spans="1:4" hidden="1" x14ac:dyDescent="0.3">
      <c r="A20469" t="s">
        <v>1121</v>
      </c>
      <c r="B20469" t="s">
        <v>73</v>
      </c>
      <c r="C20469" s="1">
        <f>HYPERLINK("https://cao.dolgi.msk.ru/account/1011356461/", 1011356461)</f>
        <v>1011356461</v>
      </c>
      <c r="D20469">
        <v>-363.36</v>
      </c>
    </row>
    <row r="20470" spans="1:4" hidden="1" x14ac:dyDescent="0.3">
      <c r="A20470" t="s">
        <v>1122</v>
      </c>
      <c r="B20470" t="s">
        <v>6</v>
      </c>
      <c r="C20470" s="1">
        <f>HYPERLINK("https://cao.dolgi.msk.ru/account/1011322157/", 1011322157)</f>
        <v>1011322157</v>
      </c>
      <c r="D20470">
        <v>-1413.6</v>
      </c>
    </row>
    <row r="20471" spans="1:4" hidden="1" x14ac:dyDescent="0.3">
      <c r="A20471" t="s">
        <v>1122</v>
      </c>
      <c r="B20471" t="s">
        <v>28</v>
      </c>
      <c r="C20471" s="1">
        <f>HYPERLINK("https://cao.dolgi.msk.ru/account/1011322165/", 1011322165)</f>
        <v>1011322165</v>
      </c>
      <c r="D20471">
        <v>0</v>
      </c>
    </row>
    <row r="20472" spans="1:4" x14ac:dyDescent="0.3">
      <c r="A20472" t="s">
        <v>1122</v>
      </c>
      <c r="B20472" t="s">
        <v>35</v>
      </c>
      <c r="C20472" s="1">
        <f>HYPERLINK("https://cao.dolgi.msk.ru/account/1011321306/", 1011321306)</f>
        <v>1011321306</v>
      </c>
      <c r="D20472">
        <v>7444.77</v>
      </c>
    </row>
    <row r="20473" spans="1:4" x14ac:dyDescent="0.3">
      <c r="A20473" t="s">
        <v>1122</v>
      </c>
      <c r="B20473" t="s">
        <v>5</v>
      </c>
      <c r="C20473" s="1">
        <f>HYPERLINK("https://cao.dolgi.msk.ru/account/1011320813/", 1011320813)</f>
        <v>1011320813</v>
      </c>
      <c r="D20473">
        <v>7354.1</v>
      </c>
    </row>
    <row r="20474" spans="1:4" x14ac:dyDescent="0.3">
      <c r="A20474" t="s">
        <v>1122</v>
      </c>
      <c r="B20474" t="s">
        <v>7</v>
      </c>
      <c r="C20474" s="1">
        <f>HYPERLINK("https://cao.dolgi.msk.ru/account/1011322595/", 1011322595)</f>
        <v>1011322595</v>
      </c>
      <c r="D20474">
        <v>38792.92</v>
      </c>
    </row>
    <row r="20475" spans="1:4" hidden="1" x14ac:dyDescent="0.3">
      <c r="A20475" t="s">
        <v>1122</v>
      </c>
      <c r="B20475" t="s">
        <v>8</v>
      </c>
      <c r="C20475" s="1">
        <f>HYPERLINK("https://cao.dolgi.msk.ru/account/1011322173/", 1011322173)</f>
        <v>1011322173</v>
      </c>
      <c r="D20475">
        <v>0</v>
      </c>
    </row>
    <row r="20476" spans="1:4" hidden="1" x14ac:dyDescent="0.3">
      <c r="A20476" t="s">
        <v>1122</v>
      </c>
      <c r="B20476" t="s">
        <v>31</v>
      </c>
      <c r="C20476" s="1">
        <f>HYPERLINK("https://cao.dolgi.msk.ru/account/1011321656/", 1011321656)</f>
        <v>1011321656</v>
      </c>
      <c r="D20476">
        <v>0</v>
      </c>
    </row>
    <row r="20477" spans="1:4" hidden="1" x14ac:dyDescent="0.3">
      <c r="A20477" t="s">
        <v>1122</v>
      </c>
      <c r="B20477" t="s">
        <v>9</v>
      </c>
      <c r="C20477" s="1">
        <f>HYPERLINK("https://cao.dolgi.msk.ru/account/1011318692/", 1011318692)</f>
        <v>1011318692</v>
      </c>
      <c r="D20477">
        <v>0</v>
      </c>
    </row>
    <row r="20478" spans="1:4" hidden="1" x14ac:dyDescent="0.3">
      <c r="A20478" t="s">
        <v>1122</v>
      </c>
      <c r="B20478" t="s">
        <v>10</v>
      </c>
      <c r="C20478" s="1">
        <f>HYPERLINK("https://cao.dolgi.msk.ru/account/1011322181/", 1011322181)</f>
        <v>1011322181</v>
      </c>
      <c r="D20478">
        <v>-4440.5</v>
      </c>
    </row>
    <row r="20479" spans="1:4" hidden="1" x14ac:dyDescent="0.3">
      <c r="A20479" t="s">
        <v>1122</v>
      </c>
      <c r="B20479" t="s">
        <v>11</v>
      </c>
      <c r="C20479" s="1">
        <f>HYPERLINK("https://cao.dolgi.msk.ru/account/1011320821/", 1011320821)</f>
        <v>1011320821</v>
      </c>
      <c r="D20479">
        <v>-9258.14</v>
      </c>
    </row>
    <row r="20480" spans="1:4" hidden="1" x14ac:dyDescent="0.3">
      <c r="A20480" t="s">
        <v>1122</v>
      </c>
      <c r="B20480" t="s">
        <v>12</v>
      </c>
      <c r="C20480" s="1">
        <f>HYPERLINK("https://cao.dolgi.msk.ru/account/1011321664/", 1011321664)</f>
        <v>1011321664</v>
      </c>
      <c r="D20480">
        <v>0</v>
      </c>
    </row>
    <row r="20481" spans="1:4" hidden="1" x14ac:dyDescent="0.3">
      <c r="A20481" t="s">
        <v>1122</v>
      </c>
      <c r="B20481" t="s">
        <v>23</v>
      </c>
      <c r="C20481" s="1">
        <f>HYPERLINK("https://cao.dolgi.msk.ru/account/1011318705/", 1011318705)</f>
        <v>1011318705</v>
      </c>
      <c r="D20481">
        <v>0</v>
      </c>
    </row>
    <row r="20482" spans="1:4" hidden="1" x14ac:dyDescent="0.3">
      <c r="A20482" t="s">
        <v>1122</v>
      </c>
      <c r="B20482" t="s">
        <v>23</v>
      </c>
      <c r="C20482" s="1">
        <f>HYPERLINK("https://cao.dolgi.msk.ru/account/1011320805/", 1011320805)</f>
        <v>1011320805</v>
      </c>
      <c r="D20482">
        <v>0</v>
      </c>
    </row>
    <row r="20483" spans="1:4" x14ac:dyDescent="0.3">
      <c r="A20483" t="s">
        <v>1122</v>
      </c>
      <c r="B20483" t="s">
        <v>13</v>
      </c>
      <c r="C20483" s="1">
        <f>HYPERLINK("https://cao.dolgi.msk.ru/account/1011319759/", 1011319759)</f>
        <v>1011319759</v>
      </c>
      <c r="D20483">
        <v>7860.74</v>
      </c>
    </row>
    <row r="20484" spans="1:4" hidden="1" x14ac:dyDescent="0.3">
      <c r="A20484" t="s">
        <v>1122</v>
      </c>
      <c r="B20484" t="s">
        <v>14</v>
      </c>
      <c r="C20484" s="1">
        <f>HYPERLINK("https://cao.dolgi.msk.ru/account/1011320848/", 1011320848)</f>
        <v>1011320848</v>
      </c>
      <c r="D20484">
        <v>-205.89</v>
      </c>
    </row>
    <row r="20485" spans="1:4" hidden="1" x14ac:dyDescent="0.3">
      <c r="A20485" t="s">
        <v>1122</v>
      </c>
      <c r="B20485" t="s">
        <v>16</v>
      </c>
      <c r="C20485" s="1">
        <f>HYPERLINK("https://cao.dolgi.msk.ru/account/1011319273/", 1011319273)</f>
        <v>1011319273</v>
      </c>
      <c r="D20485">
        <v>0</v>
      </c>
    </row>
    <row r="20486" spans="1:4" hidden="1" x14ac:dyDescent="0.3">
      <c r="A20486" t="s">
        <v>1122</v>
      </c>
      <c r="B20486" t="s">
        <v>17</v>
      </c>
      <c r="C20486" s="1">
        <f>HYPERLINK("https://cao.dolgi.msk.ru/account/1011318713/", 1011318713)</f>
        <v>1011318713</v>
      </c>
      <c r="D20486">
        <v>0</v>
      </c>
    </row>
    <row r="20487" spans="1:4" hidden="1" x14ac:dyDescent="0.3">
      <c r="A20487" t="s">
        <v>1122</v>
      </c>
      <c r="B20487" t="s">
        <v>18</v>
      </c>
      <c r="C20487" s="1">
        <f>HYPERLINK("https://cao.dolgi.msk.ru/account/1011322202/", 1011322202)</f>
        <v>1011322202</v>
      </c>
      <c r="D20487">
        <v>-0.02</v>
      </c>
    </row>
    <row r="20488" spans="1:4" hidden="1" x14ac:dyDescent="0.3">
      <c r="A20488" t="s">
        <v>1122</v>
      </c>
      <c r="B20488" t="s">
        <v>19</v>
      </c>
      <c r="C20488" s="1">
        <f>HYPERLINK("https://cao.dolgi.msk.ru/account/1011319767/", 1011319767)</f>
        <v>1011319767</v>
      </c>
      <c r="D20488">
        <v>-27.54</v>
      </c>
    </row>
    <row r="20489" spans="1:4" x14ac:dyDescent="0.3">
      <c r="A20489" t="s">
        <v>1122</v>
      </c>
      <c r="B20489" t="s">
        <v>20</v>
      </c>
      <c r="C20489" s="1">
        <f>HYPERLINK("https://cao.dolgi.msk.ru/account/1011320274/", 1011320274)</f>
        <v>1011320274</v>
      </c>
      <c r="D20489">
        <v>6124.55</v>
      </c>
    </row>
    <row r="20490" spans="1:4" hidden="1" x14ac:dyDescent="0.3">
      <c r="A20490" t="s">
        <v>1122</v>
      </c>
      <c r="B20490" t="s">
        <v>21</v>
      </c>
      <c r="C20490" s="1">
        <f>HYPERLINK("https://cao.dolgi.msk.ru/account/1011319281/", 1011319281)</f>
        <v>1011319281</v>
      </c>
      <c r="D20490">
        <v>0</v>
      </c>
    </row>
    <row r="20491" spans="1:4" hidden="1" x14ac:dyDescent="0.3">
      <c r="A20491" t="s">
        <v>1122</v>
      </c>
      <c r="B20491" t="s">
        <v>22</v>
      </c>
      <c r="C20491" s="1">
        <f>HYPERLINK("https://cao.dolgi.msk.ru/account/1011321672/", 1011321672)</f>
        <v>1011321672</v>
      </c>
      <c r="D20491">
        <v>0</v>
      </c>
    </row>
    <row r="20492" spans="1:4" x14ac:dyDescent="0.3">
      <c r="A20492" t="s">
        <v>1122</v>
      </c>
      <c r="B20492" t="s">
        <v>24</v>
      </c>
      <c r="C20492" s="1">
        <f>HYPERLINK("https://cao.dolgi.msk.ru/account/1011320282/", 1011320282)</f>
        <v>1011320282</v>
      </c>
      <c r="D20492">
        <v>14815.1</v>
      </c>
    </row>
    <row r="20493" spans="1:4" hidden="1" x14ac:dyDescent="0.3">
      <c r="A20493" t="s">
        <v>1122</v>
      </c>
      <c r="B20493" t="s">
        <v>25</v>
      </c>
      <c r="C20493" s="1">
        <f>HYPERLINK("https://cao.dolgi.msk.ru/account/1011320303/", 1011320303)</f>
        <v>1011320303</v>
      </c>
      <c r="D20493">
        <v>-5296.93</v>
      </c>
    </row>
    <row r="20494" spans="1:4" x14ac:dyDescent="0.3">
      <c r="A20494" t="s">
        <v>1122</v>
      </c>
      <c r="B20494" t="s">
        <v>26</v>
      </c>
      <c r="C20494" s="1">
        <f>HYPERLINK("https://cao.dolgi.msk.ru/account/1011318721/", 1011318721)</f>
        <v>1011318721</v>
      </c>
      <c r="D20494">
        <v>28533.81</v>
      </c>
    </row>
    <row r="20495" spans="1:4" hidden="1" x14ac:dyDescent="0.3">
      <c r="A20495" t="s">
        <v>1122</v>
      </c>
      <c r="B20495" t="s">
        <v>27</v>
      </c>
      <c r="C20495" s="1">
        <f>HYPERLINK("https://cao.dolgi.msk.ru/account/1011321314/", 1011321314)</f>
        <v>1011321314</v>
      </c>
      <c r="D20495">
        <v>0</v>
      </c>
    </row>
    <row r="20496" spans="1:4" hidden="1" x14ac:dyDescent="0.3">
      <c r="A20496" t="s">
        <v>1122</v>
      </c>
      <c r="B20496" t="s">
        <v>29</v>
      </c>
      <c r="C20496" s="1">
        <f>HYPERLINK("https://cao.dolgi.msk.ru/account/1011320856/", 1011320856)</f>
        <v>1011320856</v>
      </c>
      <c r="D20496">
        <v>0</v>
      </c>
    </row>
    <row r="20497" spans="1:4" hidden="1" x14ac:dyDescent="0.3">
      <c r="A20497" t="s">
        <v>1122</v>
      </c>
      <c r="B20497" t="s">
        <v>38</v>
      </c>
      <c r="C20497" s="1">
        <f>HYPERLINK("https://cao.dolgi.msk.ru/account/1011319302/", 1011319302)</f>
        <v>1011319302</v>
      </c>
      <c r="D20497">
        <v>-4223.16</v>
      </c>
    </row>
    <row r="20498" spans="1:4" hidden="1" x14ac:dyDescent="0.3">
      <c r="A20498" t="s">
        <v>1122</v>
      </c>
      <c r="B20498" t="s">
        <v>39</v>
      </c>
      <c r="C20498" s="1">
        <f>HYPERLINK("https://cao.dolgi.msk.ru/account/1011321322/", 1011321322)</f>
        <v>1011321322</v>
      </c>
      <c r="D20498">
        <v>0</v>
      </c>
    </row>
    <row r="20499" spans="1:4" hidden="1" x14ac:dyDescent="0.3">
      <c r="A20499" t="s">
        <v>1122</v>
      </c>
      <c r="B20499" t="s">
        <v>40</v>
      </c>
      <c r="C20499" s="1">
        <f>HYPERLINK("https://cao.dolgi.msk.ru/account/1011321699/", 1011321699)</f>
        <v>1011321699</v>
      </c>
      <c r="D20499">
        <v>-2753.61</v>
      </c>
    </row>
    <row r="20500" spans="1:4" hidden="1" x14ac:dyDescent="0.3">
      <c r="A20500" t="s">
        <v>1122</v>
      </c>
      <c r="B20500" t="s">
        <v>41</v>
      </c>
      <c r="C20500" s="1">
        <f>HYPERLINK("https://cao.dolgi.msk.ru/account/1011321701/", 1011321701)</f>
        <v>1011321701</v>
      </c>
      <c r="D20500">
        <v>-5142.8999999999996</v>
      </c>
    </row>
    <row r="20501" spans="1:4" x14ac:dyDescent="0.3">
      <c r="A20501" t="s">
        <v>1122</v>
      </c>
      <c r="B20501" t="s">
        <v>51</v>
      </c>
      <c r="C20501" s="1">
        <f>HYPERLINK("https://cao.dolgi.msk.ru/account/1011318748/", 1011318748)</f>
        <v>1011318748</v>
      </c>
      <c r="D20501">
        <v>3342.62</v>
      </c>
    </row>
    <row r="20502" spans="1:4" x14ac:dyDescent="0.3">
      <c r="A20502" t="s">
        <v>1122</v>
      </c>
      <c r="B20502" t="s">
        <v>52</v>
      </c>
      <c r="C20502" s="1">
        <f>HYPERLINK("https://cao.dolgi.msk.ru/account/1011510596/", 1011510596)</f>
        <v>1011510596</v>
      </c>
      <c r="D20502">
        <v>485.3</v>
      </c>
    </row>
    <row r="20503" spans="1:4" x14ac:dyDescent="0.3">
      <c r="A20503" t="s">
        <v>1122</v>
      </c>
      <c r="B20503" t="s">
        <v>53</v>
      </c>
      <c r="C20503" s="1">
        <f>HYPERLINK("https://cao.dolgi.msk.ru/account/1011319337/", 1011319337)</f>
        <v>1011319337</v>
      </c>
      <c r="D20503">
        <v>34447.550000000003</v>
      </c>
    </row>
    <row r="20504" spans="1:4" hidden="1" x14ac:dyDescent="0.3">
      <c r="A20504" t="s">
        <v>1122</v>
      </c>
      <c r="B20504" t="s">
        <v>54</v>
      </c>
      <c r="C20504" s="1">
        <f>HYPERLINK("https://cao.dolgi.msk.ru/account/1011319775/", 1011319775)</f>
        <v>1011319775</v>
      </c>
      <c r="D20504">
        <v>-8.51</v>
      </c>
    </row>
    <row r="20505" spans="1:4" hidden="1" x14ac:dyDescent="0.3">
      <c r="A20505" t="s">
        <v>1122</v>
      </c>
      <c r="B20505" t="s">
        <v>55</v>
      </c>
      <c r="C20505" s="1">
        <f>HYPERLINK("https://cao.dolgi.msk.ru/account/1011320311/", 1011320311)</f>
        <v>1011320311</v>
      </c>
      <c r="D20505">
        <v>-6249.43</v>
      </c>
    </row>
    <row r="20506" spans="1:4" hidden="1" x14ac:dyDescent="0.3">
      <c r="A20506" t="s">
        <v>1122</v>
      </c>
      <c r="B20506" t="s">
        <v>56</v>
      </c>
      <c r="C20506" s="1">
        <f>HYPERLINK("https://cao.dolgi.msk.ru/account/1011320338/", 1011320338)</f>
        <v>1011320338</v>
      </c>
      <c r="D20506">
        <v>-8521.99</v>
      </c>
    </row>
    <row r="20507" spans="1:4" hidden="1" x14ac:dyDescent="0.3">
      <c r="A20507" t="s">
        <v>1122</v>
      </c>
      <c r="B20507" t="s">
        <v>87</v>
      </c>
      <c r="C20507" s="1">
        <f>HYPERLINK("https://cao.dolgi.msk.ru/account/1011525931/", 1011525931)</f>
        <v>1011525931</v>
      </c>
      <c r="D20507">
        <v>-848.68</v>
      </c>
    </row>
    <row r="20508" spans="1:4" hidden="1" x14ac:dyDescent="0.3">
      <c r="A20508" t="s">
        <v>1122</v>
      </c>
      <c r="B20508" t="s">
        <v>88</v>
      </c>
      <c r="C20508" s="1">
        <f>HYPERLINK("https://cao.dolgi.msk.ru/account/1011319345/", 1011319345)</f>
        <v>1011319345</v>
      </c>
      <c r="D20508">
        <v>0</v>
      </c>
    </row>
    <row r="20509" spans="1:4" hidden="1" x14ac:dyDescent="0.3">
      <c r="A20509" t="s">
        <v>1122</v>
      </c>
      <c r="B20509" t="s">
        <v>89</v>
      </c>
      <c r="C20509" s="1">
        <f>HYPERLINK("https://cao.dolgi.msk.ru/account/1011319783/", 1011319783)</f>
        <v>1011319783</v>
      </c>
      <c r="D20509">
        <v>0</v>
      </c>
    </row>
    <row r="20510" spans="1:4" hidden="1" x14ac:dyDescent="0.3">
      <c r="A20510" t="s">
        <v>1122</v>
      </c>
      <c r="B20510" t="s">
        <v>90</v>
      </c>
      <c r="C20510" s="1">
        <f>HYPERLINK("https://cao.dolgi.msk.ru/account/1011318764/", 1011318764)</f>
        <v>1011318764</v>
      </c>
      <c r="D20510">
        <v>0</v>
      </c>
    </row>
    <row r="20511" spans="1:4" hidden="1" x14ac:dyDescent="0.3">
      <c r="A20511" t="s">
        <v>1122</v>
      </c>
      <c r="B20511" t="s">
        <v>96</v>
      </c>
      <c r="C20511" s="1">
        <f>HYPERLINK("https://cao.dolgi.msk.ru/account/1011319353/", 1011319353)</f>
        <v>1011319353</v>
      </c>
      <c r="D20511">
        <v>-8764.2199999999993</v>
      </c>
    </row>
    <row r="20512" spans="1:4" hidden="1" x14ac:dyDescent="0.3">
      <c r="A20512" t="s">
        <v>1122</v>
      </c>
      <c r="B20512" t="s">
        <v>97</v>
      </c>
      <c r="C20512" s="1">
        <f>HYPERLINK("https://cao.dolgi.msk.ru/account/1011319791/", 1011319791)</f>
        <v>1011319791</v>
      </c>
      <c r="D20512">
        <v>0</v>
      </c>
    </row>
    <row r="20513" spans="1:4" hidden="1" x14ac:dyDescent="0.3">
      <c r="A20513" t="s">
        <v>1122</v>
      </c>
      <c r="B20513" t="s">
        <v>98</v>
      </c>
      <c r="C20513" s="1">
        <f>HYPERLINK("https://cao.dolgi.msk.ru/account/1011322229/", 1011322229)</f>
        <v>1011322229</v>
      </c>
      <c r="D20513">
        <v>0</v>
      </c>
    </row>
    <row r="20514" spans="1:4" hidden="1" x14ac:dyDescent="0.3">
      <c r="A20514" t="s">
        <v>1122</v>
      </c>
      <c r="B20514" t="s">
        <v>58</v>
      </c>
      <c r="C20514" s="1">
        <f>HYPERLINK("https://cao.dolgi.msk.ru/account/1011319361/", 1011319361)</f>
        <v>1011319361</v>
      </c>
      <c r="D20514">
        <v>0</v>
      </c>
    </row>
    <row r="20515" spans="1:4" hidden="1" x14ac:dyDescent="0.3">
      <c r="A20515" t="s">
        <v>1122</v>
      </c>
      <c r="B20515" t="s">
        <v>59</v>
      </c>
      <c r="C20515" s="1">
        <f>HYPERLINK("https://cao.dolgi.msk.ru/account/1011322237/", 1011322237)</f>
        <v>1011322237</v>
      </c>
      <c r="D20515">
        <v>0</v>
      </c>
    </row>
    <row r="20516" spans="1:4" hidden="1" x14ac:dyDescent="0.3">
      <c r="A20516" t="s">
        <v>1122</v>
      </c>
      <c r="B20516" t="s">
        <v>60</v>
      </c>
      <c r="C20516" s="1">
        <f>HYPERLINK("https://cao.dolgi.msk.ru/account/1011320864/", 1011320864)</f>
        <v>1011320864</v>
      </c>
      <c r="D20516">
        <v>-192.08</v>
      </c>
    </row>
    <row r="20517" spans="1:4" x14ac:dyDescent="0.3">
      <c r="A20517" t="s">
        <v>1122</v>
      </c>
      <c r="B20517" t="s">
        <v>61</v>
      </c>
      <c r="C20517" s="1">
        <f>HYPERLINK("https://cao.dolgi.msk.ru/account/1011319804/", 1011319804)</f>
        <v>1011319804</v>
      </c>
      <c r="D20517">
        <v>4799.66</v>
      </c>
    </row>
    <row r="20518" spans="1:4" hidden="1" x14ac:dyDescent="0.3">
      <c r="A20518" t="s">
        <v>1122</v>
      </c>
      <c r="B20518" t="s">
        <v>62</v>
      </c>
      <c r="C20518" s="1">
        <f>HYPERLINK("https://cao.dolgi.msk.ru/account/1011321728/", 1011321728)</f>
        <v>1011321728</v>
      </c>
      <c r="D20518">
        <v>-1931.3</v>
      </c>
    </row>
    <row r="20519" spans="1:4" hidden="1" x14ac:dyDescent="0.3">
      <c r="A20519" t="s">
        <v>1122</v>
      </c>
      <c r="B20519" t="s">
        <v>63</v>
      </c>
      <c r="C20519" s="1">
        <f>HYPERLINK("https://cao.dolgi.msk.ru/account/1011321736/", 1011321736)</f>
        <v>1011321736</v>
      </c>
      <c r="D20519">
        <v>0</v>
      </c>
    </row>
    <row r="20520" spans="1:4" hidden="1" x14ac:dyDescent="0.3">
      <c r="A20520" t="s">
        <v>1122</v>
      </c>
      <c r="B20520" t="s">
        <v>64</v>
      </c>
      <c r="C20520" s="1">
        <f>HYPERLINK("https://cao.dolgi.msk.ru/account/1011320346/", 1011320346)</f>
        <v>1011320346</v>
      </c>
      <c r="D20520">
        <v>0</v>
      </c>
    </row>
    <row r="20521" spans="1:4" hidden="1" x14ac:dyDescent="0.3">
      <c r="A20521" t="s">
        <v>1122</v>
      </c>
      <c r="B20521" t="s">
        <v>65</v>
      </c>
      <c r="C20521" s="1">
        <f>HYPERLINK("https://cao.dolgi.msk.ru/account/1011319388/", 1011319388)</f>
        <v>1011319388</v>
      </c>
      <c r="D20521">
        <v>-11959.44</v>
      </c>
    </row>
    <row r="20522" spans="1:4" hidden="1" x14ac:dyDescent="0.3">
      <c r="A20522" t="s">
        <v>1122</v>
      </c>
      <c r="B20522" t="s">
        <v>65</v>
      </c>
      <c r="C20522" s="1">
        <f>HYPERLINK("https://cao.dolgi.msk.ru/account/1011322149/", 1011322149)</f>
        <v>1011322149</v>
      </c>
      <c r="D20522">
        <v>-93047.11</v>
      </c>
    </row>
    <row r="20523" spans="1:4" hidden="1" x14ac:dyDescent="0.3">
      <c r="A20523" t="s">
        <v>1122</v>
      </c>
      <c r="B20523" t="s">
        <v>66</v>
      </c>
      <c r="C20523" s="1">
        <f>HYPERLINK("https://cao.dolgi.msk.ru/account/1011319396/", 1011319396)</f>
        <v>1011319396</v>
      </c>
      <c r="D20523">
        <v>-21.48</v>
      </c>
    </row>
    <row r="20524" spans="1:4" x14ac:dyDescent="0.3">
      <c r="A20524" t="s">
        <v>1122</v>
      </c>
      <c r="B20524" t="s">
        <v>67</v>
      </c>
      <c r="C20524" s="1">
        <f>HYPERLINK("https://cao.dolgi.msk.ru/account/1011320354/", 1011320354)</f>
        <v>1011320354</v>
      </c>
      <c r="D20524">
        <v>276.95</v>
      </c>
    </row>
    <row r="20525" spans="1:4" hidden="1" x14ac:dyDescent="0.3">
      <c r="A20525" t="s">
        <v>1122</v>
      </c>
      <c r="B20525" t="s">
        <v>68</v>
      </c>
      <c r="C20525" s="1">
        <f>HYPERLINK("https://cao.dolgi.msk.ru/account/1011318772/", 1011318772)</f>
        <v>1011318772</v>
      </c>
      <c r="D20525">
        <v>0</v>
      </c>
    </row>
    <row r="20526" spans="1:4" hidden="1" x14ac:dyDescent="0.3">
      <c r="A20526" t="s">
        <v>1122</v>
      </c>
      <c r="B20526" t="s">
        <v>69</v>
      </c>
      <c r="C20526" s="1">
        <f>HYPERLINK("https://cao.dolgi.msk.ru/account/1011322245/", 1011322245)</f>
        <v>1011322245</v>
      </c>
      <c r="D20526">
        <v>-4886.7299999999996</v>
      </c>
    </row>
    <row r="20527" spans="1:4" hidden="1" x14ac:dyDescent="0.3">
      <c r="A20527" t="s">
        <v>1122</v>
      </c>
      <c r="B20527" t="s">
        <v>70</v>
      </c>
      <c r="C20527" s="1">
        <f>HYPERLINK("https://cao.dolgi.msk.ru/account/1011318799/", 1011318799)</f>
        <v>1011318799</v>
      </c>
      <c r="D20527">
        <v>0</v>
      </c>
    </row>
    <row r="20528" spans="1:4" hidden="1" x14ac:dyDescent="0.3">
      <c r="A20528" t="s">
        <v>1122</v>
      </c>
      <c r="B20528" t="s">
        <v>259</v>
      </c>
      <c r="C20528" s="1">
        <f>HYPERLINK("https://cao.dolgi.msk.ru/account/1011320362/", 1011320362)</f>
        <v>1011320362</v>
      </c>
      <c r="D20528">
        <v>-465.8</v>
      </c>
    </row>
    <row r="20529" spans="1:4" hidden="1" x14ac:dyDescent="0.3">
      <c r="A20529" t="s">
        <v>1122</v>
      </c>
      <c r="B20529" t="s">
        <v>100</v>
      </c>
      <c r="C20529" s="1">
        <f>HYPERLINK("https://cao.dolgi.msk.ru/account/1011320872/", 1011320872)</f>
        <v>1011320872</v>
      </c>
      <c r="D20529">
        <v>0</v>
      </c>
    </row>
    <row r="20530" spans="1:4" hidden="1" x14ac:dyDescent="0.3">
      <c r="A20530" t="s">
        <v>1122</v>
      </c>
      <c r="B20530" t="s">
        <v>72</v>
      </c>
      <c r="C20530" s="1">
        <f>HYPERLINK("https://cao.dolgi.msk.ru/account/1011320899/", 1011320899)</f>
        <v>1011320899</v>
      </c>
      <c r="D20530">
        <v>-25.07</v>
      </c>
    </row>
    <row r="20531" spans="1:4" hidden="1" x14ac:dyDescent="0.3">
      <c r="A20531" t="s">
        <v>1122</v>
      </c>
      <c r="B20531" t="s">
        <v>73</v>
      </c>
      <c r="C20531" s="1">
        <f>HYPERLINK("https://cao.dolgi.msk.ru/account/1011319812/", 1011319812)</f>
        <v>1011319812</v>
      </c>
      <c r="D20531">
        <v>0</v>
      </c>
    </row>
    <row r="20532" spans="1:4" hidden="1" x14ac:dyDescent="0.3">
      <c r="A20532" t="s">
        <v>1122</v>
      </c>
      <c r="B20532" t="s">
        <v>74</v>
      </c>
      <c r="C20532" s="1">
        <f>HYPERLINK("https://cao.dolgi.msk.ru/account/1011319409/", 1011319409)</f>
        <v>1011319409</v>
      </c>
      <c r="D20532">
        <v>-7385.93</v>
      </c>
    </row>
    <row r="20533" spans="1:4" hidden="1" x14ac:dyDescent="0.3">
      <c r="A20533" t="s">
        <v>1122</v>
      </c>
      <c r="B20533" t="s">
        <v>75</v>
      </c>
      <c r="C20533" s="1">
        <f>HYPERLINK("https://cao.dolgi.msk.ru/account/1011320901/", 1011320901)</f>
        <v>1011320901</v>
      </c>
      <c r="D20533">
        <v>-5295.87</v>
      </c>
    </row>
    <row r="20534" spans="1:4" x14ac:dyDescent="0.3">
      <c r="A20534" t="s">
        <v>1122</v>
      </c>
      <c r="B20534" t="s">
        <v>76</v>
      </c>
      <c r="C20534" s="1">
        <f>HYPERLINK("https://cao.dolgi.msk.ru/account/1011319417/", 1011319417)</f>
        <v>1011319417</v>
      </c>
      <c r="D20534">
        <v>12356.42</v>
      </c>
    </row>
    <row r="20535" spans="1:4" hidden="1" x14ac:dyDescent="0.3">
      <c r="A20535" t="s">
        <v>1122</v>
      </c>
      <c r="B20535" t="s">
        <v>77</v>
      </c>
      <c r="C20535" s="1">
        <f>HYPERLINK("https://cao.dolgi.msk.ru/account/1011320928/", 1011320928)</f>
        <v>1011320928</v>
      </c>
      <c r="D20535">
        <v>-2029</v>
      </c>
    </row>
    <row r="20536" spans="1:4" hidden="1" x14ac:dyDescent="0.3">
      <c r="A20536" t="s">
        <v>1122</v>
      </c>
      <c r="B20536" t="s">
        <v>78</v>
      </c>
      <c r="C20536" s="1">
        <f>HYPERLINK("https://cao.dolgi.msk.ru/account/1011321744/", 1011321744)</f>
        <v>1011321744</v>
      </c>
      <c r="D20536">
        <v>0</v>
      </c>
    </row>
    <row r="20537" spans="1:4" hidden="1" x14ac:dyDescent="0.3">
      <c r="A20537" t="s">
        <v>1122</v>
      </c>
      <c r="B20537" t="s">
        <v>79</v>
      </c>
      <c r="C20537" s="1">
        <f>HYPERLINK("https://cao.dolgi.msk.ru/account/1011321752/", 1011321752)</f>
        <v>1011321752</v>
      </c>
      <c r="D20537">
        <v>0</v>
      </c>
    </row>
    <row r="20538" spans="1:4" hidden="1" x14ac:dyDescent="0.3">
      <c r="A20538" t="s">
        <v>1122</v>
      </c>
      <c r="B20538" t="s">
        <v>80</v>
      </c>
      <c r="C20538" s="1">
        <f>HYPERLINK("https://cao.dolgi.msk.ru/account/1011320936/", 1011320936)</f>
        <v>1011320936</v>
      </c>
      <c r="D20538">
        <v>-17375.2</v>
      </c>
    </row>
    <row r="20539" spans="1:4" hidden="1" x14ac:dyDescent="0.3">
      <c r="A20539" t="s">
        <v>1122</v>
      </c>
      <c r="B20539" t="s">
        <v>81</v>
      </c>
      <c r="C20539" s="1">
        <f>HYPERLINK("https://cao.dolgi.msk.ru/account/1011322253/", 1011322253)</f>
        <v>1011322253</v>
      </c>
      <c r="D20539">
        <v>0</v>
      </c>
    </row>
    <row r="20540" spans="1:4" hidden="1" x14ac:dyDescent="0.3">
      <c r="A20540" t="s">
        <v>1122</v>
      </c>
      <c r="B20540" t="s">
        <v>101</v>
      </c>
      <c r="C20540" s="1">
        <f>HYPERLINK("https://cao.dolgi.msk.ru/account/1011322261/", 1011322261)</f>
        <v>1011322261</v>
      </c>
      <c r="D20540">
        <v>0</v>
      </c>
    </row>
    <row r="20541" spans="1:4" hidden="1" x14ac:dyDescent="0.3">
      <c r="A20541" t="s">
        <v>1122</v>
      </c>
      <c r="B20541" t="s">
        <v>82</v>
      </c>
      <c r="C20541" s="1">
        <f>HYPERLINK("https://cao.dolgi.msk.ru/account/1011319839/", 1011319839)</f>
        <v>1011319839</v>
      </c>
      <c r="D20541">
        <v>0</v>
      </c>
    </row>
    <row r="20542" spans="1:4" hidden="1" x14ac:dyDescent="0.3">
      <c r="A20542" t="s">
        <v>1122</v>
      </c>
      <c r="B20542" t="s">
        <v>83</v>
      </c>
      <c r="C20542" s="1">
        <f>HYPERLINK("https://cao.dolgi.msk.ru/account/1011319847/", 1011319847)</f>
        <v>1011319847</v>
      </c>
      <c r="D20542">
        <v>-17.82</v>
      </c>
    </row>
    <row r="20543" spans="1:4" hidden="1" x14ac:dyDescent="0.3">
      <c r="A20543" t="s">
        <v>1122</v>
      </c>
      <c r="B20543" t="s">
        <v>84</v>
      </c>
      <c r="C20543" s="1">
        <f>HYPERLINK("https://cao.dolgi.msk.ru/account/1011319425/", 1011319425)</f>
        <v>1011319425</v>
      </c>
      <c r="D20543">
        <v>0</v>
      </c>
    </row>
    <row r="20544" spans="1:4" hidden="1" x14ac:dyDescent="0.3">
      <c r="A20544" t="s">
        <v>1122</v>
      </c>
      <c r="B20544" t="s">
        <v>85</v>
      </c>
      <c r="C20544" s="1">
        <f>HYPERLINK("https://cao.dolgi.msk.ru/account/1011321779/", 1011321779)</f>
        <v>1011321779</v>
      </c>
      <c r="D20544">
        <v>0</v>
      </c>
    </row>
    <row r="20545" spans="1:4" hidden="1" x14ac:dyDescent="0.3">
      <c r="A20545" t="s">
        <v>1122</v>
      </c>
      <c r="B20545" t="s">
        <v>102</v>
      </c>
      <c r="C20545" s="1">
        <f>HYPERLINK("https://cao.dolgi.msk.ru/account/1011319855/", 1011319855)</f>
        <v>1011319855</v>
      </c>
      <c r="D20545">
        <v>0</v>
      </c>
    </row>
    <row r="20546" spans="1:4" hidden="1" x14ac:dyDescent="0.3">
      <c r="A20546" t="s">
        <v>1122</v>
      </c>
      <c r="B20546" t="s">
        <v>103</v>
      </c>
      <c r="C20546" s="1">
        <f>HYPERLINK("https://cao.dolgi.msk.ru/account/1011320389/", 1011320389)</f>
        <v>1011320389</v>
      </c>
      <c r="D20546">
        <v>-4297.91</v>
      </c>
    </row>
    <row r="20547" spans="1:4" hidden="1" x14ac:dyDescent="0.3">
      <c r="A20547" t="s">
        <v>1122</v>
      </c>
      <c r="B20547" t="s">
        <v>104</v>
      </c>
      <c r="C20547" s="1">
        <f>HYPERLINK("https://cao.dolgi.msk.ru/account/1011321349/", 1011321349)</f>
        <v>1011321349</v>
      </c>
      <c r="D20547">
        <v>-1166.96</v>
      </c>
    </row>
    <row r="20548" spans="1:4" hidden="1" x14ac:dyDescent="0.3">
      <c r="A20548" t="s">
        <v>1122</v>
      </c>
      <c r="B20548" t="s">
        <v>105</v>
      </c>
      <c r="C20548" s="1">
        <f>HYPERLINK("https://cao.dolgi.msk.ru/account/1011319863/", 1011319863)</f>
        <v>1011319863</v>
      </c>
      <c r="D20548">
        <v>0</v>
      </c>
    </row>
    <row r="20549" spans="1:4" hidden="1" x14ac:dyDescent="0.3">
      <c r="A20549" t="s">
        <v>1122</v>
      </c>
      <c r="B20549" t="s">
        <v>106</v>
      </c>
      <c r="C20549" s="1">
        <f>HYPERLINK("https://cao.dolgi.msk.ru/account/1011318801/", 1011318801)</f>
        <v>1011318801</v>
      </c>
      <c r="D20549">
        <v>0</v>
      </c>
    </row>
    <row r="20550" spans="1:4" hidden="1" x14ac:dyDescent="0.3">
      <c r="A20550" t="s">
        <v>1122</v>
      </c>
      <c r="B20550" t="s">
        <v>107</v>
      </c>
      <c r="C20550" s="1">
        <f>HYPERLINK("https://cao.dolgi.msk.ru/account/1011319433/", 1011319433)</f>
        <v>1011319433</v>
      </c>
      <c r="D20550">
        <v>0</v>
      </c>
    </row>
    <row r="20551" spans="1:4" hidden="1" x14ac:dyDescent="0.3">
      <c r="A20551" t="s">
        <v>1122</v>
      </c>
      <c r="B20551" t="s">
        <v>108</v>
      </c>
      <c r="C20551" s="1">
        <f>HYPERLINK("https://cao.dolgi.msk.ru/account/1011322288/", 1011322288)</f>
        <v>1011322288</v>
      </c>
      <c r="D20551">
        <v>0</v>
      </c>
    </row>
    <row r="20552" spans="1:4" x14ac:dyDescent="0.3">
      <c r="A20552" t="s">
        <v>1122</v>
      </c>
      <c r="B20552" t="s">
        <v>109</v>
      </c>
      <c r="C20552" s="1">
        <f>HYPERLINK("https://cao.dolgi.msk.ru/account/1011320944/", 1011320944)</f>
        <v>1011320944</v>
      </c>
      <c r="D20552">
        <v>14335.93</v>
      </c>
    </row>
    <row r="20553" spans="1:4" hidden="1" x14ac:dyDescent="0.3">
      <c r="A20553" t="s">
        <v>1122</v>
      </c>
      <c r="B20553" t="s">
        <v>110</v>
      </c>
      <c r="C20553" s="1">
        <f>HYPERLINK("https://cao.dolgi.msk.ru/account/1011318828/", 1011318828)</f>
        <v>1011318828</v>
      </c>
      <c r="D20553">
        <v>0</v>
      </c>
    </row>
    <row r="20554" spans="1:4" hidden="1" x14ac:dyDescent="0.3">
      <c r="A20554" t="s">
        <v>1122</v>
      </c>
      <c r="B20554" t="s">
        <v>111</v>
      </c>
      <c r="C20554" s="1">
        <f>HYPERLINK("https://cao.dolgi.msk.ru/account/1011321357/", 1011321357)</f>
        <v>1011321357</v>
      </c>
      <c r="D20554">
        <v>-622.79</v>
      </c>
    </row>
    <row r="20555" spans="1:4" x14ac:dyDescent="0.3">
      <c r="A20555" t="s">
        <v>1122</v>
      </c>
      <c r="B20555" t="s">
        <v>112</v>
      </c>
      <c r="C20555" s="1">
        <f>HYPERLINK("https://cao.dolgi.msk.ru/account/1011319441/", 1011319441)</f>
        <v>1011319441</v>
      </c>
      <c r="D20555">
        <v>22455.13</v>
      </c>
    </row>
    <row r="20556" spans="1:4" hidden="1" x14ac:dyDescent="0.3">
      <c r="A20556" t="s">
        <v>1122</v>
      </c>
      <c r="B20556" t="s">
        <v>113</v>
      </c>
      <c r="C20556" s="1">
        <f>HYPERLINK("https://cao.dolgi.msk.ru/account/1011321787/", 1011321787)</f>
        <v>1011321787</v>
      </c>
      <c r="D20556">
        <v>0</v>
      </c>
    </row>
    <row r="20557" spans="1:4" hidden="1" x14ac:dyDescent="0.3">
      <c r="A20557" t="s">
        <v>1122</v>
      </c>
      <c r="B20557" t="s">
        <v>114</v>
      </c>
      <c r="C20557" s="1">
        <f>HYPERLINK("https://cao.dolgi.msk.ru/account/1011320397/", 1011320397)</f>
        <v>1011320397</v>
      </c>
      <c r="D20557">
        <v>-3321.24</v>
      </c>
    </row>
    <row r="20558" spans="1:4" hidden="1" x14ac:dyDescent="0.3">
      <c r="A20558" t="s">
        <v>1122</v>
      </c>
      <c r="B20558" t="s">
        <v>115</v>
      </c>
      <c r="C20558" s="1">
        <f>HYPERLINK("https://cao.dolgi.msk.ru/account/1011319871/", 1011319871)</f>
        <v>1011319871</v>
      </c>
      <c r="D20558">
        <v>-4420.6000000000004</v>
      </c>
    </row>
    <row r="20559" spans="1:4" hidden="1" x14ac:dyDescent="0.3">
      <c r="A20559" t="s">
        <v>1122</v>
      </c>
      <c r="B20559" t="s">
        <v>116</v>
      </c>
      <c r="C20559" s="1">
        <f>HYPERLINK("https://cao.dolgi.msk.ru/account/1011319898/", 1011319898)</f>
        <v>1011319898</v>
      </c>
      <c r="D20559">
        <v>-37033.5</v>
      </c>
    </row>
    <row r="20560" spans="1:4" hidden="1" x14ac:dyDescent="0.3">
      <c r="A20560" t="s">
        <v>1122</v>
      </c>
      <c r="B20560" t="s">
        <v>266</v>
      </c>
      <c r="C20560" s="1">
        <f>HYPERLINK("https://cao.dolgi.msk.ru/account/1011322296/", 1011322296)</f>
        <v>1011322296</v>
      </c>
      <c r="D20560">
        <v>0</v>
      </c>
    </row>
    <row r="20561" spans="1:4" hidden="1" x14ac:dyDescent="0.3">
      <c r="A20561" t="s">
        <v>1122</v>
      </c>
      <c r="B20561" t="s">
        <v>117</v>
      </c>
      <c r="C20561" s="1">
        <f>HYPERLINK("https://cao.dolgi.msk.ru/account/1011321365/", 1011321365)</f>
        <v>1011321365</v>
      </c>
      <c r="D20561">
        <v>0</v>
      </c>
    </row>
    <row r="20562" spans="1:4" hidden="1" x14ac:dyDescent="0.3">
      <c r="A20562" t="s">
        <v>1122</v>
      </c>
      <c r="B20562" t="s">
        <v>118</v>
      </c>
      <c r="C20562" s="1">
        <f>HYPERLINK("https://cao.dolgi.msk.ru/account/1011319919/", 1011319919)</f>
        <v>1011319919</v>
      </c>
      <c r="D20562">
        <v>0</v>
      </c>
    </row>
    <row r="20563" spans="1:4" hidden="1" x14ac:dyDescent="0.3">
      <c r="A20563" t="s">
        <v>1122</v>
      </c>
      <c r="B20563" t="s">
        <v>119</v>
      </c>
      <c r="C20563" s="1">
        <f>HYPERLINK("https://cao.dolgi.msk.ru/account/1011319927/", 1011319927)</f>
        <v>1011319927</v>
      </c>
      <c r="D20563">
        <v>0</v>
      </c>
    </row>
    <row r="20564" spans="1:4" hidden="1" x14ac:dyDescent="0.3">
      <c r="A20564" t="s">
        <v>1122</v>
      </c>
      <c r="B20564" t="s">
        <v>120</v>
      </c>
      <c r="C20564" s="1">
        <f>HYPERLINK("https://cao.dolgi.msk.ru/account/1011319935/", 1011319935)</f>
        <v>1011319935</v>
      </c>
      <c r="D20564">
        <v>-898.44</v>
      </c>
    </row>
    <row r="20565" spans="1:4" x14ac:dyDescent="0.3">
      <c r="A20565" t="s">
        <v>1122</v>
      </c>
      <c r="B20565" t="s">
        <v>121</v>
      </c>
      <c r="C20565" s="1">
        <f>HYPERLINK("https://cao.dolgi.msk.ru/account/1011320418/", 1011320418)</f>
        <v>1011320418</v>
      </c>
      <c r="D20565">
        <v>9781.67</v>
      </c>
    </row>
    <row r="20566" spans="1:4" hidden="1" x14ac:dyDescent="0.3">
      <c r="A20566" t="s">
        <v>1122</v>
      </c>
      <c r="B20566" t="s">
        <v>122</v>
      </c>
      <c r="C20566" s="1">
        <f>HYPERLINK("https://cao.dolgi.msk.ru/account/1011322309/", 1011322309)</f>
        <v>1011322309</v>
      </c>
      <c r="D20566">
        <v>-6268.78</v>
      </c>
    </row>
    <row r="20567" spans="1:4" x14ac:dyDescent="0.3">
      <c r="A20567" t="s">
        <v>1122</v>
      </c>
      <c r="B20567" t="s">
        <v>123</v>
      </c>
      <c r="C20567" s="1">
        <f>HYPERLINK("https://cao.dolgi.msk.ru/account/1011320426/", 1011320426)</f>
        <v>1011320426</v>
      </c>
      <c r="D20567">
        <v>6233.05</v>
      </c>
    </row>
    <row r="20568" spans="1:4" x14ac:dyDescent="0.3">
      <c r="A20568" t="s">
        <v>1122</v>
      </c>
      <c r="B20568" t="s">
        <v>124</v>
      </c>
      <c r="C20568" s="1">
        <f>HYPERLINK("https://cao.dolgi.msk.ru/account/1011321795/", 1011321795)</f>
        <v>1011321795</v>
      </c>
      <c r="D20568">
        <v>56</v>
      </c>
    </row>
    <row r="20569" spans="1:4" hidden="1" x14ac:dyDescent="0.3">
      <c r="A20569" t="s">
        <v>1122</v>
      </c>
      <c r="B20569" t="s">
        <v>125</v>
      </c>
      <c r="C20569" s="1">
        <f>HYPERLINK("https://cao.dolgi.msk.ru/account/1011320952/", 1011320952)</f>
        <v>1011320952</v>
      </c>
      <c r="D20569">
        <v>0</v>
      </c>
    </row>
    <row r="20570" spans="1:4" hidden="1" x14ac:dyDescent="0.3">
      <c r="A20570" t="s">
        <v>1122</v>
      </c>
      <c r="B20570" t="s">
        <v>126</v>
      </c>
      <c r="C20570" s="1">
        <f>HYPERLINK("https://cao.dolgi.msk.ru/account/1011319468/", 1011319468)</f>
        <v>1011319468</v>
      </c>
      <c r="D20570">
        <v>0</v>
      </c>
    </row>
    <row r="20571" spans="1:4" hidden="1" x14ac:dyDescent="0.3">
      <c r="A20571" t="s">
        <v>1122</v>
      </c>
      <c r="B20571" t="s">
        <v>127</v>
      </c>
      <c r="C20571" s="1">
        <f>HYPERLINK("https://cao.dolgi.msk.ru/account/1011321808/", 1011321808)</f>
        <v>1011321808</v>
      </c>
      <c r="D20571">
        <v>0</v>
      </c>
    </row>
    <row r="20572" spans="1:4" hidden="1" x14ac:dyDescent="0.3">
      <c r="A20572" t="s">
        <v>1122</v>
      </c>
      <c r="B20572" t="s">
        <v>262</v>
      </c>
      <c r="C20572" s="1">
        <f>HYPERLINK("https://cao.dolgi.msk.ru/account/1011322317/", 1011322317)</f>
        <v>1011322317</v>
      </c>
      <c r="D20572">
        <v>0</v>
      </c>
    </row>
    <row r="20573" spans="1:4" hidden="1" x14ac:dyDescent="0.3">
      <c r="A20573" t="s">
        <v>1122</v>
      </c>
      <c r="B20573" t="s">
        <v>128</v>
      </c>
      <c r="C20573" s="1">
        <f>HYPERLINK("https://cao.dolgi.msk.ru/account/1011319943/", 1011319943)</f>
        <v>1011319943</v>
      </c>
      <c r="D20573">
        <v>0</v>
      </c>
    </row>
    <row r="20574" spans="1:4" hidden="1" x14ac:dyDescent="0.3">
      <c r="A20574" t="s">
        <v>1122</v>
      </c>
      <c r="B20574" t="s">
        <v>128</v>
      </c>
      <c r="C20574" s="1">
        <f>HYPERLINK("https://cao.dolgi.msk.ru/account/1011322616/", 1011322616)</f>
        <v>1011322616</v>
      </c>
      <c r="D20574">
        <v>0</v>
      </c>
    </row>
    <row r="20575" spans="1:4" hidden="1" x14ac:dyDescent="0.3">
      <c r="A20575" t="s">
        <v>1122</v>
      </c>
      <c r="B20575" t="s">
        <v>129</v>
      </c>
      <c r="C20575" s="1">
        <f>HYPERLINK("https://cao.dolgi.msk.ru/account/1011320979/", 1011320979)</f>
        <v>1011320979</v>
      </c>
      <c r="D20575">
        <v>0</v>
      </c>
    </row>
    <row r="20576" spans="1:4" hidden="1" x14ac:dyDescent="0.3">
      <c r="A20576" t="s">
        <v>1122</v>
      </c>
      <c r="B20576" t="s">
        <v>130</v>
      </c>
      <c r="C20576" s="1">
        <f>HYPERLINK("https://cao.dolgi.msk.ru/account/1011322325/", 1011322325)</f>
        <v>1011322325</v>
      </c>
      <c r="D20576">
        <v>-129.9</v>
      </c>
    </row>
    <row r="20577" spans="1:4" hidden="1" x14ac:dyDescent="0.3">
      <c r="A20577" t="s">
        <v>1122</v>
      </c>
      <c r="B20577" t="s">
        <v>131</v>
      </c>
      <c r="C20577" s="1">
        <f>HYPERLINK("https://cao.dolgi.msk.ru/account/1011322333/", 1011322333)</f>
        <v>1011322333</v>
      </c>
      <c r="D20577">
        <v>-632.38</v>
      </c>
    </row>
    <row r="20578" spans="1:4" x14ac:dyDescent="0.3">
      <c r="A20578" t="s">
        <v>1122</v>
      </c>
      <c r="B20578" t="s">
        <v>132</v>
      </c>
      <c r="C20578" s="1">
        <f>HYPERLINK("https://cao.dolgi.msk.ru/account/1011321816/", 1011321816)</f>
        <v>1011321816</v>
      </c>
      <c r="D20578">
        <v>33703.51</v>
      </c>
    </row>
    <row r="20579" spans="1:4" hidden="1" x14ac:dyDescent="0.3">
      <c r="A20579" t="s">
        <v>1122</v>
      </c>
      <c r="B20579" t="s">
        <v>133</v>
      </c>
      <c r="C20579" s="1">
        <f>HYPERLINK("https://cao.dolgi.msk.ru/account/1011320434/", 1011320434)</f>
        <v>1011320434</v>
      </c>
      <c r="D20579">
        <v>0</v>
      </c>
    </row>
    <row r="20580" spans="1:4" hidden="1" x14ac:dyDescent="0.3">
      <c r="A20580" t="s">
        <v>1122</v>
      </c>
      <c r="B20580" t="s">
        <v>134</v>
      </c>
      <c r="C20580" s="1">
        <f>HYPERLINK("https://cao.dolgi.msk.ru/account/1011319265/", 1011319265)</f>
        <v>1011319265</v>
      </c>
      <c r="D20580">
        <v>0</v>
      </c>
    </row>
    <row r="20581" spans="1:4" hidden="1" x14ac:dyDescent="0.3">
      <c r="A20581" t="s">
        <v>1122</v>
      </c>
      <c r="B20581" t="s">
        <v>134</v>
      </c>
      <c r="C20581" s="1">
        <f>HYPERLINK("https://cao.dolgi.msk.ru/account/1011320442/", 1011320442)</f>
        <v>1011320442</v>
      </c>
      <c r="D20581">
        <v>0</v>
      </c>
    </row>
    <row r="20582" spans="1:4" x14ac:dyDescent="0.3">
      <c r="A20582" t="s">
        <v>1122</v>
      </c>
      <c r="B20582" t="s">
        <v>135</v>
      </c>
      <c r="C20582" s="1">
        <f>HYPERLINK("https://cao.dolgi.msk.ru/account/1011322341/", 1011322341)</f>
        <v>1011322341</v>
      </c>
      <c r="D20582">
        <v>144036.82</v>
      </c>
    </row>
    <row r="20583" spans="1:4" x14ac:dyDescent="0.3">
      <c r="A20583" t="s">
        <v>1122</v>
      </c>
      <c r="B20583" t="s">
        <v>264</v>
      </c>
      <c r="C20583" s="1">
        <f>HYPERLINK("https://cao.dolgi.msk.ru/account/1011320987/", 1011320987)</f>
        <v>1011320987</v>
      </c>
      <c r="D20583">
        <v>33715.879999999997</v>
      </c>
    </row>
    <row r="20584" spans="1:4" x14ac:dyDescent="0.3">
      <c r="A20584" t="s">
        <v>1122</v>
      </c>
      <c r="B20584" t="s">
        <v>136</v>
      </c>
      <c r="C20584" s="1">
        <f>HYPERLINK("https://cao.dolgi.msk.ru/account/1011318836/", 1011318836)</f>
        <v>1011318836</v>
      </c>
      <c r="D20584">
        <v>19475.259999999998</v>
      </c>
    </row>
    <row r="20585" spans="1:4" x14ac:dyDescent="0.3">
      <c r="A20585" t="s">
        <v>1122</v>
      </c>
      <c r="B20585" t="s">
        <v>137</v>
      </c>
      <c r="C20585" s="1">
        <f>HYPERLINK("https://cao.dolgi.msk.ru/account/1011318844/", 1011318844)</f>
        <v>1011318844</v>
      </c>
      <c r="D20585">
        <v>18695.68</v>
      </c>
    </row>
    <row r="20586" spans="1:4" hidden="1" x14ac:dyDescent="0.3">
      <c r="A20586" t="s">
        <v>1122</v>
      </c>
      <c r="B20586" t="s">
        <v>138</v>
      </c>
      <c r="C20586" s="1">
        <f>HYPERLINK("https://cao.dolgi.msk.ru/account/1011318852/", 1011318852)</f>
        <v>1011318852</v>
      </c>
      <c r="D20586">
        <v>-47785.25</v>
      </c>
    </row>
    <row r="20587" spans="1:4" hidden="1" x14ac:dyDescent="0.3">
      <c r="A20587" t="s">
        <v>1122</v>
      </c>
      <c r="B20587" t="s">
        <v>139</v>
      </c>
      <c r="C20587" s="1">
        <f>HYPERLINK("https://cao.dolgi.msk.ru/account/1011321824/", 1011321824)</f>
        <v>1011321824</v>
      </c>
      <c r="D20587">
        <v>-6681.17</v>
      </c>
    </row>
    <row r="20588" spans="1:4" hidden="1" x14ac:dyDescent="0.3">
      <c r="A20588" t="s">
        <v>1122</v>
      </c>
      <c r="B20588" t="s">
        <v>140</v>
      </c>
      <c r="C20588" s="1">
        <f>HYPERLINK("https://cao.dolgi.msk.ru/account/1011320995/", 1011320995)</f>
        <v>1011320995</v>
      </c>
      <c r="D20588">
        <v>0</v>
      </c>
    </row>
    <row r="20589" spans="1:4" hidden="1" x14ac:dyDescent="0.3">
      <c r="A20589" t="s">
        <v>1122</v>
      </c>
      <c r="B20589" t="s">
        <v>141</v>
      </c>
      <c r="C20589" s="1">
        <f>HYPERLINK("https://cao.dolgi.msk.ru/account/1011319951/", 1011319951)</f>
        <v>1011319951</v>
      </c>
      <c r="D20589">
        <v>-1134.07</v>
      </c>
    </row>
    <row r="20590" spans="1:4" hidden="1" x14ac:dyDescent="0.3">
      <c r="A20590" t="s">
        <v>1122</v>
      </c>
      <c r="B20590" t="s">
        <v>142</v>
      </c>
      <c r="C20590" s="1">
        <f>HYPERLINK("https://cao.dolgi.msk.ru/account/1011319206/", 1011319206)</f>
        <v>1011319206</v>
      </c>
      <c r="D20590">
        <v>0</v>
      </c>
    </row>
    <row r="20591" spans="1:4" hidden="1" x14ac:dyDescent="0.3">
      <c r="A20591" t="s">
        <v>1122</v>
      </c>
      <c r="B20591" t="s">
        <v>142</v>
      </c>
      <c r="C20591" s="1">
        <f>HYPERLINK("https://cao.dolgi.msk.ru/account/1011321373/", 1011321373)</f>
        <v>1011321373</v>
      </c>
      <c r="D20591">
        <v>0</v>
      </c>
    </row>
    <row r="20592" spans="1:4" hidden="1" x14ac:dyDescent="0.3">
      <c r="A20592" t="s">
        <v>1122</v>
      </c>
      <c r="B20592" t="s">
        <v>143</v>
      </c>
      <c r="C20592" s="1">
        <f>HYPERLINK("https://cao.dolgi.msk.ru/account/1011319978/", 1011319978)</f>
        <v>1011319978</v>
      </c>
      <c r="D20592">
        <v>-4359.72</v>
      </c>
    </row>
    <row r="20593" spans="1:4" hidden="1" x14ac:dyDescent="0.3">
      <c r="A20593" t="s">
        <v>1122</v>
      </c>
      <c r="B20593" t="s">
        <v>144</v>
      </c>
      <c r="C20593" s="1">
        <f>HYPERLINK("https://cao.dolgi.msk.ru/account/1011318879/", 1011318879)</f>
        <v>1011318879</v>
      </c>
      <c r="D20593">
        <v>0</v>
      </c>
    </row>
    <row r="20594" spans="1:4" hidden="1" x14ac:dyDescent="0.3">
      <c r="A20594" t="s">
        <v>1122</v>
      </c>
      <c r="B20594" t="s">
        <v>145</v>
      </c>
      <c r="C20594" s="1">
        <f>HYPERLINK("https://cao.dolgi.msk.ru/account/1011319986/", 1011319986)</f>
        <v>1011319986</v>
      </c>
      <c r="D20594">
        <v>-1331.8</v>
      </c>
    </row>
    <row r="20595" spans="1:4" hidden="1" x14ac:dyDescent="0.3">
      <c r="A20595" t="s">
        <v>1122</v>
      </c>
      <c r="B20595" t="s">
        <v>146</v>
      </c>
      <c r="C20595" s="1">
        <f>HYPERLINK("https://cao.dolgi.msk.ru/account/1011319214/", 1011319214)</f>
        <v>1011319214</v>
      </c>
      <c r="D20595">
        <v>0</v>
      </c>
    </row>
    <row r="20596" spans="1:4" hidden="1" x14ac:dyDescent="0.3">
      <c r="A20596" t="s">
        <v>1122</v>
      </c>
      <c r="B20596" t="s">
        <v>147</v>
      </c>
      <c r="C20596" s="1">
        <f>HYPERLINK("https://cao.dolgi.msk.ru/account/1011322368/", 1011322368)</f>
        <v>1011322368</v>
      </c>
      <c r="D20596">
        <v>0</v>
      </c>
    </row>
    <row r="20597" spans="1:4" hidden="1" x14ac:dyDescent="0.3">
      <c r="A20597" t="s">
        <v>1122</v>
      </c>
      <c r="B20597" t="s">
        <v>148</v>
      </c>
      <c r="C20597" s="1">
        <f>HYPERLINK("https://cao.dolgi.msk.ru/account/1011321832/", 1011321832)</f>
        <v>1011321832</v>
      </c>
      <c r="D20597">
        <v>0</v>
      </c>
    </row>
    <row r="20598" spans="1:4" hidden="1" x14ac:dyDescent="0.3">
      <c r="A20598" t="s">
        <v>1122</v>
      </c>
      <c r="B20598" t="s">
        <v>149</v>
      </c>
      <c r="C20598" s="1">
        <f>HYPERLINK("https://cao.dolgi.msk.ru/account/1011321285/", 1011321285)</f>
        <v>1011321285</v>
      </c>
      <c r="D20598">
        <v>0</v>
      </c>
    </row>
    <row r="20599" spans="1:4" hidden="1" x14ac:dyDescent="0.3">
      <c r="A20599" t="s">
        <v>1122</v>
      </c>
      <c r="B20599" t="s">
        <v>150</v>
      </c>
      <c r="C20599" s="1">
        <f>HYPERLINK("https://cao.dolgi.msk.ru/account/1011321859/", 1011321859)</f>
        <v>1011321859</v>
      </c>
      <c r="D20599">
        <v>0</v>
      </c>
    </row>
    <row r="20600" spans="1:4" hidden="1" x14ac:dyDescent="0.3">
      <c r="A20600" t="s">
        <v>1122</v>
      </c>
      <c r="B20600" t="s">
        <v>151</v>
      </c>
      <c r="C20600" s="1">
        <f>HYPERLINK("https://cao.dolgi.msk.ru/account/1011321007/", 1011321007)</f>
        <v>1011321007</v>
      </c>
      <c r="D20600">
        <v>0</v>
      </c>
    </row>
    <row r="20601" spans="1:4" hidden="1" x14ac:dyDescent="0.3">
      <c r="A20601" t="s">
        <v>1122</v>
      </c>
      <c r="B20601" t="s">
        <v>152</v>
      </c>
      <c r="C20601" s="1">
        <f>HYPERLINK("https://cao.dolgi.msk.ru/account/1011321381/", 1011321381)</f>
        <v>1011321381</v>
      </c>
      <c r="D20601">
        <v>-7315.82</v>
      </c>
    </row>
    <row r="20602" spans="1:4" hidden="1" x14ac:dyDescent="0.3">
      <c r="A20602" t="s">
        <v>1122</v>
      </c>
      <c r="B20602" t="s">
        <v>153</v>
      </c>
      <c r="C20602" s="1">
        <f>HYPERLINK("https://cao.dolgi.msk.ru/account/1011321402/", 1011321402)</f>
        <v>1011321402</v>
      </c>
      <c r="D20602">
        <v>-5775.01</v>
      </c>
    </row>
    <row r="20603" spans="1:4" hidden="1" x14ac:dyDescent="0.3">
      <c r="A20603" t="s">
        <v>1122</v>
      </c>
      <c r="B20603" t="s">
        <v>154</v>
      </c>
      <c r="C20603" s="1">
        <f>HYPERLINK("https://cao.dolgi.msk.ru/account/1011320469/", 1011320469)</f>
        <v>1011320469</v>
      </c>
      <c r="D20603">
        <v>0</v>
      </c>
    </row>
    <row r="20604" spans="1:4" hidden="1" x14ac:dyDescent="0.3">
      <c r="A20604" t="s">
        <v>1122</v>
      </c>
      <c r="B20604" t="s">
        <v>155</v>
      </c>
      <c r="C20604" s="1">
        <f>HYPERLINK("https://cao.dolgi.msk.ru/account/1011321015/", 1011321015)</f>
        <v>1011321015</v>
      </c>
      <c r="D20604">
        <v>-7486.47</v>
      </c>
    </row>
    <row r="20605" spans="1:4" x14ac:dyDescent="0.3">
      <c r="A20605" t="s">
        <v>1122</v>
      </c>
      <c r="B20605" t="s">
        <v>156</v>
      </c>
      <c r="C20605" s="1">
        <f>HYPERLINK("https://cao.dolgi.msk.ru/account/1011320477/", 1011320477)</f>
        <v>1011320477</v>
      </c>
      <c r="D20605">
        <v>6227.86</v>
      </c>
    </row>
    <row r="20606" spans="1:4" x14ac:dyDescent="0.3">
      <c r="A20606" t="s">
        <v>1122</v>
      </c>
      <c r="B20606" t="s">
        <v>157</v>
      </c>
      <c r="C20606" s="1">
        <f>HYPERLINK("https://cao.dolgi.msk.ru/account/1011320485/", 1011320485)</f>
        <v>1011320485</v>
      </c>
      <c r="D20606">
        <v>6542.85</v>
      </c>
    </row>
    <row r="20607" spans="1:4" hidden="1" x14ac:dyDescent="0.3">
      <c r="A20607" t="s">
        <v>1122</v>
      </c>
      <c r="B20607" t="s">
        <v>158</v>
      </c>
      <c r="C20607" s="1">
        <f>HYPERLINK("https://cao.dolgi.msk.ru/account/1011319476/", 1011319476)</f>
        <v>1011319476</v>
      </c>
      <c r="D20607">
        <v>-9249.9500000000007</v>
      </c>
    </row>
    <row r="20608" spans="1:4" hidden="1" x14ac:dyDescent="0.3">
      <c r="A20608" t="s">
        <v>1122</v>
      </c>
      <c r="B20608" t="s">
        <v>159</v>
      </c>
      <c r="C20608" s="1">
        <f>HYPERLINK("https://cao.dolgi.msk.ru/account/1011319994/", 1011319994)</f>
        <v>1011319994</v>
      </c>
      <c r="D20608">
        <v>0</v>
      </c>
    </row>
    <row r="20609" spans="1:4" hidden="1" x14ac:dyDescent="0.3">
      <c r="A20609" t="s">
        <v>1122</v>
      </c>
      <c r="B20609" t="s">
        <v>160</v>
      </c>
      <c r="C20609" s="1">
        <f>HYPERLINK("https://cao.dolgi.msk.ru/account/1011320493/", 1011320493)</f>
        <v>1011320493</v>
      </c>
      <c r="D20609">
        <v>0</v>
      </c>
    </row>
    <row r="20610" spans="1:4" hidden="1" x14ac:dyDescent="0.3">
      <c r="A20610" t="s">
        <v>1122</v>
      </c>
      <c r="B20610" t="s">
        <v>161</v>
      </c>
      <c r="C20610" s="1">
        <f>HYPERLINK("https://cao.dolgi.msk.ru/account/1011319484/", 1011319484)</f>
        <v>1011319484</v>
      </c>
      <c r="D20610">
        <v>0</v>
      </c>
    </row>
    <row r="20611" spans="1:4" hidden="1" x14ac:dyDescent="0.3">
      <c r="A20611" t="s">
        <v>1122</v>
      </c>
      <c r="B20611" t="s">
        <v>162</v>
      </c>
      <c r="C20611" s="1">
        <f>HYPERLINK("https://cao.dolgi.msk.ru/account/1011320506/", 1011320506)</f>
        <v>1011320506</v>
      </c>
      <c r="D20611">
        <v>-20782.53</v>
      </c>
    </row>
    <row r="20612" spans="1:4" hidden="1" x14ac:dyDescent="0.3">
      <c r="A20612" t="s">
        <v>1122</v>
      </c>
      <c r="B20612" t="s">
        <v>163</v>
      </c>
      <c r="C20612" s="1">
        <f>HYPERLINK("https://cao.dolgi.msk.ru/account/1011320514/", 1011320514)</f>
        <v>1011320514</v>
      </c>
      <c r="D20612">
        <v>0</v>
      </c>
    </row>
    <row r="20613" spans="1:4" x14ac:dyDescent="0.3">
      <c r="A20613" t="s">
        <v>1122</v>
      </c>
      <c r="B20613" t="s">
        <v>164</v>
      </c>
      <c r="C20613" s="1">
        <f>HYPERLINK("https://cao.dolgi.msk.ru/account/1011321429/", 1011321429)</f>
        <v>1011321429</v>
      </c>
      <c r="D20613">
        <v>5416.73</v>
      </c>
    </row>
    <row r="20614" spans="1:4" x14ac:dyDescent="0.3">
      <c r="A20614" t="s">
        <v>1122</v>
      </c>
      <c r="B20614" t="s">
        <v>165</v>
      </c>
      <c r="C20614" s="1">
        <f>HYPERLINK("https://cao.dolgi.msk.ru/account/1011321023/", 1011321023)</f>
        <v>1011321023</v>
      </c>
      <c r="D20614">
        <v>325539.21999999997</v>
      </c>
    </row>
    <row r="20615" spans="1:4" hidden="1" x14ac:dyDescent="0.3">
      <c r="A20615" t="s">
        <v>1122</v>
      </c>
      <c r="B20615" t="s">
        <v>166</v>
      </c>
      <c r="C20615" s="1">
        <f>HYPERLINK("https://cao.dolgi.msk.ru/account/1011320004/", 1011320004)</f>
        <v>1011320004</v>
      </c>
      <c r="D20615">
        <v>0</v>
      </c>
    </row>
    <row r="20616" spans="1:4" x14ac:dyDescent="0.3">
      <c r="A20616" t="s">
        <v>1122</v>
      </c>
      <c r="B20616" t="s">
        <v>167</v>
      </c>
      <c r="C20616" s="1">
        <f>HYPERLINK("https://cao.dolgi.msk.ru/account/1011322376/", 1011322376)</f>
        <v>1011322376</v>
      </c>
      <c r="D20616">
        <v>3822.21</v>
      </c>
    </row>
    <row r="20617" spans="1:4" hidden="1" x14ac:dyDescent="0.3">
      <c r="A20617" t="s">
        <v>1122</v>
      </c>
      <c r="B20617" t="s">
        <v>168</v>
      </c>
      <c r="C20617" s="1">
        <f>HYPERLINK("https://cao.dolgi.msk.ru/account/1011322384/", 1011322384)</f>
        <v>1011322384</v>
      </c>
      <c r="D20617">
        <v>0</v>
      </c>
    </row>
    <row r="20618" spans="1:4" hidden="1" x14ac:dyDescent="0.3">
      <c r="A20618" t="s">
        <v>1122</v>
      </c>
      <c r="B20618" t="s">
        <v>169</v>
      </c>
      <c r="C20618" s="1">
        <f>HYPERLINK("https://cao.dolgi.msk.ru/account/1011321031/", 1011321031)</f>
        <v>1011321031</v>
      </c>
      <c r="D20618">
        <v>-7371.11</v>
      </c>
    </row>
    <row r="20619" spans="1:4" hidden="1" x14ac:dyDescent="0.3">
      <c r="A20619" t="s">
        <v>1122</v>
      </c>
      <c r="B20619" t="s">
        <v>170</v>
      </c>
      <c r="C20619" s="1">
        <f>HYPERLINK("https://cao.dolgi.msk.ru/account/1011318887/", 1011318887)</f>
        <v>1011318887</v>
      </c>
      <c r="D20619">
        <v>0</v>
      </c>
    </row>
    <row r="20620" spans="1:4" hidden="1" x14ac:dyDescent="0.3">
      <c r="A20620" t="s">
        <v>1122</v>
      </c>
      <c r="B20620" t="s">
        <v>171</v>
      </c>
      <c r="C20620" s="1">
        <f>HYPERLINK("https://cao.dolgi.msk.ru/account/1011321058/", 1011321058)</f>
        <v>1011321058</v>
      </c>
      <c r="D20620">
        <v>-6079.93</v>
      </c>
    </row>
    <row r="20621" spans="1:4" hidden="1" x14ac:dyDescent="0.3">
      <c r="A20621" t="s">
        <v>1122</v>
      </c>
      <c r="B20621" t="s">
        <v>172</v>
      </c>
      <c r="C20621" s="1">
        <f>HYPERLINK("https://cao.dolgi.msk.ru/account/1011318895/", 1011318895)</f>
        <v>1011318895</v>
      </c>
      <c r="D20621">
        <v>0</v>
      </c>
    </row>
    <row r="20622" spans="1:4" hidden="1" x14ac:dyDescent="0.3">
      <c r="A20622" t="s">
        <v>1122</v>
      </c>
      <c r="B20622" t="s">
        <v>173</v>
      </c>
      <c r="C20622" s="1">
        <f>HYPERLINK("https://cao.dolgi.msk.ru/account/1011321066/", 1011321066)</f>
        <v>1011321066</v>
      </c>
      <c r="D20622">
        <v>-13051.69</v>
      </c>
    </row>
    <row r="20623" spans="1:4" x14ac:dyDescent="0.3">
      <c r="A20623" t="s">
        <v>1122</v>
      </c>
      <c r="B20623" t="s">
        <v>174</v>
      </c>
      <c r="C20623" s="1">
        <f>HYPERLINK("https://cao.dolgi.msk.ru/account/1011321867/", 1011321867)</f>
        <v>1011321867</v>
      </c>
      <c r="D20623">
        <v>405014.33</v>
      </c>
    </row>
    <row r="20624" spans="1:4" hidden="1" x14ac:dyDescent="0.3">
      <c r="A20624" t="s">
        <v>1122</v>
      </c>
      <c r="B20624" t="s">
        <v>175</v>
      </c>
      <c r="C20624" s="1">
        <f>HYPERLINK("https://cao.dolgi.msk.ru/account/1011321437/", 1011321437)</f>
        <v>1011321437</v>
      </c>
      <c r="D20624">
        <v>-88.68</v>
      </c>
    </row>
    <row r="20625" spans="1:4" hidden="1" x14ac:dyDescent="0.3">
      <c r="A20625" t="s">
        <v>1122</v>
      </c>
      <c r="B20625" t="s">
        <v>176</v>
      </c>
      <c r="C20625" s="1">
        <f>HYPERLINK("https://cao.dolgi.msk.ru/account/1011318908/", 1011318908)</f>
        <v>1011318908</v>
      </c>
      <c r="D20625">
        <v>0</v>
      </c>
    </row>
    <row r="20626" spans="1:4" hidden="1" x14ac:dyDescent="0.3">
      <c r="A20626" t="s">
        <v>1122</v>
      </c>
      <c r="B20626" t="s">
        <v>177</v>
      </c>
      <c r="C20626" s="1">
        <f>HYPERLINK("https://cao.dolgi.msk.ru/account/1011322392/", 1011322392)</f>
        <v>1011322392</v>
      </c>
      <c r="D20626">
        <v>-150.46</v>
      </c>
    </row>
    <row r="20627" spans="1:4" hidden="1" x14ac:dyDescent="0.3">
      <c r="A20627" t="s">
        <v>1122</v>
      </c>
      <c r="B20627" t="s">
        <v>178</v>
      </c>
      <c r="C20627" s="1">
        <f>HYPERLINK("https://cao.dolgi.msk.ru/account/1011320522/", 1011320522)</f>
        <v>1011320522</v>
      </c>
      <c r="D20627">
        <v>0</v>
      </c>
    </row>
    <row r="20628" spans="1:4" hidden="1" x14ac:dyDescent="0.3">
      <c r="A20628" t="s">
        <v>1122</v>
      </c>
      <c r="B20628" t="s">
        <v>179</v>
      </c>
      <c r="C20628" s="1">
        <f>HYPERLINK("https://cao.dolgi.msk.ru/account/1011320012/", 1011320012)</f>
        <v>1011320012</v>
      </c>
      <c r="D20628">
        <v>0</v>
      </c>
    </row>
    <row r="20629" spans="1:4" hidden="1" x14ac:dyDescent="0.3">
      <c r="A20629" t="s">
        <v>1122</v>
      </c>
      <c r="B20629" t="s">
        <v>273</v>
      </c>
      <c r="C20629" s="1">
        <f>HYPERLINK("https://cao.dolgi.msk.ru/account/1011318916/", 1011318916)</f>
        <v>1011318916</v>
      </c>
      <c r="D20629">
        <v>0</v>
      </c>
    </row>
    <row r="20630" spans="1:4" hidden="1" x14ac:dyDescent="0.3">
      <c r="A20630" t="s">
        <v>1122</v>
      </c>
      <c r="B20630" t="s">
        <v>180</v>
      </c>
      <c r="C20630" s="1">
        <f>HYPERLINK("https://cao.dolgi.msk.ru/account/1011322114/", 1011322114)</f>
        <v>1011322114</v>
      </c>
      <c r="D20630">
        <v>-5367.85</v>
      </c>
    </row>
    <row r="20631" spans="1:4" hidden="1" x14ac:dyDescent="0.3">
      <c r="A20631" t="s">
        <v>1122</v>
      </c>
      <c r="B20631" t="s">
        <v>181</v>
      </c>
      <c r="C20631" s="1">
        <f>HYPERLINK("https://cao.dolgi.msk.ru/account/1011321074/", 1011321074)</f>
        <v>1011321074</v>
      </c>
      <c r="D20631">
        <v>-12971.64</v>
      </c>
    </row>
    <row r="20632" spans="1:4" hidden="1" x14ac:dyDescent="0.3">
      <c r="A20632" t="s">
        <v>1122</v>
      </c>
      <c r="B20632" t="s">
        <v>182</v>
      </c>
      <c r="C20632" s="1">
        <f>HYPERLINK("https://cao.dolgi.msk.ru/account/1011321445/", 1011321445)</f>
        <v>1011321445</v>
      </c>
      <c r="D20632">
        <v>-75.790000000000006</v>
      </c>
    </row>
    <row r="20633" spans="1:4" hidden="1" x14ac:dyDescent="0.3">
      <c r="A20633" t="s">
        <v>1122</v>
      </c>
      <c r="B20633" t="s">
        <v>183</v>
      </c>
      <c r="C20633" s="1">
        <f>HYPERLINK("https://cao.dolgi.msk.ru/account/1011321875/", 1011321875)</f>
        <v>1011321875</v>
      </c>
      <c r="D20633">
        <v>0</v>
      </c>
    </row>
    <row r="20634" spans="1:4" hidden="1" x14ac:dyDescent="0.3">
      <c r="A20634" t="s">
        <v>1122</v>
      </c>
      <c r="B20634" t="s">
        <v>185</v>
      </c>
      <c r="C20634" s="1">
        <f>HYPERLINK("https://cao.dolgi.msk.ru/account/1011322405/", 1011322405)</f>
        <v>1011322405</v>
      </c>
      <c r="D20634">
        <v>-90.25</v>
      </c>
    </row>
    <row r="20635" spans="1:4" hidden="1" x14ac:dyDescent="0.3">
      <c r="A20635" t="s">
        <v>1122</v>
      </c>
      <c r="B20635" t="s">
        <v>274</v>
      </c>
      <c r="C20635" s="1">
        <f>HYPERLINK("https://cao.dolgi.msk.ru/account/1011322413/", 1011322413)</f>
        <v>1011322413</v>
      </c>
      <c r="D20635">
        <v>0</v>
      </c>
    </row>
    <row r="20636" spans="1:4" hidden="1" x14ac:dyDescent="0.3">
      <c r="A20636" t="s">
        <v>1122</v>
      </c>
      <c r="B20636" t="s">
        <v>186</v>
      </c>
      <c r="C20636" s="1">
        <f>HYPERLINK("https://cao.dolgi.msk.ru/account/1011321453/", 1011321453)</f>
        <v>1011321453</v>
      </c>
      <c r="D20636">
        <v>0</v>
      </c>
    </row>
    <row r="20637" spans="1:4" hidden="1" x14ac:dyDescent="0.3">
      <c r="A20637" t="s">
        <v>1122</v>
      </c>
      <c r="B20637" t="s">
        <v>187</v>
      </c>
      <c r="C20637" s="1">
        <f>HYPERLINK("https://cao.dolgi.msk.ru/account/1011321461/", 1011321461)</f>
        <v>1011321461</v>
      </c>
      <c r="D20637">
        <v>-6152.19</v>
      </c>
    </row>
    <row r="20638" spans="1:4" x14ac:dyDescent="0.3">
      <c r="A20638" t="s">
        <v>1122</v>
      </c>
      <c r="B20638" t="s">
        <v>188</v>
      </c>
      <c r="C20638" s="1">
        <f>HYPERLINK("https://cao.dolgi.msk.ru/account/1011321082/", 1011321082)</f>
        <v>1011321082</v>
      </c>
      <c r="D20638">
        <v>7495.79</v>
      </c>
    </row>
    <row r="20639" spans="1:4" hidden="1" x14ac:dyDescent="0.3">
      <c r="A20639" t="s">
        <v>1122</v>
      </c>
      <c r="B20639" t="s">
        <v>190</v>
      </c>
      <c r="C20639" s="1">
        <f>HYPERLINK("https://cao.dolgi.msk.ru/account/1011321488/", 1011321488)</f>
        <v>1011321488</v>
      </c>
      <c r="D20639">
        <v>0</v>
      </c>
    </row>
    <row r="20640" spans="1:4" hidden="1" x14ac:dyDescent="0.3">
      <c r="A20640" t="s">
        <v>1122</v>
      </c>
      <c r="B20640" t="s">
        <v>191</v>
      </c>
      <c r="C20640" s="1">
        <f>HYPERLINK("https://cao.dolgi.msk.ru/account/1011321103/", 1011321103)</f>
        <v>1011321103</v>
      </c>
      <c r="D20640">
        <v>-1332.17</v>
      </c>
    </row>
    <row r="20641" spans="1:4" hidden="1" x14ac:dyDescent="0.3">
      <c r="A20641" t="s">
        <v>1122</v>
      </c>
      <c r="B20641" t="s">
        <v>192</v>
      </c>
      <c r="C20641" s="1">
        <f>HYPERLINK("https://cao.dolgi.msk.ru/account/1011319492/", 1011319492)</f>
        <v>1011319492</v>
      </c>
      <c r="D20641">
        <v>0</v>
      </c>
    </row>
    <row r="20642" spans="1:4" hidden="1" x14ac:dyDescent="0.3">
      <c r="A20642" t="s">
        <v>1122</v>
      </c>
      <c r="B20642" t="s">
        <v>325</v>
      </c>
      <c r="C20642" s="1">
        <f>HYPERLINK("https://cao.dolgi.msk.ru/account/1011319505/", 1011319505)</f>
        <v>1011319505</v>
      </c>
      <c r="D20642">
        <v>-455.92</v>
      </c>
    </row>
    <row r="20643" spans="1:4" hidden="1" x14ac:dyDescent="0.3">
      <c r="A20643" t="s">
        <v>1122</v>
      </c>
      <c r="B20643" t="s">
        <v>193</v>
      </c>
      <c r="C20643" s="1">
        <f>HYPERLINK("https://cao.dolgi.msk.ru/account/1011318924/", 1011318924)</f>
        <v>1011318924</v>
      </c>
      <c r="D20643">
        <v>0</v>
      </c>
    </row>
    <row r="20644" spans="1:4" hidden="1" x14ac:dyDescent="0.3">
      <c r="A20644" t="s">
        <v>1122</v>
      </c>
      <c r="B20644" t="s">
        <v>194</v>
      </c>
      <c r="C20644" s="1">
        <f>HYPERLINK("https://cao.dolgi.msk.ru/account/1011318932/", 1011318932)</f>
        <v>1011318932</v>
      </c>
      <c r="D20644">
        <v>-22.46</v>
      </c>
    </row>
    <row r="20645" spans="1:4" hidden="1" x14ac:dyDescent="0.3">
      <c r="A20645" t="s">
        <v>1122</v>
      </c>
      <c r="B20645" t="s">
        <v>195</v>
      </c>
      <c r="C20645" s="1">
        <f>HYPERLINK("https://cao.dolgi.msk.ru/account/1011321883/", 1011321883)</f>
        <v>1011321883</v>
      </c>
      <c r="D20645">
        <v>-7388.23</v>
      </c>
    </row>
    <row r="20646" spans="1:4" hidden="1" x14ac:dyDescent="0.3">
      <c r="A20646" t="s">
        <v>1122</v>
      </c>
      <c r="B20646" t="s">
        <v>196</v>
      </c>
      <c r="C20646" s="1">
        <f>HYPERLINK("https://cao.dolgi.msk.ru/account/1011318959/", 1011318959)</f>
        <v>1011318959</v>
      </c>
      <c r="D20646">
        <v>0</v>
      </c>
    </row>
    <row r="20647" spans="1:4" hidden="1" x14ac:dyDescent="0.3">
      <c r="A20647" t="s">
        <v>1122</v>
      </c>
      <c r="B20647" t="s">
        <v>197</v>
      </c>
      <c r="C20647" s="1">
        <f>HYPERLINK("https://cao.dolgi.msk.ru/account/1011320557/", 1011320557)</f>
        <v>1011320557</v>
      </c>
      <c r="D20647">
        <v>-607.91</v>
      </c>
    </row>
    <row r="20648" spans="1:4" hidden="1" x14ac:dyDescent="0.3">
      <c r="A20648" t="s">
        <v>1122</v>
      </c>
      <c r="B20648" t="s">
        <v>198</v>
      </c>
      <c r="C20648" s="1">
        <f>HYPERLINK("https://cao.dolgi.msk.ru/account/1011321891/", 1011321891)</f>
        <v>1011321891</v>
      </c>
      <c r="D20648">
        <v>0</v>
      </c>
    </row>
    <row r="20649" spans="1:4" hidden="1" x14ac:dyDescent="0.3">
      <c r="A20649" t="s">
        <v>1122</v>
      </c>
      <c r="B20649" t="s">
        <v>199</v>
      </c>
      <c r="C20649" s="1">
        <f>HYPERLINK("https://cao.dolgi.msk.ru/account/1011320565/", 1011320565)</f>
        <v>1011320565</v>
      </c>
      <c r="D20649">
        <v>-11084.82</v>
      </c>
    </row>
    <row r="20650" spans="1:4" hidden="1" x14ac:dyDescent="0.3">
      <c r="A20650" t="s">
        <v>1122</v>
      </c>
      <c r="B20650" t="s">
        <v>200</v>
      </c>
      <c r="C20650" s="1">
        <f>HYPERLINK("https://cao.dolgi.msk.ru/account/1011320573/", 1011320573)</f>
        <v>1011320573</v>
      </c>
      <c r="D20650">
        <v>-7823.69</v>
      </c>
    </row>
    <row r="20651" spans="1:4" hidden="1" x14ac:dyDescent="0.3">
      <c r="A20651" t="s">
        <v>1122</v>
      </c>
      <c r="B20651" t="s">
        <v>201</v>
      </c>
      <c r="C20651" s="1">
        <f>HYPERLINK("https://cao.dolgi.msk.ru/account/1011321111/", 1011321111)</f>
        <v>1011321111</v>
      </c>
      <c r="D20651">
        <v>0</v>
      </c>
    </row>
    <row r="20652" spans="1:4" hidden="1" x14ac:dyDescent="0.3">
      <c r="A20652" t="s">
        <v>1122</v>
      </c>
      <c r="B20652" t="s">
        <v>202</v>
      </c>
      <c r="C20652" s="1">
        <f>HYPERLINK("https://cao.dolgi.msk.ru/account/1011318967/", 1011318967)</f>
        <v>1011318967</v>
      </c>
      <c r="D20652">
        <v>-10234.709999999999</v>
      </c>
    </row>
    <row r="20653" spans="1:4" hidden="1" x14ac:dyDescent="0.3">
      <c r="A20653" t="s">
        <v>1122</v>
      </c>
      <c r="B20653" t="s">
        <v>203</v>
      </c>
      <c r="C20653" s="1">
        <f>HYPERLINK("https://cao.dolgi.msk.ru/account/1011321904/", 1011321904)</f>
        <v>1011321904</v>
      </c>
      <c r="D20653">
        <v>0</v>
      </c>
    </row>
    <row r="20654" spans="1:4" hidden="1" x14ac:dyDescent="0.3">
      <c r="A20654" t="s">
        <v>1122</v>
      </c>
      <c r="B20654" t="s">
        <v>326</v>
      </c>
      <c r="C20654" s="1">
        <f>HYPERLINK("https://cao.dolgi.msk.ru/account/1011320581/", 1011320581)</f>
        <v>1011320581</v>
      </c>
      <c r="D20654">
        <v>0</v>
      </c>
    </row>
    <row r="20655" spans="1:4" hidden="1" x14ac:dyDescent="0.3">
      <c r="A20655" t="s">
        <v>1122</v>
      </c>
      <c r="B20655" t="s">
        <v>204</v>
      </c>
      <c r="C20655" s="1">
        <f>HYPERLINK("https://cao.dolgi.msk.ru/account/1011322421/", 1011322421)</f>
        <v>1011322421</v>
      </c>
      <c r="D20655">
        <v>-539.94000000000005</v>
      </c>
    </row>
    <row r="20656" spans="1:4" hidden="1" x14ac:dyDescent="0.3">
      <c r="A20656" t="s">
        <v>1122</v>
      </c>
      <c r="B20656" t="s">
        <v>205</v>
      </c>
      <c r="C20656" s="1">
        <f>HYPERLINK("https://cao.dolgi.msk.ru/account/1011321496/", 1011321496)</f>
        <v>1011321496</v>
      </c>
      <c r="D20656">
        <v>0</v>
      </c>
    </row>
    <row r="20657" spans="1:4" hidden="1" x14ac:dyDescent="0.3">
      <c r="A20657" t="s">
        <v>1122</v>
      </c>
      <c r="B20657" t="s">
        <v>206</v>
      </c>
      <c r="C20657" s="1">
        <f>HYPERLINK("https://cao.dolgi.msk.ru/account/1011321912/", 1011321912)</f>
        <v>1011321912</v>
      </c>
      <c r="D20657">
        <v>-9151.85</v>
      </c>
    </row>
    <row r="20658" spans="1:4" hidden="1" x14ac:dyDescent="0.3">
      <c r="A20658" t="s">
        <v>1122</v>
      </c>
      <c r="B20658" t="s">
        <v>207</v>
      </c>
      <c r="C20658" s="1">
        <f>HYPERLINK("https://cao.dolgi.msk.ru/account/1011321138/", 1011321138)</f>
        <v>1011321138</v>
      </c>
      <c r="D20658">
        <v>-20010.23</v>
      </c>
    </row>
    <row r="20659" spans="1:4" x14ac:dyDescent="0.3">
      <c r="A20659" t="s">
        <v>1122</v>
      </c>
      <c r="B20659" t="s">
        <v>208</v>
      </c>
      <c r="C20659" s="1">
        <f>HYPERLINK("https://cao.dolgi.msk.ru/account/1011321939/", 1011321939)</f>
        <v>1011321939</v>
      </c>
      <c r="D20659">
        <v>36.340000000000003</v>
      </c>
    </row>
    <row r="20660" spans="1:4" hidden="1" x14ac:dyDescent="0.3">
      <c r="A20660" t="s">
        <v>1122</v>
      </c>
      <c r="B20660" t="s">
        <v>327</v>
      </c>
      <c r="C20660" s="1">
        <f>HYPERLINK("https://cao.dolgi.msk.ru/account/1011319513/", 1011319513)</f>
        <v>1011319513</v>
      </c>
      <c r="D20660">
        <v>-7787.29</v>
      </c>
    </row>
    <row r="20661" spans="1:4" hidden="1" x14ac:dyDescent="0.3">
      <c r="A20661" t="s">
        <v>1122</v>
      </c>
      <c r="B20661" t="s">
        <v>209</v>
      </c>
      <c r="C20661" s="1">
        <f>HYPERLINK("https://cao.dolgi.msk.ru/account/1011320039/", 1011320039)</f>
        <v>1011320039</v>
      </c>
      <c r="D20661">
        <v>-37.590000000000003</v>
      </c>
    </row>
    <row r="20662" spans="1:4" x14ac:dyDescent="0.3">
      <c r="A20662" t="s">
        <v>1122</v>
      </c>
      <c r="B20662" t="s">
        <v>210</v>
      </c>
      <c r="C20662" s="1">
        <f>HYPERLINK("https://cao.dolgi.msk.ru/account/1011320602/", 1011320602)</f>
        <v>1011320602</v>
      </c>
      <c r="D20662">
        <v>16324.81</v>
      </c>
    </row>
    <row r="20663" spans="1:4" hidden="1" x14ac:dyDescent="0.3">
      <c r="A20663" t="s">
        <v>1122</v>
      </c>
      <c r="B20663" t="s">
        <v>211</v>
      </c>
      <c r="C20663" s="1">
        <f>HYPERLINK("https://cao.dolgi.msk.ru/account/1011320629/", 1011320629)</f>
        <v>1011320629</v>
      </c>
      <c r="D20663">
        <v>-7627.64</v>
      </c>
    </row>
    <row r="20664" spans="1:4" hidden="1" x14ac:dyDescent="0.3">
      <c r="A20664" t="s">
        <v>1122</v>
      </c>
      <c r="B20664" t="s">
        <v>212</v>
      </c>
      <c r="C20664" s="1">
        <f>HYPERLINK("https://cao.dolgi.msk.ru/account/1011321947/", 1011321947)</f>
        <v>1011321947</v>
      </c>
      <c r="D20664">
        <v>-7044.12</v>
      </c>
    </row>
    <row r="20665" spans="1:4" hidden="1" x14ac:dyDescent="0.3">
      <c r="A20665" t="s">
        <v>1122</v>
      </c>
      <c r="B20665" t="s">
        <v>213</v>
      </c>
      <c r="C20665" s="1">
        <f>HYPERLINK("https://cao.dolgi.msk.ru/account/1011318975/", 1011318975)</f>
        <v>1011318975</v>
      </c>
      <c r="D20665">
        <v>0</v>
      </c>
    </row>
    <row r="20666" spans="1:4" hidden="1" x14ac:dyDescent="0.3">
      <c r="A20666" t="s">
        <v>1122</v>
      </c>
      <c r="B20666" t="s">
        <v>214</v>
      </c>
      <c r="C20666" s="1">
        <f>HYPERLINK("https://cao.dolgi.msk.ru/account/1011321955/", 1011321955)</f>
        <v>1011321955</v>
      </c>
      <c r="D20666">
        <v>0</v>
      </c>
    </row>
    <row r="20667" spans="1:4" hidden="1" x14ac:dyDescent="0.3">
      <c r="A20667" t="s">
        <v>1122</v>
      </c>
      <c r="B20667" t="s">
        <v>215</v>
      </c>
      <c r="C20667" s="1">
        <f>HYPERLINK("https://cao.dolgi.msk.ru/account/1011321146/", 1011321146)</f>
        <v>1011321146</v>
      </c>
      <c r="D20667">
        <v>-8834.5300000000007</v>
      </c>
    </row>
    <row r="20668" spans="1:4" hidden="1" x14ac:dyDescent="0.3">
      <c r="A20668" t="s">
        <v>1122</v>
      </c>
      <c r="B20668" t="s">
        <v>216</v>
      </c>
      <c r="C20668" s="1">
        <f>HYPERLINK("https://cao.dolgi.msk.ru/account/1011320047/", 1011320047)</f>
        <v>1011320047</v>
      </c>
      <c r="D20668">
        <v>-244.57</v>
      </c>
    </row>
    <row r="20669" spans="1:4" x14ac:dyDescent="0.3">
      <c r="A20669" t="s">
        <v>1122</v>
      </c>
      <c r="B20669" t="s">
        <v>286</v>
      </c>
      <c r="C20669" s="1">
        <f>HYPERLINK("https://cao.dolgi.msk.ru/account/1011320055/", 1011320055)</f>
        <v>1011320055</v>
      </c>
      <c r="D20669">
        <v>9205.18</v>
      </c>
    </row>
    <row r="20670" spans="1:4" hidden="1" x14ac:dyDescent="0.3">
      <c r="A20670" t="s">
        <v>1122</v>
      </c>
      <c r="B20670" t="s">
        <v>287</v>
      </c>
      <c r="C20670" s="1">
        <f>HYPERLINK("https://cao.dolgi.msk.ru/account/1011321509/", 1011321509)</f>
        <v>1011321509</v>
      </c>
      <c r="D20670">
        <v>0</v>
      </c>
    </row>
    <row r="20671" spans="1:4" hidden="1" x14ac:dyDescent="0.3">
      <c r="A20671" t="s">
        <v>1122</v>
      </c>
      <c r="B20671" t="s">
        <v>217</v>
      </c>
      <c r="C20671" s="1">
        <f>HYPERLINK("https://cao.dolgi.msk.ru/account/1011320637/", 1011320637)</f>
        <v>1011320637</v>
      </c>
      <c r="D20671">
        <v>0</v>
      </c>
    </row>
    <row r="20672" spans="1:4" hidden="1" x14ac:dyDescent="0.3">
      <c r="A20672" t="s">
        <v>1122</v>
      </c>
      <c r="B20672" t="s">
        <v>218</v>
      </c>
      <c r="C20672" s="1">
        <f>HYPERLINK("https://cao.dolgi.msk.ru/account/1011322448/", 1011322448)</f>
        <v>1011322448</v>
      </c>
      <c r="D20672">
        <v>0</v>
      </c>
    </row>
    <row r="20673" spans="1:4" hidden="1" x14ac:dyDescent="0.3">
      <c r="A20673" t="s">
        <v>1122</v>
      </c>
      <c r="B20673" t="s">
        <v>220</v>
      </c>
      <c r="C20673" s="1">
        <f>HYPERLINK("https://cao.dolgi.msk.ru/account/1011321162/", 1011321162)</f>
        <v>1011321162</v>
      </c>
      <c r="D20673">
        <v>-3900.17</v>
      </c>
    </row>
    <row r="20674" spans="1:4" hidden="1" x14ac:dyDescent="0.3">
      <c r="A20674" t="s">
        <v>1122</v>
      </c>
      <c r="B20674" t="s">
        <v>221</v>
      </c>
      <c r="C20674" s="1">
        <f>HYPERLINK("https://cao.dolgi.msk.ru/account/1011320645/", 1011320645)</f>
        <v>1011320645</v>
      </c>
      <c r="D20674">
        <v>0</v>
      </c>
    </row>
    <row r="20675" spans="1:4" x14ac:dyDescent="0.3">
      <c r="A20675" t="s">
        <v>1122</v>
      </c>
      <c r="B20675" t="s">
        <v>222</v>
      </c>
      <c r="C20675" s="1">
        <f>HYPERLINK("https://cao.dolgi.msk.ru/account/1011319687/", 1011319687)</f>
        <v>1011319687</v>
      </c>
      <c r="D20675">
        <v>3232.33</v>
      </c>
    </row>
    <row r="20676" spans="1:4" x14ac:dyDescent="0.3">
      <c r="A20676" t="s">
        <v>1122</v>
      </c>
      <c r="B20676" t="s">
        <v>222</v>
      </c>
      <c r="C20676" s="1">
        <f>HYPERLINK("https://cao.dolgi.msk.ru/account/1011320776/", 1011320776)</f>
        <v>1011320776</v>
      </c>
      <c r="D20676">
        <v>9246.66</v>
      </c>
    </row>
    <row r="20677" spans="1:4" hidden="1" x14ac:dyDescent="0.3">
      <c r="A20677" t="s">
        <v>1122</v>
      </c>
      <c r="B20677" t="s">
        <v>223</v>
      </c>
      <c r="C20677" s="1">
        <f>HYPERLINK("https://cao.dolgi.msk.ru/account/1011322456/", 1011322456)</f>
        <v>1011322456</v>
      </c>
      <c r="D20677">
        <v>-4568.87</v>
      </c>
    </row>
    <row r="20678" spans="1:4" hidden="1" x14ac:dyDescent="0.3">
      <c r="A20678" t="s">
        <v>1122</v>
      </c>
      <c r="B20678" t="s">
        <v>224</v>
      </c>
      <c r="C20678" s="1">
        <f>HYPERLINK("https://cao.dolgi.msk.ru/account/1011320653/", 1011320653)</f>
        <v>1011320653</v>
      </c>
      <c r="D20678">
        <v>0</v>
      </c>
    </row>
    <row r="20679" spans="1:4" hidden="1" x14ac:dyDescent="0.3">
      <c r="A20679" t="s">
        <v>1122</v>
      </c>
      <c r="B20679" t="s">
        <v>225</v>
      </c>
      <c r="C20679" s="1">
        <f>HYPERLINK("https://cao.dolgi.msk.ru/account/1011319222/", 1011319222)</f>
        <v>1011319222</v>
      </c>
      <c r="D20679">
        <v>-11268.38</v>
      </c>
    </row>
    <row r="20680" spans="1:4" hidden="1" x14ac:dyDescent="0.3">
      <c r="A20680" t="s">
        <v>1122</v>
      </c>
      <c r="B20680" t="s">
        <v>225</v>
      </c>
      <c r="C20680" s="1">
        <f>HYPERLINK("https://cao.dolgi.msk.ru/account/1011322464/", 1011322464)</f>
        <v>1011322464</v>
      </c>
      <c r="D20680">
        <v>0</v>
      </c>
    </row>
    <row r="20681" spans="1:4" x14ac:dyDescent="0.3">
      <c r="A20681" t="s">
        <v>1122</v>
      </c>
      <c r="B20681" t="s">
        <v>227</v>
      </c>
      <c r="C20681" s="1">
        <f>HYPERLINK("https://cao.dolgi.msk.ru/account/1011320661/", 1011320661)</f>
        <v>1011320661</v>
      </c>
      <c r="D20681">
        <v>18053.54</v>
      </c>
    </row>
    <row r="20682" spans="1:4" hidden="1" x14ac:dyDescent="0.3">
      <c r="A20682" t="s">
        <v>1122</v>
      </c>
      <c r="B20682" t="s">
        <v>228</v>
      </c>
      <c r="C20682" s="1">
        <f>HYPERLINK("https://cao.dolgi.msk.ru/account/1011321517/", 1011321517)</f>
        <v>1011321517</v>
      </c>
      <c r="D20682">
        <v>-5689.8</v>
      </c>
    </row>
    <row r="20683" spans="1:4" hidden="1" x14ac:dyDescent="0.3">
      <c r="A20683" t="s">
        <v>1122</v>
      </c>
      <c r="B20683" t="s">
        <v>229</v>
      </c>
      <c r="C20683" s="1">
        <f>HYPERLINK("https://cao.dolgi.msk.ru/account/1011321963/", 1011321963)</f>
        <v>1011321963</v>
      </c>
      <c r="D20683">
        <v>-32.71</v>
      </c>
    </row>
    <row r="20684" spans="1:4" hidden="1" x14ac:dyDescent="0.3">
      <c r="A20684" t="s">
        <v>1122</v>
      </c>
      <c r="B20684" t="s">
        <v>230</v>
      </c>
      <c r="C20684" s="1">
        <f>HYPERLINK("https://cao.dolgi.msk.ru/account/1011321971/", 1011321971)</f>
        <v>1011321971</v>
      </c>
      <c r="D20684">
        <v>0</v>
      </c>
    </row>
    <row r="20685" spans="1:4" hidden="1" x14ac:dyDescent="0.3">
      <c r="A20685" t="s">
        <v>1122</v>
      </c>
      <c r="B20685" t="s">
        <v>231</v>
      </c>
      <c r="C20685" s="1">
        <f>HYPERLINK("https://cao.dolgi.msk.ru/account/1011322472/", 1011322472)</f>
        <v>1011322472</v>
      </c>
      <c r="D20685">
        <v>0</v>
      </c>
    </row>
    <row r="20686" spans="1:4" hidden="1" x14ac:dyDescent="0.3">
      <c r="A20686" t="s">
        <v>1122</v>
      </c>
      <c r="B20686" t="s">
        <v>232</v>
      </c>
      <c r="C20686" s="1">
        <f>HYPERLINK("https://cao.dolgi.msk.ru/account/1011321293/", 1011321293)</f>
        <v>1011321293</v>
      </c>
      <c r="D20686">
        <v>-38.86</v>
      </c>
    </row>
    <row r="20687" spans="1:4" hidden="1" x14ac:dyDescent="0.3">
      <c r="A20687" t="s">
        <v>1122</v>
      </c>
      <c r="B20687" t="s">
        <v>232</v>
      </c>
      <c r="C20687" s="1">
        <f>HYPERLINK("https://cao.dolgi.msk.ru/account/1011322499/", 1011322499)</f>
        <v>1011322499</v>
      </c>
      <c r="D20687">
        <v>0</v>
      </c>
    </row>
    <row r="20688" spans="1:4" hidden="1" x14ac:dyDescent="0.3">
      <c r="A20688" t="s">
        <v>1122</v>
      </c>
      <c r="B20688" t="s">
        <v>233</v>
      </c>
      <c r="C20688" s="1">
        <f>HYPERLINK("https://cao.dolgi.msk.ru/account/1011319521/", 1011319521)</f>
        <v>1011319521</v>
      </c>
      <c r="D20688">
        <v>-8349.9</v>
      </c>
    </row>
    <row r="20689" spans="1:4" hidden="1" x14ac:dyDescent="0.3">
      <c r="A20689" t="s">
        <v>1122</v>
      </c>
      <c r="B20689" t="s">
        <v>234</v>
      </c>
      <c r="C20689" s="1">
        <f>HYPERLINK("https://cao.dolgi.msk.ru/account/1011320688/", 1011320688)</f>
        <v>1011320688</v>
      </c>
      <c r="D20689">
        <v>0</v>
      </c>
    </row>
    <row r="20690" spans="1:4" hidden="1" x14ac:dyDescent="0.3">
      <c r="A20690" t="s">
        <v>1122</v>
      </c>
      <c r="B20690" t="s">
        <v>235</v>
      </c>
      <c r="C20690" s="1">
        <f>HYPERLINK("https://cao.dolgi.msk.ru/account/1011320063/", 1011320063)</f>
        <v>1011320063</v>
      </c>
      <c r="D20690">
        <v>-9228.4599999999991</v>
      </c>
    </row>
    <row r="20691" spans="1:4" hidden="1" x14ac:dyDescent="0.3">
      <c r="A20691" t="s">
        <v>1122</v>
      </c>
      <c r="B20691" t="s">
        <v>288</v>
      </c>
      <c r="C20691" s="1">
        <f>HYPERLINK("https://cao.dolgi.msk.ru/account/1011319724/", 1011319724)</f>
        <v>1011319724</v>
      </c>
      <c r="D20691">
        <v>0</v>
      </c>
    </row>
    <row r="20692" spans="1:4" x14ac:dyDescent="0.3">
      <c r="A20692" t="s">
        <v>1122</v>
      </c>
      <c r="B20692" t="s">
        <v>236</v>
      </c>
      <c r="C20692" s="1">
        <f>HYPERLINK("https://cao.dolgi.msk.ru/account/1011320071/", 1011320071)</f>
        <v>1011320071</v>
      </c>
      <c r="D20692">
        <v>26903.360000000001</v>
      </c>
    </row>
    <row r="20693" spans="1:4" hidden="1" x14ac:dyDescent="0.3">
      <c r="A20693" t="s">
        <v>1122</v>
      </c>
      <c r="B20693" t="s">
        <v>237</v>
      </c>
      <c r="C20693" s="1">
        <f>HYPERLINK("https://cao.dolgi.msk.ru/account/1011321189/", 1011321189)</f>
        <v>1011321189</v>
      </c>
      <c r="D20693">
        <v>0</v>
      </c>
    </row>
    <row r="20694" spans="1:4" hidden="1" x14ac:dyDescent="0.3">
      <c r="A20694" t="s">
        <v>1122</v>
      </c>
      <c r="B20694" t="s">
        <v>238</v>
      </c>
      <c r="C20694" s="1">
        <f>HYPERLINK("https://cao.dolgi.msk.ru/account/1011321998/", 1011321998)</f>
        <v>1011321998</v>
      </c>
      <c r="D20694">
        <v>-52.89</v>
      </c>
    </row>
    <row r="20695" spans="1:4" hidden="1" x14ac:dyDescent="0.3">
      <c r="A20695" t="s">
        <v>1122</v>
      </c>
      <c r="B20695" t="s">
        <v>239</v>
      </c>
      <c r="C20695" s="1">
        <f>HYPERLINK("https://cao.dolgi.msk.ru/account/1011319548/", 1011319548)</f>
        <v>1011319548</v>
      </c>
      <c r="D20695">
        <v>0</v>
      </c>
    </row>
    <row r="20696" spans="1:4" hidden="1" x14ac:dyDescent="0.3">
      <c r="A20696" t="s">
        <v>1122</v>
      </c>
      <c r="B20696" t="s">
        <v>240</v>
      </c>
      <c r="C20696" s="1">
        <f>HYPERLINK("https://cao.dolgi.msk.ru/account/1011321197/", 1011321197)</f>
        <v>1011321197</v>
      </c>
      <c r="D20696">
        <v>0</v>
      </c>
    </row>
    <row r="20697" spans="1:4" hidden="1" x14ac:dyDescent="0.3">
      <c r="A20697" t="s">
        <v>1122</v>
      </c>
      <c r="B20697" t="s">
        <v>241</v>
      </c>
      <c r="C20697" s="1">
        <f>HYPERLINK("https://cao.dolgi.msk.ru/account/1011322501/", 1011322501)</f>
        <v>1011322501</v>
      </c>
      <c r="D20697">
        <v>-5453.17</v>
      </c>
    </row>
    <row r="20698" spans="1:4" x14ac:dyDescent="0.3">
      <c r="A20698" t="s">
        <v>1122</v>
      </c>
      <c r="B20698" t="s">
        <v>242</v>
      </c>
      <c r="C20698" s="1">
        <f>HYPERLINK("https://cao.dolgi.msk.ru/account/1011319556/", 1011319556)</f>
        <v>1011319556</v>
      </c>
      <c r="D20698">
        <v>663.1</v>
      </c>
    </row>
    <row r="20699" spans="1:4" hidden="1" x14ac:dyDescent="0.3">
      <c r="A20699" t="s">
        <v>1122</v>
      </c>
      <c r="B20699" t="s">
        <v>289</v>
      </c>
      <c r="C20699" s="1">
        <f>HYPERLINK("https://cao.dolgi.msk.ru/account/1011322018/", 1011322018)</f>
        <v>1011322018</v>
      </c>
      <c r="D20699">
        <v>0</v>
      </c>
    </row>
    <row r="20700" spans="1:4" hidden="1" x14ac:dyDescent="0.3">
      <c r="A20700" t="s">
        <v>1122</v>
      </c>
      <c r="B20700" t="s">
        <v>243</v>
      </c>
      <c r="C20700" s="1">
        <f>HYPERLINK("https://cao.dolgi.msk.ru/account/1011320098/", 1011320098)</f>
        <v>1011320098</v>
      </c>
      <c r="D20700">
        <v>-4451.51</v>
      </c>
    </row>
    <row r="20701" spans="1:4" x14ac:dyDescent="0.3">
      <c r="A20701" t="s">
        <v>1122</v>
      </c>
      <c r="B20701" t="s">
        <v>244</v>
      </c>
      <c r="C20701" s="1">
        <f>HYPERLINK("https://cao.dolgi.msk.ru/account/1011318991/", 1011318991)</f>
        <v>1011318991</v>
      </c>
      <c r="D20701">
        <v>108947.2</v>
      </c>
    </row>
    <row r="20702" spans="1:4" hidden="1" x14ac:dyDescent="0.3">
      <c r="A20702" t="s">
        <v>1122</v>
      </c>
      <c r="B20702" t="s">
        <v>245</v>
      </c>
      <c r="C20702" s="1">
        <f>HYPERLINK("https://cao.dolgi.msk.ru/account/1011320696/", 1011320696)</f>
        <v>1011320696</v>
      </c>
      <c r="D20702">
        <v>0</v>
      </c>
    </row>
    <row r="20703" spans="1:4" hidden="1" x14ac:dyDescent="0.3">
      <c r="A20703" t="s">
        <v>1122</v>
      </c>
      <c r="B20703" t="s">
        <v>246</v>
      </c>
      <c r="C20703" s="1">
        <f>HYPERLINK("https://cao.dolgi.msk.ru/account/1011322026/", 1011322026)</f>
        <v>1011322026</v>
      </c>
      <c r="D20703">
        <v>-6628.33</v>
      </c>
    </row>
    <row r="20704" spans="1:4" hidden="1" x14ac:dyDescent="0.3">
      <c r="A20704" t="s">
        <v>1122</v>
      </c>
      <c r="B20704" t="s">
        <v>247</v>
      </c>
      <c r="C20704" s="1">
        <f>HYPERLINK("https://cao.dolgi.msk.ru/account/1011319564/", 1011319564)</f>
        <v>1011319564</v>
      </c>
      <c r="D20704">
        <v>-7962.95</v>
      </c>
    </row>
    <row r="20705" spans="1:4" hidden="1" x14ac:dyDescent="0.3">
      <c r="A20705" t="s">
        <v>1122</v>
      </c>
      <c r="B20705" t="s">
        <v>248</v>
      </c>
      <c r="C20705" s="1">
        <f>HYPERLINK("https://cao.dolgi.msk.ru/account/1011322034/", 1011322034)</f>
        <v>1011322034</v>
      </c>
      <c r="D20705">
        <v>0</v>
      </c>
    </row>
    <row r="20706" spans="1:4" hidden="1" x14ac:dyDescent="0.3">
      <c r="A20706" t="s">
        <v>1122</v>
      </c>
      <c r="B20706" t="s">
        <v>290</v>
      </c>
      <c r="C20706" s="1">
        <f>HYPERLINK("https://cao.dolgi.msk.ru/account/1011319572/", 1011319572)</f>
        <v>1011319572</v>
      </c>
      <c r="D20706">
        <v>-33.68</v>
      </c>
    </row>
    <row r="20707" spans="1:4" hidden="1" x14ac:dyDescent="0.3">
      <c r="A20707" t="s">
        <v>1122</v>
      </c>
      <c r="B20707" t="s">
        <v>249</v>
      </c>
      <c r="C20707" s="1">
        <f>HYPERLINK("https://cao.dolgi.msk.ru/account/1011319003/", 1011319003)</f>
        <v>1011319003</v>
      </c>
      <c r="D20707">
        <v>-595.79</v>
      </c>
    </row>
    <row r="20708" spans="1:4" hidden="1" x14ac:dyDescent="0.3">
      <c r="A20708" t="s">
        <v>1122</v>
      </c>
      <c r="B20708" t="s">
        <v>250</v>
      </c>
      <c r="C20708" s="1">
        <f>HYPERLINK("https://cao.dolgi.msk.ru/account/1011319716/", 1011319716)</f>
        <v>1011319716</v>
      </c>
      <c r="D20708">
        <v>0</v>
      </c>
    </row>
    <row r="20709" spans="1:4" hidden="1" x14ac:dyDescent="0.3">
      <c r="A20709" t="s">
        <v>1122</v>
      </c>
      <c r="B20709" t="s">
        <v>250</v>
      </c>
      <c r="C20709" s="1">
        <f>HYPERLINK("https://cao.dolgi.msk.ru/account/1011321525/", 1011321525)</f>
        <v>1011321525</v>
      </c>
      <c r="D20709">
        <v>-252.93</v>
      </c>
    </row>
    <row r="20710" spans="1:4" hidden="1" x14ac:dyDescent="0.3">
      <c r="A20710" t="s">
        <v>1122</v>
      </c>
      <c r="B20710" t="s">
        <v>251</v>
      </c>
      <c r="C20710" s="1">
        <f>HYPERLINK("https://cao.dolgi.msk.ru/account/1011322042/", 1011322042)</f>
        <v>1011322042</v>
      </c>
      <c r="D20710">
        <v>0</v>
      </c>
    </row>
    <row r="20711" spans="1:4" hidden="1" x14ac:dyDescent="0.3">
      <c r="A20711" t="s">
        <v>1122</v>
      </c>
      <c r="B20711" t="s">
        <v>252</v>
      </c>
      <c r="C20711" s="1">
        <f>HYPERLINK("https://cao.dolgi.msk.ru/account/1011322069/", 1011322069)</f>
        <v>1011322069</v>
      </c>
      <c r="D20711">
        <v>0</v>
      </c>
    </row>
    <row r="20712" spans="1:4" hidden="1" x14ac:dyDescent="0.3">
      <c r="A20712" t="s">
        <v>1122</v>
      </c>
      <c r="B20712" t="s">
        <v>254</v>
      </c>
      <c r="C20712" s="1">
        <f>HYPERLINK("https://cao.dolgi.msk.ru/account/1011322077/", 1011322077)</f>
        <v>1011322077</v>
      </c>
      <c r="D20712">
        <v>0</v>
      </c>
    </row>
    <row r="20713" spans="1:4" hidden="1" x14ac:dyDescent="0.3">
      <c r="A20713" t="s">
        <v>1122</v>
      </c>
      <c r="B20713" t="s">
        <v>255</v>
      </c>
      <c r="C20713" s="1">
        <f>HYPERLINK("https://cao.dolgi.msk.ru/account/1011319011/", 1011319011)</f>
        <v>1011319011</v>
      </c>
      <c r="D20713">
        <v>0</v>
      </c>
    </row>
    <row r="20714" spans="1:4" hidden="1" x14ac:dyDescent="0.3">
      <c r="A20714" t="s">
        <v>1122</v>
      </c>
      <c r="B20714" t="s">
        <v>256</v>
      </c>
      <c r="C20714" s="1">
        <f>HYPERLINK("https://cao.dolgi.msk.ru/account/1011319732/", 1011319732)</f>
        <v>1011319732</v>
      </c>
      <c r="D20714">
        <v>0</v>
      </c>
    </row>
    <row r="20715" spans="1:4" hidden="1" x14ac:dyDescent="0.3">
      <c r="A20715" t="s">
        <v>1122</v>
      </c>
      <c r="B20715" t="s">
        <v>257</v>
      </c>
      <c r="C20715" s="1">
        <f>HYPERLINK("https://cao.dolgi.msk.ru/account/1011320709/", 1011320709)</f>
        <v>1011320709</v>
      </c>
      <c r="D20715">
        <v>0</v>
      </c>
    </row>
    <row r="20716" spans="1:4" hidden="1" x14ac:dyDescent="0.3">
      <c r="A20716" t="s">
        <v>1122</v>
      </c>
      <c r="B20716" t="s">
        <v>291</v>
      </c>
      <c r="C20716" s="1">
        <f>HYPERLINK("https://cao.dolgi.msk.ru/account/1011321533/", 1011321533)</f>
        <v>1011321533</v>
      </c>
      <c r="D20716">
        <v>-304.74</v>
      </c>
    </row>
    <row r="20717" spans="1:4" hidden="1" x14ac:dyDescent="0.3">
      <c r="A20717" t="s">
        <v>1122</v>
      </c>
      <c r="B20717" t="s">
        <v>292</v>
      </c>
      <c r="C20717" s="1">
        <f>HYPERLINK("https://cao.dolgi.msk.ru/account/1011319695/", 1011319695)</f>
        <v>1011319695</v>
      </c>
      <c r="D20717">
        <v>0</v>
      </c>
    </row>
    <row r="20718" spans="1:4" hidden="1" x14ac:dyDescent="0.3">
      <c r="A20718" t="s">
        <v>1122</v>
      </c>
      <c r="B20718" t="s">
        <v>292</v>
      </c>
      <c r="C20718" s="1">
        <f>HYPERLINK("https://cao.dolgi.msk.ru/account/1011320231/", 1011320231)</f>
        <v>1011320231</v>
      </c>
      <c r="D20718">
        <v>-9.65</v>
      </c>
    </row>
    <row r="20719" spans="1:4" hidden="1" x14ac:dyDescent="0.3">
      <c r="A20719" t="s">
        <v>1122</v>
      </c>
      <c r="B20719" t="s">
        <v>293</v>
      </c>
      <c r="C20719" s="1">
        <f>HYPERLINK("https://cao.dolgi.msk.ru/account/1011320119/", 1011320119)</f>
        <v>1011320119</v>
      </c>
      <c r="D20719">
        <v>0</v>
      </c>
    </row>
    <row r="20720" spans="1:4" hidden="1" x14ac:dyDescent="0.3">
      <c r="A20720" t="s">
        <v>1122</v>
      </c>
      <c r="B20720" t="s">
        <v>294</v>
      </c>
      <c r="C20720" s="1">
        <f>HYPERLINK("https://cao.dolgi.msk.ru/account/1011320127/", 1011320127)</f>
        <v>1011320127</v>
      </c>
      <c r="D20720">
        <v>-7649.25</v>
      </c>
    </row>
    <row r="20721" spans="1:4" hidden="1" x14ac:dyDescent="0.3">
      <c r="A20721" t="s">
        <v>1122</v>
      </c>
      <c r="B20721" t="s">
        <v>295</v>
      </c>
      <c r="C20721" s="1">
        <f>HYPERLINK("https://cao.dolgi.msk.ru/account/1011322528/", 1011322528)</f>
        <v>1011322528</v>
      </c>
      <c r="D20721">
        <v>0</v>
      </c>
    </row>
    <row r="20722" spans="1:4" hidden="1" x14ac:dyDescent="0.3">
      <c r="A20722" t="s">
        <v>1122</v>
      </c>
      <c r="B20722" t="s">
        <v>296</v>
      </c>
      <c r="C20722" s="1">
        <f>HYPERLINK("https://cao.dolgi.msk.ru/account/1011320135/", 1011320135)</f>
        <v>1011320135</v>
      </c>
      <c r="D20722">
        <v>0</v>
      </c>
    </row>
    <row r="20723" spans="1:4" hidden="1" x14ac:dyDescent="0.3">
      <c r="A20723" t="s">
        <v>1122</v>
      </c>
      <c r="B20723" t="s">
        <v>297</v>
      </c>
      <c r="C20723" s="1">
        <f>HYPERLINK("https://cao.dolgi.msk.ru/account/1011322608/", 1011322608)</f>
        <v>1011322608</v>
      </c>
      <c r="D20723">
        <v>0</v>
      </c>
    </row>
    <row r="20724" spans="1:4" x14ac:dyDescent="0.3">
      <c r="A20724" t="s">
        <v>1122</v>
      </c>
      <c r="B20724" t="s">
        <v>298</v>
      </c>
      <c r="C20724" s="1">
        <f>HYPERLINK("https://cao.dolgi.msk.ru/account/1011320143/", 1011320143)</f>
        <v>1011320143</v>
      </c>
      <c r="D20724">
        <v>3684.11</v>
      </c>
    </row>
    <row r="20725" spans="1:4" hidden="1" x14ac:dyDescent="0.3">
      <c r="A20725" t="s">
        <v>1122</v>
      </c>
      <c r="B20725" t="s">
        <v>299</v>
      </c>
      <c r="C20725" s="1">
        <f>HYPERLINK("https://cao.dolgi.msk.ru/account/1011320151/", 1011320151)</f>
        <v>1011320151</v>
      </c>
      <c r="D20725">
        <v>-11741.31</v>
      </c>
    </row>
    <row r="20726" spans="1:4" hidden="1" x14ac:dyDescent="0.3">
      <c r="A20726" t="s">
        <v>1122</v>
      </c>
      <c r="B20726" t="s">
        <v>300</v>
      </c>
      <c r="C20726" s="1">
        <f>HYPERLINK("https://cao.dolgi.msk.ru/account/1011319038/", 1011319038)</f>
        <v>1011319038</v>
      </c>
      <c r="D20726">
        <v>-8016.44</v>
      </c>
    </row>
    <row r="20727" spans="1:4" x14ac:dyDescent="0.3">
      <c r="A20727" t="s">
        <v>1122</v>
      </c>
      <c r="B20727" t="s">
        <v>305</v>
      </c>
      <c r="C20727" s="1">
        <f>HYPERLINK("https://cao.dolgi.msk.ru/account/1011319046/", 1011319046)</f>
        <v>1011319046</v>
      </c>
      <c r="D20727">
        <v>171254.82</v>
      </c>
    </row>
    <row r="20728" spans="1:4" hidden="1" x14ac:dyDescent="0.3">
      <c r="A20728" t="s">
        <v>1122</v>
      </c>
      <c r="B20728" t="s">
        <v>306</v>
      </c>
      <c r="C20728" s="1">
        <f>HYPERLINK("https://cao.dolgi.msk.ru/account/1011319054/", 1011319054)</f>
        <v>1011319054</v>
      </c>
      <c r="D20728">
        <v>-705.96</v>
      </c>
    </row>
    <row r="20729" spans="1:4" hidden="1" x14ac:dyDescent="0.3">
      <c r="A20729" t="s">
        <v>1122</v>
      </c>
      <c r="B20729" t="s">
        <v>307</v>
      </c>
      <c r="C20729" s="1">
        <f>HYPERLINK("https://cao.dolgi.msk.ru/account/1011319599/", 1011319599)</f>
        <v>1011319599</v>
      </c>
      <c r="D20729">
        <v>-3829.75</v>
      </c>
    </row>
    <row r="20730" spans="1:4" x14ac:dyDescent="0.3">
      <c r="A20730" t="s">
        <v>1122</v>
      </c>
      <c r="B20730" t="s">
        <v>308</v>
      </c>
      <c r="C20730" s="1">
        <f>HYPERLINK("https://cao.dolgi.msk.ru/account/1011319062/", 1011319062)</f>
        <v>1011319062</v>
      </c>
      <c r="D20730">
        <v>11380.88</v>
      </c>
    </row>
    <row r="20731" spans="1:4" x14ac:dyDescent="0.3">
      <c r="A20731" t="s">
        <v>1122</v>
      </c>
      <c r="B20731" t="s">
        <v>309</v>
      </c>
      <c r="C20731" s="1">
        <f>HYPERLINK("https://cao.dolgi.msk.ru/account/1011320717/", 1011320717)</f>
        <v>1011320717</v>
      </c>
      <c r="D20731">
        <v>76684.850000000006</v>
      </c>
    </row>
    <row r="20732" spans="1:4" x14ac:dyDescent="0.3">
      <c r="A20732" t="s">
        <v>1122</v>
      </c>
      <c r="B20732" t="s">
        <v>310</v>
      </c>
      <c r="C20732" s="1">
        <f>HYPERLINK("https://cao.dolgi.msk.ru/account/1011319089/", 1011319089)</f>
        <v>1011319089</v>
      </c>
      <c r="D20732">
        <v>17724.03</v>
      </c>
    </row>
    <row r="20733" spans="1:4" hidden="1" x14ac:dyDescent="0.3">
      <c r="A20733" t="s">
        <v>1122</v>
      </c>
      <c r="B20733" t="s">
        <v>311</v>
      </c>
      <c r="C20733" s="1">
        <f>HYPERLINK("https://cao.dolgi.msk.ru/account/1011321541/", 1011321541)</f>
        <v>1011321541</v>
      </c>
      <c r="D20733">
        <v>0</v>
      </c>
    </row>
    <row r="20734" spans="1:4" hidden="1" x14ac:dyDescent="0.3">
      <c r="A20734" t="s">
        <v>1122</v>
      </c>
      <c r="B20734" t="s">
        <v>312</v>
      </c>
      <c r="C20734" s="1">
        <f>HYPERLINK("https://cao.dolgi.msk.ru/account/1011319097/", 1011319097)</f>
        <v>1011319097</v>
      </c>
      <c r="D20734">
        <v>-5847.4</v>
      </c>
    </row>
    <row r="20735" spans="1:4" hidden="1" x14ac:dyDescent="0.3">
      <c r="A20735" t="s">
        <v>1122</v>
      </c>
      <c r="B20735" t="s">
        <v>313</v>
      </c>
      <c r="C20735" s="1">
        <f>HYPERLINK("https://cao.dolgi.msk.ru/account/1011320178/", 1011320178)</f>
        <v>1011320178</v>
      </c>
      <c r="D20735">
        <v>0</v>
      </c>
    </row>
    <row r="20736" spans="1:4" hidden="1" x14ac:dyDescent="0.3">
      <c r="A20736" t="s">
        <v>1122</v>
      </c>
      <c r="B20736" t="s">
        <v>314</v>
      </c>
      <c r="C20736" s="1">
        <f>HYPERLINK("https://cao.dolgi.msk.ru/account/1011322536/", 1011322536)</f>
        <v>1011322536</v>
      </c>
      <c r="D20736">
        <v>0</v>
      </c>
    </row>
    <row r="20737" spans="1:4" hidden="1" x14ac:dyDescent="0.3">
      <c r="A20737" t="s">
        <v>1122</v>
      </c>
      <c r="B20737" t="s">
        <v>315</v>
      </c>
      <c r="C20737" s="1">
        <f>HYPERLINK("https://cao.dolgi.msk.ru/account/1011320186/", 1011320186)</f>
        <v>1011320186</v>
      </c>
      <c r="D20737">
        <v>0</v>
      </c>
    </row>
    <row r="20738" spans="1:4" hidden="1" x14ac:dyDescent="0.3">
      <c r="A20738" t="s">
        <v>1122</v>
      </c>
      <c r="B20738" t="s">
        <v>316</v>
      </c>
      <c r="C20738" s="1">
        <f>HYPERLINK("https://cao.dolgi.msk.ru/account/1011319118/", 1011319118)</f>
        <v>1011319118</v>
      </c>
      <c r="D20738">
        <v>0</v>
      </c>
    </row>
    <row r="20739" spans="1:4" x14ac:dyDescent="0.3">
      <c r="A20739" t="s">
        <v>1122</v>
      </c>
      <c r="B20739" t="s">
        <v>317</v>
      </c>
      <c r="C20739" s="1">
        <f>HYPERLINK("https://cao.dolgi.msk.ru/account/1011320194/", 1011320194)</f>
        <v>1011320194</v>
      </c>
      <c r="D20739">
        <v>3509.48</v>
      </c>
    </row>
    <row r="20740" spans="1:4" x14ac:dyDescent="0.3">
      <c r="A20740" t="s">
        <v>1122</v>
      </c>
      <c r="B20740" t="s">
        <v>318</v>
      </c>
      <c r="C20740" s="1">
        <f>HYPERLINK("https://cao.dolgi.msk.ru/account/1011319601/", 1011319601)</f>
        <v>1011319601</v>
      </c>
      <c r="D20740">
        <v>21525.57</v>
      </c>
    </row>
    <row r="20741" spans="1:4" hidden="1" x14ac:dyDescent="0.3">
      <c r="A20741" t="s">
        <v>1122</v>
      </c>
      <c r="B20741" t="s">
        <v>319</v>
      </c>
      <c r="C20741" s="1">
        <f>HYPERLINK("https://cao.dolgi.msk.ru/account/1011321568/", 1011321568)</f>
        <v>1011321568</v>
      </c>
      <c r="D20741">
        <v>0</v>
      </c>
    </row>
    <row r="20742" spans="1:4" hidden="1" x14ac:dyDescent="0.3">
      <c r="A20742" t="s">
        <v>1122</v>
      </c>
      <c r="B20742" t="s">
        <v>320</v>
      </c>
      <c r="C20742" s="1">
        <f>HYPERLINK("https://cao.dolgi.msk.ru/account/1011321576/", 1011321576)</f>
        <v>1011321576</v>
      </c>
      <c r="D20742">
        <v>0</v>
      </c>
    </row>
    <row r="20743" spans="1:4" hidden="1" x14ac:dyDescent="0.3">
      <c r="A20743" t="s">
        <v>1122</v>
      </c>
      <c r="B20743" t="s">
        <v>321</v>
      </c>
      <c r="C20743" s="1">
        <f>HYPERLINK("https://cao.dolgi.msk.ru/account/1011321584/", 1011321584)</f>
        <v>1011321584</v>
      </c>
      <c r="D20743">
        <v>0</v>
      </c>
    </row>
    <row r="20744" spans="1:4" hidden="1" x14ac:dyDescent="0.3">
      <c r="A20744" t="s">
        <v>1122</v>
      </c>
      <c r="B20744" t="s">
        <v>322</v>
      </c>
      <c r="C20744" s="1">
        <f>HYPERLINK("https://cao.dolgi.msk.ru/account/1011320725/", 1011320725)</f>
        <v>1011320725</v>
      </c>
      <c r="D20744">
        <v>0</v>
      </c>
    </row>
    <row r="20745" spans="1:4" hidden="1" x14ac:dyDescent="0.3">
      <c r="A20745" t="s">
        <v>1122</v>
      </c>
      <c r="B20745" t="s">
        <v>350</v>
      </c>
      <c r="C20745" s="1">
        <f>HYPERLINK("https://cao.dolgi.msk.ru/account/1011320207/", 1011320207)</f>
        <v>1011320207</v>
      </c>
      <c r="D20745">
        <v>0</v>
      </c>
    </row>
    <row r="20746" spans="1:4" hidden="1" x14ac:dyDescent="0.3">
      <c r="A20746" t="s">
        <v>1122</v>
      </c>
      <c r="B20746" t="s">
        <v>351</v>
      </c>
      <c r="C20746" s="1">
        <f>HYPERLINK("https://cao.dolgi.msk.ru/account/1011319126/", 1011319126)</f>
        <v>1011319126</v>
      </c>
      <c r="D20746">
        <v>-302.18</v>
      </c>
    </row>
    <row r="20747" spans="1:4" hidden="1" x14ac:dyDescent="0.3">
      <c r="A20747" t="s">
        <v>1122</v>
      </c>
      <c r="B20747" t="s">
        <v>352</v>
      </c>
      <c r="C20747" s="1">
        <f>HYPERLINK("https://cao.dolgi.msk.ru/account/1011321226/", 1011321226)</f>
        <v>1011321226</v>
      </c>
      <c r="D20747">
        <v>-82.07</v>
      </c>
    </row>
    <row r="20748" spans="1:4" hidden="1" x14ac:dyDescent="0.3">
      <c r="A20748" t="s">
        <v>1122</v>
      </c>
      <c r="B20748" t="s">
        <v>353</v>
      </c>
      <c r="C20748" s="1">
        <f>HYPERLINK("https://cao.dolgi.msk.ru/account/1011322085/", 1011322085)</f>
        <v>1011322085</v>
      </c>
      <c r="D20748">
        <v>-7918.13</v>
      </c>
    </row>
    <row r="20749" spans="1:4" hidden="1" x14ac:dyDescent="0.3">
      <c r="A20749" t="s">
        <v>1122</v>
      </c>
      <c r="B20749" t="s">
        <v>354</v>
      </c>
      <c r="C20749" s="1">
        <f>HYPERLINK("https://cao.dolgi.msk.ru/account/1011319628/", 1011319628)</f>
        <v>1011319628</v>
      </c>
      <c r="D20749">
        <v>-1466.93</v>
      </c>
    </row>
    <row r="20750" spans="1:4" hidden="1" x14ac:dyDescent="0.3">
      <c r="A20750" t="s">
        <v>1122</v>
      </c>
      <c r="B20750" t="s">
        <v>355</v>
      </c>
      <c r="C20750" s="1">
        <f>HYPERLINK("https://cao.dolgi.msk.ru/account/1011321592/", 1011321592)</f>
        <v>1011321592</v>
      </c>
      <c r="D20750">
        <v>0</v>
      </c>
    </row>
    <row r="20751" spans="1:4" hidden="1" x14ac:dyDescent="0.3">
      <c r="A20751" t="s">
        <v>1122</v>
      </c>
      <c r="B20751" t="s">
        <v>356</v>
      </c>
      <c r="C20751" s="1">
        <f>HYPERLINK("https://cao.dolgi.msk.ru/account/1011320215/", 1011320215)</f>
        <v>1011320215</v>
      </c>
      <c r="D20751">
        <v>-2478.0100000000002</v>
      </c>
    </row>
    <row r="20752" spans="1:4" hidden="1" x14ac:dyDescent="0.3">
      <c r="A20752" t="s">
        <v>1122</v>
      </c>
      <c r="B20752" t="s">
        <v>356</v>
      </c>
      <c r="C20752" s="1">
        <f>HYPERLINK("https://cao.dolgi.msk.ru/account/1011320792/", 1011320792)</f>
        <v>1011320792</v>
      </c>
      <c r="D20752">
        <v>-6835</v>
      </c>
    </row>
    <row r="20753" spans="1:4" hidden="1" x14ac:dyDescent="0.3">
      <c r="A20753" t="s">
        <v>1122</v>
      </c>
      <c r="B20753" t="s">
        <v>357</v>
      </c>
      <c r="C20753" s="1">
        <f>HYPERLINK("https://cao.dolgi.msk.ru/account/1011321234/", 1011321234)</f>
        <v>1011321234</v>
      </c>
      <c r="D20753">
        <v>0</v>
      </c>
    </row>
    <row r="20754" spans="1:4" hidden="1" x14ac:dyDescent="0.3">
      <c r="A20754" t="s">
        <v>1122</v>
      </c>
      <c r="B20754" t="s">
        <v>358</v>
      </c>
      <c r="C20754" s="1">
        <f>HYPERLINK("https://cao.dolgi.msk.ru/account/1011319636/", 1011319636)</f>
        <v>1011319636</v>
      </c>
      <c r="D20754">
        <v>0</v>
      </c>
    </row>
    <row r="20755" spans="1:4" hidden="1" x14ac:dyDescent="0.3">
      <c r="A20755" t="s">
        <v>1122</v>
      </c>
      <c r="B20755" t="s">
        <v>359</v>
      </c>
      <c r="C20755" s="1">
        <f>HYPERLINK("https://cao.dolgi.msk.ru/account/1011321605/", 1011321605)</f>
        <v>1011321605</v>
      </c>
      <c r="D20755">
        <v>-19.739999999999998</v>
      </c>
    </row>
    <row r="20756" spans="1:4" x14ac:dyDescent="0.3">
      <c r="A20756" t="s">
        <v>1122</v>
      </c>
      <c r="B20756" t="s">
        <v>360</v>
      </c>
      <c r="C20756" s="1">
        <f>HYPERLINK("https://cao.dolgi.msk.ru/account/1011322093/", 1011322093)</f>
        <v>1011322093</v>
      </c>
      <c r="D20756">
        <v>7434.42</v>
      </c>
    </row>
    <row r="20757" spans="1:4" hidden="1" x14ac:dyDescent="0.3">
      <c r="A20757" t="s">
        <v>1122</v>
      </c>
      <c r="B20757" t="s">
        <v>361</v>
      </c>
      <c r="C20757" s="1">
        <f>HYPERLINK("https://cao.dolgi.msk.ru/account/1011322544/", 1011322544)</f>
        <v>1011322544</v>
      </c>
      <c r="D20757">
        <v>-16.510000000000002</v>
      </c>
    </row>
    <row r="20758" spans="1:4" hidden="1" x14ac:dyDescent="0.3">
      <c r="A20758" t="s">
        <v>1122</v>
      </c>
      <c r="B20758" t="s">
        <v>362</v>
      </c>
      <c r="C20758" s="1">
        <f>HYPERLINK("https://cao.dolgi.msk.ru/account/1011319134/", 1011319134)</f>
        <v>1011319134</v>
      </c>
      <c r="D20758">
        <v>0</v>
      </c>
    </row>
    <row r="20759" spans="1:4" hidden="1" x14ac:dyDescent="0.3">
      <c r="A20759" t="s">
        <v>1122</v>
      </c>
      <c r="B20759" t="s">
        <v>363</v>
      </c>
      <c r="C20759" s="1">
        <f>HYPERLINK("https://cao.dolgi.msk.ru/account/1011322552/", 1011322552)</f>
        <v>1011322552</v>
      </c>
      <c r="D20759">
        <v>-7984.79</v>
      </c>
    </row>
    <row r="20760" spans="1:4" x14ac:dyDescent="0.3">
      <c r="A20760" t="s">
        <v>1122</v>
      </c>
      <c r="B20760" t="s">
        <v>364</v>
      </c>
      <c r="C20760" s="1">
        <f>HYPERLINK("https://cao.dolgi.msk.ru/account/1011320784/", 1011320784)</f>
        <v>1011320784</v>
      </c>
      <c r="D20760">
        <v>5393.99</v>
      </c>
    </row>
    <row r="20761" spans="1:4" hidden="1" x14ac:dyDescent="0.3">
      <c r="A20761" t="s">
        <v>1122</v>
      </c>
      <c r="B20761" t="s">
        <v>365</v>
      </c>
      <c r="C20761" s="1">
        <f>HYPERLINK("https://cao.dolgi.msk.ru/account/1011319142/", 1011319142)</f>
        <v>1011319142</v>
      </c>
      <c r="D20761">
        <v>0</v>
      </c>
    </row>
    <row r="20762" spans="1:4" hidden="1" x14ac:dyDescent="0.3">
      <c r="A20762" t="s">
        <v>1122</v>
      </c>
      <c r="B20762" t="s">
        <v>366</v>
      </c>
      <c r="C20762" s="1">
        <f>HYPERLINK("https://cao.dolgi.msk.ru/account/1011319169/", 1011319169)</f>
        <v>1011319169</v>
      </c>
      <c r="D20762">
        <v>0</v>
      </c>
    </row>
    <row r="20763" spans="1:4" hidden="1" x14ac:dyDescent="0.3">
      <c r="A20763" t="s">
        <v>1122</v>
      </c>
      <c r="B20763" t="s">
        <v>367</v>
      </c>
      <c r="C20763" s="1">
        <f>HYPERLINK("https://cao.dolgi.msk.ru/account/1011321242/", 1011321242)</f>
        <v>1011321242</v>
      </c>
      <c r="D20763">
        <v>0</v>
      </c>
    </row>
    <row r="20764" spans="1:4" hidden="1" x14ac:dyDescent="0.3">
      <c r="A20764" t="s">
        <v>1122</v>
      </c>
      <c r="B20764" t="s">
        <v>368</v>
      </c>
      <c r="C20764" s="1">
        <f>HYPERLINK("https://cao.dolgi.msk.ru/account/1011321269/", 1011321269)</f>
        <v>1011321269</v>
      </c>
      <c r="D20764">
        <v>0</v>
      </c>
    </row>
    <row r="20765" spans="1:4" hidden="1" x14ac:dyDescent="0.3">
      <c r="A20765" t="s">
        <v>1122</v>
      </c>
      <c r="B20765" t="s">
        <v>369</v>
      </c>
      <c r="C20765" s="1">
        <f>HYPERLINK("https://cao.dolgi.msk.ru/account/1011319644/", 1011319644)</f>
        <v>1011319644</v>
      </c>
      <c r="D20765">
        <v>0</v>
      </c>
    </row>
    <row r="20766" spans="1:4" hidden="1" x14ac:dyDescent="0.3">
      <c r="A20766" t="s">
        <v>1122</v>
      </c>
      <c r="B20766" t="s">
        <v>370</v>
      </c>
      <c r="C20766" s="1">
        <f>HYPERLINK("https://cao.dolgi.msk.ru/account/1011319177/", 1011319177)</f>
        <v>1011319177</v>
      </c>
      <c r="D20766">
        <v>0</v>
      </c>
    </row>
    <row r="20767" spans="1:4" hidden="1" x14ac:dyDescent="0.3">
      <c r="A20767" t="s">
        <v>1122</v>
      </c>
      <c r="B20767" t="s">
        <v>371</v>
      </c>
      <c r="C20767" s="1">
        <f>HYPERLINK("https://cao.dolgi.msk.ru/account/1011320733/", 1011320733)</f>
        <v>1011320733</v>
      </c>
      <c r="D20767">
        <v>0</v>
      </c>
    </row>
    <row r="20768" spans="1:4" hidden="1" x14ac:dyDescent="0.3">
      <c r="A20768" t="s">
        <v>1122</v>
      </c>
      <c r="B20768" t="s">
        <v>372</v>
      </c>
      <c r="C20768" s="1">
        <f>HYPERLINK("https://cao.dolgi.msk.ru/account/1011321613/", 1011321613)</f>
        <v>1011321613</v>
      </c>
      <c r="D20768">
        <v>-6170.36</v>
      </c>
    </row>
    <row r="20769" spans="1:4" hidden="1" x14ac:dyDescent="0.3">
      <c r="A20769" t="s">
        <v>1122</v>
      </c>
      <c r="B20769" t="s">
        <v>373</v>
      </c>
      <c r="C20769" s="1">
        <f>HYPERLINK("https://cao.dolgi.msk.ru/account/1011319185/", 1011319185)</f>
        <v>1011319185</v>
      </c>
      <c r="D20769">
        <v>-9508.5</v>
      </c>
    </row>
    <row r="20770" spans="1:4" hidden="1" x14ac:dyDescent="0.3">
      <c r="A20770" t="s">
        <v>1122</v>
      </c>
      <c r="B20770" t="s">
        <v>374</v>
      </c>
      <c r="C20770" s="1">
        <f>HYPERLINK("https://cao.dolgi.msk.ru/account/1011320223/", 1011320223)</f>
        <v>1011320223</v>
      </c>
      <c r="D20770">
        <v>-5296.36</v>
      </c>
    </row>
    <row r="20771" spans="1:4" hidden="1" x14ac:dyDescent="0.3">
      <c r="A20771" t="s">
        <v>1122</v>
      </c>
      <c r="B20771" t="s">
        <v>375</v>
      </c>
      <c r="C20771" s="1">
        <f>HYPERLINK("https://cao.dolgi.msk.ru/account/1011320741/", 1011320741)</f>
        <v>1011320741</v>
      </c>
      <c r="D20771">
        <v>0</v>
      </c>
    </row>
    <row r="20772" spans="1:4" hidden="1" x14ac:dyDescent="0.3">
      <c r="A20772" t="s">
        <v>1122</v>
      </c>
      <c r="B20772" t="s">
        <v>376</v>
      </c>
      <c r="C20772" s="1">
        <f>HYPERLINK("https://cao.dolgi.msk.ru/account/1011319652/", 1011319652)</f>
        <v>1011319652</v>
      </c>
      <c r="D20772">
        <v>0</v>
      </c>
    </row>
    <row r="20773" spans="1:4" x14ac:dyDescent="0.3">
      <c r="A20773" t="s">
        <v>1122</v>
      </c>
      <c r="B20773" t="s">
        <v>377</v>
      </c>
      <c r="C20773" s="1">
        <f>HYPERLINK("https://cao.dolgi.msk.ru/account/1011321277/", 1011321277)</f>
        <v>1011321277</v>
      </c>
      <c r="D20773">
        <v>34802.42</v>
      </c>
    </row>
    <row r="20774" spans="1:4" hidden="1" x14ac:dyDescent="0.3">
      <c r="A20774" t="s">
        <v>1122</v>
      </c>
      <c r="B20774" t="s">
        <v>378</v>
      </c>
      <c r="C20774" s="1">
        <f>HYPERLINK("https://cao.dolgi.msk.ru/account/1011320768/", 1011320768)</f>
        <v>1011320768</v>
      </c>
      <c r="D20774">
        <v>0</v>
      </c>
    </row>
    <row r="20775" spans="1:4" hidden="1" x14ac:dyDescent="0.3">
      <c r="A20775" t="s">
        <v>1122</v>
      </c>
      <c r="B20775" t="s">
        <v>379</v>
      </c>
      <c r="C20775" s="1">
        <f>HYPERLINK("https://cao.dolgi.msk.ru/account/1011322106/", 1011322106)</f>
        <v>1011322106</v>
      </c>
      <c r="D20775">
        <v>0</v>
      </c>
    </row>
    <row r="20776" spans="1:4" x14ac:dyDescent="0.3">
      <c r="A20776" t="s">
        <v>1122</v>
      </c>
      <c r="B20776" t="s">
        <v>380</v>
      </c>
      <c r="C20776" s="1">
        <f>HYPERLINK("https://cao.dolgi.msk.ru/account/1011319708/", 1011319708)</f>
        <v>1011319708</v>
      </c>
      <c r="D20776">
        <v>47707.02</v>
      </c>
    </row>
    <row r="20777" spans="1:4" hidden="1" x14ac:dyDescent="0.3">
      <c r="A20777" t="s">
        <v>1122</v>
      </c>
      <c r="B20777" t="s">
        <v>381</v>
      </c>
      <c r="C20777" s="1">
        <f>HYPERLINK("https://cao.dolgi.msk.ru/account/1011321621/", 1011321621)</f>
        <v>1011321621</v>
      </c>
      <c r="D20777">
        <v>0</v>
      </c>
    </row>
    <row r="20778" spans="1:4" hidden="1" x14ac:dyDescent="0.3">
      <c r="A20778" t="s">
        <v>1122</v>
      </c>
      <c r="B20778" t="s">
        <v>382</v>
      </c>
      <c r="C20778" s="1">
        <f>HYPERLINK("https://cao.dolgi.msk.ru/account/1011322579/", 1011322579)</f>
        <v>1011322579</v>
      </c>
      <c r="D20778">
        <v>0</v>
      </c>
    </row>
    <row r="20779" spans="1:4" x14ac:dyDescent="0.3">
      <c r="A20779" t="s">
        <v>1122</v>
      </c>
      <c r="B20779" t="s">
        <v>383</v>
      </c>
      <c r="C20779" s="1">
        <f>HYPERLINK("https://cao.dolgi.msk.ru/account/1011321648/", 1011321648)</f>
        <v>1011321648</v>
      </c>
      <c r="D20779">
        <v>5168.5200000000004</v>
      </c>
    </row>
    <row r="20780" spans="1:4" hidden="1" x14ac:dyDescent="0.3">
      <c r="A20780" t="s">
        <v>1122</v>
      </c>
      <c r="B20780" t="s">
        <v>384</v>
      </c>
      <c r="C20780" s="1">
        <f>HYPERLINK("https://cao.dolgi.msk.ru/account/1011319679/", 1011319679)</f>
        <v>1011319679</v>
      </c>
      <c r="D20780">
        <v>-31.77</v>
      </c>
    </row>
    <row r="20781" spans="1:4" x14ac:dyDescent="0.3">
      <c r="A20781" t="s">
        <v>1122</v>
      </c>
      <c r="B20781" t="s">
        <v>385</v>
      </c>
      <c r="C20781" s="1">
        <f>HYPERLINK("https://cao.dolgi.msk.ru/account/1011319257/", 1011319257)</f>
        <v>1011319257</v>
      </c>
      <c r="D20781">
        <v>10394.34</v>
      </c>
    </row>
    <row r="20782" spans="1:4" hidden="1" x14ac:dyDescent="0.3">
      <c r="A20782" t="s">
        <v>1122</v>
      </c>
      <c r="B20782" t="s">
        <v>386</v>
      </c>
      <c r="C20782" s="1">
        <f>HYPERLINK("https://cao.dolgi.msk.ru/account/1011319193/", 1011319193)</f>
        <v>1011319193</v>
      </c>
      <c r="D20782">
        <v>0</v>
      </c>
    </row>
    <row r="20783" spans="1:4" hidden="1" x14ac:dyDescent="0.3">
      <c r="A20783" t="s">
        <v>1122</v>
      </c>
      <c r="B20783" t="s">
        <v>386</v>
      </c>
      <c r="C20783" s="1">
        <f>HYPERLINK("https://cao.dolgi.msk.ru/account/1011319249/", 1011319249)</f>
        <v>1011319249</v>
      </c>
      <c r="D20783">
        <v>0</v>
      </c>
    </row>
    <row r="20784" spans="1:4" hidden="1" x14ac:dyDescent="0.3">
      <c r="A20784" t="s">
        <v>1122</v>
      </c>
      <c r="B20784" t="s">
        <v>821</v>
      </c>
      <c r="C20784" s="1">
        <f>HYPERLINK("https://cao.dolgi.msk.ru/account/1011322587/", 1011322587)</f>
        <v>1011322587</v>
      </c>
      <c r="D20784">
        <v>0</v>
      </c>
    </row>
    <row r="20785" spans="1:4" x14ac:dyDescent="0.3">
      <c r="A20785" t="s">
        <v>1123</v>
      </c>
      <c r="B20785" t="s">
        <v>6</v>
      </c>
      <c r="C20785" s="1">
        <f>HYPERLINK("https://cao.dolgi.msk.ru/account/1011356832/", 1011356832)</f>
        <v>1011356832</v>
      </c>
      <c r="D20785">
        <v>6155.17</v>
      </c>
    </row>
    <row r="20786" spans="1:4" hidden="1" x14ac:dyDescent="0.3">
      <c r="A20786" t="s">
        <v>1123</v>
      </c>
      <c r="B20786" t="s">
        <v>35</v>
      </c>
      <c r="C20786" s="1">
        <f>HYPERLINK("https://cao.dolgi.msk.ru/account/1011356875/", 1011356875)</f>
        <v>1011356875</v>
      </c>
      <c r="D20786">
        <v>0</v>
      </c>
    </row>
    <row r="20787" spans="1:4" hidden="1" x14ac:dyDescent="0.3">
      <c r="A20787" t="s">
        <v>1123</v>
      </c>
      <c r="B20787" t="s">
        <v>7</v>
      </c>
      <c r="C20787" s="1">
        <f>HYPERLINK("https://cao.dolgi.msk.ru/account/1011356883/", 1011356883)</f>
        <v>1011356883</v>
      </c>
      <c r="D20787">
        <v>0</v>
      </c>
    </row>
    <row r="20788" spans="1:4" hidden="1" x14ac:dyDescent="0.3">
      <c r="A20788" t="s">
        <v>1123</v>
      </c>
      <c r="B20788" t="s">
        <v>8</v>
      </c>
      <c r="C20788" s="1">
        <f>HYPERLINK("https://cao.dolgi.msk.ru/account/1011356824/", 1011356824)</f>
        <v>1011356824</v>
      </c>
      <c r="D20788">
        <v>-3927.74</v>
      </c>
    </row>
    <row r="20789" spans="1:4" hidden="1" x14ac:dyDescent="0.3">
      <c r="A20789" t="s">
        <v>1123</v>
      </c>
      <c r="B20789" t="s">
        <v>8</v>
      </c>
      <c r="C20789" s="1">
        <f>HYPERLINK("https://cao.dolgi.msk.ru/account/1011356867/", 1011356867)</f>
        <v>1011356867</v>
      </c>
      <c r="D20789">
        <v>0</v>
      </c>
    </row>
    <row r="20790" spans="1:4" hidden="1" x14ac:dyDescent="0.3">
      <c r="A20790" t="s">
        <v>1123</v>
      </c>
      <c r="B20790" t="s">
        <v>8</v>
      </c>
      <c r="C20790" s="1">
        <f>HYPERLINK("https://cao.dolgi.msk.ru/account/1011356891/", 1011356891)</f>
        <v>1011356891</v>
      </c>
      <c r="D20790">
        <v>0</v>
      </c>
    </row>
    <row r="20791" spans="1:4" hidden="1" x14ac:dyDescent="0.3">
      <c r="A20791" t="s">
        <v>1123</v>
      </c>
      <c r="B20791" t="s">
        <v>8</v>
      </c>
      <c r="C20791" s="1">
        <f>HYPERLINK("https://cao.dolgi.msk.ru/account/1011356904/", 1011356904)</f>
        <v>1011356904</v>
      </c>
      <c r="D20791">
        <v>-3240.68</v>
      </c>
    </row>
    <row r="20792" spans="1:4" hidden="1" x14ac:dyDescent="0.3">
      <c r="A20792" t="s">
        <v>1123</v>
      </c>
      <c r="B20792" t="s">
        <v>31</v>
      </c>
      <c r="C20792" s="1">
        <f>HYPERLINK("https://cao.dolgi.msk.ru/account/1011356859/", 1011356859)</f>
        <v>1011356859</v>
      </c>
      <c r="D20792">
        <v>0</v>
      </c>
    </row>
    <row r="20793" spans="1:4" hidden="1" x14ac:dyDescent="0.3">
      <c r="A20793" t="s">
        <v>1123</v>
      </c>
      <c r="B20793" t="s">
        <v>9</v>
      </c>
      <c r="C20793" s="1">
        <f>HYPERLINK("https://cao.dolgi.msk.ru/account/1011356816/", 1011356816)</f>
        <v>1011356816</v>
      </c>
      <c r="D20793">
        <v>-8445.86</v>
      </c>
    </row>
    <row r="20794" spans="1:4" hidden="1" x14ac:dyDescent="0.3">
      <c r="A20794" t="s">
        <v>1124</v>
      </c>
      <c r="B20794" t="s">
        <v>6</v>
      </c>
      <c r="C20794" s="1">
        <f>HYPERLINK("https://cao.dolgi.msk.ru/account/1011372103/", 1011372103)</f>
        <v>1011372103</v>
      </c>
      <c r="D20794">
        <v>-7999.63</v>
      </c>
    </row>
    <row r="20795" spans="1:4" hidden="1" x14ac:dyDescent="0.3">
      <c r="A20795" t="s">
        <v>1124</v>
      </c>
      <c r="B20795" t="s">
        <v>28</v>
      </c>
      <c r="C20795" s="1">
        <f>HYPERLINK("https://cao.dolgi.msk.ru/account/1011372357/", 1011372357)</f>
        <v>1011372357</v>
      </c>
      <c r="D20795">
        <v>-9369.6</v>
      </c>
    </row>
    <row r="20796" spans="1:4" hidden="1" x14ac:dyDescent="0.3">
      <c r="A20796" t="s">
        <v>1124</v>
      </c>
      <c r="B20796" t="s">
        <v>35</v>
      </c>
      <c r="C20796" s="1">
        <f>HYPERLINK("https://cao.dolgi.msk.ru/account/1011371856/", 1011371856)</f>
        <v>1011371856</v>
      </c>
      <c r="D20796">
        <v>0</v>
      </c>
    </row>
    <row r="20797" spans="1:4" hidden="1" x14ac:dyDescent="0.3">
      <c r="A20797" t="s">
        <v>1124</v>
      </c>
      <c r="B20797" t="s">
        <v>35</v>
      </c>
      <c r="C20797" s="1">
        <f>HYPERLINK("https://cao.dolgi.msk.ru/account/1011372007/", 1011372007)</f>
        <v>1011372007</v>
      </c>
      <c r="D20797">
        <v>0</v>
      </c>
    </row>
    <row r="20798" spans="1:4" hidden="1" x14ac:dyDescent="0.3">
      <c r="A20798" t="s">
        <v>1124</v>
      </c>
      <c r="B20798" t="s">
        <v>5</v>
      </c>
      <c r="C20798" s="1">
        <f>HYPERLINK("https://cao.dolgi.msk.ru/account/1011372744/", 1011372744)</f>
        <v>1011372744</v>
      </c>
      <c r="D20798">
        <v>-5324.58</v>
      </c>
    </row>
    <row r="20799" spans="1:4" hidden="1" x14ac:dyDescent="0.3">
      <c r="A20799" t="s">
        <v>1124</v>
      </c>
      <c r="B20799" t="s">
        <v>7</v>
      </c>
      <c r="C20799" s="1">
        <f>HYPERLINK("https://cao.dolgi.msk.ru/account/1011372576/", 1011372576)</f>
        <v>1011372576</v>
      </c>
      <c r="D20799">
        <v>-7111.35</v>
      </c>
    </row>
    <row r="20800" spans="1:4" hidden="1" x14ac:dyDescent="0.3">
      <c r="A20800" t="s">
        <v>1124</v>
      </c>
      <c r="B20800" t="s">
        <v>8</v>
      </c>
      <c r="C20800" s="1">
        <f>HYPERLINK("https://cao.dolgi.msk.ru/account/1011371821/", 1011371821)</f>
        <v>1011371821</v>
      </c>
      <c r="D20800">
        <v>-11907.54</v>
      </c>
    </row>
    <row r="20801" spans="1:4" hidden="1" x14ac:dyDescent="0.3">
      <c r="A20801" t="s">
        <v>1124</v>
      </c>
      <c r="B20801" t="s">
        <v>31</v>
      </c>
      <c r="C20801" s="1">
        <f>HYPERLINK("https://cao.dolgi.msk.ru/account/1011371864/", 1011371864)</f>
        <v>1011371864</v>
      </c>
      <c r="D20801">
        <v>-1757.15</v>
      </c>
    </row>
    <row r="20802" spans="1:4" hidden="1" x14ac:dyDescent="0.3">
      <c r="A20802" t="s">
        <v>1124</v>
      </c>
      <c r="B20802" t="s">
        <v>9</v>
      </c>
      <c r="C20802" s="1">
        <f>HYPERLINK("https://cao.dolgi.msk.ru/account/1011372859/", 1011372859)</f>
        <v>1011372859</v>
      </c>
      <c r="D20802">
        <v>0</v>
      </c>
    </row>
    <row r="20803" spans="1:4" hidden="1" x14ac:dyDescent="0.3">
      <c r="A20803" t="s">
        <v>1124</v>
      </c>
      <c r="B20803" t="s">
        <v>10</v>
      </c>
      <c r="C20803" s="1">
        <f>HYPERLINK("https://cao.dolgi.msk.ru/account/1011372656/", 1011372656)</f>
        <v>1011372656</v>
      </c>
      <c r="D20803">
        <v>0</v>
      </c>
    </row>
    <row r="20804" spans="1:4" hidden="1" x14ac:dyDescent="0.3">
      <c r="A20804" t="s">
        <v>1124</v>
      </c>
      <c r="B20804" t="s">
        <v>11</v>
      </c>
      <c r="C20804" s="1">
        <f>HYPERLINK("https://cao.dolgi.msk.ru/account/1011372525/", 1011372525)</f>
        <v>1011372525</v>
      </c>
      <c r="D20804">
        <v>0</v>
      </c>
    </row>
    <row r="20805" spans="1:4" x14ac:dyDescent="0.3">
      <c r="A20805" t="s">
        <v>1124</v>
      </c>
      <c r="B20805" t="s">
        <v>12</v>
      </c>
      <c r="C20805" s="1">
        <f>HYPERLINK("https://cao.dolgi.msk.ru/account/1011372461/", 1011372461)</f>
        <v>1011372461</v>
      </c>
      <c r="D20805">
        <v>1300.3499999999999</v>
      </c>
    </row>
    <row r="20806" spans="1:4" hidden="1" x14ac:dyDescent="0.3">
      <c r="A20806" t="s">
        <v>1124</v>
      </c>
      <c r="B20806" t="s">
        <v>23</v>
      </c>
      <c r="C20806" s="1">
        <f>HYPERLINK("https://cao.dolgi.msk.ru/account/1011373018/", 1011373018)</f>
        <v>1011373018</v>
      </c>
      <c r="D20806">
        <v>-4395.6000000000004</v>
      </c>
    </row>
    <row r="20807" spans="1:4" hidden="1" x14ac:dyDescent="0.3">
      <c r="A20807" t="s">
        <v>1124</v>
      </c>
      <c r="B20807" t="s">
        <v>13</v>
      </c>
      <c r="C20807" s="1">
        <f>HYPERLINK("https://cao.dolgi.msk.ru/account/1011372912/", 1011372912)</f>
        <v>1011372912</v>
      </c>
      <c r="D20807">
        <v>0</v>
      </c>
    </row>
    <row r="20808" spans="1:4" hidden="1" x14ac:dyDescent="0.3">
      <c r="A20808" t="s">
        <v>1124</v>
      </c>
      <c r="B20808" t="s">
        <v>14</v>
      </c>
      <c r="C20808" s="1">
        <f>HYPERLINK("https://cao.dolgi.msk.ru/account/1011371805/", 1011371805)</f>
        <v>1011371805</v>
      </c>
      <c r="D20808">
        <v>-5386.59</v>
      </c>
    </row>
    <row r="20809" spans="1:4" hidden="1" x14ac:dyDescent="0.3">
      <c r="A20809" t="s">
        <v>1124</v>
      </c>
      <c r="B20809" t="s">
        <v>16</v>
      </c>
      <c r="C20809" s="1">
        <f>HYPERLINK("https://cao.dolgi.msk.ru/account/1011372402/", 1011372402)</f>
        <v>1011372402</v>
      </c>
      <c r="D20809">
        <v>-5364.1</v>
      </c>
    </row>
    <row r="20810" spans="1:4" hidden="1" x14ac:dyDescent="0.3">
      <c r="A20810" t="s">
        <v>1124</v>
      </c>
      <c r="B20810" t="s">
        <v>17</v>
      </c>
      <c r="C20810" s="1">
        <f>HYPERLINK("https://cao.dolgi.msk.ru/account/1011371936/", 1011371936)</f>
        <v>1011371936</v>
      </c>
      <c r="D20810">
        <v>-9.32</v>
      </c>
    </row>
    <row r="20811" spans="1:4" hidden="1" x14ac:dyDescent="0.3">
      <c r="A20811" t="s">
        <v>1124</v>
      </c>
      <c r="B20811" t="s">
        <v>18</v>
      </c>
      <c r="C20811" s="1">
        <f>HYPERLINK("https://cao.dolgi.msk.ru/account/1011372779/", 1011372779)</f>
        <v>1011372779</v>
      </c>
      <c r="D20811">
        <v>0</v>
      </c>
    </row>
    <row r="20812" spans="1:4" hidden="1" x14ac:dyDescent="0.3">
      <c r="A20812" t="s">
        <v>1124</v>
      </c>
      <c r="B20812" t="s">
        <v>19</v>
      </c>
      <c r="C20812" s="1">
        <f>HYPERLINK("https://cao.dolgi.msk.ru/account/1011372672/", 1011372672)</f>
        <v>1011372672</v>
      </c>
      <c r="D20812">
        <v>-5477.52</v>
      </c>
    </row>
    <row r="20813" spans="1:4" hidden="1" x14ac:dyDescent="0.3">
      <c r="A20813" t="s">
        <v>1124</v>
      </c>
      <c r="B20813" t="s">
        <v>20</v>
      </c>
      <c r="C20813" s="1">
        <f>HYPERLINK("https://cao.dolgi.msk.ru/account/1011372111/", 1011372111)</f>
        <v>1011372111</v>
      </c>
      <c r="D20813">
        <v>0</v>
      </c>
    </row>
    <row r="20814" spans="1:4" hidden="1" x14ac:dyDescent="0.3">
      <c r="A20814" t="s">
        <v>1124</v>
      </c>
      <c r="B20814" t="s">
        <v>21</v>
      </c>
      <c r="C20814" s="1">
        <f>HYPERLINK("https://cao.dolgi.msk.ru/account/1011372314/", 1011372314)</f>
        <v>1011372314</v>
      </c>
      <c r="D20814">
        <v>-3961.5</v>
      </c>
    </row>
    <row r="20815" spans="1:4" hidden="1" x14ac:dyDescent="0.3">
      <c r="A20815" t="s">
        <v>1124</v>
      </c>
      <c r="B20815" t="s">
        <v>22</v>
      </c>
      <c r="C20815" s="1">
        <f>HYPERLINK("https://cao.dolgi.msk.ru/account/1011372365/", 1011372365)</f>
        <v>1011372365</v>
      </c>
      <c r="D20815">
        <v>-2063.31</v>
      </c>
    </row>
    <row r="20816" spans="1:4" hidden="1" x14ac:dyDescent="0.3">
      <c r="A20816" t="s">
        <v>1124</v>
      </c>
      <c r="B20816" t="s">
        <v>24</v>
      </c>
      <c r="C20816" s="1">
        <f>HYPERLINK("https://cao.dolgi.msk.ru/account/1011371944/", 1011371944)</f>
        <v>1011371944</v>
      </c>
      <c r="D20816">
        <v>0</v>
      </c>
    </row>
    <row r="20817" spans="1:4" hidden="1" x14ac:dyDescent="0.3">
      <c r="A20817" t="s">
        <v>1124</v>
      </c>
      <c r="B20817" t="s">
        <v>25</v>
      </c>
      <c r="C20817" s="1">
        <f>HYPERLINK("https://cao.dolgi.msk.ru/account/1011372613/", 1011372613)</f>
        <v>1011372613</v>
      </c>
      <c r="D20817">
        <v>0</v>
      </c>
    </row>
    <row r="20818" spans="1:4" hidden="1" x14ac:dyDescent="0.3">
      <c r="A20818" t="s">
        <v>1124</v>
      </c>
      <c r="B20818" t="s">
        <v>26</v>
      </c>
      <c r="C20818" s="1">
        <f>HYPERLINK("https://cao.dolgi.msk.ru/account/1011372947/", 1011372947)</f>
        <v>1011372947</v>
      </c>
      <c r="D20818">
        <v>0</v>
      </c>
    </row>
    <row r="20819" spans="1:4" hidden="1" x14ac:dyDescent="0.3">
      <c r="A20819" t="s">
        <v>1124</v>
      </c>
      <c r="B20819" t="s">
        <v>27</v>
      </c>
      <c r="C20819" s="1">
        <f>HYPERLINK("https://cao.dolgi.msk.ru/account/1011372429/", 1011372429)</f>
        <v>1011372429</v>
      </c>
      <c r="D20819">
        <v>0</v>
      </c>
    </row>
    <row r="20820" spans="1:4" hidden="1" x14ac:dyDescent="0.3">
      <c r="A20820" t="s">
        <v>1124</v>
      </c>
      <c r="B20820" t="s">
        <v>29</v>
      </c>
      <c r="C20820" s="1">
        <f>HYPERLINK("https://cao.dolgi.msk.ru/account/1011372787/", 1011372787)</f>
        <v>1011372787</v>
      </c>
      <c r="D20820">
        <v>0</v>
      </c>
    </row>
    <row r="20821" spans="1:4" hidden="1" x14ac:dyDescent="0.3">
      <c r="A20821" t="s">
        <v>1124</v>
      </c>
      <c r="B20821" t="s">
        <v>38</v>
      </c>
      <c r="C20821" s="1">
        <f>HYPERLINK("https://cao.dolgi.msk.ru/account/1011371952/", 1011371952)</f>
        <v>1011371952</v>
      </c>
      <c r="D20821">
        <v>0</v>
      </c>
    </row>
    <row r="20822" spans="1:4" hidden="1" x14ac:dyDescent="0.3">
      <c r="A20822" t="s">
        <v>1124</v>
      </c>
      <c r="B20822" t="s">
        <v>39</v>
      </c>
      <c r="C20822" s="1">
        <f>HYPERLINK("https://cao.dolgi.msk.ru/account/1011372189/", 1011372189)</f>
        <v>1011372189</v>
      </c>
      <c r="D20822">
        <v>-1299.49</v>
      </c>
    </row>
    <row r="20823" spans="1:4" x14ac:dyDescent="0.3">
      <c r="A20823" t="s">
        <v>1124</v>
      </c>
      <c r="B20823" t="s">
        <v>40</v>
      </c>
      <c r="C20823" s="1">
        <f>HYPERLINK("https://cao.dolgi.msk.ru/account/1011372699/", 1011372699)</f>
        <v>1011372699</v>
      </c>
      <c r="D20823">
        <v>9291.69</v>
      </c>
    </row>
    <row r="20824" spans="1:4" hidden="1" x14ac:dyDescent="0.3">
      <c r="A20824" t="s">
        <v>1124</v>
      </c>
      <c r="B20824" t="s">
        <v>41</v>
      </c>
      <c r="C20824" s="1">
        <f>HYPERLINK("https://cao.dolgi.msk.ru/account/1011372795/", 1011372795)</f>
        <v>1011372795</v>
      </c>
      <c r="D20824">
        <v>-1298.55</v>
      </c>
    </row>
    <row r="20825" spans="1:4" hidden="1" x14ac:dyDescent="0.3">
      <c r="A20825" t="s">
        <v>1124</v>
      </c>
      <c r="B20825" t="s">
        <v>51</v>
      </c>
      <c r="C20825" s="1">
        <f>HYPERLINK("https://cao.dolgi.msk.ru/account/1011371995/", 1011371995)</f>
        <v>1011371995</v>
      </c>
      <c r="D20825">
        <v>0</v>
      </c>
    </row>
    <row r="20826" spans="1:4" x14ac:dyDescent="0.3">
      <c r="A20826" t="s">
        <v>1124</v>
      </c>
      <c r="B20826" t="s">
        <v>52</v>
      </c>
      <c r="C20826" s="1">
        <f>HYPERLINK("https://cao.dolgi.msk.ru/account/1011372197/", 1011372197)</f>
        <v>1011372197</v>
      </c>
      <c r="D20826">
        <v>74503.259999999995</v>
      </c>
    </row>
    <row r="20827" spans="1:4" hidden="1" x14ac:dyDescent="0.3">
      <c r="A20827" t="s">
        <v>1124</v>
      </c>
      <c r="B20827" t="s">
        <v>53</v>
      </c>
      <c r="C20827" s="1">
        <f>HYPERLINK("https://cao.dolgi.msk.ru/account/1011372808/", 1011372808)</f>
        <v>1011372808</v>
      </c>
      <c r="D20827">
        <v>-6369.09</v>
      </c>
    </row>
    <row r="20828" spans="1:4" hidden="1" x14ac:dyDescent="0.3">
      <c r="A20828" t="s">
        <v>1124</v>
      </c>
      <c r="B20828" t="s">
        <v>54</v>
      </c>
      <c r="C20828" s="1">
        <f>HYPERLINK("https://cao.dolgi.msk.ru/account/1011373034/", 1011373034)</f>
        <v>1011373034</v>
      </c>
      <c r="D20828">
        <v>0</v>
      </c>
    </row>
    <row r="20829" spans="1:4" hidden="1" x14ac:dyDescent="0.3">
      <c r="A20829" t="s">
        <v>1124</v>
      </c>
      <c r="B20829" t="s">
        <v>55</v>
      </c>
      <c r="C20829" s="1">
        <f>HYPERLINK("https://cao.dolgi.msk.ru/account/1011372306/", 1011372306)</f>
        <v>1011372306</v>
      </c>
      <c r="D20829">
        <v>0</v>
      </c>
    </row>
    <row r="20830" spans="1:4" x14ac:dyDescent="0.3">
      <c r="A20830" t="s">
        <v>1124</v>
      </c>
      <c r="B20830" t="s">
        <v>56</v>
      </c>
      <c r="C20830" s="1">
        <f>HYPERLINK("https://cao.dolgi.msk.ru/account/1011372015/", 1011372015)</f>
        <v>1011372015</v>
      </c>
      <c r="D20830">
        <v>26078.63</v>
      </c>
    </row>
    <row r="20831" spans="1:4" hidden="1" x14ac:dyDescent="0.3">
      <c r="A20831" t="s">
        <v>1124</v>
      </c>
      <c r="B20831" t="s">
        <v>87</v>
      </c>
      <c r="C20831" s="1">
        <f>HYPERLINK("https://cao.dolgi.msk.ru/account/1011372285/", 1011372285)</f>
        <v>1011372285</v>
      </c>
      <c r="D20831">
        <v>-61.24</v>
      </c>
    </row>
    <row r="20832" spans="1:4" hidden="1" x14ac:dyDescent="0.3">
      <c r="A20832" t="s">
        <v>1124</v>
      </c>
      <c r="B20832" t="s">
        <v>88</v>
      </c>
      <c r="C20832" s="1">
        <f>HYPERLINK("https://cao.dolgi.msk.ru/account/1011372218/", 1011372218)</f>
        <v>1011372218</v>
      </c>
      <c r="D20832">
        <v>0</v>
      </c>
    </row>
    <row r="20833" spans="1:4" hidden="1" x14ac:dyDescent="0.3">
      <c r="A20833" t="s">
        <v>1124</v>
      </c>
      <c r="B20833" t="s">
        <v>89</v>
      </c>
      <c r="C20833" s="1">
        <f>HYPERLINK("https://cao.dolgi.msk.ru/account/1011372293/", 1011372293)</f>
        <v>1011372293</v>
      </c>
      <c r="D20833">
        <v>0</v>
      </c>
    </row>
    <row r="20834" spans="1:4" hidden="1" x14ac:dyDescent="0.3">
      <c r="A20834" t="s">
        <v>1124</v>
      </c>
      <c r="B20834" t="s">
        <v>90</v>
      </c>
      <c r="C20834" s="1">
        <f>HYPERLINK("https://cao.dolgi.msk.ru/account/1011372146/", 1011372146)</f>
        <v>1011372146</v>
      </c>
      <c r="D20834">
        <v>-5192.6400000000003</v>
      </c>
    </row>
    <row r="20835" spans="1:4" x14ac:dyDescent="0.3">
      <c r="A20835" t="s">
        <v>1124</v>
      </c>
      <c r="B20835" t="s">
        <v>96</v>
      </c>
      <c r="C20835" s="1">
        <f>HYPERLINK("https://cao.dolgi.msk.ru/account/1011372971/", 1011372971)</f>
        <v>1011372971</v>
      </c>
      <c r="D20835">
        <v>5393.48</v>
      </c>
    </row>
    <row r="20836" spans="1:4" hidden="1" x14ac:dyDescent="0.3">
      <c r="A20836" t="s">
        <v>1124</v>
      </c>
      <c r="B20836" t="s">
        <v>97</v>
      </c>
      <c r="C20836" s="1">
        <f>HYPERLINK("https://cao.dolgi.msk.ru/account/1011372533/", 1011372533)</f>
        <v>1011372533</v>
      </c>
      <c r="D20836">
        <v>0</v>
      </c>
    </row>
    <row r="20837" spans="1:4" x14ac:dyDescent="0.3">
      <c r="A20837" t="s">
        <v>1124</v>
      </c>
      <c r="B20837" t="s">
        <v>98</v>
      </c>
      <c r="C20837" s="1">
        <f>HYPERLINK("https://cao.dolgi.msk.ru/account/1011372875/", 1011372875)</f>
        <v>1011372875</v>
      </c>
      <c r="D20837">
        <v>13958.88</v>
      </c>
    </row>
    <row r="20838" spans="1:4" hidden="1" x14ac:dyDescent="0.3">
      <c r="A20838" t="s">
        <v>1124</v>
      </c>
      <c r="B20838" t="s">
        <v>58</v>
      </c>
      <c r="C20838" s="1">
        <f>HYPERLINK("https://cao.dolgi.msk.ru/account/1011372226/", 1011372226)</f>
        <v>1011372226</v>
      </c>
      <c r="D20838">
        <v>-5510.33</v>
      </c>
    </row>
    <row r="20839" spans="1:4" hidden="1" x14ac:dyDescent="0.3">
      <c r="A20839" t="s">
        <v>1124</v>
      </c>
      <c r="B20839" t="s">
        <v>59</v>
      </c>
      <c r="C20839" s="1">
        <f>HYPERLINK("https://cao.dolgi.msk.ru/account/1011372592/", 1011372592)</f>
        <v>1011372592</v>
      </c>
      <c r="D20839">
        <v>0</v>
      </c>
    </row>
    <row r="20840" spans="1:4" hidden="1" x14ac:dyDescent="0.3">
      <c r="A20840" t="s">
        <v>1124</v>
      </c>
      <c r="B20840" t="s">
        <v>60</v>
      </c>
      <c r="C20840" s="1">
        <f>HYPERLINK("https://cao.dolgi.msk.ru/account/1011372509/", 1011372509)</f>
        <v>1011372509</v>
      </c>
      <c r="D20840">
        <v>0</v>
      </c>
    </row>
    <row r="20841" spans="1:4" hidden="1" x14ac:dyDescent="0.3">
      <c r="A20841" t="s">
        <v>1124</v>
      </c>
      <c r="B20841" t="s">
        <v>61</v>
      </c>
      <c r="C20841" s="1">
        <f>HYPERLINK("https://cao.dolgi.msk.ru/account/1011372154/", 1011372154)</f>
        <v>1011372154</v>
      </c>
      <c r="D20841">
        <v>0</v>
      </c>
    </row>
    <row r="20842" spans="1:4" hidden="1" x14ac:dyDescent="0.3">
      <c r="A20842" t="s">
        <v>1124</v>
      </c>
      <c r="B20842" t="s">
        <v>62</v>
      </c>
      <c r="C20842" s="1">
        <f>HYPERLINK("https://cao.dolgi.msk.ru/account/1011372701/", 1011372701)</f>
        <v>1011372701</v>
      </c>
      <c r="D20842">
        <v>0</v>
      </c>
    </row>
    <row r="20843" spans="1:4" x14ac:dyDescent="0.3">
      <c r="A20843" t="s">
        <v>1124</v>
      </c>
      <c r="B20843" t="s">
        <v>63</v>
      </c>
      <c r="C20843" s="1">
        <f>HYPERLINK("https://cao.dolgi.msk.ru/account/1011372322/", 1011372322)</f>
        <v>1011372322</v>
      </c>
      <c r="D20843">
        <v>3967.16</v>
      </c>
    </row>
    <row r="20844" spans="1:4" hidden="1" x14ac:dyDescent="0.3">
      <c r="A20844" t="s">
        <v>1124</v>
      </c>
      <c r="B20844" t="s">
        <v>64</v>
      </c>
      <c r="C20844" s="1">
        <f>HYPERLINK("https://cao.dolgi.msk.ru/account/1011372373/", 1011372373)</f>
        <v>1011372373</v>
      </c>
      <c r="D20844">
        <v>0</v>
      </c>
    </row>
    <row r="20845" spans="1:4" hidden="1" x14ac:dyDescent="0.3">
      <c r="A20845" t="s">
        <v>1124</v>
      </c>
      <c r="B20845" t="s">
        <v>65</v>
      </c>
      <c r="C20845" s="1">
        <f>HYPERLINK("https://cao.dolgi.msk.ru/account/1011372234/", 1011372234)</f>
        <v>1011372234</v>
      </c>
      <c r="D20845">
        <v>0</v>
      </c>
    </row>
    <row r="20846" spans="1:4" hidden="1" x14ac:dyDescent="0.3">
      <c r="A20846" t="s">
        <v>1124</v>
      </c>
      <c r="B20846" t="s">
        <v>66</v>
      </c>
      <c r="C20846" s="1">
        <f>HYPERLINK("https://cao.dolgi.msk.ru/account/1011372496/", 1011372496)</f>
        <v>1011372496</v>
      </c>
      <c r="D20846">
        <v>0</v>
      </c>
    </row>
    <row r="20847" spans="1:4" hidden="1" x14ac:dyDescent="0.3">
      <c r="A20847" t="s">
        <v>1124</v>
      </c>
      <c r="B20847" t="s">
        <v>67</v>
      </c>
      <c r="C20847" s="1">
        <f>HYPERLINK("https://cao.dolgi.msk.ru/account/1011372269/", 1011372269)</f>
        <v>1011372269</v>
      </c>
      <c r="D20847">
        <v>0</v>
      </c>
    </row>
    <row r="20848" spans="1:4" hidden="1" x14ac:dyDescent="0.3">
      <c r="A20848" t="s">
        <v>1124</v>
      </c>
      <c r="B20848" t="s">
        <v>68</v>
      </c>
      <c r="C20848" s="1">
        <f>HYPERLINK("https://cao.dolgi.msk.ru/account/1011372445/", 1011372445)</f>
        <v>1011372445</v>
      </c>
      <c r="D20848">
        <v>0</v>
      </c>
    </row>
    <row r="20849" spans="1:4" hidden="1" x14ac:dyDescent="0.3">
      <c r="A20849" t="s">
        <v>1124</v>
      </c>
      <c r="B20849" t="s">
        <v>69</v>
      </c>
      <c r="C20849" s="1">
        <f>HYPERLINK("https://cao.dolgi.msk.ru/account/1011372752/", 1011372752)</f>
        <v>1011372752</v>
      </c>
      <c r="D20849">
        <v>-4332.72</v>
      </c>
    </row>
    <row r="20850" spans="1:4" hidden="1" x14ac:dyDescent="0.3">
      <c r="A20850" t="s">
        <v>1124</v>
      </c>
      <c r="B20850" t="s">
        <v>70</v>
      </c>
      <c r="C20850" s="1">
        <f>HYPERLINK("https://cao.dolgi.msk.ru/account/1011372074/", 1011372074)</f>
        <v>1011372074</v>
      </c>
      <c r="D20850">
        <v>0</v>
      </c>
    </row>
    <row r="20851" spans="1:4" hidden="1" x14ac:dyDescent="0.3">
      <c r="A20851" t="s">
        <v>1124</v>
      </c>
      <c r="B20851" t="s">
        <v>259</v>
      </c>
      <c r="C20851" s="1">
        <f>HYPERLINK("https://cao.dolgi.msk.ru/account/1011372998/", 1011372998)</f>
        <v>1011372998</v>
      </c>
      <c r="D20851">
        <v>0</v>
      </c>
    </row>
    <row r="20852" spans="1:4" hidden="1" x14ac:dyDescent="0.3">
      <c r="A20852" t="s">
        <v>1124</v>
      </c>
      <c r="B20852" t="s">
        <v>100</v>
      </c>
      <c r="C20852" s="1">
        <f>HYPERLINK("https://cao.dolgi.msk.ru/account/1011372621/", 1011372621)</f>
        <v>1011372621</v>
      </c>
      <c r="D20852">
        <v>0</v>
      </c>
    </row>
    <row r="20853" spans="1:4" hidden="1" x14ac:dyDescent="0.3">
      <c r="A20853" t="s">
        <v>1124</v>
      </c>
      <c r="B20853" t="s">
        <v>72</v>
      </c>
      <c r="C20853" s="1">
        <f>HYPERLINK("https://cao.dolgi.msk.ru/account/1011372883/", 1011372883)</f>
        <v>1011372883</v>
      </c>
      <c r="D20853">
        <v>0</v>
      </c>
    </row>
    <row r="20854" spans="1:4" hidden="1" x14ac:dyDescent="0.3">
      <c r="A20854" t="s">
        <v>1124</v>
      </c>
      <c r="B20854" t="s">
        <v>73</v>
      </c>
      <c r="C20854" s="1">
        <f>HYPERLINK("https://cao.dolgi.msk.ru/account/1011372963/", 1011372963)</f>
        <v>1011372963</v>
      </c>
      <c r="D20854">
        <v>0</v>
      </c>
    </row>
    <row r="20855" spans="1:4" hidden="1" x14ac:dyDescent="0.3">
      <c r="A20855" t="s">
        <v>1124</v>
      </c>
      <c r="B20855" t="s">
        <v>74</v>
      </c>
      <c r="C20855" s="1">
        <f>HYPERLINK("https://cao.dolgi.msk.ru/account/1011372517/", 1011372517)</f>
        <v>1011372517</v>
      </c>
      <c r="D20855">
        <v>0</v>
      </c>
    </row>
    <row r="20856" spans="1:4" hidden="1" x14ac:dyDescent="0.3">
      <c r="A20856" t="s">
        <v>1124</v>
      </c>
      <c r="B20856" t="s">
        <v>75</v>
      </c>
      <c r="C20856" s="1">
        <f>HYPERLINK("https://cao.dolgi.msk.ru/account/1011373026/", 1011373026)</f>
        <v>1011373026</v>
      </c>
      <c r="D20856">
        <v>0</v>
      </c>
    </row>
    <row r="20857" spans="1:4" hidden="1" x14ac:dyDescent="0.3">
      <c r="A20857" t="s">
        <v>1124</v>
      </c>
      <c r="B20857" t="s">
        <v>76</v>
      </c>
      <c r="C20857" s="1">
        <f>HYPERLINK("https://cao.dolgi.msk.ru/account/1011372453/", 1011372453)</f>
        <v>1011372453</v>
      </c>
      <c r="D20857">
        <v>-5428.49</v>
      </c>
    </row>
    <row r="20858" spans="1:4" hidden="1" x14ac:dyDescent="0.3">
      <c r="A20858" t="s">
        <v>1124</v>
      </c>
      <c r="B20858" t="s">
        <v>77</v>
      </c>
      <c r="C20858" s="1">
        <f>HYPERLINK("https://cao.dolgi.msk.ru/account/1011372277/", 1011372277)</f>
        <v>1011372277</v>
      </c>
      <c r="D20858">
        <v>0</v>
      </c>
    </row>
    <row r="20859" spans="1:4" hidden="1" x14ac:dyDescent="0.3">
      <c r="A20859" t="s">
        <v>1124</v>
      </c>
      <c r="B20859" t="s">
        <v>78</v>
      </c>
      <c r="C20859" s="1">
        <f>HYPERLINK("https://cao.dolgi.msk.ru/account/1011372023/", 1011372023)</f>
        <v>1011372023</v>
      </c>
      <c r="D20859">
        <v>0</v>
      </c>
    </row>
    <row r="20860" spans="1:4" hidden="1" x14ac:dyDescent="0.3">
      <c r="A20860" t="s">
        <v>1124</v>
      </c>
      <c r="B20860" t="s">
        <v>79</v>
      </c>
      <c r="C20860" s="1">
        <f>HYPERLINK("https://cao.dolgi.msk.ru/account/1011372955/", 1011372955)</f>
        <v>1011372955</v>
      </c>
      <c r="D20860">
        <v>0</v>
      </c>
    </row>
    <row r="20861" spans="1:4" hidden="1" x14ac:dyDescent="0.3">
      <c r="A20861" t="s">
        <v>1124</v>
      </c>
      <c r="B20861" t="s">
        <v>80</v>
      </c>
      <c r="C20861" s="1">
        <f>HYPERLINK("https://cao.dolgi.msk.ru/account/1011372138/", 1011372138)</f>
        <v>1011372138</v>
      </c>
      <c r="D20861">
        <v>-2952.97</v>
      </c>
    </row>
    <row r="20862" spans="1:4" x14ac:dyDescent="0.3">
      <c r="A20862" t="s">
        <v>1124</v>
      </c>
      <c r="B20862" t="s">
        <v>81</v>
      </c>
      <c r="C20862" s="1">
        <f>HYPERLINK("https://cao.dolgi.msk.ru/account/1011372082/", 1011372082)</f>
        <v>1011372082</v>
      </c>
      <c r="D20862">
        <v>5499.85</v>
      </c>
    </row>
    <row r="20863" spans="1:4" hidden="1" x14ac:dyDescent="0.3">
      <c r="A20863" t="s">
        <v>1124</v>
      </c>
      <c r="B20863" t="s">
        <v>101</v>
      </c>
      <c r="C20863" s="1">
        <f>HYPERLINK("https://cao.dolgi.msk.ru/account/1011372541/", 1011372541)</f>
        <v>1011372541</v>
      </c>
      <c r="D20863">
        <v>0</v>
      </c>
    </row>
    <row r="20864" spans="1:4" hidden="1" x14ac:dyDescent="0.3">
      <c r="A20864" t="s">
        <v>1124</v>
      </c>
      <c r="B20864" t="s">
        <v>82</v>
      </c>
      <c r="C20864" s="1">
        <f>HYPERLINK("https://cao.dolgi.msk.ru/account/1011372816/", 1011372816)</f>
        <v>1011372816</v>
      </c>
      <c r="D20864">
        <v>0</v>
      </c>
    </row>
    <row r="20865" spans="1:4" hidden="1" x14ac:dyDescent="0.3">
      <c r="A20865" t="s">
        <v>1124</v>
      </c>
      <c r="B20865" t="s">
        <v>83</v>
      </c>
      <c r="C20865" s="1">
        <f>HYPERLINK("https://cao.dolgi.msk.ru/account/1011372824/", 1011372824)</f>
        <v>1011372824</v>
      </c>
      <c r="D20865">
        <v>0</v>
      </c>
    </row>
    <row r="20866" spans="1:4" x14ac:dyDescent="0.3">
      <c r="A20866" t="s">
        <v>1124</v>
      </c>
      <c r="B20866" t="s">
        <v>84</v>
      </c>
      <c r="C20866" s="1">
        <f>HYPERLINK("https://cao.dolgi.msk.ru/account/1011372488/", 1011372488)</f>
        <v>1011372488</v>
      </c>
      <c r="D20866">
        <v>8109.09</v>
      </c>
    </row>
    <row r="20867" spans="1:4" hidden="1" x14ac:dyDescent="0.3">
      <c r="A20867" t="s">
        <v>1124</v>
      </c>
      <c r="B20867" t="s">
        <v>85</v>
      </c>
      <c r="C20867" s="1">
        <f>HYPERLINK("https://cao.dolgi.msk.ru/account/1011372736/", 1011372736)</f>
        <v>1011372736</v>
      </c>
      <c r="D20867">
        <v>0</v>
      </c>
    </row>
    <row r="20868" spans="1:4" x14ac:dyDescent="0.3">
      <c r="A20868" t="s">
        <v>1124</v>
      </c>
      <c r="B20868" t="s">
        <v>102</v>
      </c>
      <c r="C20868" s="1">
        <f>HYPERLINK("https://cao.dolgi.msk.ru/account/1011372891/", 1011372891)</f>
        <v>1011372891</v>
      </c>
      <c r="D20868">
        <v>2527.83</v>
      </c>
    </row>
    <row r="20869" spans="1:4" hidden="1" x14ac:dyDescent="0.3">
      <c r="A20869" t="s">
        <v>1124</v>
      </c>
      <c r="B20869" t="s">
        <v>103</v>
      </c>
      <c r="C20869" s="1">
        <f>HYPERLINK("https://cao.dolgi.msk.ru/account/1011372031/", 1011372031)</f>
        <v>1011372031</v>
      </c>
      <c r="D20869">
        <v>-6373.47</v>
      </c>
    </row>
    <row r="20870" spans="1:4" hidden="1" x14ac:dyDescent="0.3">
      <c r="A20870" t="s">
        <v>1124</v>
      </c>
      <c r="B20870" t="s">
        <v>104</v>
      </c>
      <c r="C20870" s="1">
        <f>HYPERLINK("https://cao.dolgi.msk.ru/account/1011372904/", 1011372904)</f>
        <v>1011372904</v>
      </c>
      <c r="D20870">
        <v>0</v>
      </c>
    </row>
    <row r="20871" spans="1:4" hidden="1" x14ac:dyDescent="0.3">
      <c r="A20871" t="s">
        <v>1124</v>
      </c>
      <c r="B20871" t="s">
        <v>105</v>
      </c>
      <c r="C20871" s="1">
        <f>HYPERLINK("https://cao.dolgi.msk.ru/account/1011372381/", 1011372381)</f>
        <v>1011372381</v>
      </c>
      <c r="D20871">
        <v>-3635.21</v>
      </c>
    </row>
    <row r="20872" spans="1:4" hidden="1" x14ac:dyDescent="0.3">
      <c r="A20872" t="s">
        <v>1124</v>
      </c>
      <c r="B20872" t="s">
        <v>106</v>
      </c>
      <c r="C20872" s="1">
        <f>HYPERLINK("https://cao.dolgi.msk.ru/account/1011371901/", 1011371901)</f>
        <v>1011371901</v>
      </c>
      <c r="D20872">
        <v>-6436.01</v>
      </c>
    </row>
    <row r="20873" spans="1:4" hidden="1" x14ac:dyDescent="0.3">
      <c r="A20873" t="s">
        <v>1124</v>
      </c>
      <c r="B20873" t="s">
        <v>107</v>
      </c>
      <c r="C20873" s="1">
        <f>HYPERLINK("https://cao.dolgi.msk.ru/account/1011372832/", 1011372832)</f>
        <v>1011372832</v>
      </c>
      <c r="D20873">
        <v>0</v>
      </c>
    </row>
    <row r="20874" spans="1:4" hidden="1" x14ac:dyDescent="0.3">
      <c r="A20874" t="s">
        <v>1124</v>
      </c>
      <c r="B20874" t="s">
        <v>108</v>
      </c>
      <c r="C20874" s="1">
        <f>HYPERLINK("https://cao.dolgi.msk.ru/account/1011372568/", 1011372568)</f>
        <v>1011372568</v>
      </c>
      <c r="D20874">
        <v>-245.9</v>
      </c>
    </row>
    <row r="20875" spans="1:4" hidden="1" x14ac:dyDescent="0.3">
      <c r="A20875" t="s">
        <v>1124</v>
      </c>
      <c r="B20875" t="s">
        <v>109</v>
      </c>
      <c r="C20875" s="1">
        <f>HYPERLINK("https://cao.dolgi.msk.ru/account/1011372058/", 1011372058)</f>
        <v>1011372058</v>
      </c>
      <c r="D20875">
        <v>-5559.72</v>
      </c>
    </row>
    <row r="20876" spans="1:4" hidden="1" x14ac:dyDescent="0.3">
      <c r="A20876" t="s">
        <v>1124</v>
      </c>
      <c r="B20876" t="s">
        <v>110</v>
      </c>
      <c r="C20876" s="1">
        <f>HYPERLINK("https://cao.dolgi.msk.ru/account/1011371928/", 1011371928)</f>
        <v>1011371928</v>
      </c>
      <c r="D20876">
        <v>0</v>
      </c>
    </row>
    <row r="20877" spans="1:4" x14ac:dyDescent="0.3">
      <c r="A20877" t="s">
        <v>1124</v>
      </c>
      <c r="B20877" t="s">
        <v>111</v>
      </c>
      <c r="C20877" s="1">
        <f>HYPERLINK("https://cao.dolgi.msk.ru/account/1011372664/", 1011372664)</f>
        <v>1011372664</v>
      </c>
      <c r="D20877">
        <v>4272.92</v>
      </c>
    </row>
    <row r="20878" spans="1:4" hidden="1" x14ac:dyDescent="0.3">
      <c r="A20878" t="s">
        <v>1124</v>
      </c>
      <c r="B20878" t="s">
        <v>112</v>
      </c>
      <c r="C20878" s="1">
        <f>HYPERLINK("https://cao.dolgi.msk.ru/account/1011372162/", 1011372162)</f>
        <v>1011372162</v>
      </c>
      <c r="D20878">
        <v>0</v>
      </c>
    </row>
    <row r="20879" spans="1:4" hidden="1" x14ac:dyDescent="0.3">
      <c r="A20879" t="s">
        <v>1124</v>
      </c>
      <c r="B20879" t="s">
        <v>113</v>
      </c>
      <c r="C20879" s="1">
        <f>HYPERLINK("https://cao.dolgi.msk.ru/account/1011372867/", 1011372867)</f>
        <v>1011372867</v>
      </c>
      <c r="D20879">
        <v>-7611.64</v>
      </c>
    </row>
    <row r="20880" spans="1:4" hidden="1" x14ac:dyDescent="0.3">
      <c r="A20880" t="s">
        <v>1124</v>
      </c>
      <c r="B20880" t="s">
        <v>114</v>
      </c>
      <c r="C20880" s="1">
        <f>HYPERLINK("https://cao.dolgi.msk.ru/account/1011371848/", 1011371848)</f>
        <v>1011371848</v>
      </c>
      <c r="D20880">
        <v>-5689.47</v>
      </c>
    </row>
    <row r="20881" spans="1:4" hidden="1" x14ac:dyDescent="0.3">
      <c r="A20881" t="s">
        <v>1124</v>
      </c>
      <c r="B20881" t="s">
        <v>115</v>
      </c>
      <c r="C20881" s="1">
        <f>HYPERLINK("https://cao.dolgi.msk.ru/account/1011372066/", 1011372066)</f>
        <v>1011372066</v>
      </c>
      <c r="D20881">
        <v>-2016.18</v>
      </c>
    </row>
    <row r="20882" spans="1:4" hidden="1" x14ac:dyDescent="0.3">
      <c r="A20882" t="s">
        <v>1124</v>
      </c>
      <c r="B20882" t="s">
        <v>116</v>
      </c>
      <c r="C20882" s="1">
        <f>HYPERLINK("https://cao.dolgi.msk.ru/account/1011371979/", 1011371979)</f>
        <v>1011371979</v>
      </c>
      <c r="D20882">
        <v>-3470.34</v>
      </c>
    </row>
    <row r="20883" spans="1:4" hidden="1" x14ac:dyDescent="0.3">
      <c r="A20883" t="s">
        <v>1124</v>
      </c>
      <c r="B20883" t="s">
        <v>266</v>
      </c>
      <c r="C20883" s="1">
        <f>HYPERLINK("https://cao.dolgi.msk.ru/account/1011371813/", 1011371813)</f>
        <v>1011371813</v>
      </c>
      <c r="D20883">
        <v>0</v>
      </c>
    </row>
    <row r="20884" spans="1:4" hidden="1" x14ac:dyDescent="0.3">
      <c r="A20884" t="s">
        <v>1124</v>
      </c>
      <c r="B20884" t="s">
        <v>117</v>
      </c>
      <c r="C20884" s="1">
        <f>HYPERLINK("https://cao.dolgi.msk.ru/account/1011372437/", 1011372437)</f>
        <v>1011372437</v>
      </c>
      <c r="D20884">
        <v>0</v>
      </c>
    </row>
    <row r="20885" spans="1:4" x14ac:dyDescent="0.3">
      <c r="A20885" t="s">
        <v>1124</v>
      </c>
      <c r="B20885" t="s">
        <v>118</v>
      </c>
      <c r="C20885" s="1">
        <f>HYPERLINK("https://cao.dolgi.msk.ru/account/1011371872/", 1011371872)</f>
        <v>1011371872</v>
      </c>
      <c r="D20885">
        <v>51295.42</v>
      </c>
    </row>
    <row r="20886" spans="1:4" hidden="1" x14ac:dyDescent="0.3">
      <c r="A20886" t="s">
        <v>1124</v>
      </c>
      <c r="B20886" t="s">
        <v>119</v>
      </c>
      <c r="C20886" s="1">
        <f>HYPERLINK("https://cao.dolgi.msk.ru/account/1011372728/", 1011372728)</f>
        <v>1011372728</v>
      </c>
      <c r="D20886">
        <v>-4725.7</v>
      </c>
    </row>
    <row r="20887" spans="1:4" hidden="1" x14ac:dyDescent="0.3">
      <c r="A20887" t="s">
        <v>1124</v>
      </c>
      <c r="B20887" t="s">
        <v>120</v>
      </c>
      <c r="C20887" s="1">
        <f>HYPERLINK("https://cao.dolgi.msk.ru/account/1011372939/", 1011372939)</f>
        <v>1011372939</v>
      </c>
      <c r="D20887">
        <v>0</v>
      </c>
    </row>
    <row r="20888" spans="1:4" hidden="1" x14ac:dyDescent="0.3">
      <c r="A20888" t="s">
        <v>1124</v>
      </c>
      <c r="B20888" t="s">
        <v>121</v>
      </c>
      <c r="C20888" s="1">
        <f>HYPERLINK("https://cao.dolgi.msk.ru/account/1011372242/", 1011372242)</f>
        <v>1011372242</v>
      </c>
      <c r="D20888">
        <v>0</v>
      </c>
    </row>
    <row r="20889" spans="1:4" hidden="1" x14ac:dyDescent="0.3">
      <c r="A20889" t="s">
        <v>1124</v>
      </c>
      <c r="B20889" t="s">
        <v>122</v>
      </c>
      <c r="C20889" s="1">
        <f>HYPERLINK("https://cao.dolgi.msk.ru/account/1011372648/", 1011372648)</f>
        <v>1011372648</v>
      </c>
      <c r="D20889">
        <v>0</v>
      </c>
    </row>
    <row r="20890" spans="1:4" hidden="1" x14ac:dyDescent="0.3">
      <c r="A20890" t="s">
        <v>1124</v>
      </c>
      <c r="B20890" t="s">
        <v>123</v>
      </c>
      <c r="C20890" s="1">
        <f>HYPERLINK("https://cao.dolgi.msk.ru/account/1011372349/", 1011372349)</f>
        <v>1011372349</v>
      </c>
      <c r="D20890">
        <v>0</v>
      </c>
    </row>
    <row r="20891" spans="1:4" hidden="1" x14ac:dyDescent="0.3">
      <c r="A20891" t="s">
        <v>1124</v>
      </c>
      <c r="B20891" t="s">
        <v>124</v>
      </c>
      <c r="C20891" s="1">
        <f>HYPERLINK("https://cao.dolgi.msk.ru/account/1011371987/", 1011371987)</f>
        <v>1011371987</v>
      </c>
      <c r="D20891">
        <v>0</v>
      </c>
    </row>
    <row r="20892" spans="1:4" hidden="1" x14ac:dyDescent="0.3">
      <c r="A20892" t="s">
        <v>1124</v>
      </c>
      <c r="B20892" t="s">
        <v>125</v>
      </c>
      <c r="C20892" s="1">
        <f>HYPERLINK("https://cao.dolgi.msk.ru/account/1011372584/", 1011372584)</f>
        <v>1011372584</v>
      </c>
      <c r="D20892">
        <v>-190.48</v>
      </c>
    </row>
    <row r="20893" spans="1:4" hidden="1" x14ac:dyDescent="0.3">
      <c r="A20893" t="s">
        <v>1125</v>
      </c>
      <c r="B20893" t="s">
        <v>6</v>
      </c>
      <c r="C20893" s="1">
        <f>HYPERLINK("https://cao.dolgi.msk.ru/account/1011373798/", 1011373798)</f>
        <v>1011373798</v>
      </c>
      <c r="D20893">
        <v>-391.91</v>
      </c>
    </row>
    <row r="20894" spans="1:4" hidden="1" x14ac:dyDescent="0.3">
      <c r="A20894" t="s">
        <v>1125</v>
      </c>
      <c r="B20894" t="s">
        <v>28</v>
      </c>
      <c r="C20894" s="1">
        <f>HYPERLINK("https://cao.dolgi.msk.ru/account/1011373413/", 1011373413)</f>
        <v>1011373413</v>
      </c>
      <c r="D20894">
        <v>0</v>
      </c>
    </row>
    <row r="20895" spans="1:4" hidden="1" x14ac:dyDescent="0.3">
      <c r="A20895" t="s">
        <v>1125</v>
      </c>
      <c r="B20895" t="s">
        <v>35</v>
      </c>
      <c r="C20895" s="1">
        <f>HYPERLINK("https://cao.dolgi.msk.ru/account/1011373915/", 1011373915)</f>
        <v>1011373915</v>
      </c>
      <c r="D20895">
        <v>-4977.34</v>
      </c>
    </row>
    <row r="20896" spans="1:4" hidden="1" x14ac:dyDescent="0.3">
      <c r="A20896" t="s">
        <v>1125</v>
      </c>
      <c r="B20896" t="s">
        <v>5</v>
      </c>
      <c r="C20896" s="1">
        <f>HYPERLINK("https://cao.dolgi.msk.ru/account/1011374029/", 1011374029)</f>
        <v>1011374029</v>
      </c>
      <c r="D20896">
        <v>0</v>
      </c>
    </row>
    <row r="20897" spans="1:4" hidden="1" x14ac:dyDescent="0.3">
      <c r="A20897" t="s">
        <v>1125</v>
      </c>
      <c r="B20897" t="s">
        <v>7</v>
      </c>
      <c r="C20897" s="1">
        <f>HYPERLINK("https://cao.dolgi.msk.ru/account/1011373544/", 1011373544)</f>
        <v>1011373544</v>
      </c>
      <c r="D20897">
        <v>-10988.26</v>
      </c>
    </row>
    <row r="20898" spans="1:4" hidden="1" x14ac:dyDescent="0.3">
      <c r="A20898" t="s">
        <v>1125</v>
      </c>
      <c r="B20898" t="s">
        <v>8</v>
      </c>
      <c r="C20898" s="1">
        <f>HYPERLINK("https://cao.dolgi.msk.ru/account/1011373923/", 1011373923)</f>
        <v>1011373923</v>
      </c>
      <c r="D20898">
        <v>0</v>
      </c>
    </row>
    <row r="20899" spans="1:4" hidden="1" x14ac:dyDescent="0.3">
      <c r="A20899" t="s">
        <v>1125</v>
      </c>
      <c r="B20899" t="s">
        <v>31</v>
      </c>
      <c r="C20899" s="1">
        <f>HYPERLINK("https://cao.dolgi.msk.ru/account/1011373958/", 1011373958)</f>
        <v>1011373958</v>
      </c>
      <c r="D20899">
        <v>-3281.75</v>
      </c>
    </row>
    <row r="20900" spans="1:4" hidden="1" x14ac:dyDescent="0.3">
      <c r="A20900" t="s">
        <v>1125</v>
      </c>
      <c r="B20900" t="s">
        <v>9</v>
      </c>
      <c r="C20900" s="1">
        <f>HYPERLINK("https://cao.dolgi.msk.ru/account/1011373261/", 1011373261)</f>
        <v>1011373261</v>
      </c>
      <c r="D20900">
        <v>0</v>
      </c>
    </row>
    <row r="20901" spans="1:4" hidden="1" x14ac:dyDescent="0.3">
      <c r="A20901" t="s">
        <v>1125</v>
      </c>
      <c r="B20901" t="s">
        <v>10</v>
      </c>
      <c r="C20901" s="1">
        <f>HYPERLINK("https://cao.dolgi.msk.ru/account/1011373528/", 1011373528)</f>
        <v>1011373528</v>
      </c>
      <c r="D20901">
        <v>0</v>
      </c>
    </row>
    <row r="20902" spans="1:4" hidden="1" x14ac:dyDescent="0.3">
      <c r="A20902" t="s">
        <v>1125</v>
      </c>
      <c r="B20902" t="s">
        <v>11</v>
      </c>
      <c r="C20902" s="1">
        <f>HYPERLINK("https://cao.dolgi.msk.ru/account/1011373851/", 1011373851)</f>
        <v>1011373851</v>
      </c>
      <c r="D20902">
        <v>0</v>
      </c>
    </row>
    <row r="20903" spans="1:4" hidden="1" x14ac:dyDescent="0.3">
      <c r="A20903" t="s">
        <v>1125</v>
      </c>
      <c r="B20903" t="s">
        <v>12</v>
      </c>
      <c r="C20903" s="1">
        <f>HYPERLINK("https://cao.dolgi.msk.ru/account/1011374213/", 1011374213)</f>
        <v>1011374213</v>
      </c>
      <c r="D20903">
        <v>0</v>
      </c>
    </row>
    <row r="20904" spans="1:4" x14ac:dyDescent="0.3">
      <c r="A20904" t="s">
        <v>1125</v>
      </c>
      <c r="B20904" t="s">
        <v>23</v>
      </c>
      <c r="C20904" s="1">
        <f>HYPERLINK("https://cao.dolgi.msk.ru/account/1011373202/", 1011373202)</f>
        <v>1011373202</v>
      </c>
      <c r="D20904">
        <v>1078.55</v>
      </c>
    </row>
    <row r="20905" spans="1:4" hidden="1" x14ac:dyDescent="0.3">
      <c r="A20905" t="s">
        <v>1125</v>
      </c>
      <c r="B20905" t="s">
        <v>13</v>
      </c>
      <c r="C20905" s="1">
        <f>HYPERLINK("https://cao.dolgi.msk.ru/account/1011373552/", 1011373552)</f>
        <v>1011373552</v>
      </c>
      <c r="D20905">
        <v>-1633.47</v>
      </c>
    </row>
    <row r="20906" spans="1:4" x14ac:dyDescent="0.3">
      <c r="A20906" t="s">
        <v>1125</v>
      </c>
      <c r="B20906" t="s">
        <v>14</v>
      </c>
      <c r="C20906" s="1">
        <f>HYPERLINK("https://cao.dolgi.msk.ru/account/1011373675/", 1011373675)</f>
        <v>1011373675</v>
      </c>
      <c r="D20906">
        <v>2974.36</v>
      </c>
    </row>
    <row r="20907" spans="1:4" hidden="1" x14ac:dyDescent="0.3">
      <c r="A20907" t="s">
        <v>1125</v>
      </c>
      <c r="B20907" t="s">
        <v>16</v>
      </c>
      <c r="C20907" s="1">
        <f>HYPERLINK("https://cao.dolgi.msk.ru/account/1011373712/", 1011373712)</f>
        <v>1011373712</v>
      </c>
      <c r="D20907">
        <v>0</v>
      </c>
    </row>
    <row r="20908" spans="1:4" hidden="1" x14ac:dyDescent="0.3">
      <c r="A20908" t="s">
        <v>1125</v>
      </c>
      <c r="B20908" t="s">
        <v>17</v>
      </c>
      <c r="C20908" s="1">
        <f>HYPERLINK("https://cao.dolgi.msk.ru/account/1011373501/", 1011373501)</f>
        <v>1011373501</v>
      </c>
      <c r="D20908">
        <v>-8028.44</v>
      </c>
    </row>
    <row r="20909" spans="1:4" hidden="1" x14ac:dyDescent="0.3">
      <c r="A20909" t="s">
        <v>1125</v>
      </c>
      <c r="B20909" t="s">
        <v>18</v>
      </c>
      <c r="C20909" s="1">
        <f>HYPERLINK("https://cao.dolgi.msk.ru/account/1011374141/", 1011374141)</f>
        <v>1011374141</v>
      </c>
      <c r="D20909">
        <v>0</v>
      </c>
    </row>
    <row r="20910" spans="1:4" hidden="1" x14ac:dyDescent="0.3">
      <c r="A20910" t="s">
        <v>1125</v>
      </c>
      <c r="B20910" t="s">
        <v>19</v>
      </c>
      <c r="C20910" s="1">
        <f>HYPERLINK("https://cao.dolgi.msk.ru/account/1011373595/", 1011373595)</f>
        <v>1011373595</v>
      </c>
      <c r="D20910">
        <v>0</v>
      </c>
    </row>
    <row r="20911" spans="1:4" hidden="1" x14ac:dyDescent="0.3">
      <c r="A20911" t="s">
        <v>1125</v>
      </c>
      <c r="B20911" t="s">
        <v>20</v>
      </c>
      <c r="C20911" s="1">
        <f>HYPERLINK("https://cao.dolgi.msk.ru/account/1011374002/", 1011374002)</f>
        <v>1011374002</v>
      </c>
      <c r="D20911">
        <v>0</v>
      </c>
    </row>
    <row r="20912" spans="1:4" hidden="1" x14ac:dyDescent="0.3">
      <c r="A20912" t="s">
        <v>1125</v>
      </c>
      <c r="B20912" t="s">
        <v>21</v>
      </c>
      <c r="C20912" s="1">
        <f>HYPERLINK("https://cao.dolgi.msk.ru/account/1011373333/", 1011373333)</f>
        <v>1011373333</v>
      </c>
      <c r="D20912">
        <v>0</v>
      </c>
    </row>
    <row r="20913" spans="1:4" hidden="1" x14ac:dyDescent="0.3">
      <c r="A20913" t="s">
        <v>1125</v>
      </c>
      <c r="B20913" t="s">
        <v>22</v>
      </c>
      <c r="C20913" s="1">
        <f>HYPERLINK("https://cao.dolgi.msk.ru/account/1011373368/", 1011373368)</f>
        <v>1011373368</v>
      </c>
      <c r="D20913">
        <v>0</v>
      </c>
    </row>
    <row r="20914" spans="1:4" hidden="1" x14ac:dyDescent="0.3">
      <c r="A20914" t="s">
        <v>1125</v>
      </c>
      <c r="B20914" t="s">
        <v>24</v>
      </c>
      <c r="C20914" s="1">
        <f>HYPERLINK("https://cao.dolgi.msk.ru/account/1011373659/", 1011373659)</f>
        <v>1011373659</v>
      </c>
      <c r="D20914">
        <v>0</v>
      </c>
    </row>
    <row r="20915" spans="1:4" hidden="1" x14ac:dyDescent="0.3">
      <c r="A20915" t="s">
        <v>1125</v>
      </c>
      <c r="B20915" t="s">
        <v>25</v>
      </c>
      <c r="C20915" s="1">
        <f>HYPERLINK("https://cao.dolgi.msk.ru/account/1011374168/", 1011374168)</f>
        <v>1011374168</v>
      </c>
      <c r="D20915">
        <v>0</v>
      </c>
    </row>
    <row r="20916" spans="1:4" hidden="1" x14ac:dyDescent="0.3">
      <c r="A20916" t="s">
        <v>1125</v>
      </c>
      <c r="B20916" t="s">
        <v>26</v>
      </c>
      <c r="C20916" s="1">
        <f>HYPERLINK("https://cao.dolgi.msk.ru/account/1011373907/", 1011373907)</f>
        <v>1011373907</v>
      </c>
      <c r="D20916">
        <v>-3474.5</v>
      </c>
    </row>
    <row r="20917" spans="1:4" hidden="1" x14ac:dyDescent="0.3">
      <c r="A20917" t="s">
        <v>1125</v>
      </c>
      <c r="B20917" t="s">
        <v>27</v>
      </c>
      <c r="C20917" s="1">
        <f>HYPERLINK("https://cao.dolgi.msk.ru/account/1011373237/", 1011373237)</f>
        <v>1011373237</v>
      </c>
      <c r="D20917">
        <v>0</v>
      </c>
    </row>
    <row r="20918" spans="1:4" hidden="1" x14ac:dyDescent="0.3">
      <c r="A20918" t="s">
        <v>1125</v>
      </c>
      <c r="B20918" t="s">
        <v>29</v>
      </c>
      <c r="C20918" s="1">
        <f>HYPERLINK("https://cao.dolgi.msk.ru/account/1011373309/", 1011373309)</f>
        <v>1011373309</v>
      </c>
      <c r="D20918">
        <v>0</v>
      </c>
    </row>
    <row r="20919" spans="1:4" hidden="1" x14ac:dyDescent="0.3">
      <c r="A20919" t="s">
        <v>1125</v>
      </c>
      <c r="B20919" t="s">
        <v>38</v>
      </c>
      <c r="C20919" s="1">
        <f>HYPERLINK("https://cao.dolgi.msk.ru/account/1011373819/", 1011373819)</f>
        <v>1011373819</v>
      </c>
      <c r="D20919">
        <v>0</v>
      </c>
    </row>
    <row r="20920" spans="1:4" hidden="1" x14ac:dyDescent="0.3">
      <c r="A20920" t="s">
        <v>1125</v>
      </c>
      <c r="B20920" t="s">
        <v>39</v>
      </c>
      <c r="C20920" s="1">
        <f>HYPERLINK("https://cao.dolgi.msk.ru/account/1011373253/", 1011373253)</f>
        <v>1011373253</v>
      </c>
      <c r="D20920">
        <v>0</v>
      </c>
    </row>
    <row r="20921" spans="1:4" x14ac:dyDescent="0.3">
      <c r="A20921" t="s">
        <v>1125</v>
      </c>
      <c r="B20921" t="s">
        <v>40</v>
      </c>
      <c r="C20921" s="1">
        <f>HYPERLINK("https://cao.dolgi.msk.ru/account/1011373165/", 1011373165)</f>
        <v>1011373165</v>
      </c>
      <c r="D20921">
        <v>9450.92</v>
      </c>
    </row>
    <row r="20922" spans="1:4" hidden="1" x14ac:dyDescent="0.3">
      <c r="A20922" t="s">
        <v>1125</v>
      </c>
      <c r="B20922" t="s">
        <v>41</v>
      </c>
      <c r="C20922" s="1">
        <f>HYPERLINK("https://cao.dolgi.msk.ru/account/1011374248/", 1011374248)</f>
        <v>1011374248</v>
      </c>
      <c r="D20922">
        <v>0</v>
      </c>
    </row>
    <row r="20923" spans="1:4" hidden="1" x14ac:dyDescent="0.3">
      <c r="A20923" t="s">
        <v>1125</v>
      </c>
      <c r="B20923" t="s">
        <v>51</v>
      </c>
      <c r="C20923" s="1">
        <f>HYPERLINK("https://cao.dolgi.msk.ru/account/1011374221/", 1011374221)</f>
        <v>1011374221</v>
      </c>
      <c r="D20923">
        <v>-6032.32</v>
      </c>
    </row>
    <row r="20924" spans="1:4" hidden="1" x14ac:dyDescent="0.3">
      <c r="A20924" t="s">
        <v>1125</v>
      </c>
      <c r="B20924" t="s">
        <v>52</v>
      </c>
      <c r="C20924" s="1">
        <f>HYPERLINK("https://cao.dolgi.msk.ru/account/1011373878/", 1011373878)</f>
        <v>1011373878</v>
      </c>
      <c r="D20924">
        <v>0</v>
      </c>
    </row>
    <row r="20925" spans="1:4" x14ac:dyDescent="0.3">
      <c r="A20925" t="s">
        <v>1125</v>
      </c>
      <c r="B20925" t="s">
        <v>53</v>
      </c>
      <c r="C20925" s="1">
        <f>HYPERLINK("https://cao.dolgi.msk.ru/account/1011374053/", 1011374053)</f>
        <v>1011374053</v>
      </c>
      <c r="D20925">
        <v>9362.43</v>
      </c>
    </row>
    <row r="20926" spans="1:4" hidden="1" x14ac:dyDescent="0.3">
      <c r="A20926" t="s">
        <v>1125</v>
      </c>
      <c r="B20926" t="s">
        <v>54</v>
      </c>
      <c r="C20926" s="1">
        <f>HYPERLINK("https://cao.dolgi.msk.ru/account/1011526424/", 1011526424)</f>
        <v>1011526424</v>
      </c>
      <c r="D20926">
        <v>-34431.53</v>
      </c>
    </row>
    <row r="20927" spans="1:4" hidden="1" x14ac:dyDescent="0.3">
      <c r="A20927" t="s">
        <v>1125</v>
      </c>
      <c r="B20927" t="s">
        <v>55</v>
      </c>
      <c r="C20927" s="1">
        <f>HYPERLINK("https://cao.dolgi.msk.ru/account/1011373085/", 1011373085)</f>
        <v>1011373085</v>
      </c>
      <c r="D20927">
        <v>0</v>
      </c>
    </row>
    <row r="20928" spans="1:4" hidden="1" x14ac:dyDescent="0.3">
      <c r="A20928" t="s">
        <v>1125</v>
      </c>
      <c r="B20928" t="s">
        <v>56</v>
      </c>
      <c r="C20928" s="1">
        <f>HYPERLINK("https://cao.dolgi.msk.ru/account/1011373608/", 1011373608)</f>
        <v>1011373608</v>
      </c>
      <c r="D20928">
        <v>0</v>
      </c>
    </row>
    <row r="20929" spans="1:4" x14ac:dyDescent="0.3">
      <c r="A20929" t="s">
        <v>1125</v>
      </c>
      <c r="B20929" t="s">
        <v>87</v>
      </c>
      <c r="C20929" s="1">
        <f>HYPERLINK("https://cao.dolgi.msk.ru/account/1011373181/", 1011373181)</f>
        <v>1011373181</v>
      </c>
      <c r="D20929">
        <v>77.849999999999994</v>
      </c>
    </row>
    <row r="20930" spans="1:4" hidden="1" x14ac:dyDescent="0.3">
      <c r="A20930" t="s">
        <v>1125</v>
      </c>
      <c r="B20930" t="s">
        <v>88</v>
      </c>
      <c r="C20930" s="1">
        <f>HYPERLINK("https://cao.dolgi.msk.ru/account/1011374088/", 1011374088)</f>
        <v>1011374088</v>
      </c>
      <c r="D20930">
        <v>0</v>
      </c>
    </row>
    <row r="20931" spans="1:4" hidden="1" x14ac:dyDescent="0.3">
      <c r="A20931" t="s">
        <v>1125</v>
      </c>
      <c r="B20931" t="s">
        <v>89</v>
      </c>
      <c r="C20931" s="1">
        <f>HYPERLINK("https://cao.dolgi.msk.ru/account/1011373376/", 1011373376)</f>
        <v>1011373376</v>
      </c>
      <c r="D20931">
        <v>0</v>
      </c>
    </row>
    <row r="20932" spans="1:4" hidden="1" x14ac:dyDescent="0.3">
      <c r="A20932" t="s">
        <v>1125</v>
      </c>
      <c r="B20932" t="s">
        <v>90</v>
      </c>
      <c r="C20932" s="1">
        <f>HYPERLINK("https://cao.dolgi.msk.ru/account/1011373536/", 1011373536)</f>
        <v>1011373536</v>
      </c>
      <c r="D20932">
        <v>0</v>
      </c>
    </row>
    <row r="20933" spans="1:4" hidden="1" x14ac:dyDescent="0.3">
      <c r="A20933" t="s">
        <v>1125</v>
      </c>
      <c r="B20933" t="s">
        <v>96</v>
      </c>
      <c r="C20933" s="1">
        <f>HYPERLINK("https://cao.dolgi.msk.ru/account/1011374117/", 1011374117)</f>
        <v>1011374117</v>
      </c>
      <c r="D20933">
        <v>0</v>
      </c>
    </row>
    <row r="20934" spans="1:4" hidden="1" x14ac:dyDescent="0.3">
      <c r="A20934" t="s">
        <v>1125</v>
      </c>
      <c r="B20934" t="s">
        <v>97</v>
      </c>
      <c r="C20934" s="1">
        <f>HYPERLINK("https://cao.dolgi.msk.ru/account/1011373392/", 1011373392)</f>
        <v>1011373392</v>
      </c>
      <c r="D20934">
        <v>0</v>
      </c>
    </row>
    <row r="20935" spans="1:4" hidden="1" x14ac:dyDescent="0.3">
      <c r="A20935" t="s">
        <v>1125</v>
      </c>
      <c r="B20935" t="s">
        <v>98</v>
      </c>
      <c r="C20935" s="1">
        <f>HYPERLINK("https://cao.dolgi.msk.ru/account/1011374192/", 1011374192)</f>
        <v>1011374192</v>
      </c>
      <c r="D20935">
        <v>0</v>
      </c>
    </row>
    <row r="20936" spans="1:4" hidden="1" x14ac:dyDescent="0.3">
      <c r="A20936" t="s">
        <v>1125</v>
      </c>
      <c r="B20936" t="s">
        <v>58</v>
      </c>
      <c r="C20936" s="1">
        <f>HYPERLINK("https://cao.dolgi.msk.ru/account/1011373827/", 1011373827)</f>
        <v>1011373827</v>
      </c>
      <c r="D20936">
        <v>0</v>
      </c>
    </row>
    <row r="20937" spans="1:4" hidden="1" x14ac:dyDescent="0.3">
      <c r="A20937" t="s">
        <v>1125</v>
      </c>
      <c r="B20937" t="s">
        <v>59</v>
      </c>
      <c r="C20937" s="1">
        <f>HYPERLINK("https://cao.dolgi.msk.ru/account/1011374272/", 1011374272)</f>
        <v>1011374272</v>
      </c>
      <c r="D20937">
        <v>0</v>
      </c>
    </row>
    <row r="20938" spans="1:4" hidden="1" x14ac:dyDescent="0.3">
      <c r="A20938" t="s">
        <v>1125</v>
      </c>
      <c r="B20938" t="s">
        <v>60</v>
      </c>
      <c r="C20938" s="1">
        <f>HYPERLINK("https://cao.dolgi.msk.ru/account/1011373288/", 1011373288)</f>
        <v>1011373288</v>
      </c>
      <c r="D20938">
        <v>0</v>
      </c>
    </row>
    <row r="20939" spans="1:4" hidden="1" x14ac:dyDescent="0.3">
      <c r="A20939" t="s">
        <v>1125</v>
      </c>
      <c r="B20939" t="s">
        <v>61</v>
      </c>
      <c r="C20939" s="1">
        <f>HYPERLINK("https://cao.dolgi.msk.ru/account/1011373616/", 1011373616)</f>
        <v>1011373616</v>
      </c>
      <c r="D20939">
        <v>0</v>
      </c>
    </row>
    <row r="20940" spans="1:4" hidden="1" x14ac:dyDescent="0.3">
      <c r="A20940" t="s">
        <v>1125</v>
      </c>
      <c r="B20940" t="s">
        <v>62</v>
      </c>
      <c r="C20940" s="1">
        <f>HYPERLINK("https://cao.dolgi.msk.ru/account/1011373667/", 1011373667)</f>
        <v>1011373667</v>
      </c>
      <c r="D20940">
        <v>0</v>
      </c>
    </row>
    <row r="20941" spans="1:4" hidden="1" x14ac:dyDescent="0.3">
      <c r="A20941" t="s">
        <v>1125</v>
      </c>
      <c r="B20941" t="s">
        <v>63</v>
      </c>
      <c r="C20941" s="1">
        <f>HYPERLINK("https://cao.dolgi.msk.ru/account/1011374125/", 1011374125)</f>
        <v>1011374125</v>
      </c>
      <c r="D20941">
        <v>0</v>
      </c>
    </row>
    <row r="20942" spans="1:4" hidden="1" x14ac:dyDescent="0.3">
      <c r="A20942" t="s">
        <v>1125</v>
      </c>
      <c r="B20942" t="s">
        <v>64</v>
      </c>
      <c r="C20942" s="1">
        <f>HYPERLINK("https://cao.dolgi.msk.ru/account/1011373499/", 1011373499)</f>
        <v>1011373499</v>
      </c>
      <c r="D20942">
        <v>0</v>
      </c>
    </row>
    <row r="20943" spans="1:4" x14ac:dyDescent="0.3">
      <c r="A20943" t="s">
        <v>1125</v>
      </c>
      <c r="B20943" t="s">
        <v>65</v>
      </c>
      <c r="C20943" s="1">
        <f>HYPERLINK("https://cao.dolgi.msk.ru/account/1011373405/", 1011373405)</f>
        <v>1011373405</v>
      </c>
      <c r="D20943">
        <v>44577.67</v>
      </c>
    </row>
    <row r="20944" spans="1:4" hidden="1" x14ac:dyDescent="0.3">
      <c r="A20944" t="s">
        <v>1125</v>
      </c>
      <c r="B20944" t="s">
        <v>66</v>
      </c>
      <c r="C20944" s="1">
        <f>HYPERLINK("https://cao.dolgi.msk.ru/account/1011373421/", 1011373421)</f>
        <v>1011373421</v>
      </c>
      <c r="D20944">
        <v>-6054.23</v>
      </c>
    </row>
    <row r="20945" spans="1:4" hidden="1" x14ac:dyDescent="0.3">
      <c r="A20945" t="s">
        <v>1125</v>
      </c>
      <c r="B20945" t="s">
        <v>67</v>
      </c>
      <c r="C20945" s="1">
        <f>HYPERLINK("https://cao.dolgi.msk.ru/account/1011373384/", 1011373384)</f>
        <v>1011373384</v>
      </c>
      <c r="D20945">
        <v>0</v>
      </c>
    </row>
    <row r="20946" spans="1:4" hidden="1" x14ac:dyDescent="0.3">
      <c r="A20946" t="s">
        <v>1125</v>
      </c>
      <c r="B20946" t="s">
        <v>68</v>
      </c>
      <c r="C20946" s="1">
        <f>HYPERLINK("https://cao.dolgi.msk.ru/account/1011373886/", 1011373886)</f>
        <v>1011373886</v>
      </c>
      <c r="D20946">
        <v>0</v>
      </c>
    </row>
    <row r="20947" spans="1:4" hidden="1" x14ac:dyDescent="0.3">
      <c r="A20947" t="s">
        <v>1125</v>
      </c>
      <c r="B20947" t="s">
        <v>69</v>
      </c>
      <c r="C20947" s="1">
        <f>HYPERLINK("https://cao.dolgi.msk.ru/account/1011373755/", 1011373755)</f>
        <v>1011373755</v>
      </c>
      <c r="D20947">
        <v>0</v>
      </c>
    </row>
    <row r="20948" spans="1:4" hidden="1" x14ac:dyDescent="0.3">
      <c r="A20948" t="s">
        <v>1125</v>
      </c>
      <c r="B20948" t="s">
        <v>70</v>
      </c>
      <c r="C20948" s="1">
        <f>HYPERLINK("https://cao.dolgi.msk.ru/account/1011373093/", 1011373093)</f>
        <v>1011373093</v>
      </c>
      <c r="D20948">
        <v>-4757.45</v>
      </c>
    </row>
    <row r="20949" spans="1:4" hidden="1" x14ac:dyDescent="0.3">
      <c r="A20949" t="s">
        <v>1125</v>
      </c>
      <c r="B20949" t="s">
        <v>259</v>
      </c>
      <c r="C20949" s="1">
        <f>HYPERLINK("https://cao.dolgi.msk.ru/account/1011374096/", 1011374096)</f>
        <v>1011374096</v>
      </c>
      <c r="D20949">
        <v>-4576.5200000000004</v>
      </c>
    </row>
    <row r="20950" spans="1:4" hidden="1" x14ac:dyDescent="0.3">
      <c r="A20950" t="s">
        <v>1125</v>
      </c>
      <c r="B20950" t="s">
        <v>100</v>
      </c>
      <c r="C20950" s="1">
        <f>HYPERLINK("https://cao.dolgi.msk.ru/account/1011374109/", 1011374109)</f>
        <v>1011374109</v>
      </c>
      <c r="D20950">
        <v>0</v>
      </c>
    </row>
    <row r="20951" spans="1:4" x14ac:dyDescent="0.3">
      <c r="A20951" t="s">
        <v>1125</v>
      </c>
      <c r="B20951" t="s">
        <v>72</v>
      </c>
      <c r="C20951" s="1">
        <f>HYPERLINK("https://cao.dolgi.msk.ru/account/1011374133/", 1011374133)</f>
        <v>1011374133</v>
      </c>
      <c r="D20951">
        <v>14433.95</v>
      </c>
    </row>
    <row r="20952" spans="1:4" hidden="1" x14ac:dyDescent="0.3">
      <c r="A20952" t="s">
        <v>1125</v>
      </c>
      <c r="B20952" t="s">
        <v>73</v>
      </c>
      <c r="C20952" s="1">
        <f>HYPERLINK("https://cao.dolgi.msk.ru/account/1011374037/", 1011374037)</f>
        <v>1011374037</v>
      </c>
      <c r="D20952">
        <v>-5828.74</v>
      </c>
    </row>
    <row r="20953" spans="1:4" hidden="1" x14ac:dyDescent="0.3">
      <c r="A20953" t="s">
        <v>1125</v>
      </c>
      <c r="B20953" t="s">
        <v>74</v>
      </c>
      <c r="C20953" s="1">
        <f>HYPERLINK("https://cao.dolgi.msk.ru/account/1011373982/", 1011373982)</f>
        <v>1011373982</v>
      </c>
      <c r="D20953">
        <v>0</v>
      </c>
    </row>
    <row r="20954" spans="1:4" hidden="1" x14ac:dyDescent="0.3">
      <c r="A20954" t="s">
        <v>1125</v>
      </c>
      <c r="B20954" t="s">
        <v>75</v>
      </c>
      <c r="C20954" s="1">
        <f>HYPERLINK("https://cao.dolgi.msk.ru/account/1011374256/", 1011374256)</f>
        <v>1011374256</v>
      </c>
      <c r="D20954">
        <v>0</v>
      </c>
    </row>
    <row r="20955" spans="1:4" hidden="1" x14ac:dyDescent="0.3">
      <c r="A20955" t="s">
        <v>1125</v>
      </c>
      <c r="B20955" t="s">
        <v>76</v>
      </c>
      <c r="C20955" s="1">
        <f>HYPERLINK("https://cao.dolgi.msk.ru/account/1011373835/", 1011373835)</f>
        <v>1011373835</v>
      </c>
      <c r="D20955">
        <v>0</v>
      </c>
    </row>
    <row r="20956" spans="1:4" hidden="1" x14ac:dyDescent="0.3">
      <c r="A20956" t="s">
        <v>1125</v>
      </c>
      <c r="B20956" t="s">
        <v>77</v>
      </c>
      <c r="C20956" s="1">
        <f>HYPERLINK("https://cao.dolgi.msk.ru/account/1011373974/", 1011373974)</f>
        <v>1011373974</v>
      </c>
      <c r="D20956">
        <v>0</v>
      </c>
    </row>
    <row r="20957" spans="1:4" hidden="1" x14ac:dyDescent="0.3">
      <c r="A20957" t="s">
        <v>1125</v>
      </c>
      <c r="B20957" t="s">
        <v>78</v>
      </c>
      <c r="C20957" s="1">
        <f>HYPERLINK("https://cao.dolgi.msk.ru/account/1011373579/", 1011373579)</f>
        <v>1011373579</v>
      </c>
      <c r="D20957">
        <v>0</v>
      </c>
    </row>
    <row r="20958" spans="1:4" hidden="1" x14ac:dyDescent="0.3">
      <c r="A20958" t="s">
        <v>1125</v>
      </c>
      <c r="B20958" t="s">
        <v>79</v>
      </c>
      <c r="C20958" s="1">
        <f>HYPERLINK("https://cao.dolgi.msk.ru/account/1011373122/", 1011373122)</f>
        <v>1011373122</v>
      </c>
      <c r="D20958">
        <v>-1996.72</v>
      </c>
    </row>
    <row r="20959" spans="1:4" hidden="1" x14ac:dyDescent="0.3">
      <c r="A20959" t="s">
        <v>1125</v>
      </c>
      <c r="B20959" t="s">
        <v>79</v>
      </c>
      <c r="C20959" s="1">
        <f>HYPERLINK("https://cao.dolgi.msk.ru/account/1011373624/", 1011373624)</f>
        <v>1011373624</v>
      </c>
      <c r="D20959">
        <v>-3650.77</v>
      </c>
    </row>
    <row r="20960" spans="1:4" hidden="1" x14ac:dyDescent="0.3">
      <c r="A20960" t="s">
        <v>1125</v>
      </c>
      <c r="B20960" t="s">
        <v>80</v>
      </c>
      <c r="C20960" s="1">
        <f>HYPERLINK("https://cao.dolgi.msk.ru/account/1011373739/", 1011373739)</f>
        <v>1011373739</v>
      </c>
      <c r="D20960">
        <v>0</v>
      </c>
    </row>
    <row r="20961" spans="1:4" hidden="1" x14ac:dyDescent="0.3">
      <c r="A20961" t="s">
        <v>1125</v>
      </c>
      <c r="B20961" t="s">
        <v>81</v>
      </c>
      <c r="C20961" s="1">
        <f>HYPERLINK("https://cao.dolgi.msk.ru/account/1011373683/", 1011373683)</f>
        <v>1011373683</v>
      </c>
      <c r="D20961">
        <v>-421.16</v>
      </c>
    </row>
    <row r="20962" spans="1:4" hidden="1" x14ac:dyDescent="0.3">
      <c r="A20962" t="s">
        <v>1125</v>
      </c>
      <c r="B20962" t="s">
        <v>101</v>
      </c>
      <c r="C20962" s="1">
        <f>HYPERLINK("https://cao.dolgi.msk.ru/account/1011373173/", 1011373173)</f>
        <v>1011373173</v>
      </c>
      <c r="D20962">
        <v>-4661.13</v>
      </c>
    </row>
    <row r="20963" spans="1:4" hidden="1" x14ac:dyDescent="0.3">
      <c r="A20963" t="s">
        <v>1125</v>
      </c>
      <c r="B20963" t="s">
        <v>82</v>
      </c>
      <c r="C20963" s="1">
        <f>HYPERLINK("https://cao.dolgi.msk.ru/account/1011373341/", 1011373341)</f>
        <v>1011373341</v>
      </c>
      <c r="D20963">
        <v>0</v>
      </c>
    </row>
    <row r="20964" spans="1:4" hidden="1" x14ac:dyDescent="0.3">
      <c r="A20964" t="s">
        <v>1125</v>
      </c>
      <c r="B20964" t="s">
        <v>83</v>
      </c>
      <c r="C20964" s="1">
        <f>HYPERLINK("https://cao.dolgi.msk.ru/account/1011374061/", 1011374061)</f>
        <v>1011374061</v>
      </c>
      <c r="D20964">
        <v>0</v>
      </c>
    </row>
    <row r="20965" spans="1:4" hidden="1" x14ac:dyDescent="0.3">
      <c r="A20965" t="s">
        <v>1125</v>
      </c>
      <c r="B20965" t="s">
        <v>84</v>
      </c>
      <c r="C20965" s="1">
        <f>HYPERLINK("https://cao.dolgi.msk.ru/account/1011373931/", 1011373931)</f>
        <v>1011373931</v>
      </c>
      <c r="D20965">
        <v>-7095.43</v>
      </c>
    </row>
    <row r="20966" spans="1:4" hidden="1" x14ac:dyDescent="0.3">
      <c r="A20966" t="s">
        <v>1125</v>
      </c>
      <c r="B20966" t="s">
        <v>85</v>
      </c>
      <c r="C20966" s="1">
        <f>HYPERLINK("https://cao.dolgi.msk.ru/account/1011373464/", 1011373464)</f>
        <v>1011373464</v>
      </c>
      <c r="D20966">
        <v>-31461.64</v>
      </c>
    </row>
    <row r="20967" spans="1:4" hidden="1" x14ac:dyDescent="0.3">
      <c r="A20967" t="s">
        <v>1125</v>
      </c>
      <c r="B20967" t="s">
        <v>102</v>
      </c>
      <c r="C20967" s="1">
        <f>HYPERLINK("https://cao.dolgi.msk.ru/account/1011373106/", 1011373106)</f>
        <v>1011373106</v>
      </c>
      <c r="D20967">
        <v>-488.31</v>
      </c>
    </row>
    <row r="20968" spans="1:4" hidden="1" x14ac:dyDescent="0.3">
      <c r="A20968" t="s">
        <v>1125</v>
      </c>
      <c r="B20968" t="s">
        <v>103</v>
      </c>
      <c r="C20968" s="1">
        <f>HYPERLINK("https://cao.dolgi.msk.ru/account/1011374205/", 1011374205)</f>
        <v>1011374205</v>
      </c>
      <c r="D20968">
        <v>0</v>
      </c>
    </row>
    <row r="20969" spans="1:4" x14ac:dyDescent="0.3">
      <c r="A20969" t="s">
        <v>1125</v>
      </c>
      <c r="B20969" t="s">
        <v>104</v>
      </c>
      <c r="C20969" s="1">
        <f>HYPERLINK("https://cao.dolgi.msk.ru/account/1011373472/", 1011373472)</f>
        <v>1011373472</v>
      </c>
      <c r="D20969">
        <v>5035.4799999999996</v>
      </c>
    </row>
    <row r="20970" spans="1:4" hidden="1" x14ac:dyDescent="0.3">
      <c r="A20970" t="s">
        <v>1125</v>
      </c>
      <c r="B20970" t="s">
        <v>105</v>
      </c>
      <c r="C20970" s="1">
        <f>HYPERLINK("https://cao.dolgi.msk.ru/account/1011374176/", 1011374176)</f>
        <v>1011374176</v>
      </c>
      <c r="D20970">
        <v>-4983.34</v>
      </c>
    </row>
    <row r="20971" spans="1:4" x14ac:dyDescent="0.3">
      <c r="A20971" t="s">
        <v>1125</v>
      </c>
      <c r="B20971" t="s">
        <v>106</v>
      </c>
      <c r="C20971" s="1">
        <f>HYPERLINK("https://cao.dolgi.msk.ru/account/1011374184/", 1011374184)</f>
        <v>1011374184</v>
      </c>
      <c r="D20971">
        <v>76797.570000000007</v>
      </c>
    </row>
    <row r="20972" spans="1:4" hidden="1" x14ac:dyDescent="0.3">
      <c r="A20972" t="s">
        <v>1125</v>
      </c>
      <c r="B20972" t="s">
        <v>107</v>
      </c>
      <c r="C20972" s="1">
        <f>HYPERLINK("https://cao.dolgi.msk.ru/account/1011373448/", 1011373448)</f>
        <v>1011373448</v>
      </c>
      <c r="D20972">
        <v>0</v>
      </c>
    </row>
    <row r="20973" spans="1:4" hidden="1" x14ac:dyDescent="0.3">
      <c r="A20973" t="s">
        <v>1125</v>
      </c>
      <c r="B20973" t="s">
        <v>108</v>
      </c>
      <c r="C20973" s="1">
        <f>HYPERLINK("https://cao.dolgi.msk.ru/account/1011373966/", 1011373966)</f>
        <v>1011373966</v>
      </c>
      <c r="D20973">
        <v>0</v>
      </c>
    </row>
    <row r="20974" spans="1:4" hidden="1" x14ac:dyDescent="0.3">
      <c r="A20974" t="s">
        <v>1125</v>
      </c>
      <c r="B20974" t="s">
        <v>109</v>
      </c>
      <c r="C20974" s="1">
        <f>HYPERLINK("https://cao.dolgi.msk.ru/account/1011373114/", 1011373114)</f>
        <v>1011373114</v>
      </c>
      <c r="D20974">
        <v>0</v>
      </c>
    </row>
    <row r="20975" spans="1:4" x14ac:dyDescent="0.3">
      <c r="A20975" t="s">
        <v>1125</v>
      </c>
      <c r="B20975" t="s">
        <v>110</v>
      </c>
      <c r="C20975" s="1">
        <f>HYPERLINK("https://cao.dolgi.msk.ru/account/1011373229/", 1011373229)</f>
        <v>1011373229</v>
      </c>
      <c r="D20975">
        <v>4464.04</v>
      </c>
    </row>
    <row r="20976" spans="1:4" hidden="1" x14ac:dyDescent="0.3">
      <c r="A20976" t="s">
        <v>1125</v>
      </c>
      <c r="B20976" t="s">
        <v>111</v>
      </c>
      <c r="C20976" s="1">
        <f>HYPERLINK("https://cao.dolgi.msk.ru/account/1011373587/", 1011373587)</f>
        <v>1011373587</v>
      </c>
      <c r="D20976">
        <v>-2232.27</v>
      </c>
    </row>
    <row r="20977" spans="1:4" hidden="1" x14ac:dyDescent="0.3">
      <c r="A20977" t="s">
        <v>1125</v>
      </c>
      <c r="B20977" t="s">
        <v>112</v>
      </c>
      <c r="C20977" s="1">
        <f>HYPERLINK("https://cao.dolgi.msk.ru/account/1011373747/", 1011373747)</f>
        <v>1011373747</v>
      </c>
      <c r="D20977">
        <v>0</v>
      </c>
    </row>
    <row r="20978" spans="1:4" hidden="1" x14ac:dyDescent="0.3">
      <c r="A20978" t="s">
        <v>1125</v>
      </c>
      <c r="B20978" t="s">
        <v>113</v>
      </c>
      <c r="C20978" s="1">
        <f>HYPERLINK("https://cao.dolgi.msk.ru/account/1011373149/", 1011373149)</f>
        <v>1011373149</v>
      </c>
      <c r="D20978">
        <v>-175.29</v>
      </c>
    </row>
    <row r="20979" spans="1:4" x14ac:dyDescent="0.3">
      <c r="A20979" t="s">
        <v>1125</v>
      </c>
      <c r="B20979" t="s">
        <v>114</v>
      </c>
      <c r="C20979" s="1">
        <f>HYPERLINK("https://cao.dolgi.msk.ru/account/1011373157/", 1011373157)</f>
        <v>1011373157</v>
      </c>
      <c r="D20979">
        <v>57.53</v>
      </c>
    </row>
    <row r="20980" spans="1:4" x14ac:dyDescent="0.3">
      <c r="A20980" t="s">
        <v>1125</v>
      </c>
      <c r="B20980" t="s">
        <v>115</v>
      </c>
      <c r="C20980" s="1">
        <f>HYPERLINK("https://cao.dolgi.msk.ru/account/1011373456/", 1011373456)</f>
        <v>1011373456</v>
      </c>
      <c r="D20980">
        <v>5251.23</v>
      </c>
    </row>
    <row r="20981" spans="1:4" hidden="1" x14ac:dyDescent="0.3">
      <c r="A20981" t="s">
        <v>1125</v>
      </c>
      <c r="B20981" t="s">
        <v>116</v>
      </c>
      <c r="C20981" s="1">
        <f>HYPERLINK("https://cao.dolgi.msk.ru/account/1011373042/", 1011373042)</f>
        <v>1011373042</v>
      </c>
      <c r="D20981">
        <v>-1608.24</v>
      </c>
    </row>
    <row r="20982" spans="1:4" hidden="1" x14ac:dyDescent="0.3">
      <c r="A20982" t="s">
        <v>1125</v>
      </c>
      <c r="B20982" t="s">
        <v>116</v>
      </c>
      <c r="C20982" s="1">
        <f>HYPERLINK("https://cao.dolgi.msk.ru/account/1011373771/", 1011373771)</f>
        <v>1011373771</v>
      </c>
      <c r="D20982">
        <v>-233.74</v>
      </c>
    </row>
    <row r="20983" spans="1:4" hidden="1" x14ac:dyDescent="0.3">
      <c r="A20983" t="s">
        <v>1125</v>
      </c>
      <c r="B20983" t="s">
        <v>266</v>
      </c>
      <c r="C20983" s="1">
        <f>HYPERLINK("https://cao.dolgi.msk.ru/account/1011374045/", 1011374045)</f>
        <v>1011374045</v>
      </c>
      <c r="D20983">
        <v>-5892.17</v>
      </c>
    </row>
    <row r="20984" spans="1:4" hidden="1" x14ac:dyDescent="0.3">
      <c r="A20984" t="s">
        <v>1125</v>
      </c>
      <c r="B20984" t="s">
        <v>117</v>
      </c>
      <c r="C20984" s="1">
        <f>HYPERLINK("https://cao.dolgi.msk.ru/account/1011373691/", 1011373691)</f>
        <v>1011373691</v>
      </c>
      <c r="D20984">
        <v>0</v>
      </c>
    </row>
    <row r="20985" spans="1:4" x14ac:dyDescent="0.3">
      <c r="A20985" t="s">
        <v>1125</v>
      </c>
      <c r="B20985" t="s">
        <v>118</v>
      </c>
      <c r="C20985" s="1">
        <f>HYPERLINK("https://cao.dolgi.msk.ru/account/1011373704/", 1011373704)</f>
        <v>1011373704</v>
      </c>
      <c r="D20985">
        <v>15813.33</v>
      </c>
    </row>
    <row r="20986" spans="1:4" hidden="1" x14ac:dyDescent="0.3">
      <c r="A20986" t="s">
        <v>1125</v>
      </c>
      <c r="B20986" t="s">
        <v>119</v>
      </c>
      <c r="C20986" s="1">
        <f>HYPERLINK("https://cao.dolgi.msk.ru/account/1011373077/", 1011373077)</f>
        <v>1011373077</v>
      </c>
      <c r="D20986">
        <v>0</v>
      </c>
    </row>
    <row r="20987" spans="1:4" hidden="1" x14ac:dyDescent="0.3">
      <c r="A20987" t="s">
        <v>1125</v>
      </c>
      <c r="B20987" t="s">
        <v>120</v>
      </c>
      <c r="C20987" s="1">
        <f>HYPERLINK("https://cao.dolgi.msk.ru/account/1011373296/", 1011373296)</f>
        <v>1011373296</v>
      </c>
      <c r="D20987">
        <v>0</v>
      </c>
    </row>
    <row r="20988" spans="1:4" x14ac:dyDescent="0.3">
      <c r="A20988" t="s">
        <v>1125</v>
      </c>
      <c r="B20988" t="s">
        <v>121</v>
      </c>
      <c r="C20988" s="1">
        <f>HYPERLINK("https://cao.dolgi.msk.ru/account/1011373843/", 1011373843)</f>
        <v>1011373843</v>
      </c>
      <c r="D20988">
        <v>7934.22</v>
      </c>
    </row>
    <row r="20989" spans="1:4" hidden="1" x14ac:dyDescent="0.3">
      <c r="A20989" t="s">
        <v>1125</v>
      </c>
      <c r="B20989" t="s">
        <v>122</v>
      </c>
      <c r="C20989" s="1">
        <f>HYPERLINK("https://cao.dolgi.msk.ru/account/1011373894/", 1011373894)</f>
        <v>1011373894</v>
      </c>
      <c r="D20989">
        <v>0</v>
      </c>
    </row>
    <row r="20990" spans="1:4" hidden="1" x14ac:dyDescent="0.3">
      <c r="A20990" t="s">
        <v>1125</v>
      </c>
      <c r="B20990" t="s">
        <v>123</v>
      </c>
      <c r="C20990" s="1">
        <f>HYPERLINK("https://cao.dolgi.msk.ru/account/1011373069/", 1011373069)</f>
        <v>1011373069</v>
      </c>
      <c r="D20990">
        <v>0</v>
      </c>
    </row>
    <row r="20991" spans="1:4" hidden="1" x14ac:dyDescent="0.3">
      <c r="A20991" t="s">
        <v>1125</v>
      </c>
      <c r="B20991" t="s">
        <v>124</v>
      </c>
      <c r="C20991" s="1">
        <f>HYPERLINK("https://cao.dolgi.msk.ru/account/1011373317/", 1011373317)</f>
        <v>1011373317</v>
      </c>
      <c r="D20991">
        <v>0</v>
      </c>
    </row>
    <row r="20992" spans="1:4" hidden="1" x14ac:dyDescent="0.3">
      <c r="A20992" t="s">
        <v>1125</v>
      </c>
      <c r="B20992" t="s">
        <v>124</v>
      </c>
      <c r="C20992" s="1">
        <f>HYPERLINK("https://cao.dolgi.msk.ru/account/1011373632/", 1011373632)</f>
        <v>1011373632</v>
      </c>
      <c r="D20992">
        <v>-11059.35</v>
      </c>
    </row>
    <row r="20993" spans="1:4" hidden="1" x14ac:dyDescent="0.3">
      <c r="A20993" t="s">
        <v>1125</v>
      </c>
      <c r="B20993" t="s">
        <v>125</v>
      </c>
      <c r="C20993" s="1">
        <f>HYPERLINK("https://cao.dolgi.msk.ru/account/1011373763/", 1011373763)</f>
        <v>1011373763</v>
      </c>
      <c r="D20993">
        <v>0</v>
      </c>
    </row>
    <row r="20994" spans="1:4" hidden="1" x14ac:dyDescent="0.3">
      <c r="A20994" t="s">
        <v>1126</v>
      </c>
      <c r="B20994" t="s">
        <v>6</v>
      </c>
      <c r="C20994" s="1">
        <f>HYPERLINK("https://cao.dolgi.msk.ru/account/1011358109/", 1011358109)</f>
        <v>1011358109</v>
      </c>
      <c r="D20994">
        <v>-5317.07</v>
      </c>
    </row>
    <row r="20995" spans="1:4" hidden="1" x14ac:dyDescent="0.3">
      <c r="A20995" t="s">
        <v>1126</v>
      </c>
      <c r="B20995" t="s">
        <v>28</v>
      </c>
      <c r="C20995" s="1">
        <f>HYPERLINK("https://cao.dolgi.msk.ru/account/1011357114/", 1011357114)</f>
        <v>1011357114</v>
      </c>
      <c r="D20995">
        <v>-1515.46</v>
      </c>
    </row>
    <row r="20996" spans="1:4" hidden="1" x14ac:dyDescent="0.3">
      <c r="A20996" t="s">
        <v>1126</v>
      </c>
      <c r="B20996" t="s">
        <v>28</v>
      </c>
      <c r="C20996" s="1">
        <f>HYPERLINK("https://cao.dolgi.msk.ru/account/1011357288/", 1011357288)</f>
        <v>1011357288</v>
      </c>
      <c r="D20996">
        <v>-2719.09</v>
      </c>
    </row>
    <row r="20997" spans="1:4" hidden="1" x14ac:dyDescent="0.3">
      <c r="A20997" t="s">
        <v>1126</v>
      </c>
      <c r="B20997" t="s">
        <v>35</v>
      </c>
      <c r="C20997" s="1">
        <f>HYPERLINK("https://cao.dolgi.msk.ru/account/1011357771/", 1011357771)</f>
        <v>1011357771</v>
      </c>
      <c r="D20997">
        <v>-4991.7299999999996</v>
      </c>
    </row>
    <row r="20998" spans="1:4" hidden="1" x14ac:dyDescent="0.3">
      <c r="A20998" t="s">
        <v>1126</v>
      </c>
      <c r="B20998" t="s">
        <v>5</v>
      </c>
      <c r="C20998" s="1">
        <f>HYPERLINK("https://cao.dolgi.msk.ru/account/1011357106/", 1011357106)</f>
        <v>1011357106</v>
      </c>
      <c r="D20998">
        <v>0</v>
      </c>
    </row>
    <row r="20999" spans="1:4" x14ac:dyDescent="0.3">
      <c r="A20999" t="s">
        <v>1126</v>
      </c>
      <c r="B20999" t="s">
        <v>7</v>
      </c>
      <c r="C20999" s="1">
        <f>HYPERLINK("https://cao.dolgi.msk.ru/account/1011358002/", 1011358002)</f>
        <v>1011358002</v>
      </c>
      <c r="D20999">
        <v>891.37</v>
      </c>
    </row>
    <row r="21000" spans="1:4" hidden="1" x14ac:dyDescent="0.3">
      <c r="A21000" t="s">
        <v>1126</v>
      </c>
      <c r="B21000" t="s">
        <v>8</v>
      </c>
      <c r="C21000" s="1">
        <f>HYPERLINK("https://cao.dolgi.msk.ru/account/1011357624/", 1011357624)</f>
        <v>1011357624</v>
      </c>
      <c r="D21000">
        <v>0</v>
      </c>
    </row>
    <row r="21001" spans="1:4" hidden="1" x14ac:dyDescent="0.3">
      <c r="A21001" t="s">
        <v>1126</v>
      </c>
      <c r="B21001" t="s">
        <v>31</v>
      </c>
      <c r="C21001" s="1">
        <f>HYPERLINK("https://cao.dolgi.msk.ru/account/1011357464/", 1011357464)</f>
        <v>1011357464</v>
      </c>
      <c r="D21001">
        <v>0</v>
      </c>
    </row>
    <row r="21002" spans="1:4" hidden="1" x14ac:dyDescent="0.3">
      <c r="A21002" t="s">
        <v>1126</v>
      </c>
      <c r="B21002" t="s">
        <v>9</v>
      </c>
      <c r="C21002" s="1">
        <f>HYPERLINK("https://cao.dolgi.msk.ru/account/1011357552/", 1011357552)</f>
        <v>1011357552</v>
      </c>
      <c r="D21002">
        <v>0</v>
      </c>
    </row>
    <row r="21003" spans="1:4" hidden="1" x14ac:dyDescent="0.3">
      <c r="A21003" t="s">
        <v>1126</v>
      </c>
      <c r="B21003" t="s">
        <v>10</v>
      </c>
      <c r="C21003" s="1">
        <f>HYPERLINK("https://cao.dolgi.msk.ru/account/1011357325/", 1011357325)</f>
        <v>1011357325</v>
      </c>
      <c r="D21003">
        <v>0</v>
      </c>
    </row>
    <row r="21004" spans="1:4" x14ac:dyDescent="0.3">
      <c r="A21004" t="s">
        <v>1126</v>
      </c>
      <c r="B21004" t="s">
        <v>11</v>
      </c>
      <c r="C21004" s="1">
        <f>HYPERLINK("https://cao.dolgi.msk.ru/account/1011357819/", 1011357819)</f>
        <v>1011357819</v>
      </c>
      <c r="D21004">
        <v>18593.09</v>
      </c>
    </row>
    <row r="21005" spans="1:4" hidden="1" x14ac:dyDescent="0.3">
      <c r="A21005" t="s">
        <v>1126</v>
      </c>
      <c r="B21005" t="s">
        <v>12</v>
      </c>
      <c r="C21005" s="1">
        <f>HYPERLINK("https://cao.dolgi.msk.ru/account/1011357421/", 1011357421)</f>
        <v>1011357421</v>
      </c>
      <c r="D21005">
        <v>0</v>
      </c>
    </row>
    <row r="21006" spans="1:4" hidden="1" x14ac:dyDescent="0.3">
      <c r="A21006" t="s">
        <v>1126</v>
      </c>
      <c r="B21006" t="s">
        <v>23</v>
      </c>
      <c r="C21006" s="1">
        <f>HYPERLINK("https://cao.dolgi.msk.ru/account/1011357923/", 1011357923)</f>
        <v>1011357923</v>
      </c>
      <c r="D21006">
        <v>-6119.58</v>
      </c>
    </row>
    <row r="21007" spans="1:4" x14ac:dyDescent="0.3">
      <c r="A21007" t="s">
        <v>1126</v>
      </c>
      <c r="B21007" t="s">
        <v>13</v>
      </c>
      <c r="C21007" s="1">
        <f>HYPERLINK("https://cao.dolgi.msk.ru/account/1011357763/", 1011357763)</f>
        <v>1011357763</v>
      </c>
      <c r="D21007">
        <v>40112.57</v>
      </c>
    </row>
    <row r="21008" spans="1:4" x14ac:dyDescent="0.3">
      <c r="A21008" t="s">
        <v>1126</v>
      </c>
      <c r="B21008" t="s">
        <v>14</v>
      </c>
      <c r="C21008" s="1">
        <f>HYPERLINK("https://cao.dolgi.msk.ru/account/1011357026/", 1011357026)</f>
        <v>1011357026</v>
      </c>
      <c r="D21008">
        <v>9907.9699999999993</v>
      </c>
    </row>
    <row r="21009" spans="1:4" hidden="1" x14ac:dyDescent="0.3">
      <c r="A21009" t="s">
        <v>1126</v>
      </c>
      <c r="B21009" t="s">
        <v>16</v>
      </c>
      <c r="C21009" s="1">
        <f>HYPERLINK("https://cao.dolgi.msk.ru/account/1011357835/", 1011357835)</f>
        <v>1011357835</v>
      </c>
      <c r="D21009">
        <v>0</v>
      </c>
    </row>
    <row r="21010" spans="1:4" x14ac:dyDescent="0.3">
      <c r="A21010" t="s">
        <v>1126</v>
      </c>
      <c r="B21010" t="s">
        <v>17</v>
      </c>
      <c r="C21010" s="1">
        <f>HYPERLINK("https://cao.dolgi.msk.ru/account/1011357501/", 1011357501)</f>
        <v>1011357501</v>
      </c>
      <c r="D21010">
        <v>27774.33</v>
      </c>
    </row>
    <row r="21011" spans="1:4" x14ac:dyDescent="0.3">
      <c r="A21011" t="s">
        <v>1126</v>
      </c>
      <c r="B21011" t="s">
        <v>18</v>
      </c>
      <c r="C21011" s="1">
        <f>HYPERLINK("https://cao.dolgi.msk.ru/account/1011358176/", 1011358176)</f>
        <v>1011358176</v>
      </c>
      <c r="D21011">
        <v>15123.22</v>
      </c>
    </row>
    <row r="21012" spans="1:4" hidden="1" x14ac:dyDescent="0.3">
      <c r="A21012" t="s">
        <v>1126</v>
      </c>
      <c r="B21012" t="s">
        <v>19</v>
      </c>
      <c r="C21012" s="1">
        <f>HYPERLINK("https://cao.dolgi.msk.ru/account/1011357851/", 1011357851)</f>
        <v>1011357851</v>
      </c>
      <c r="D21012">
        <v>-8907.4</v>
      </c>
    </row>
    <row r="21013" spans="1:4" x14ac:dyDescent="0.3">
      <c r="A21013" t="s">
        <v>1126</v>
      </c>
      <c r="B21013" t="s">
        <v>20</v>
      </c>
      <c r="C21013" s="1">
        <f>HYPERLINK("https://cao.dolgi.msk.ru/account/1011357683/", 1011357683)</f>
        <v>1011357683</v>
      </c>
      <c r="D21013">
        <v>3696.2</v>
      </c>
    </row>
    <row r="21014" spans="1:4" hidden="1" x14ac:dyDescent="0.3">
      <c r="A21014" t="s">
        <v>1126</v>
      </c>
      <c r="B21014" t="s">
        <v>21</v>
      </c>
      <c r="C21014" s="1">
        <f>HYPERLINK("https://cao.dolgi.msk.ru/account/1011358125/", 1011358125)</f>
        <v>1011358125</v>
      </c>
      <c r="D21014">
        <v>0</v>
      </c>
    </row>
    <row r="21015" spans="1:4" hidden="1" x14ac:dyDescent="0.3">
      <c r="A21015" t="s">
        <v>1126</v>
      </c>
      <c r="B21015" t="s">
        <v>22</v>
      </c>
      <c r="C21015" s="1">
        <f>HYPERLINK("https://cao.dolgi.msk.ru/account/1011358272/", 1011358272)</f>
        <v>1011358272</v>
      </c>
      <c r="D21015">
        <v>0</v>
      </c>
    </row>
    <row r="21016" spans="1:4" hidden="1" x14ac:dyDescent="0.3">
      <c r="A21016" t="s">
        <v>1126</v>
      </c>
      <c r="B21016" t="s">
        <v>24</v>
      </c>
      <c r="C21016" s="1">
        <f>HYPERLINK("https://cao.dolgi.msk.ru/account/1011357907/", 1011357907)</f>
        <v>1011357907</v>
      </c>
      <c r="D21016">
        <v>0</v>
      </c>
    </row>
    <row r="21017" spans="1:4" x14ac:dyDescent="0.3">
      <c r="A21017" t="s">
        <v>1126</v>
      </c>
      <c r="B21017" t="s">
        <v>25</v>
      </c>
      <c r="C21017" s="1">
        <f>HYPERLINK("https://cao.dolgi.msk.ru/account/1011357157/", 1011357157)</f>
        <v>1011357157</v>
      </c>
      <c r="D21017">
        <v>9885.93</v>
      </c>
    </row>
    <row r="21018" spans="1:4" hidden="1" x14ac:dyDescent="0.3">
      <c r="A21018" t="s">
        <v>1126</v>
      </c>
      <c r="B21018" t="s">
        <v>26</v>
      </c>
      <c r="C21018" s="1">
        <f>HYPERLINK("https://cao.dolgi.msk.ru/account/1011357202/", 1011357202)</f>
        <v>1011357202</v>
      </c>
      <c r="D21018">
        <v>0</v>
      </c>
    </row>
    <row r="21019" spans="1:4" hidden="1" x14ac:dyDescent="0.3">
      <c r="A21019" t="s">
        <v>1126</v>
      </c>
      <c r="B21019" t="s">
        <v>27</v>
      </c>
      <c r="C21019" s="1">
        <f>HYPERLINK("https://cao.dolgi.msk.ru/account/1011357296/", 1011357296)</f>
        <v>1011357296</v>
      </c>
      <c r="D21019">
        <v>0</v>
      </c>
    </row>
    <row r="21020" spans="1:4" hidden="1" x14ac:dyDescent="0.3">
      <c r="A21020" t="s">
        <v>1126</v>
      </c>
      <c r="B21020" t="s">
        <v>29</v>
      </c>
      <c r="C21020" s="1">
        <f>HYPERLINK("https://cao.dolgi.msk.ru/account/1011357587/", 1011357587)</f>
        <v>1011357587</v>
      </c>
      <c r="D21020">
        <v>0</v>
      </c>
    </row>
    <row r="21021" spans="1:4" hidden="1" x14ac:dyDescent="0.3">
      <c r="A21021" t="s">
        <v>1126</v>
      </c>
      <c r="B21021" t="s">
        <v>38</v>
      </c>
      <c r="C21021" s="1">
        <f>HYPERLINK("https://cao.dolgi.msk.ru/account/1011358061/", 1011358061)</f>
        <v>1011358061</v>
      </c>
      <c r="D21021">
        <v>-3935.22</v>
      </c>
    </row>
    <row r="21022" spans="1:4" hidden="1" x14ac:dyDescent="0.3">
      <c r="A21022" t="s">
        <v>1126</v>
      </c>
      <c r="B21022" t="s">
        <v>39</v>
      </c>
      <c r="C21022" s="1">
        <f>HYPERLINK("https://cao.dolgi.msk.ru/account/1011358053/", 1011358053)</f>
        <v>1011358053</v>
      </c>
      <c r="D21022">
        <v>0</v>
      </c>
    </row>
    <row r="21023" spans="1:4" hidden="1" x14ac:dyDescent="0.3">
      <c r="A21023" t="s">
        <v>1126</v>
      </c>
      <c r="B21023" t="s">
        <v>40</v>
      </c>
      <c r="C21023" s="1">
        <f>HYPERLINK("https://cao.dolgi.msk.ru/account/1011356939/", 1011356939)</f>
        <v>1011356939</v>
      </c>
      <c r="D21023">
        <v>-6162.69</v>
      </c>
    </row>
    <row r="21024" spans="1:4" hidden="1" x14ac:dyDescent="0.3">
      <c r="A21024" t="s">
        <v>1126</v>
      </c>
      <c r="B21024" t="s">
        <v>41</v>
      </c>
      <c r="C21024" s="1">
        <f>HYPERLINK("https://cao.dolgi.msk.ru/account/1011357843/", 1011357843)</f>
        <v>1011357843</v>
      </c>
      <c r="D21024">
        <v>0</v>
      </c>
    </row>
    <row r="21025" spans="1:4" hidden="1" x14ac:dyDescent="0.3">
      <c r="A21025" t="s">
        <v>1126</v>
      </c>
      <c r="B21025" t="s">
        <v>51</v>
      </c>
      <c r="C21025" s="1">
        <f>HYPERLINK("https://cao.dolgi.msk.ru/account/1011357229/", 1011357229)</f>
        <v>1011357229</v>
      </c>
      <c r="D21025">
        <v>-7430.65</v>
      </c>
    </row>
    <row r="21026" spans="1:4" hidden="1" x14ac:dyDescent="0.3">
      <c r="A21026" t="s">
        <v>1126</v>
      </c>
      <c r="B21026" t="s">
        <v>52</v>
      </c>
      <c r="C21026" s="1">
        <f>HYPERLINK("https://cao.dolgi.msk.ru/account/1011357069/", 1011357069)</f>
        <v>1011357069</v>
      </c>
      <c r="D21026">
        <v>0</v>
      </c>
    </row>
    <row r="21027" spans="1:4" hidden="1" x14ac:dyDescent="0.3">
      <c r="A21027" t="s">
        <v>1126</v>
      </c>
      <c r="B21027" t="s">
        <v>53</v>
      </c>
      <c r="C21027" s="1">
        <f>HYPERLINK("https://cao.dolgi.msk.ru/account/1011357018/", 1011357018)</f>
        <v>1011357018</v>
      </c>
      <c r="D21027">
        <v>0</v>
      </c>
    </row>
    <row r="21028" spans="1:4" hidden="1" x14ac:dyDescent="0.3">
      <c r="A21028" t="s">
        <v>1126</v>
      </c>
      <c r="B21028" t="s">
        <v>54</v>
      </c>
      <c r="C21028" s="1">
        <f>HYPERLINK("https://cao.dolgi.msk.ru/account/1011357384/", 1011357384)</f>
        <v>1011357384</v>
      </c>
      <c r="D21028">
        <v>0</v>
      </c>
    </row>
    <row r="21029" spans="1:4" hidden="1" x14ac:dyDescent="0.3">
      <c r="A21029" t="s">
        <v>1126</v>
      </c>
      <c r="B21029" t="s">
        <v>55</v>
      </c>
      <c r="C21029" s="1">
        <f>HYPERLINK("https://cao.dolgi.msk.ru/account/1011356955/", 1011356955)</f>
        <v>1011356955</v>
      </c>
      <c r="D21029">
        <v>-118.95</v>
      </c>
    </row>
    <row r="21030" spans="1:4" x14ac:dyDescent="0.3">
      <c r="A21030" t="s">
        <v>1126</v>
      </c>
      <c r="B21030" t="s">
        <v>56</v>
      </c>
      <c r="C21030" s="1">
        <f>HYPERLINK("https://cao.dolgi.msk.ru/account/1011357309/", 1011357309)</f>
        <v>1011357309</v>
      </c>
      <c r="D21030">
        <v>49.93</v>
      </c>
    </row>
    <row r="21031" spans="1:4" hidden="1" x14ac:dyDescent="0.3">
      <c r="A21031" t="s">
        <v>1126</v>
      </c>
      <c r="B21031" t="s">
        <v>87</v>
      </c>
      <c r="C21031" s="1">
        <f>HYPERLINK("https://cao.dolgi.msk.ru/account/1011357392/", 1011357392)</f>
        <v>1011357392</v>
      </c>
      <c r="D21031">
        <v>-7371.42</v>
      </c>
    </row>
    <row r="21032" spans="1:4" hidden="1" x14ac:dyDescent="0.3">
      <c r="A21032" t="s">
        <v>1126</v>
      </c>
      <c r="B21032" t="s">
        <v>88</v>
      </c>
      <c r="C21032" s="1">
        <f>HYPERLINK("https://cao.dolgi.msk.ru/account/1011358133/", 1011358133)</f>
        <v>1011358133</v>
      </c>
      <c r="D21032">
        <v>0</v>
      </c>
    </row>
    <row r="21033" spans="1:4" hidden="1" x14ac:dyDescent="0.3">
      <c r="A21033" t="s">
        <v>1126</v>
      </c>
      <c r="B21033" t="s">
        <v>89</v>
      </c>
      <c r="C21033" s="1">
        <f>HYPERLINK("https://cao.dolgi.msk.ru/account/1011357931/", 1011357931)</f>
        <v>1011357931</v>
      </c>
      <c r="D21033">
        <v>-18781.86</v>
      </c>
    </row>
    <row r="21034" spans="1:4" hidden="1" x14ac:dyDescent="0.3">
      <c r="A21034" t="s">
        <v>1126</v>
      </c>
      <c r="B21034" t="s">
        <v>90</v>
      </c>
      <c r="C21034" s="1">
        <f>HYPERLINK("https://cao.dolgi.msk.ru/account/1011357632/", 1011357632)</f>
        <v>1011357632</v>
      </c>
      <c r="D21034">
        <v>0</v>
      </c>
    </row>
    <row r="21035" spans="1:4" hidden="1" x14ac:dyDescent="0.3">
      <c r="A21035" t="s">
        <v>1126</v>
      </c>
      <c r="B21035" t="s">
        <v>90</v>
      </c>
      <c r="C21035" s="1">
        <f>HYPERLINK("https://cao.dolgi.msk.ru/account/1011357691/", 1011357691)</f>
        <v>1011357691</v>
      </c>
      <c r="D21035">
        <v>-2194.84</v>
      </c>
    </row>
    <row r="21036" spans="1:4" x14ac:dyDescent="0.3">
      <c r="A21036" t="s">
        <v>1126</v>
      </c>
      <c r="B21036" t="s">
        <v>96</v>
      </c>
      <c r="C21036" s="1">
        <f>HYPERLINK("https://cao.dolgi.msk.ru/account/1011357659/", 1011357659)</f>
        <v>1011357659</v>
      </c>
      <c r="D21036">
        <v>5875.62</v>
      </c>
    </row>
    <row r="21037" spans="1:4" x14ac:dyDescent="0.3">
      <c r="A21037" t="s">
        <v>1126</v>
      </c>
      <c r="B21037" t="s">
        <v>97</v>
      </c>
      <c r="C21037" s="1">
        <f>HYPERLINK("https://cao.dolgi.msk.ru/account/1011357798/", 1011357798)</f>
        <v>1011357798</v>
      </c>
      <c r="D21037">
        <v>6585.45</v>
      </c>
    </row>
    <row r="21038" spans="1:4" hidden="1" x14ac:dyDescent="0.3">
      <c r="A21038" t="s">
        <v>1126</v>
      </c>
      <c r="B21038" t="s">
        <v>98</v>
      </c>
      <c r="C21038" s="1">
        <f>HYPERLINK("https://cao.dolgi.msk.ru/account/1011357667/", 1011357667)</f>
        <v>1011357667</v>
      </c>
      <c r="D21038">
        <v>-4466.07</v>
      </c>
    </row>
    <row r="21039" spans="1:4" hidden="1" x14ac:dyDescent="0.3">
      <c r="A21039" t="s">
        <v>1126</v>
      </c>
      <c r="B21039" t="s">
        <v>58</v>
      </c>
      <c r="C21039" s="1">
        <f>HYPERLINK("https://cao.dolgi.msk.ru/account/1011358088/", 1011358088)</f>
        <v>1011358088</v>
      </c>
      <c r="D21039">
        <v>0</v>
      </c>
    </row>
    <row r="21040" spans="1:4" hidden="1" x14ac:dyDescent="0.3">
      <c r="A21040" t="s">
        <v>1126</v>
      </c>
      <c r="B21040" t="s">
        <v>59</v>
      </c>
      <c r="C21040" s="1">
        <f>HYPERLINK("https://cao.dolgi.msk.ru/account/1011357448/", 1011357448)</f>
        <v>1011357448</v>
      </c>
      <c r="D21040">
        <v>-12905.25</v>
      </c>
    </row>
    <row r="21041" spans="1:4" x14ac:dyDescent="0.3">
      <c r="A21041" t="s">
        <v>1126</v>
      </c>
      <c r="B21041" t="s">
        <v>60</v>
      </c>
      <c r="C21041" s="1">
        <f>HYPERLINK("https://cao.dolgi.msk.ru/account/1011357472/", 1011357472)</f>
        <v>1011357472</v>
      </c>
      <c r="D21041">
        <v>115426.27</v>
      </c>
    </row>
    <row r="21042" spans="1:4" hidden="1" x14ac:dyDescent="0.3">
      <c r="A21042" t="s">
        <v>1126</v>
      </c>
      <c r="B21042" t="s">
        <v>61</v>
      </c>
      <c r="C21042" s="1">
        <f>HYPERLINK("https://cao.dolgi.msk.ru/account/1011357085/", 1011357085)</f>
        <v>1011357085</v>
      </c>
      <c r="D21042">
        <v>-324.02999999999997</v>
      </c>
    </row>
    <row r="21043" spans="1:4" x14ac:dyDescent="0.3">
      <c r="A21043" t="s">
        <v>1126</v>
      </c>
      <c r="B21043" t="s">
        <v>62</v>
      </c>
      <c r="C21043" s="1">
        <f>HYPERLINK("https://cao.dolgi.msk.ru/account/1011357739/", 1011357739)</f>
        <v>1011357739</v>
      </c>
      <c r="D21043">
        <v>5608.89</v>
      </c>
    </row>
    <row r="21044" spans="1:4" hidden="1" x14ac:dyDescent="0.3">
      <c r="A21044" t="s">
        <v>1126</v>
      </c>
      <c r="B21044" t="s">
        <v>63</v>
      </c>
      <c r="C21044" s="1">
        <f>HYPERLINK("https://cao.dolgi.msk.ru/account/1011358248/", 1011358248)</f>
        <v>1011358248</v>
      </c>
      <c r="D21044">
        <v>0</v>
      </c>
    </row>
    <row r="21045" spans="1:4" hidden="1" x14ac:dyDescent="0.3">
      <c r="A21045" t="s">
        <v>1126</v>
      </c>
      <c r="B21045" t="s">
        <v>64</v>
      </c>
      <c r="C21045" s="1">
        <f>HYPERLINK("https://cao.dolgi.msk.ru/account/1011356963/", 1011356963)</f>
        <v>1011356963</v>
      </c>
      <c r="D21045">
        <v>-6722.08</v>
      </c>
    </row>
    <row r="21046" spans="1:4" x14ac:dyDescent="0.3">
      <c r="A21046" t="s">
        <v>1126</v>
      </c>
      <c r="B21046" t="s">
        <v>65</v>
      </c>
      <c r="C21046" s="1">
        <f>HYPERLINK("https://cao.dolgi.msk.ru/account/1011357894/", 1011357894)</f>
        <v>1011357894</v>
      </c>
      <c r="D21046">
        <v>11362.82</v>
      </c>
    </row>
    <row r="21047" spans="1:4" hidden="1" x14ac:dyDescent="0.3">
      <c r="A21047" t="s">
        <v>1126</v>
      </c>
      <c r="B21047" t="s">
        <v>66</v>
      </c>
      <c r="C21047" s="1">
        <f>HYPERLINK("https://cao.dolgi.msk.ru/account/1011358205/", 1011358205)</f>
        <v>1011358205</v>
      </c>
      <c r="D21047">
        <v>0</v>
      </c>
    </row>
    <row r="21048" spans="1:4" hidden="1" x14ac:dyDescent="0.3">
      <c r="A21048" t="s">
        <v>1126</v>
      </c>
      <c r="B21048" t="s">
        <v>67</v>
      </c>
      <c r="C21048" s="1">
        <f>HYPERLINK("https://cao.dolgi.msk.ru/account/1011357317/", 1011357317)</f>
        <v>1011357317</v>
      </c>
      <c r="D21048">
        <v>0</v>
      </c>
    </row>
    <row r="21049" spans="1:4" x14ac:dyDescent="0.3">
      <c r="A21049" t="s">
        <v>1126</v>
      </c>
      <c r="B21049" t="s">
        <v>68</v>
      </c>
      <c r="C21049" s="1">
        <f>HYPERLINK("https://cao.dolgi.msk.ru/account/1011358117/", 1011358117)</f>
        <v>1011358117</v>
      </c>
      <c r="D21049">
        <v>3365.36</v>
      </c>
    </row>
    <row r="21050" spans="1:4" x14ac:dyDescent="0.3">
      <c r="A21050" t="s">
        <v>1126</v>
      </c>
      <c r="B21050" t="s">
        <v>69</v>
      </c>
      <c r="C21050" s="1">
        <f>HYPERLINK("https://cao.dolgi.msk.ru/account/1011358037/", 1011358037)</f>
        <v>1011358037</v>
      </c>
      <c r="D21050">
        <v>10943.12</v>
      </c>
    </row>
    <row r="21051" spans="1:4" hidden="1" x14ac:dyDescent="0.3">
      <c r="A21051" t="s">
        <v>1126</v>
      </c>
      <c r="B21051" t="s">
        <v>70</v>
      </c>
      <c r="C21051" s="1">
        <f>HYPERLINK("https://cao.dolgi.msk.ru/account/1011356912/", 1011356912)</f>
        <v>1011356912</v>
      </c>
      <c r="D21051">
        <v>0</v>
      </c>
    </row>
    <row r="21052" spans="1:4" hidden="1" x14ac:dyDescent="0.3">
      <c r="A21052" t="s">
        <v>1126</v>
      </c>
      <c r="B21052" t="s">
        <v>259</v>
      </c>
      <c r="C21052" s="1">
        <f>HYPERLINK("https://cao.dolgi.msk.ru/account/1011358256/", 1011358256)</f>
        <v>1011358256</v>
      </c>
      <c r="D21052">
        <v>0</v>
      </c>
    </row>
    <row r="21053" spans="1:4" hidden="1" x14ac:dyDescent="0.3">
      <c r="A21053" t="s">
        <v>1126</v>
      </c>
      <c r="B21053" t="s">
        <v>100</v>
      </c>
      <c r="C21053" s="1">
        <f>HYPERLINK("https://cao.dolgi.msk.ru/account/1011357077/", 1011357077)</f>
        <v>1011357077</v>
      </c>
      <c r="D21053">
        <v>-1374.32</v>
      </c>
    </row>
    <row r="21054" spans="1:4" hidden="1" x14ac:dyDescent="0.3">
      <c r="A21054" t="s">
        <v>1126</v>
      </c>
      <c r="B21054" t="s">
        <v>100</v>
      </c>
      <c r="C21054" s="1">
        <f>HYPERLINK("https://cao.dolgi.msk.ru/account/1011357237/", 1011357237)</f>
        <v>1011357237</v>
      </c>
      <c r="D21054">
        <v>-2657.77</v>
      </c>
    </row>
    <row r="21055" spans="1:4" hidden="1" x14ac:dyDescent="0.3">
      <c r="A21055" t="s">
        <v>1126</v>
      </c>
      <c r="B21055" t="s">
        <v>72</v>
      </c>
      <c r="C21055" s="1">
        <f>HYPERLINK("https://cao.dolgi.msk.ru/account/1011357456/", 1011357456)</f>
        <v>1011357456</v>
      </c>
      <c r="D21055">
        <v>-518</v>
      </c>
    </row>
    <row r="21056" spans="1:4" hidden="1" x14ac:dyDescent="0.3">
      <c r="A21056" t="s">
        <v>1126</v>
      </c>
      <c r="B21056" t="s">
        <v>73</v>
      </c>
      <c r="C21056" s="1">
        <f>HYPERLINK("https://cao.dolgi.msk.ru/account/1011357827/", 1011357827)</f>
        <v>1011357827</v>
      </c>
      <c r="D21056">
        <v>-34630.480000000003</v>
      </c>
    </row>
    <row r="21057" spans="1:4" hidden="1" x14ac:dyDescent="0.3">
      <c r="A21057" t="s">
        <v>1126</v>
      </c>
      <c r="B21057" t="s">
        <v>74</v>
      </c>
      <c r="C21057" s="1">
        <f>HYPERLINK("https://cao.dolgi.msk.ru/account/1011357958/", 1011357958)</f>
        <v>1011357958</v>
      </c>
      <c r="D21057">
        <v>-8573.91</v>
      </c>
    </row>
    <row r="21058" spans="1:4" hidden="1" x14ac:dyDescent="0.3">
      <c r="A21058" t="s">
        <v>1126</v>
      </c>
      <c r="B21058" t="s">
        <v>75</v>
      </c>
      <c r="C21058" s="1">
        <f>HYPERLINK("https://cao.dolgi.msk.ru/account/1011357579/", 1011357579)</f>
        <v>1011357579</v>
      </c>
      <c r="D21058">
        <v>-7883.45</v>
      </c>
    </row>
    <row r="21059" spans="1:4" hidden="1" x14ac:dyDescent="0.3">
      <c r="A21059" t="s">
        <v>1126</v>
      </c>
      <c r="B21059" t="s">
        <v>76</v>
      </c>
      <c r="C21059" s="1">
        <f>HYPERLINK("https://cao.dolgi.msk.ru/account/1011357528/", 1011357528)</f>
        <v>1011357528</v>
      </c>
      <c r="D21059">
        <v>-63000.86</v>
      </c>
    </row>
    <row r="21060" spans="1:4" hidden="1" x14ac:dyDescent="0.3">
      <c r="A21060" t="s">
        <v>1126</v>
      </c>
      <c r="B21060" t="s">
        <v>77</v>
      </c>
      <c r="C21060" s="1">
        <f>HYPERLINK("https://cao.dolgi.msk.ru/account/1011357333/", 1011357333)</f>
        <v>1011357333</v>
      </c>
      <c r="D21060">
        <v>0</v>
      </c>
    </row>
    <row r="21061" spans="1:4" hidden="1" x14ac:dyDescent="0.3">
      <c r="A21061" t="s">
        <v>1126</v>
      </c>
      <c r="B21061" t="s">
        <v>78</v>
      </c>
      <c r="C21061" s="1">
        <f>HYPERLINK("https://cao.dolgi.msk.ru/account/1011356947/", 1011356947)</f>
        <v>1011356947</v>
      </c>
      <c r="D21061">
        <v>-5777.16</v>
      </c>
    </row>
    <row r="21062" spans="1:4" hidden="1" x14ac:dyDescent="0.3">
      <c r="A21062" t="s">
        <v>1126</v>
      </c>
      <c r="B21062" t="s">
        <v>79</v>
      </c>
      <c r="C21062" s="1">
        <f>HYPERLINK("https://cao.dolgi.msk.ru/account/1011357341/", 1011357341)</f>
        <v>1011357341</v>
      </c>
      <c r="D21062">
        <v>0</v>
      </c>
    </row>
    <row r="21063" spans="1:4" hidden="1" x14ac:dyDescent="0.3">
      <c r="A21063" t="s">
        <v>1126</v>
      </c>
      <c r="B21063" t="s">
        <v>80</v>
      </c>
      <c r="C21063" s="1">
        <f>HYPERLINK("https://cao.dolgi.msk.ru/account/1011358221/", 1011358221)</f>
        <v>1011358221</v>
      </c>
      <c r="D21063">
        <v>0</v>
      </c>
    </row>
    <row r="21064" spans="1:4" hidden="1" x14ac:dyDescent="0.3">
      <c r="A21064" t="s">
        <v>1126</v>
      </c>
      <c r="B21064" t="s">
        <v>81</v>
      </c>
      <c r="C21064" s="1">
        <f>HYPERLINK("https://cao.dolgi.msk.ru/account/1011357261/", 1011357261)</f>
        <v>1011357261</v>
      </c>
      <c r="D21064">
        <v>-3805.89</v>
      </c>
    </row>
    <row r="21065" spans="1:4" hidden="1" x14ac:dyDescent="0.3">
      <c r="A21065" t="s">
        <v>1126</v>
      </c>
      <c r="B21065" t="s">
        <v>101</v>
      </c>
      <c r="C21065" s="1">
        <f>HYPERLINK("https://cao.dolgi.msk.ru/account/1011358264/", 1011358264)</f>
        <v>1011358264</v>
      </c>
      <c r="D21065">
        <v>0</v>
      </c>
    </row>
    <row r="21066" spans="1:4" hidden="1" x14ac:dyDescent="0.3">
      <c r="A21066" t="s">
        <v>1126</v>
      </c>
      <c r="B21066" t="s">
        <v>82</v>
      </c>
      <c r="C21066" s="1">
        <f>HYPERLINK("https://cao.dolgi.msk.ru/account/1011357536/", 1011357536)</f>
        <v>1011357536</v>
      </c>
      <c r="D21066">
        <v>0</v>
      </c>
    </row>
    <row r="21067" spans="1:4" hidden="1" x14ac:dyDescent="0.3">
      <c r="A21067" t="s">
        <v>1126</v>
      </c>
      <c r="B21067" t="s">
        <v>83</v>
      </c>
      <c r="C21067" s="1">
        <f>HYPERLINK("https://cao.dolgi.msk.ru/account/1011357755/", 1011357755)</f>
        <v>1011357755</v>
      </c>
      <c r="D21067">
        <v>0</v>
      </c>
    </row>
    <row r="21068" spans="1:4" hidden="1" x14ac:dyDescent="0.3">
      <c r="A21068" t="s">
        <v>1126</v>
      </c>
      <c r="B21068" t="s">
        <v>84</v>
      </c>
      <c r="C21068" s="1">
        <f>HYPERLINK("https://cao.dolgi.msk.ru/account/1011357747/", 1011357747)</f>
        <v>1011357747</v>
      </c>
      <c r="D21068">
        <v>0</v>
      </c>
    </row>
    <row r="21069" spans="1:4" hidden="1" x14ac:dyDescent="0.3">
      <c r="A21069" t="s">
        <v>1126</v>
      </c>
      <c r="B21069" t="s">
        <v>85</v>
      </c>
      <c r="C21069" s="1">
        <f>HYPERLINK("https://cao.dolgi.msk.ru/account/1011357165/", 1011357165)</f>
        <v>1011357165</v>
      </c>
      <c r="D21069">
        <v>0</v>
      </c>
    </row>
    <row r="21070" spans="1:4" hidden="1" x14ac:dyDescent="0.3">
      <c r="A21070" t="s">
        <v>1126</v>
      </c>
      <c r="B21070" t="s">
        <v>102</v>
      </c>
      <c r="C21070" s="1">
        <f>HYPERLINK("https://cao.dolgi.msk.ru/account/1011357966/", 1011357966)</f>
        <v>1011357966</v>
      </c>
      <c r="D21070">
        <v>-10775.97</v>
      </c>
    </row>
    <row r="21071" spans="1:4" hidden="1" x14ac:dyDescent="0.3">
      <c r="A21071" t="s">
        <v>1126</v>
      </c>
      <c r="B21071" t="s">
        <v>103</v>
      </c>
      <c r="C21071" s="1">
        <f>HYPERLINK("https://cao.dolgi.msk.ru/account/1011357376/", 1011357376)</f>
        <v>1011357376</v>
      </c>
      <c r="D21071">
        <v>0</v>
      </c>
    </row>
    <row r="21072" spans="1:4" hidden="1" x14ac:dyDescent="0.3">
      <c r="A21072" t="s">
        <v>1126</v>
      </c>
      <c r="B21072" t="s">
        <v>104</v>
      </c>
      <c r="C21072" s="1">
        <f>HYPERLINK("https://cao.dolgi.msk.ru/account/1011357122/", 1011357122)</f>
        <v>1011357122</v>
      </c>
      <c r="D21072">
        <v>0</v>
      </c>
    </row>
    <row r="21073" spans="1:4" hidden="1" x14ac:dyDescent="0.3">
      <c r="A21073" t="s">
        <v>1126</v>
      </c>
      <c r="B21073" t="s">
        <v>105</v>
      </c>
      <c r="C21073" s="1">
        <f>HYPERLINK("https://cao.dolgi.msk.ru/account/1011358141/", 1011358141)</f>
        <v>1011358141</v>
      </c>
      <c r="D21073">
        <v>-8095.94</v>
      </c>
    </row>
    <row r="21074" spans="1:4" hidden="1" x14ac:dyDescent="0.3">
      <c r="A21074" t="s">
        <v>1126</v>
      </c>
      <c r="B21074" t="s">
        <v>106</v>
      </c>
      <c r="C21074" s="1">
        <f>HYPERLINK("https://cao.dolgi.msk.ru/account/1011358096/", 1011358096)</f>
        <v>1011358096</v>
      </c>
      <c r="D21074">
        <v>0</v>
      </c>
    </row>
    <row r="21075" spans="1:4" hidden="1" x14ac:dyDescent="0.3">
      <c r="A21075" t="s">
        <v>1126</v>
      </c>
      <c r="B21075" t="s">
        <v>107</v>
      </c>
      <c r="C21075" s="1">
        <f>HYPERLINK("https://cao.dolgi.msk.ru/account/1011357405/", 1011357405)</f>
        <v>1011357405</v>
      </c>
      <c r="D21075">
        <v>0</v>
      </c>
    </row>
    <row r="21076" spans="1:4" hidden="1" x14ac:dyDescent="0.3">
      <c r="A21076" t="s">
        <v>1126</v>
      </c>
      <c r="B21076" t="s">
        <v>108</v>
      </c>
      <c r="C21076" s="1">
        <f>HYPERLINK("https://cao.dolgi.msk.ru/account/1011357245/", 1011357245)</f>
        <v>1011357245</v>
      </c>
      <c r="D21076">
        <v>0</v>
      </c>
    </row>
    <row r="21077" spans="1:4" hidden="1" x14ac:dyDescent="0.3">
      <c r="A21077" t="s">
        <v>1126</v>
      </c>
      <c r="B21077" t="s">
        <v>109</v>
      </c>
      <c r="C21077" s="1">
        <f>HYPERLINK("https://cao.dolgi.msk.ru/account/1011357253/", 1011357253)</f>
        <v>1011357253</v>
      </c>
      <c r="D21077">
        <v>0</v>
      </c>
    </row>
    <row r="21078" spans="1:4" hidden="1" x14ac:dyDescent="0.3">
      <c r="A21078" t="s">
        <v>1126</v>
      </c>
      <c r="B21078" t="s">
        <v>110</v>
      </c>
      <c r="C21078" s="1">
        <f>HYPERLINK("https://cao.dolgi.msk.ru/account/1011357878/", 1011357878)</f>
        <v>1011357878</v>
      </c>
      <c r="D21078">
        <v>0</v>
      </c>
    </row>
    <row r="21079" spans="1:4" hidden="1" x14ac:dyDescent="0.3">
      <c r="A21079" t="s">
        <v>1126</v>
      </c>
      <c r="B21079" t="s">
        <v>111</v>
      </c>
      <c r="C21079" s="1">
        <f>HYPERLINK("https://cao.dolgi.msk.ru/account/1011358184/", 1011358184)</f>
        <v>1011358184</v>
      </c>
      <c r="D21079">
        <v>0</v>
      </c>
    </row>
    <row r="21080" spans="1:4" hidden="1" x14ac:dyDescent="0.3">
      <c r="A21080" t="s">
        <v>1126</v>
      </c>
      <c r="B21080" t="s">
        <v>112</v>
      </c>
      <c r="C21080" s="1">
        <f>HYPERLINK("https://cao.dolgi.msk.ru/account/1011357499/", 1011357499)</f>
        <v>1011357499</v>
      </c>
      <c r="D21080">
        <v>0</v>
      </c>
    </row>
    <row r="21081" spans="1:4" hidden="1" x14ac:dyDescent="0.3">
      <c r="A21081" t="s">
        <v>1126</v>
      </c>
      <c r="B21081" t="s">
        <v>113</v>
      </c>
      <c r="C21081" s="1">
        <f>HYPERLINK("https://cao.dolgi.msk.ru/account/1011539962/", 1011539962)</f>
        <v>1011539962</v>
      </c>
      <c r="D21081">
        <v>0</v>
      </c>
    </row>
    <row r="21082" spans="1:4" hidden="1" x14ac:dyDescent="0.3">
      <c r="A21082" t="s">
        <v>1126</v>
      </c>
      <c r="B21082" t="s">
        <v>114</v>
      </c>
      <c r="C21082" s="1">
        <f>HYPERLINK("https://cao.dolgi.msk.ru/account/1011358168/", 1011358168)</f>
        <v>1011358168</v>
      </c>
      <c r="D21082">
        <v>0</v>
      </c>
    </row>
    <row r="21083" spans="1:4" hidden="1" x14ac:dyDescent="0.3">
      <c r="A21083" t="s">
        <v>1126</v>
      </c>
      <c r="B21083" t="s">
        <v>115</v>
      </c>
      <c r="C21083" s="1">
        <f>HYPERLINK("https://cao.dolgi.msk.ru/account/1011357413/", 1011357413)</f>
        <v>1011357413</v>
      </c>
      <c r="D21083">
        <v>0</v>
      </c>
    </row>
    <row r="21084" spans="1:4" x14ac:dyDescent="0.3">
      <c r="A21084" t="s">
        <v>1126</v>
      </c>
      <c r="B21084" t="s">
        <v>116</v>
      </c>
      <c r="C21084" s="1">
        <f>HYPERLINK("https://cao.dolgi.msk.ru/account/1011357704/", 1011357704)</f>
        <v>1011357704</v>
      </c>
      <c r="D21084">
        <v>4555.18</v>
      </c>
    </row>
    <row r="21085" spans="1:4" hidden="1" x14ac:dyDescent="0.3">
      <c r="A21085" t="s">
        <v>1126</v>
      </c>
      <c r="B21085" t="s">
        <v>266</v>
      </c>
      <c r="C21085" s="1">
        <f>HYPERLINK("https://cao.dolgi.msk.ru/account/1011357974/", 1011357974)</f>
        <v>1011357974</v>
      </c>
      <c r="D21085">
        <v>0</v>
      </c>
    </row>
    <row r="21086" spans="1:4" hidden="1" x14ac:dyDescent="0.3">
      <c r="A21086" t="s">
        <v>1126</v>
      </c>
      <c r="B21086" t="s">
        <v>117</v>
      </c>
      <c r="C21086" s="1">
        <f>HYPERLINK("https://cao.dolgi.msk.ru/account/1011357034/", 1011357034)</f>
        <v>1011357034</v>
      </c>
      <c r="D21086">
        <v>-14851.93</v>
      </c>
    </row>
    <row r="21087" spans="1:4" hidden="1" x14ac:dyDescent="0.3">
      <c r="A21087" t="s">
        <v>1126</v>
      </c>
      <c r="B21087" t="s">
        <v>118</v>
      </c>
      <c r="C21087" s="1">
        <f>HYPERLINK("https://cao.dolgi.msk.ru/account/1011357368/", 1011357368)</f>
        <v>1011357368</v>
      </c>
      <c r="D21087">
        <v>-4639.5200000000004</v>
      </c>
    </row>
    <row r="21088" spans="1:4" hidden="1" x14ac:dyDescent="0.3">
      <c r="A21088" t="s">
        <v>1126</v>
      </c>
      <c r="B21088" t="s">
        <v>119</v>
      </c>
      <c r="C21088" s="1">
        <f>HYPERLINK("https://cao.dolgi.msk.ru/account/1011357595/", 1011357595)</f>
        <v>1011357595</v>
      </c>
      <c r="D21088">
        <v>-2882.26</v>
      </c>
    </row>
    <row r="21089" spans="1:4" hidden="1" x14ac:dyDescent="0.3">
      <c r="A21089" t="s">
        <v>1126</v>
      </c>
      <c r="B21089" t="s">
        <v>120</v>
      </c>
      <c r="C21089" s="1">
        <f>HYPERLINK("https://cao.dolgi.msk.ru/account/1011357149/", 1011357149)</f>
        <v>1011357149</v>
      </c>
      <c r="D21089">
        <v>-2096.94</v>
      </c>
    </row>
    <row r="21090" spans="1:4" hidden="1" x14ac:dyDescent="0.3">
      <c r="A21090" t="s">
        <v>1126</v>
      </c>
      <c r="B21090" t="s">
        <v>120</v>
      </c>
      <c r="C21090" s="1">
        <f>HYPERLINK("https://cao.dolgi.msk.ru/account/1011357886/", 1011357886)</f>
        <v>1011357886</v>
      </c>
      <c r="D21090">
        <v>-2227.66</v>
      </c>
    </row>
    <row r="21091" spans="1:4" hidden="1" x14ac:dyDescent="0.3">
      <c r="A21091" t="s">
        <v>1126</v>
      </c>
      <c r="B21091" t="s">
        <v>121</v>
      </c>
      <c r="C21091" s="1">
        <f>HYPERLINK("https://cao.dolgi.msk.ru/account/1011358192/", 1011358192)</f>
        <v>1011358192</v>
      </c>
      <c r="D21091">
        <v>0</v>
      </c>
    </row>
    <row r="21092" spans="1:4" hidden="1" x14ac:dyDescent="0.3">
      <c r="A21092" t="s">
        <v>1126</v>
      </c>
      <c r="B21092" t="s">
        <v>122</v>
      </c>
      <c r="C21092" s="1">
        <f>HYPERLINK("https://cao.dolgi.msk.ru/account/1011358213/", 1011358213)</f>
        <v>1011358213</v>
      </c>
      <c r="D21092">
        <v>0</v>
      </c>
    </row>
    <row r="21093" spans="1:4" x14ac:dyDescent="0.3">
      <c r="A21093" t="s">
        <v>1126</v>
      </c>
      <c r="B21093" t="s">
        <v>123</v>
      </c>
      <c r="C21093" s="1">
        <f>HYPERLINK("https://cao.dolgi.msk.ru/account/1011357093/", 1011357093)</f>
        <v>1011357093</v>
      </c>
      <c r="D21093">
        <v>8404.51</v>
      </c>
    </row>
    <row r="21094" spans="1:4" hidden="1" x14ac:dyDescent="0.3">
      <c r="A21094" t="s">
        <v>1126</v>
      </c>
      <c r="B21094" t="s">
        <v>124</v>
      </c>
      <c r="C21094" s="1">
        <f>HYPERLINK("https://cao.dolgi.msk.ru/account/1011357181/", 1011357181)</f>
        <v>1011357181</v>
      </c>
      <c r="D21094">
        <v>-1751.64</v>
      </c>
    </row>
    <row r="21095" spans="1:4" hidden="1" x14ac:dyDescent="0.3">
      <c r="A21095" t="s">
        <v>1126</v>
      </c>
      <c r="B21095" t="s">
        <v>125</v>
      </c>
      <c r="C21095" s="1">
        <f>HYPERLINK("https://cao.dolgi.msk.ru/account/1011357042/", 1011357042)</f>
        <v>1011357042</v>
      </c>
      <c r="D21095">
        <v>-855.73</v>
      </c>
    </row>
    <row r="21096" spans="1:4" hidden="1" x14ac:dyDescent="0.3">
      <c r="A21096" t="s">
        <v>1126</v>
      </c>
      <c r="B21096" t="s">
        <v>126</v>
      </c>
      <c r="C21096" s="1">
        <f>HYPERLINK("https://cao.dolgi.msk.ru/account/1011358029/", 1011358029)</f>
        <v>1011358029</v>
      </c>
      <c r="D21096">
        <v>0</v>
      </c>
    </row>
    <row r="21097" spans="1:4" hidden="1" x14ac:dyDescent="0.3">
      <c r="A21097" t="s">
        <v>1126</v>
      </c>
      <c r="B21097" t="s">
        <v>127</v>
      </c>
      <c r="C21097" s="1">
        <f>HYPERLINK("https://cao.dolgi.msk.ru/account/1011357608/", 1011357608)</f>
        <v>1011357608</v>
      </c>
      <c r="D21097">
        <v>-39.44</v>
      </c>
    </row>
    <row r="21098" spans="1:4" x14ac:dyDescent="0.3">
      <c r="A21098" t="s">
        <v>1126</v>
      </c>
      <c r="B21098" t="s">
        <v>262</v>
      </c>
      <c r="C21098" s="1">
        <f>HYPERLINK("https://cao.dolgi.msk.ru/account/1011357173/", 1011357173)</f>
        <v>1011357173</v>
      </c>
      <c r="D21098">
        <v>8719.0499999999993</v>
      </c>
    </row>
    <row r="21099" spans="1:4" hidden="1" x14ac:dyDescent="0.3">
      <c r="A21099" t="s">
        <v>1126</v>
      </c>
      <c r="B21099" t="s">
        <v>128</v>
      </c>
      <c r="C21099" s="1">
        <f>HYPERLINK("https://cao.dolgi.msk.ru/account/1011356971/", 1011356971)</f>
        <v>1011356971</v>
      </c>
      <c r="D21099">
        <v>0</v>
      </c>
    </row>
    <row r="21100" spans="1:4" hidden="1" x14ac:dyDescent="0.3">
      <c r="A21100" t="s">
        <v>1126</v>
      </c>
      <c r="B21100" t="s">
        <v>129</v>
      </c>
      <c r="C21100" s="1">
        <f>HYPERLINK("https://cao.dolgi.msk.ru/account/1011358045/", 1011358045)</f>
        <v>1011358045</v>
      </c>
      <c r="D21100">
        <v>-2742.94</v>
      </c>
    </row>
    <row r="21101" spans="1:4" hidden="1" x14ac:dyDescent="0.3">
      <c r="A21101" t="s">
        <v>1126</v>
      </c>
      <c r="B21101" t="s">
        <v>130</v>
      </c>
      <c r="C21101" s="1">
        <f>HYPERLINK("https://cao.dolgi.msk.ru/account/1011357544/", 1011357544)</f>
        <v>1011357544</v>
      </c>
      <c r="D21101">
        <v>-1977.19</v>
      </c>
    </row>
    <row r="21102" spans="1:4" hidden="1" x14ac:dyDescent="0.3">
      <c r="A21102" t="s">
        <v>1126</v>
      </c>
      <c r="B21102" t="s">
        <v>131</v>
      </c>
      <c r="C21102" s="1">
        <f>HYPERLINK("https://cao.dolgi.msk.ru/account/1011356998/", 1011356998)</f>
        <v>1011356998</v>
      </c>
      <c r="D21102">
        <v>-950.68</v>
      </c>
    </row>
    <row r="21103" spans="1:4" hidden="1" x14ac:dyDescent="0.3">
      <c r="A21103" t="s">
        <v>1126</v>
      </c>
      <c r="B21103" t="s">
        <v>131</v>
      </c>
      <c r="C21103" s="1">
        <f>HYPERLINK("https://cao.dolgi.msk.ru/account/1011357982/", 1011357982)</f>
        <v>1011357982</v>
      </c>
      <c r="D21103">
        <v>-1775.63</v>
      </c>
    </row>
    <row r="21104" spans="1:4" x14ac:dyDescent="0.3">
      <c r="A21104" t="s">
        <v>1126</v>
      </c>
      <c r="B21104" t="s">
        <v>132</v>
      </c>
      <c r="C21104" s="1">
        <f>HYPERLINK("https://cao.dolgi.msk.ru/account/1011357712/", 1011357712)</f>
        <v>1011357712</v>
      </c>
      <c r="D21104">
        <v>5158.43</v>
      </c>
    </row>
    <row r="21105" spans="1:4" hidden="1" x14ac:dyDescent="0.3">
      <c r="A21105" t="s">
        <v>1126</v>
      </c>
      <c r="B21105" t="s">
        <v>133</v>
      </c>
      <c r="C21105" s="1">
        <f>HYPERLINK("https://cao.dolgi.msk.ru/account/1011357915/", 1011357915)</f>
        <v>1011357915</v>
      </c>
      <c r="D21105">
        <v>0</v>
      </c>
    </row>
    <row r="21106" spans="1:4" hidden="1" x14ac:dyDescent="0.3">
      <c r="A21106" t="s">
        <v>1126</v>
      </c>
      <c r="B21106" t="s">
        <v>134</v>
      </c>
      <c r="C21106" s="1">
        <f>HYPERLINK("https://cao.dolgi.msk.ru/account/1011357616/", 1011357616)</f>
        <v>1011357616</v>
      </c>
      <c r="D21106">
        <v>0</v>
      </c>
    </row>
    <row r="21107" spans="1:4" hidden="1" x14ac:dyDescent="0.3">
      <c r="A21107" t="s">
        <v>1127</v>
      </c>
      <c r="B21107" t="s">
        <v>6</v>
      </c>
      <c r="C21107" s="1">
        <f>HYPERLINK("https://cao.dolgi.msk.ru/account/1011375072/", 1011375072)</f>
        <v>1011375072</v>
      </c>
      <c r="D21107">
        <v>-4805.7700000000004</v>
      </c>
    </row>
    <row r="21108" spans="1:4" hidden="1" x14ac:dyDescent="0.3">
      <c r="A21108" t="s">
        <v>1127</v>
      </c>
      <c r="B21108" t="s">
        <v>28</v>
      </c>
      <c r="C21108" s="1">
        <f>HYPERLINK("https://cao.dolgi.msk.ru/account/1011374512/", 1011374512)</f>
        <v>1011374512</v>
      </c>
      <c r="D21108">
        <v>0</v>
      </c>
    </row>
    <row r="21109" spans="1:4" hidden="1" x14ac:dyDescent="0.3">
      <c r="A21109" t="s">
        <v>1127</v>
      </c>
      <c r="B21109" t="s">
        <v>35</v>
      </c>
      <c r="C21109" s="1">
        <f>HYPERLINK("https://cao.dolgi.msk.ru/account/1011374563/", 1011374563)</f>
        <v>1011374563</v>
      </c>
      <c r="D21109">
        <v>0</v>
      </c>
    </row>
    <row r="21110" spans="1:4" hidden="1" x14ac:dyDescent="0.3">
      <c r="A21110" t="s">
        <v>1127</v>
      </c>
      <c r="B21110" t="s">
        <v>5</v>
      </c>
      <c r="C21110" s="1">
        <f>HYPERLINK("https://cao.dolgi.msk.ru/account/1011375048/", 1011375048)</f>
        <v>1011375048</v>
      </c>
      <c r="D21110">
        <v>-7853.08</v>
      </c>
    </row>
    <row r="21111" spans="1:4" hidden="1" x14ac:dyDescent="0.3">
      <c r="A21111" t="s">
        <v>1127</v>
      </c>
      <c r="B21111" t="s">
        <v>7</v>
      </c>
      <c r="C21111" s="1">
        <f>HYPERLINK("https://cao.dolgi.msk.ru/account/1011374862/", 1011374862)</f>
        <v>1011374862</v>
      </c>
      <c r="D21111">
        <v>0</v>
      </c>
    </row>
    <row r="21112" spans="1:4" hidden="1" x14ac:dyDescent="0.3">
      <c r="A21112" t="s">
        <v>1127</v>
      </c>
      <c r="B21112" t="s">
        <v>8</v>
      </c>
      <c r="C21112" s="1">
        <f>HYPERLINK("https://cao.dolgi.msk.ru/account/1011374811/", 1011374811)</f>
        <v>1011374811</v>
      </c>
      <c r="D21112">
        <v>0</v>
      </c>
    </row>
    <row r="21113" spans="1:4" hidden="1" x14ac:dyDescent="0.3">
      <c r="A21113" t="s">
        <v>1127</v>
      </c>
      <c r="B21113" t="s">
        <v>31</v>
      </c>
      <c r="C21113" s="1">
        <f>HYPERLINK("https://cao.dolgi.msk.ru/account/1011374416/", 1011374416)</f>
        <v>1011374416</v>
      </c>
      <c r="D21113">
        <v>0</v>
      </c>
    </row>
    <row r="21114" spans="1:4" hidden="1" x14ac:dyDescent="0.3">
      <c r="A21114" t="s">
        <v>1127</v>
      </c>
      <c r="B21114" t="s">
        <v>9</v>
      </c>
      <c r="C21114" s="1">
        <f>HYPERLINK("https://cao.dolgi.msk.ru/account/1011374547/", 1011374547)</f>
        <v>1011374547</v>
      </c>
      <c r="D21114">
        <v>-10339.450000000001</v>
      </c>
    </row>
    <row r="21115" spans="1:4" hidden="1" x14ac:dyDescent="0.3">
      <c r="A21115" t="s">
        <v>1127</v>
      </c>
      <c r="B21115" t="s">
        <v>10</v>
      </c>
      <c r="C21115" s="1">
        <f>HYPERLINK("https://cao.dolgi.msk.ru/account/1011374432/", 1011374432)</f>
        <v>1011374432</v>
      </c>
      <c r="D21115">
        <v>-9585.1200000000008</v>
      </c>
    </row>
    <row r="21116" spans="1:4" hidden="1" x14ac:dyDescent="0.3">
      <c r="A21116" t="s">
        <v>1127</v>
      </c>
      <c r="B21116" t="s">
        <v>11</v>
      </c>
      <c r="C21116" s="1">
        <f>HYPERLINK("https://cao.dolgi.msk.ru/account/1011375291/", 1011375291)</f>
        <v>1011375291</v>
      </c>
      <c r="D21116">
        <v>0</v>
      </c>
    </row>
    <row r="21117" spans="1:4" hidden="1" x14ac:dyDescent="0.3">
      <c r="A21117" t="s">
        <v>1127</v>
      </c>
      <c r="B21117" t="s">
        <v>12</v>
      </c>
      <c r="C21117" s="1">
        <f>HYPERLINK("https://cao.dolgi.msk.ru/account/1011374651/", 1011374651)</f>
        <v>1011374651</v>
      </c>
      <c r="D21117">
        <v>0</v>
      </c>
    </row>
    <row r="21118" spans="1:4" hidden="1" x14ac:dyDescent="0.3">
      <c r="A21118" t="s">
        <v>1127</v>
      </c>
      <c r="B21118" t="s">
        <v>23</v>
      </c>
      <c r="C21118" s="1">
        <f>HYPERLINK("https://cao.dolgi.msk.ru/account/1011374838/", 1011374838)</f>
        <v>1011374838</v>
      </c>
      <c r="D21118">
        <v>0</v>
      </c>
    </row>
    <row r="21119" spans="1:4" x14ac:dyDescent="0.3">
      <c r="A21119" t="s">
        <v>1127</v>
      </c>
      <c r="B21119" t="s">
        <v>13</v>
      </c>
      <c r="C21119" s="1">
        <f>HYPERLINK("https://cao.dolgi.msk.ru/account/1011374694/", 1011374694)</f>
        <v>1011374694</v>
      </c>
      <c r="D21119">
        <v>14107.74</v>
      </c>
    </row>
    <row r="21120" spans="1:4" hidden="1" x14ac:dyDescent="0.3">
      <c r="A21120" t="s">
        <v>1127</v>
      </c>
      <c r="B21120" t="s">
        <v>14</v>
      </c>
      <c r="C21120" s="1">
        <f>HYPERLINK("https://cao.dolgi.msk.ru/account/1011374889/", 1011374889)</f>
        <v>1011374889</v>
      </c>
      <c r="D21120">
        <v>0</v>
      </c>
    </row>
    <row r="21121" spans="1:4" x14ac:dyDescent="0.3">
      <c r="A21121" t="s">
        <v>1127</v>
      </c>
      <c r="B21121" t="s">
        <v>16</v>
      </c>
      <c r="C21121" s="1">
        <f>HYPERLINK("https://cao.dolgi.msk.ru/account/1011375013/", 1011375013)</f>
        <v>1011375013</v>
      </c>
      <c r="D21121">
        <v>30999.39</v>
      </c>
    </row>
    <row r="21122" spans="1:4" hidden="1" x14ac:dyDescent="0.3">
      <c r="A21122" t="s">
        <v>1127</v>
      </c>
      <c r="B21122" t="s">
        <v>17</v>
      </c>
      <c r="C21122" s="1">
        <f>HYPERLINK("https://cao.dolgi.msk.ru/account/1011375304/", 1011375304)</f>
        <v>1011375304</v>
      </c>
      <c r="D21122">
        <v>0</v>
      </c>
    </row>
    <row r="21123" spans="1:4" hidden="1" x14ac:dyDescent="0.3">
      <c r="A21123" t="s">
        <v>1127</v>
      </c>
      <c r="B21123" t="s">
        <v>18</v>
      </c>
      <c r="C21123" s="1">
        <f>HYPERLINK("https://cao.dolgi.msk.ru/account/1011375128/", 1011375128)</f>
        <v>1011375128</v>
      </c>
      <c r="D21123">
        <v>-8726.7199999999993</v>
      </c>
    </row>
    <row r="21124" spans="1:4" x14ac:dyDescent="0.3">
      <c r="A21124" t="s">
        <v>1127</v>
      </c>
      <c r="B21124" t="s">
        <v>19</v>
      </c>
      <c r="C21124" s="1">
        <f>HYPERLINK("https://cao.dolgi.msk.ru/account/1011375339/", 1011375339)</f>
        <v>1011375339</v>
      </c>
      <c r="D21124">
        <v>11545.7</v>
      </c>
    </row>
    <row r="21125" spans="1:4" hidden="1" x14ac:dyDescent="0.3">
      <c r="A21125" t="s">
        <v>1127</v>
      </c>
      <c r="B21125" t="s">
        <v>20</v>
      </c>
      <c r="C21125" s="1">
        <f>HYPERLINK("https://cao.dolgi.msk.ru/account/1011375283/", 1011375283)</f>
        <v>1011375283</v>
      </c>
      <c r="D21125">
        <v>-122.7</v>
      </c>
    </row>
    <row r="21126" spans="1:4" hidden="1" x14ac:dyDescent="0.3">
      <c r="A21126" t="s">
        <v>1127</v>
      </c>
      <c r="B21126" t="s">
        <v>20</v>
      </c>
      <c r="C21126" s="1">
        <f>HYPERLINK("https://cao.dolgi.msk.ru/account/1011375654/", 1011375654)</f>
        <v>1011375654</v>
      </c>
      <c r="D21126">
        <v>0</v>
      </c>
    </row>
    <row r="21127" spans="1:4" hidden="1" x14ac:dyDescent="0.3">
      <c r="A21127" t="s">
        <v>1127</v>
      </c>
      <c r="B21127" t="s">
        <v>21</v>
      </c>
      <c r="C21127" s="1">
        <f>HYPERLINK("https://cao.dolgi.msk.ru/account/1011374969/", 1011374969)</f>
        <v>1011374969</v>
      </c>
      <c r="D21127">
        <v>0</v>
      </c>
    </row>
    <row r="21128" spans="1:4" x14ac:dyDescent="0.3">
      <c r="A21128" t="s">
        <v>1127</v>
      </c>
      <c r="B21128" t="s">
        <v>22</v>
      </c>
      <c r="C21128" s="1">
        <f>HYPERLINK("https://cao.dolgi.msk.ru/account/1011375478/", 1011375478)</f>
        <v>1011375478</v>
      </c>
      <c r="D21128">
        <v>1128.1099999999999</v>
      </c>
    </row>
    <row r="21129" spans="1:4" hidden="1" x14ac:dyDescent="0.3">
      <c r="A21129" t="s">
        <v>1127</v>
      </c>
      <c r="B21129" t="s">
        <v>24</v>
      </c>
      <c r="C21129" s="1">
        <f>HYPERLINK("https://cao.dolgi.msk.ru/account/1011375224/", 1011375224)</f>
        <v>1011375224</v>
      </c>
      <c r="D21129">
        <v>-60765.62</v>
      </c>
    </row>
    <row r="21130" spans="1:4" hidden="1" x14ac:dyDescent="0.3">
      <c r="A21130" t="s">
        <v>1127</v>
      </c>
      <c r="B21130" t="s">
        <v>25</v>
      </c>
      <c r="C21130" s="1">
        <f>HYPERLINK("https://cao.dolgi.msk.ru/account/1011375136/", 1011375136)</f>
        <v>1011375136</v>
      </c>
      <c r="D21130">
        <v>-16354.86</v>
      </c>
    </row>
    <row r="21131" spans="1:4" hidden="1" x14ac:dyDescent="0.3">
      <c r="A21131" t="s">
        <v>1127</v>
      </c>
      <c r="B21131" t="s">
        <v>26</v>
      </c>
      <c r="C21131" s="1">
        <f>HYPERLINK("https://cao.dolgi.msk.ru/account/1011375232/", 1011375232)</f>
        <v>1011375232</v>
      </c>
      <c r="D21131">
        <v>0</v>
      </c>
    </row>
    <row r="21132" spans="1:4" hidden="1" x14ac:dyDescent="0.3">
      <c r="A21132" t="s">
        <v>1127</v>
      </c>
      <c r="B21132" t="s">
        <v>27</v>
      </c>
      <c r="C21132" s="1">
        <f>HYPERLINK("https://cao.dolgi.msk.ru/account/1011374715/", 1011374715)</f>
        <v>1011374715</v>
      </c>
      <c r="D21132">
        <v>-5285.2</v>
      </c>
    </row>
    <row r="21133" spans="1:4" hidden="1" x14ac:dyDescent="0.3">
      <c r="A21133" t="s">
        <v>1127</v>
      </c>
      <c r="B21133" t="s">
        <v>29</v>
      </c>
      <c r="C21133" s="1">
        <f>HYPERLINK("https://cao.dolgi.msk.ru/account/1011374782/", 1011374782)</f>
        <v>1011374782</v>
      </c>
      <c r="D21133">
        <v>0</v>
      </c>
    </row>
    <row r="21134" spans="1:4" x14ac:dyDescent="0.3">
      <c r="A21134" t="s">
        <v>1127</v>
      </c>
      <c r="B21134" t="s">
        <v>38</v>
      </c>
      <c r="C21134" s="1">
        <f>HYPERLINK("https://cao.dolgi.msk.ru/account/1011374854/", 1011374854)</f>
        <v>1011374854</v>
      </c>
      <c r="D21134">
        <v>6730.02</v>
      </c>
    </row>
    <row r="21135" spans="1:4" hidden="1" x14ac:dyDescent="0.3">
      <c r="A21135" t="s">
        <v>1127</v>
      </c>
      <c r="B21135" t="s">
        <v>39</v>
      </c>
      <c r="C21135" s="1">
        <f>HYPERLINK("https://cao.dolgi.msk.ru/account/1011374993/", 1011374993)</f>
        <v>1011374993</v>
      </c>
      <c r="D21135">
        <v>0</v>
      </c>
    </row>
    <row r="21136" spans="1:4" hidden="1" x14ac:dyDescent="0.3">
      <c r="A21136" t="s">
        <v>1127</v>
      </c>
      <c r="B21136" t="s">
        <v>39</v>
      </c>
      <c r="C21136" s="1">
        <f>HYPERLINK("https://cao.dolgi.msk.ru/account/1011375064/", 1011375064)</f>
        <v>1011375064</v>
      </c>
      <c r="D21136">
        <v>0</v>
      </c>
    </row>
    <row r="21137" spans="1:4" hidden="1" x14ac:dyDescent="0.3">
      <c r="A21137" t="s">
        <v>1127</v>
      </c>
      <c r="B21137" t="s">
        <v>40</v>
      </c>
      <c r="C21137" s="1">
        <f>HYPERLINK("https://cao.dolgi.msk.ru/account/1011375435/", 1011375435)</f>
        <v>1011375435</v>
      </c>
      <c r="D21137">
        <v>0</v>
      </c>
    </row>
    <row r="21138" spans="1:4" hidden="1" x14ac:dyDescent="0.3">
      <c r="A21138" t="s">
        <v>1127</v>
      </c>
      <c r="B21138" t="s">
        <v>41</v>
      </c>
      <c r="C21138" s="1">
        <f>HYPERLINK("https://cao.dolgi.msk.ru/account/1011375347/", 1011375347)</f>
        <v>1011375347</v>
      </c>
      <c r="D21138">
        <v>0</v>
      </c>
    </row>
    <row r="21139" spans="1:4" hidden="1" x14ac:dyDescent="0.3">
      <c r="A21139" t="s">
        <v>1127</v>
      </c>
      <c r="B21139" t="s">
        <v>51</v>
      </c>
      <c r="C21139" s="1">
        <f>HYPERLINK("https://cao.dolgi.msk.ru/account/1011374627/", 1011374627)</f>
        <v>1011374627</v>
      </c>
      <c r="D21139">
        <v>-11043.62</v>
      </c>
    </row>
    <row r="21140" spans="1:4" hidden="1" x14ac:dyDescent="0.3">
      <c r="A21140" t="s">
        <v>1127</v>
      </c>
      <c r="B21140" t="s">
        <v>52</v>
      </c>
      <c r="C21140" s="1">
        <f>HYPERLINK("https://cao.dolgi.msk.ru/account/1011374475/", 1011374475)</f>
        <v>1011374475</v>
      </c>
      <c r="D21140">
        <v>0</v>
      </c>
    </row>
    <row r="21141" spans="1:4" hidden="1" x14ac:dyDescent="0.3">
      <c r="A21141" t="s">
        <v>1127</v>
      </c>
      <c r="B21141" t="s">
        <v>53</v>
      </c>
      <c r="C21141" s="1">
        <f>HYPERLINK("https://cao.dolgi.msk.ru/account/1011374504/", 1011374504)</f>
        <v>1011374504</v>
      </c>
      <c r="D21141">
        <v>0</v>
      </c>
    </row>
    <row r="21142" spans="1:4" hidden="1" x14ac:dyDescent="0.3">
      <c r="A21142" t="s">
        <v>1127</v>
      </c>
      <c r="B21142" t="s">
        <v>54</v>
      </c>
      <c r="C21142" s="1">
        <f>HYPERLINK("https://cao.dolgi.msk.ru/account/1011374934/", 1011374934)</f>
        <v>1011374934</v>
      </c>
      <c r="D21142">
        <v>0</v>
      </c>
    </row>
    <row r="21143" spans="1:4" hidden="1" x14ac:dyDescent="0.3">
      <c r="A21143" t="s">
        <v>1127</v>
      </c>
      <c r="B21143" t="s">
        <v>55</v>
      </c>
      <c r="C21143" s="1">
        <f>HYPERLINK("https://cao.dolgi.msk.ru/account/1011375099/", 1011375099)</f>
        <v>1011375099</v>
      </c>
      <c r="D21143">
        <v>0</v>
      </c>
    </row>
    <row r="21144" spans="1:4" x14ac:dyDescent="0.3">
      <c r="A21144" t="s">
        <v>1127</v>
      </c>
      <c r="B21144" t="s">
        <v>56</v>
      </c>
      <c r="C21144" s="1">
        <f>HYPERLINK("https://cao.dolgi.msk.ru/account/1011374571/", 1011374571)</f>
        <v>1011374571</v>
      </c>
      <c r="D21144">
        <v>5669.27</v>
      </c>
    </row>
    <row r="21145" spans="1:4" hidden="1" x14ac:dyDescent="0.3">
      <c r="A21145" t="s">
        <v>1127</v>
      </c>
      <c r="B21145" t="s">
        <v>87</v>
      </c>
      <c r="C21145" s="1">
        <f>HYPERLINK("https://cao.dolgi.msk.ru/account/1011375355/", 1011375355)</f>
        <v>1011375355</v>
      </c>
      <c r="D21145">
        <v>0</v>
      </c>
    </row>
    <row r="21146" spans="1:4" hidden="1" x14ac:dyDescent="0.3">
      <c r="A21146" t="s">
        <v>1127</v>
      </c>
      <c r="B21146" t="s">
        <v>88</v>
      </c>
      <c r="C21146" s="1">
        <f>HYPERLINK("https://cao.dolgi.msk.ru/account/1011374942/", 1011374942)</f>
        <v>1011374942</v>
      </c>
      <c r="D21146">
        <v>0</v>
      </c>
    </row>
    <row r="21147" spans="1:4" hidden="1" x14ac:dyDescent="0.3">
      <c r="A21147" t="s">
        <v>1127</v>
      </c>
      <c r="B21147" t="s">
        <v>89</v>
      </c>
      <c r="C21147" s="1">
        <f>HYPERLINK("https://cao.dolgi.msk.ru/account/1011375531/", 1011375531)</f>
        <v>1011375531</v>
      </c>
      <c r="D21147">
        <v>-226.62</v>
      </c>
    </row>
    <row r="21148" spans="1:4" x14ac:dyDescent="0.3">
      <c r="A21148" t="s">
        <v>1127</v>
      </c>
      <c r="B21148" t="s">
        <v>90</v>
      </c>
      <c r="C21148" s="1">
        <f>HYPERLINK("https://cao.dolgi.msk.ru/account/1011375259/", 1011375259)</f>
        <v>1011375259</v>
      </c>
      <c r="D21148">
        <v>787290.44</v>
      </c>
    </row>
    <row r="21149" spans="1:4" hidden="1" x14ac:dyDescent="0.3">
      <c r="A21149" t="s">
        <v>1127</v>
      </c>
      <c r="B21149" t="s">
        <v>96</v>
      </c>
      <c r="C21149" s="1">
        <f>HYPERLINK("https://cao.dolgi.msk.ru/account/1011375005/", 1011375005)</f>
        <v>1011375005</v>
      </c>
      <c r="D21149">
        <v>-25.93</v>
      </c>
    </row>
    <row r="21150" spans="1:4" hidden="1" x14ac:dyDescent="0.3">
      <c r="A21150" t="s">
        <v>1127</v>
      </c>
      <c r="B21150" t="s">
        <v>97</v>
      </c>
      <c r="C21150" s="1">
        <f>HYPERLINK("https://cao.dolgi.msk.ru/account/1011374555/", 1011374555)</f>
        <v>1011374555</v>
      </c>
      <c r="D21150">
        <v>-3719.16</v>
      </c>
    </row>
    <row r="21151" spans="1:4" hidden="1" x14ac:dyDescent="0.3">
      <c r="A21151" t="s">
        <v>1127</v>
      </c>
      <c r="B21151" t="s">
        <v>98</v>
      </c>
      <c r="C21151" s="1">
        <f>HYPERLINK("https://cao.dolgi.msk.ru/account/1011374846/", 1011374846)</f>
        <v>1011374846</v>
      </c>
      <c r="D21151">
        <v>0</v>
      </c>
    </row>
    <row r="21152" spans="1:4" hidden="1" x14ac:dyDescent="0.3">
      <c r="A21152" t="s">
        <v>1127</v>
      </c>
      <c r="B21152" t="s">
        <v>58</v>
      </c>
      <c r="C21152" s="1">
        <f>HYPERLINK("https://cao.dolgi.msk.ru/account/1011374678/", 1011374678)</f>
        <v>1011374678</v>
      </c>
      <c r="D21152">
        <v>0</v>
      </c>
    </row>
    <row r="21153" spans="1:4" x14ac:dyDescent="0.3">
      <c r="A21153" t="s">
        <v>1127</v>
      </c>
      <c r="B21153" t="s">
        <v>59</v>
      </c>
      <c r="C21153" s="1">
        <f>HYPERLINK("https://cao.dolgi.msk.ru/account/1011374598/", 1011374598)</f>
        <v>1011374598</v>
      </c>
      <c r="D21153">
        <v>547084.01</v>
      </c>
    </row>
    <row r="21154" spans="1:4" hidden="1" x14ac:dyDescent="0.3">
      <c r="A21154" t="s">
        <v>1127</v>
      </c>
      <c r="B21154" t="s">
        <v>60</v>
      </c>
      <c r="C21154" s="1">
        <f>HYPERLINK("https://cao.dolgi.msk.ru/account/1011375515/", 1011375515)</f>
        <v>1011375515</v>
      </c>
      <c r="D21154">
        <v>0</v>
      </c>
    </row>
    <row r="21155" spans="1:4" hidden="1" x14ac:dyDescent="0.3">
      <c r="A21155" t="s">
        <v>1127</v>
      </c>
      <c r="B21155" t="s">
        <v>61</v>
      </c>
      <c r="C21155" s="1">
        <f>HYPERLINK("https://cao.dolgi.msk.ru/account/1011374395/", 1011374395)</f>
        <v>1011374395</v>
      </c>
      <c r="D21155">
        <v>-1122.17</v>
      </c>
    </row>
    <row r="21156" spans="1:4" hidden="1" x14ac:dyDescent="0.3">
      <c r="A21156" t="s">
        <v>1127</v>
      </c>
      <c r="B21156" t="s">
        <v>62</v>
      </c>
      <c r="C21156" s="1">
        <f>HYPERLINK("https://cao.dolgi.msk.ru/account/1011374459/", 1011374459)</f>
        <v>1011374459</v>
      </c>
      <c r="D21156">
        <v>-7.61</v>
      </c>
    </row>
    <row r="21157" spans="1:4" x14ac:dyDescent="0.3">
      <c r="A21157" t="s">
        <v>1127</v>
      </c>
      <c r="B21157" t="s">
        <v>63</v>
      </c>
      <c r="C21157" s="1">
        <f>HYPERLINK("https://cao.dolgi.msk.ru/account/1011375021/", 1011375021)</f>
        <v>1011375021</v>
      </c>
      <c r="D21157">
        <v>7939.82</v>
      </c>
    </row>
    <row r="21158" spans="1:4" hidden="1" x14ac:dyDescent="0.3">
      <c r="A21158" t="s">
        <v>1127</v>
      </c>
      <c r="B21158" t="s">
        <v>64</v>
      </c>
      <c r="C21158" s="1">
        <f>HYPERLINK("https://cao.dolgi.msk.ru/account/1011375427/", 1011375427)</f>
        <v>1011375427</v>
      </c>
      <c r="D21158">
        <v>-4524.8</v>
      </c>
    </row>
    <row r="21159" spans="1:4" hidden="1" x14ac:dyDescent="0.3">
      <c r="A21159" t="s">
        <v>1127</v>
      </c>
      <c r="B21159" t="s">
        <v>65</v>
      </c>
      <c r="C21159" s="1">
        <f>HYPERLINK("https://cao.dolgi.msk.ru/account/1011374707/", 1011374707)</f>
        <v>1011374707</v>
      </c>
      <c r="D21159">
        <v>-9439.2199999999993</v>
      </c>
    </row>
    <row r="21160" spans="1:4" hidden="1" x14ac:dyDescent="0.3">
      <c r="A21160" t="s">
        <v>1127</v>
      </c>
      <c r="B21160" t="s">
        <v>66</v>
      </c>
      <c r="C21160" s="1">
        <f>HYPERLINK("https://cao.dolgi.msk.ru/account/1011374379/", 1011374379)</f>
        <v>1011374379</v>
      </c>
      <c r="D21160">
        <v>-4803.3500000000004</v>
      </c>
    </row>
    <row r="21161" spans="1:4" hidden="1" x14ac:dyDescent="0.3">
      <c r="A21161" t="s">
        <v>1127</v>
      </c>
      <c r="B21161" t="s">
        <v>67</v>
      </c>
      <c r="C21161" s="1">
        <f>HYPERLINK("https://cao.dolgi.msk.ru/account/1011541165/", 1011541165)</f>
        <v>1011541165</v>
      </c>
      <c r="D21161">
        <v>0</v>
      </c>
    </row>
    <row r="21162" spans="1:4" x14ac:dyDescent="0.3">
      <c r="A21162" t="s">
        <v>1127</v>
      </c>
      <c r="B21162" t="s">
        <v>68</v>
      </c>
      <c r="C21162" s="1">
        <f>HYPERLINK("https://cao.dolgi.msk.ru/account/1011518723/", 1011518723)</f>
        <v>1011518723</v>
      </c>
      <c r="D21162">
        <v>2762.17</v>
      </c>
    </row>
    <row r="21163" spans="1:4" hidden="1" x14ac:dyDescent="0.3">
      <c r="A21163" t="s">
        <v>1127</v>
      </c>
      <c r="B21163" t="s">
        <v>69</v>
      </c>
      <c r="C21163" s="1">
        <f>HYPERLINK("https://cao.dolgi.msk.ru/account/1011374619/", 1011374619)</f>
        <v>1011374619</v>
      </c>
      <c r="D21163">
        <v>0</v>
      </c>
    </row>
    <row r="21164" spans="1:4" hidden="1" x14ac:dyDescent="0.3">
      <c r="A21164" t="s">
        <v>1127</v>
      </c>
      <c r="B21164" t="s">
        <v>70</v>
      </c>
      <c r="C21164" s="1">
        <f>HYPERLINK("https://cao.dolgi.msk.ru/account/1011375195/", 1011375195)</f>
        <v>1011375195</v>
      </c>
      <c r="D21164">
        <v>0</v>
      </c>
    </row>
    <row r="21165" spans="1:4" hidden="1" x14ac:dyDescent="0.3">
      <c r="A21165" t="s">
        <v>1127</v>
      </c>
      <c r="B21165" t="s">
        <v>70</v>
      </c>
      <c r="C21165" s="1">
        <f>HYPERLINK("https://cao.dolgi.msk.ru/account/1011375312/", 1011375312)</f>
        <v>1011375312</v>
      </c>
      <c r="D21165">
        <v>-195.92</v>
      </c>
    </row>
    <row r="21166" spans="1:4" hidden="1" x14ac:dyDescent="0.3">
      <c r="A21166" t="s">
        <v>1127</v>
      </c>
      <c r="B21166" t="s">
        <v>259</v>
      </c>
      <c r="C21166" s="1">
        <f>HYPERLINK("https://cao.dolgi.msk.ru/account/1011374897/", 1011374897)</f>
        <v>1011374897</v>
      </c>
      <c r="D21166">
        <v>-643.24</v>
      </c>
    </row>
    <row r="21167" spans="1:4" hidden="1" x14ac:dyDescent="0.3">
      <c r="A21167" t="s">
        <v>1127</v>
      </c>
      <c r="B21167" t="s">
        <v>100</v>
      </c>
      <c r="C21167" s="1">
        <f>HYPERLINK("https://cao.dolgi.msk.ru/account/1011375152/", 1011375152)</f>
        <v>1011375152</v>
      </c>
      <c r="D21167">
        <v>0</v>
      </c>
    </row>
    <row r="21168" spans="1:4" hidden="1" x14ac:dyDescent="0.3">
      <c r="A21168" t="s">
        <v>1127</v>
      </c>
      <c r="B21168" t="s">
        <v>72</v>
      </c>
      <c r="C21168" s="1">
        <f>HYPERLINK("https://cao.dolgi.msk.ru/account/1011375187/", 1011375187)</f>
        <v>1011375187</v>
      </c>
      <c r="D21168">
        <v>-4272.1899999999996</v>
      </c>
    </row>
    <row r="21169" spans="1:4" hidden="1" x14ac:dyDescent="0.3">
      <c r="A21169" t="s">
        <v>1127</v>
      </c>
      <c r="B21169" t="s">
        <v>73</v>
      </c>
      <c r="C21169" s="1">
        <f>HYPERLINK("https://cao.dolgi.msk.ru/account/1011375507/", 1011375507)</f>
        <v>1011375507</v>
      </c>
      <c r="D21169">
        <v>0</v>
      </c>
    </row>
    <row r="21170" spans="1:4" hidden="1" x14ac:dyDescent="0.3">
      <c r="A21170" t="s">
        <v>1127</v>
      </c>
      <c r="B21170" t="s">
        <v>74</v>
      </c>
      <c r="C21170" s="1">
        <f>HYPERLINK("https://cao.dolgi.msk.ru/account/1011374803/", 1011374803)</f>
        <v>1011374803</v>
      </c>
      <c r="D21170">
        <v>0</v>
      </c>
    </row>
    <row r="21171" spans="1:4" hidden="1" x14ac:dyDescent="0.3">
      <c r="A21171" t="s">
        <v>1127</v>
      </c>
      <c r="B21171" t="s">
        <v>75</v>
      </c>
      <c r="C21171" s="1">
        <f>HYPERLINK("https://cao.dolgi.msk.ru/account/1011375582/", 1011375582)</f>
        <v>1011375582</v>
      </c>
      <c r="D21171">
        <v>-5184.76</v>
      </c>
    </row>
    <row r="21172" spans="1:4" hidden="1" x14ac:dyDescent="0.3">
      <c r="A21172" t="s">
        <v>1127</v>
      </c>
      <c r="B21172" t="s">
        <v>76</v>
      </c>
      <c r="C21172" s="1">
        <f>HYPERLINK("https://cao.dolgi.msk.ru/account/1011375363/", 1011375363)</f>
        <v>1011375363</v>
      </c>
      <c r="D21172">
        <v>0</v>
      </c>
    </row>
    <row r="21173" spans="1:4" hidden="1" x14ac:dyDescent="0.3">
      <c r="A21173" t="s">
        <v>1127</v>
      </c>
      <c r="B21173" t="s">
        <v>77</v>
      </c>
      <c r="C21173" s="1">
        <f>HYPERLINK("https://cao.dolgi.msk.ru/account/1011375443/", 1011375443)</f>
        <v>1011375443</v>
      </c>
      <c r="D21173">
        <v>-11647.35</v>
      </c>
    </row>
    <row r="21174" spans="1:4" hidden="1" x14ac:dyDescent="0.3">
      <c r="A21174" t="s">
        <v>1127</v>
      </c>
      <c r="B21174" t="s">
        <v>78</v>
      </c>
      <c r="C21174" s="1">
        <f>HYPERLINK("https://cao.dolgi.msk.ru/account/1011375056/", 1011375056)</f>
        <v>1011375056</v>
      </c>
      <c r="D21174">
        <v>0</v>
      </c>
    </row>
    <row r="21175" spans="1:4" hidden="1" x14ac:dyDescent="0.3">
      <c r="A21175" t="s">
        <v>1127</v>
      </c>
      <c r="B21175" t="s">
        <v>79</v>
      </c>
      <c r="C21175" s="1">
        <f>HYPERLINK("https://cao.dolgi.msk.ru/account/1011374328/", 1011374328)</f>
        <v>1011374328</v>
      </c>
      <c r="D21175">
        <v>-3791.4</v>
      </c>
    </row>
    <row r="21176" spans="1:4" hidden="1" x14ac:dyDescent="0.3">
      <c r="A21176" t="s">
        <v>1127</v>
      </c>
      <c r="B21176" t="s">
        <v>80</v>
      </c>
      <c r="C21176" s="1">
        <f>HYPERLINK("https://cao.dolgi.msk.ru/account/1011375179/", 1011375179)</f>
        <v>1011375179</v>
      </c>
      <c r="D21176">
        <v>-2371.31</v>
      </c>
    </row>
    <row r="21177" spans="1:4" hidden="1" x14ac:dyDescent="0.3">
      <c r="A21177" t="s">
        <v>1127</v>
      </c>
      <c r="B21177" t="s">
        <v>81</v>
      </c>
      <c r="C21177" s="1">
        <f>HYPERLINK("https://cao.dolgi.msk.ru/account/1011374635/", 1011374635)</f>
        <v>1011374635</v>
      </c>
      <c r="D21177">
        <v>0</v>
      </c>
    </row>
    <row r="21178" spans="1:4" hidden="1" x14ac:dyDescent="0.3">
      <c r="A21178" t="s">
        <v>1127</v>
      </c>
      <c r="B21178" t="s">
        <v>101</v>
      </c>
      <c r="C21178" s="1">
        <f>HYPERLINK("https://cao.dolgi.msk.ru/account/1011374723/", 1011374723)</f>
        <v>1011374723</v>
      </c>
      <c r="D21178">
        <v>0</v>
      </c>
    </row>
    <row r="21179" spans="1:4" hidden="1" x14ac:dyDescent="0.3">
      <c r="A21179" t="s">
        <v>1127</v>
      </c>
      <c r="B21179" t="s">
        <v>82</v>
      </c>
      <c r="C21179" s="1">
        <f>HYPERLINK("https://cao.dolgi.msk.ru/account/1011375566/", 1011375566)</f>
        <v>1011375566</v>
      </c>
      <c r="D21179">
        <v>-21165.32</v>
      </c>
    </row>
    <row r="21180" spans="1:4" hidden="1" x14ac:dyDescent="0.3">
      <c r="A21180" t="s">
        <v>1127</v>
      </c>
      <c r="B21180" t="s">
        <v>83</v>
      </c>
      <c r="C21180" s="1">
        <f>HYPERLINK("https://cao.dolgi.msk.ru/account/1011374539/", 1011374539)</f>
        <v>1011374539</v>
      </c>
      <c r="D21180">
        <v>-6827.56</v>
      </c>
    </row>
    <row r="21181" spans="1:4" x14ac:dyDescent="0.3">
      <c r="A21181" t="s">
        <v>1127</v>
      </c>
      <c r="B21181" t="s">
        <v>84</v>
      </c>
      <c r="C21181" s="1">
        <f>HYPERLINK("https://cao.dolgi.msk.ru/account/1011375603/", 1011375603)</f>
        <v>1011375603</v>
      </c>
      <c r="D21181">
        <v>23476.59</v>
      </c>
    </row>
    <row r="21182" spans="1:4" hidden="1" x14ac:dyDescent="0.3">
      <c r="A21182" t="s">
        <v>1127</v>
      </c>
      <c r="B21182" t="s">
        <v>85</v>
      </c>
      <c r="C21182" s="1">
        <f>HYPERLINK("https://cao.dolgi.msk.ru/account/1011374977/", 1011374977)</f>
        <v>1011374977</v>
      </c>
      <c r="D21182">
        <v>0</v>
      </c>
    </row>
    <row r="21183" spans="1:4" hidden="1" x14ac:dyDescent="0.3">
      <c r="A21183" t="s">
        <v>1127</v>
      </c>
      <c r="B21183" t="s">
        <v>102</v>
      </c>
      <c r="C21183" s="1">
        <f>HYPERLINK("https://cao.dolgi.msk.ru/account/1011374299/", 1011374299)</f>
        <v>1011374299</v>
      </c>
      <c r="D21183">
        <v>0</v>
      </c>
    </row>
    <row r="21184" spans="1:4" hidden="1" x14ac:dyDescent="0.3">
      <c r="A21184" t="s">
        <v>1127</v>
      </c>
      <c r="B21184" t="s">
        <v>103</v>
      </c>
      <c r="C21184" s="1">
        <f>HYPERLINK("https://cao.dolgi.msk.ru/account/1011375523/", 1011375523)</f>
        <v>1011375523</v>
      </c>
      <c r="D21184">
        <v>-5332.37</v>
      </c>
    </row>
    <row r="21185" spans="1:4" hidden="1" x14ac:dyDescent="0.3">
      <c r="A21185" t="s">
        <v>1127</v>
      </c>
      <c r="B21185" t="s">
        <v>104</v>
      </c>
      <c r="C21185" s="1">
        <f>HYPERLINK("https://cao.dolgi.msk.ru/account/1011375208/", 1011375208)</f>
        <v>1011375208</v>
      </c>
      <c r="D21185">
        <v>-4569.7299999999996</v>
      </c>
    </row>
    <row r="21186" spans="1:4" hidden="1" x14ac:dyDescent="0.3">
      <c r="A21186" t="s">
        <v>1127</v>
      </c>
      <c r="B21186" t="s">
        <v>105</v>
      </c>
      <c r="C21186" s="1">
        <f>HYPERLINK("https://cao.dolgi.msk.ru/account/1011374408/", 1011374408)</f>
        <v>1011374408</v>
      </c>
      <c r="D21186">
        <v>0</v>
      </c>
    </row>
    <row r="21187" spans="1:4" x14ac:dyDescent="0.3">
      <c r="A21187" t="s">
        <v>1127</v>
      </c>
      <c r="B21187" t="s">
        <v>106</v>
      </c>
      <c r="C21187" s="1">
        <f>HYPERLINK("https://cao.dolgi.msk.ru/account/1011374424/", 1011374424)</f>
        <v>1011374424</v>
      </c>
      <c r="D21187">
        <v>4777.8</v>
      </c>
    </row>
    <row r="21188" spans="1:4" hidden="1" x14ac:dyDescent="0.3">
      <c r="A21188" t="s">
        <v>1127</v>
      </c>
      <c r="B21188" t="s">
        <v>107</v>
      </c>
      <c r="C21188" s="1">
        <f>HYPERLINK("https://cao.dolgi.msk.ru/account/1011375144/", 1011375144)</f>
        <v>1011375144</v>
      </c>
      <c r="D21188">
        <v>-6496.45</v>
      </c>
    </row>
    <row r="21189" spans="1:4" hidden="1" x14ac:dyDescent="0.3">
      <c r="A21189" t="s">
        <v>1127</v>
      </c>
      <c r="B21189" t="s">
        <v>108</v>
      </c>
      <c r="C21189" s="1">
        <f>HYPERLINK("https://cao.dolgi.msk.ru/account/1011374483/", 1011374483)</f>
        <v>1011374483</v>
      </c>
      <c r="D21189">
        <v>-2148.54</v>
      </c>
    </row>
    <row r="21190" spans="1:4" hidden="1" x14ac:dyDescent="0.3">
      <c r="A21190" t="s">
        <v>1127</v>
      </c>
      <c r="B21190" t="s">
        <v>109</v>
      </c>
      <c r="C21190" s="1">
        <f>HYPERLINK("https://cao.dolgi.msk.ru/account/1011375486/", 1011375486)</f>
        <v>1011375486</v>
      </c>
      <c r="D21190">
        <v>0</v>
      </c>
    </row>
    <row r="21191" spans="1:4" hidden="1" x14ac:dyDescent="0.3">
      <c r="A21191" t="s">
        <v>1127</v>
      </c>
      <c r="B21191" t="s">
        <v>110</v>
      </c>
      <c r="C21191" s="1">
        <f>HYPERLINK("https://cao.dolgi.msk.ru/account/1011374643/", 1011374643)</f>
        <v>1011374643</v>
      </c>
      <c r="D21191">
        <v>-5073.76</v>
      </c>
    </row>
    <row r="21192" spans="1:4" hidden="1" x14ac:dyDescent="0.3">
      <c r="A21192" t="s">
        <v>1127</v>
      </c>
      <c r="B21192" t="s">
        <v>111</v>
      </c>
      <c r="C21192" s="1">
        <f>HYPERLINK("https://cao.dolgi.msk.ru/account/1011374336/", 1011374336)</f>
        <v>1011374336</v>
      </c>
      <c r="D21192">
        <v>0</v>
      </c>
    </row>
    <row r="21193" spans="1:4" x14ac:dyDescent="0.3">
      <c r="A21193" t="s">
        <v>1127</v>
      </c>
      <c r="B21193" t="s">
        <v>112</v>
      </c>
      <c r="C21193" s="1">
        <f>HYPERLINK("https://cao.dolgi.msk.ru/account/1011375371/", 1011375371)</f>
        <v>1011375371</v>
      </c>
      <c r="D21193">
        <v>6546.74</v>
      </c>
    </row>
    <row r="21194" spans="1:4" hidden="1" x14ac:dyDescent="0.3">
      <c r="A21194" t="s">
        <v>1127</v>
      </c>
      <c r="B21194" t="s">
        <v>113</v>
      </c>
      <c r="C21194" s="1">
        <f>HYPERLINK("https://cao.dolgi.msk.ru/account/1011374985/", 1011374985)</f>
        <v>1011374985</v>
      </c>
      <c r="D21194">
        <v>0</v>
      </c>
    </row>
    <row r="21195" spans="1:4" hidden="1" x14ac:dyDescent="0.3">
      <c r="A21195" t="s">
        <v>1127</v>
      </c>
      <c r="B21195" t="s">
        <v>114</v>
      </c>
      <c r="C21195" s="1">
        <f>HYPERLINK("https://cao.dolgi.msk.ru/account/1011375611/", 1011375611)</f>
        <v>1011375611</v>
      </c>
      <c r="D21195">
        <v>0</v>
      </c>
    </row>
    <row r="21196" spans="1:4" x14ac:dyDescent="0.3">
      <c r="A21196" t="s">
        <v>1127</v>
      </c>
      <c r="B21196" t="s">
        <v>115</v>
      </c>
      <c r="C21196" s="1">
        <f>HYPERLINK("https://cao.dolgi.msk.ru/account/1011375638/", 1011375638)</f>
        <v>1011375638</v>
      </c>
      <c r="D21196">
        <v>2894.01</v>
      </c>
    </row>
    <row r="21197" spans="1:4" hidden="1" x14ac:dyDescent="0.3">
      <c r="A21197" t="s">
        <v>1127</v>
      </c>
      <c r="B21197" t="s">
        <v>116</v>
      </c>
      <c r="C21197" s="1">
        <f>HYPERLINK("https://cao.dolgi.msk.ru/account/1011374344/", 1011374344)</f>
        <v>1011374344</v>
      </c>
      <c r="D21197">
        <v>0</v>
      </c>
    </row>
    <row r="21198" spans="1:4" hidden="1" x14ac:dyDescent="0.3">
      <c r="A21198" t="s">
        <v>1127</v>
      </c>
      <c r="B21198" t="s">
        <v>266</v>
      </c>
      <c r="C21198" s="1">
        <f>HYPERLINK("https://cao.dolgi.msk.ru/account/1011375216/", 1011375216)</f>
        <v>1011375216</v>
      </c>
      <c r="D21198">
        <v>-778.56</v>
      </c>
    </row>
    <row r="21199" spans="1:4" hidden="1" x14ac:dyDescent="0.3">
      <c r="A21199" t="s">
        <v>1127</v>
      </c>
      <c r="B21199" t="s">
        <v>117</v>
      </c>
      <c r="C21199" s="1">
        <f>HYPERLINK("https://cao.dolgi.msk.ru/account/1011374766/", 1011374766)</f>
        <v>1011374766</v>
      </c>
      <c r="D21199">
        <v>-79.650000000000006</v>
      </c>
    </row>
    <row r="21200" spans="1:4" hidden="1" x14ac:dyDescent="0.3">
      <c r="A21200" t="s">
        <v>1127</v>
      </c>
      <c r="B21200" t="s">
        <v>118</v>
      </c>
      <c r="C21200" s="1">
        <f>HYPERLINK("https://cao.dolgi.msk.ru/account/1011374467/", 1011374467)</f>
        <v>1011374467</v>
      </c>
      <c r="D21200">
        <v>-6737.03</v>
      </c>
    </row>
    <row r="21201" spans="1:4" hidden="1" x14ac:dyDescent="0.3">
      <c r="A21201" t="s">
        <v>1127</v>
      </c>
      <c r="B21201" t="s">
        <v>119</v>
      </c>
      <c r="C21201" s="1">
        <f>HYPERLINK("https://cao.dolgi.msk.ru/account/1011375101/", 1011375101)</f>
        <v>1011375101</v>
      </c>
      <c r="D21201">
        <v>0</v>
      </c>
    </row>
    <row r="21202" spans="1:4" hidden="1" x14ac:dyDescent="0.3">
      <c r="A21202" t="s">
        <v>1127</v>
      </c>
      <c r="B21202" t="s">
        <v>120</v>
      </c>
      <c r="C21202" s="1">
        <f>HYPERLINK("https://cao.dolgi.msk.ru/account/1011374301/", 1011374301)</f>
        <v>1011374301</v>
      </c>
      <c r="D21202">
        <v>-26.49</v>
      </c>
    </row>
    <row r="21203" spans="1:4" hidden="1" x14ac:dyDescent="0.3">
      <c r="A21203" t="s">
        <v>1127</v>
      </c>
      <c r="B21203" t="s">
        <v>121</v>
      </c>
      <c r="C21203" s="1">
        <f>HYPERLINK("https://cao.dolgi.msk.ru/account/1011375267/", 1011375267)</f>
        <v>1011375267</v>
      </c>
      <c r="D21203">
        <v>0</v>
      </c>
    </row>
    <row r="21204" spans="1:4" hidden="1" x14ac:dyDescent="0.3">
      <c r="A21204" t="s">
        <v>1127</v>
      </c>
      <c r="B21204" t="s">
        <v>122</v>
      </c>
      <c r="C21204" s="1">
        <f>HYPERLINK("https://cao.dolgi.msk.ru/account/1011374387/", 1011374387)</f>
        <v>1011374387</v>
      </c>
      <c r="D21204">
        <v>0</v>
      </c>
    </row>
    <row r="21205" spans="1:4" hidden="1" x14ac:dyDescent="0.3">
      <c r="A21205" t="s">
        <v>1127</v>
      </c>
      <c r="B21205" t="s">
        <v>123</v>
      </c>
      <c r="C21205" s="1">
        <f>HYPERLINK("https://cao.dolgi.msk.ru/account/1011374758/", 1011374758)</f>
        <v>1011374758</v>
      </c>
      <c r="D21205">
        <v>0</v>
      </c>
    </row>
    <row r="21206" spans="1:4" hidden="1" x14ac:dyDescent="0.3">
      <c r="A21206" t="s">
        <v>1127</v>
      </c>
      <c r="B21206" t="s">
        <v>123</v>
      </c>
      <c r="C21206" s="1">
        <f>HYPERLINK("https://cao.dolgi.msk.ru/account/1011374774/", 1011374774)</f>
        <v>1011374774</v>
      </c>
      <c r="D21206">
        <v>0</v>
      </c>
    </row>
    <row r="21207" spans="1:4" hidden="1" x14ac:dyDescent="0.3">
      <c r="A21207" t="s">
        <v>1127</v>
      </c>
      <c r="B21207" t="s">
        <v>124</v>
      </c>
      <c r="C21207" s="1">
        <f>HYPERLINK("https://cao.dolgi.msk.ru/account/1011374491/", 1011374491)</f>
        <v>1011374491</v>
      </c>
      <c r="D21207">
        <v>-6310.82</v>
      </c>
    </row>
    <row r="21208" spans="1:4" hidden="1" x14ac:dyDescent="0.3">
      <c r="A21208" t="s">
        <v>1127</v>
      </c>
      <c r="B21208" t="s">
        <v>125</v>
      </c>
      <c r="C21208" s="1">
        <f>HYPERLINK("https://cao.dolgi.msk.ru/account/1011375398/", 1011375398)</f>
        <v>1011375398</v>
      </c>
      <c r="D21208">
        <v>0</v>
      </c>
    </row>
    <row r="21209" spans="1:4" hidden="1" x14ac:dyDescent="0.3">
      <c r="A21209" t="s">
        <v>1127</v>
      </c>
      <c r="B21209" t="s">
        <v>126</v>
      </c>
      <c r="C21209" s="1">
        <f>HYPERLINK("https://cao.dolgi.msk.ru/account/1011374686/", 1011374686)</f>
        <v>1011374686</v>
      </c>
      <c r="D21209">
        <v>0</v>
      </c>
    </row>
    <row r="21210" spans="1:4" hidden="1" x14ac:dyDescent="0.3">
      <c r="A21210" t="s">
        <v>1127</v>
      </c>
      <c r="B21210" t="s">
        <v>127</v>
      </c>
      <c r="C21210" s="1">
        <f>HYPERLINK("https://cao.dolgi.msk.ru/account/1011375646/", 1011375646)</f>
        <v>1011375646</v>
      </c>
      <c r="D21210">
        <v>-45304.56</v>
      </c>
    </row>
    <row r="21211" spans="1:4" hidden="1" x14ac:dyDescent="0.3">
      <c r="A21211" t="s">
        <v>1127</v>
      </c>
      <c r="B21211" t="s">
        <v>262</v>
      </c>
      <c r="C21211" s="1">
        <f>HYPERLINK("https://cao.dolgi.msk.ru/account/1011374731/", 1011374731)</f>
        <v>1011374731</v>
      </c>
      <c r="D21211">
        <v>0</v>
      </c>
    </row>
    <row r="21212" spans="1:4" x14ac:dyDescent="0.3">
      <c r="A21212" t="s">
        <v>1127</v>
      </c>
      <c r="B21212" t="s">
        <v>128</v>
      </c>
      <c r="C21212" s="1">
        <f>HYPERLINK("https://cao.dolgi.msk.ru/account/1011374926/", 1011374926)</f>
        <v>1011374926</v>
      </c>
      <c r="D21212">
        <v>3521.37</v>
      </c>
    </row>
    <row r="21213" spans="1:4" hidden="1" x14ac:dyDescent="0.3">
      <c r="A21213" t="s">
        <v>1127</v>
      </c>
      <c r="B21213" t="s">
        <v>129</v>
      </c>
      <c r="C21213" s="1">
        <f>HYPERLINK("https://cao.dolgi.msk.ru/account/1011374918/", 1011374918)</f>
        <v>1011374918</v>
      </c>
      <c r="D21213">
        <v>0</v>
      </c>
    </row>
    <row r="21214" spans="1:4" hidden="1" x14ac:dyDescent="0.3">
      <c r="A21214" t="s">
        <v>1127</v>
      </c>
      <c r="B21214" t="s">
        <v>130</v>
      </c>
      <c r="C21214" s="1">
        <f>HYPERLINK("https://cao.dolgi.msk.ru/account/1011375275/", 1011375275)</f>
        <v>1011375275</v>
      </c>
      <c r="D21214">
        <v>0</v>
      </c>
    </row>
    <row r="21215" spans="1:4" hidden="1" x14ac:dyDescent="0.3">
      <c r="A21215" t="s">
        <v>1127</v>
      </c>
      <c r="B21215" t="s">
        <v>131</v>
      </c>
      <c r="C21215" s="1">
        <f>HYPERLINK("https://cao.dolgi.msk.ru/account/1011375494/", 1011375494)</f>
        <v>1011375494</v>
      </c>
      <c r="D21215">
        <v>0</v>
      </c>
    </row>
    <row r="21216" spans="1:4" hidden="1" x14ac:dyDescent="0.3">
      <c r="A21216" t="s">
        <v>1127</v>
      </c>
      <c r="B21216" t="s">
        <v>132</v>
      </c>
      <c r="C21216" s="1">
        <f>HYPERLINK("https://cao.dolgi.msk.ru/account/1011375419/", 1011375419)</f>
        <v>1011375419</v>
      </c>
      <c r="D21216">
        <v>-3116.14</v>
      </c>
    </row>
    <row r="21217" spans="1:4" hidden="1" x14ac:dyDescent="0.3">
      <c r="A21217" t="s">
        <v>1127</v>
      </c>
      <c r="B21217" t="s">
        <v>133</v>
      </c>
      <c r="C21217" s="1">
        <f>HYPERLINK("https://cao.dolgi.msk.ru/account/1011374352/", 1011374352)</f>
        <v>1011374352</v>
      </c>
      <c r="D21217">
        <v>0</v>
      </c>
    </row>
    <row r="21218" spans="1:4" hidden="1" x14ac:dyDescent="0.3">
      <c r="A21218" t="s">
        <v>1127</v>
      </c>
      <c r="B21218" t="s">
        <v>134</v>
      </c>
      <c r="C21218" s="1">
        <f>HYPERLINK("https://cao.dolgi.msk.ru/account/1011375451/", 1011375451)</f>
        <v>1011375451</v>
      </c>
      <c r="D21218">
        <v>0</v>
      </c>
    </row>
    <row r="21219" spans="1:4" hidden="1" x14ac:dyDescent="0.3">
      <c r="A21219" t="s">
        <v>1128</v>
      </c>
      <c r="B21219" t="s">
        <v>6</v>
      </c>
      <c r="C21219" s="1">
        <f>HYPERLINK("https://cao.dolgi.msk.ru/account/1011450327/", 1011450327)</f>
        <v>1011450327</v>
      </c>
      <c r="D21219">
        <v>0</v>
      </c>
    </row>
    <row r="21220" spans="1:4" hidden="1" x14ac:dyDescent="0.3">
      <c r="A21220" t="s">
        <v>1128</v>
      </c>
      <c r="B21220" t="s">
        <v>28</v>
      </c>
      <c r="C21220" s="1">
        <f>HYPERLINK("https://cao.dolgi.msk.ru/account/1011451119/", 1011451119)</f>
        <v>1011451119</v>
      </c>
      <c r="D21220">
        <v>-6174.9</v>
      </c>
    </row>
    <row r="21221" spans="1:4" hidden="1" x14ac:dyDescent="0.3">
      <c r="A21221" t="s">
        <v>1128</v>
      </c>
      <c r="B21221" t="s">
        <v>35</v>
      </c>
      <c r="C21221" s="1">
        <f>HYPERLINK("https://cao.dolgi.msk.ru/account/1011450239/", 1011450239)</f>
        <v>1011450239</v>
      </c>
      <c r="D21221">
        <v>-40.54</v>
      </c>
    </row>
    <row r="21222" spans="1:4" x14ac:dyDescent="0.3">
      <c r="A21222" t="s">
        <v>1128</v>
      </c>
      <c r="B21222" t="s">
        <v>5</v>
      </c>
      <c r="C21222" s="1">
        <f>HYPERLINK("https://cao.dolgi.msk.ru/account/1011450845/", 1011450845)</f>
        <v>1011450845</v>
      </c>
      <c r="D21222">
        <v>8483.02</v>
      </c>
    </row>
    <row r="21223" spans="1:4" hidden="1" x14ac:dyDescent="0.3">
      <c r="A21223" t="s">
        <v>1128</v>
      </c>
      <c r="B21223" t="s">
        <v>7</v>
      </c>
      <c r="C21223" s="1">
        <f>HYPERLINK("https://cao.dolgi.msk.ru/account/1011451135/", 1011451135)</f>
        <v>1011451135</v>
      </c>
      <c r="D21223">
        <v>-5028.24</v>
      </c>
    </row>
    <row r="21224" spans="1:4" x14ac:dyDescent="0.3">
      <c r="A21224" t="s">
        <v>1128</v>
      </c>
      <c r="B21224" t="s">
        <v>8</v>
      </c>
      <c r="C21224" s="1">
        <f>HYPERLINK("https://cao.dolgi.msk.ru/account/1011451143/", 1011451143)</f>
        <v>1011451143</v>
      </c>
      <c r="D21224">
        <v>4577.18</v>
      </c>
    </row>
    <row r="21225" spans="1:4" hidden="1" x14ac:dyDescent="0.3">
      <c r="A21225" t="s">
        <v>1128</v>
      </c>
      <c r="B21225" t="s">
        <v>31</v>
      </c>
      <c r="C21225" s="1">
        <f>HYPERLINK("https://cao.dolgi.msk.ru/account/1011450124/", 1011450124)</f>
        <v>1011450124</v>
      </c>
      <c r="D21225">
        <v>-9112.4</v>
      </c>
    </row>
    <row r="21226" spans="1:4" hidden="1" x14ac:dyDescent="0.3">
      <c r="A21226" t="s">
        <v>1128</v>
      </c>
      <c r="B21226" t="s">
        <v>9</v>
      </c>
      <c r="C21226" s="1">
        <f>HYPERLINK("https://cao.dolgi.msk.ru/account/1011450132/", 1011450132)</f>
        <v>1011450132</v>
      </c>
      <c r="D21226">
        <v>0</v>
      </c>
    </row>
    <row r="21227" spans="1:4" hidden="1" x14ac:dyDescent="0.3">
      <c r="A21227" t="s">
        <v>1128</v>
      </c>
      <c r="B21227" t="s">
        <v>10</v>
      </c>
      <c r="C21227" s="1">
        <f>HYPERLINK("https://cao.dolgi.msk.ru/account/1011451258/", 1011451258)</f>
        <v>1011451258</v>
      </c>
      <c r="D21227">
        <v>-46.6</v>
      </c>
    </row>
    <row r="21228" spans="1:4" hidden="1" x14ac:dyDescent="0.3">
      <c r="A21228" t="s">
        <v>1128</v>
      </c>
      <c r="B21228" t="s">
        <v>11</v>
      </c>
      <c r="C21228" s="1">
        <f>HYPERLINK("https://cao.dolgi.msk.ru/account/1011451178/", 1011451178)</f>
        <v>1011451178</v>
      </c>
      <c r="D21228">
        <v>0</v>
      </c>
    </row>
    <row r="21229" spans="1:4" hidden="1" x14ac:dyDescent="0.3">
      <c r="A21229" t="s">
        <v>1128</v>
      </c>
      <c r="B21229" t="s">
        <v>12</v>
      </c>
      <c r="C21229" s="1">
        <f>HYPERLINK("https://cao.dolgi.msk.ru/account/1011450423/", 1011450423)</f>
        <v>1011450423</v>
      </c>
      <c r="D21229">
        <v>-40.04</v>
      </c>
    </row>
    <row r="21230" spans="1:4" x14ac:dyDescent="0.3">
      <c r="A21230" t="s">
        <v>1128</v>
      </c>
      <c r="B21230" t="s">
        <v>23</v>
      </c>
      <c r="C21230" s="1">
        <f>HYPERLINK("https://cao.dolgi.msk.ru/account/1011450749/", 1011450749)</f>
        <v>1011450749</v>
      </c>
      <c r="D21230">
        <v>30960.92</v>
      </c>
    </row>
    <row r="21231" spans="1:4" hidden="1" x14ac:dyDescent="0.3">
      <c r="A21231" t="s">
        <v>1128</v>
      </c>
      <c r="B21231" t="s">
        <v>13</v>
      </c>
      <c r="C21231" s="1">
        <f>HYPERLINK("https://cao.dolgi.msk.ru/account/1011451207/", 1011451207)</f>
        <v>1011451207</v>
      </c>
      <c r="D21231">
        <v>-45.98</v>
      </c>
    </row>
    <row r="21232" spans="1:4" hidden="1" x14ac:dyDescent="0.3">
      <c r="A21232" t="s">
        <v>1128</v>
      </c>
      <c r="B21232" t="s">
        <v>14</v>
      </c>
      <c r="C21232" s="1">
        <f>HYPERLINK("https://cao.dolgi.msk.ru/account/1011450634/", 1011450634)</f>
        <v>1011450634</v>
      </c>
      <c r="D21232">
        <v>0</v>
      </c>
    </row>
    <row r="21233" spans="1:4" hidden="1" x14ac:dyDescent="0.3">
      <c r="A21233" t="s">
        <v>1128</v>
      </c>
      <c r="B21233" t="s">
        <v>16</v>
      </c>
      <c r="C21233" s="1">
        <f>HYPERLINK("https://cao.dolgi.msk.ru/account/1011450925/", 1011450925)</f>
        <v>1011450925</v>
      </c>
      <c r="D21233">
        <v>-4893.28</v>
      </c>
    </row>
    <row r="21234" spans="1:4" hidden="1" x14ac:dyDescent="0.3">
      <c r="A21234" t="s">
        <v>1128</v>
      </c>
      <c r="B21234" t="s">
        <v>17</v>
      </c>
      <c r="C21234" s="1">
        <f>HYPERLINK("https://cao.dolgi.msk.ru/account/1011450968/", 1011450968)</f>
        <v>1011450968</v>
      </c>
      <c r="D21234">
        <v>0</v>
      </c>
    </row>
    <row r="21235" spans="1:4" hidden="1" x14ac:dyDescent="0.3">
      <c r="A21235" t="s">
        <v>1128</v>
      </c>
      <c r="B21235" t="s">
        <v>18</v>
      </c>
      <c r="C21235" s="1">
        <f>HYPERLINK("https://cao.dolgi.msk.ru/account/1011450853/", 1011450853)</f>
        <v>1011450853</v>
      </c>
      <c r="D21235">
        <v>-5176.6000000000004</v>
      </c>
    </row>
    <row r="21236" spans="1:4" hidden="1" x14ac:dyDescent="0.3">
      <c r="A21236" t="s">
        <v>1128</v>
      </c>
      <c r="B21236" t="s">
        <v>19</v>
      </c>
      <c r="C21236" s="1">
        <f>HYPERLINK("https://cao.dolgi.msk.ru/account/1011539081/", 1011539081)</f>
        <v>1011539081</v>
      </c>
      <c r="D21236">
        <v>0</v>
      </c>
    </row>
    <row r="21237" spans="1:4" x14ac:dyDescent="0.3">
      <c r="A21237" t="s">
        <v>1128</v>
      </c>
      <c r="B21237" t="s">
        <v>20</v>
      </c>
      <c r="C21237" s="1">
        <f>HYPERLINK("https://cao.dolgi.msk.ru/account/1011450685/", 1011450685)</f>
        <v>1011450685</v>
      </c>
      <c r="D21237">
        <v>32953.660000000003</v>
      </c>
    </row>
    <row r="21238" spans="1:4" hidden="1" x14ac:dyDescent="0.3">
      <c r="A21238" t="s">
        <v>1128</v>
      </c>
      <c r="B21238" t="s">
        <v>21</v>
      </c>
      <c r="C21238" s="1">
        <f>HYPERLINK("https://cao.dolgi.msk.ru/account/1011450431/", 1011450431)</f>
        <v>1011450431</v>
      </c>
      <c r="D21238">
        <v>-5766.84</v>
      </c>
    </row>
    <row r="21239" spans="1:4" hidden="1" x14ac:dyDescent="0.3">
      <c r="A21239" t="s">
        <v>1128</v>
      </c>
      <c r="B21239" t="s">
        <v>22</v>
      </c>
      <c r="C21239" s="1">
        <f>HYPERLINK("https://cao.dolgi.msk.ru/account/1011450298/", 1011450298)</f>
        <v>1011450298</v>
      </c>
      <c r="D21239">
        <v>-2229.5300000000002</v>
      </c>
    </row>
    <row r="21240" spans="1:4" hidden="1" x14ac:dyDescent="0.3">
      <c r="A21240" t="s">
        <v>1128</v>
      </c>
      <c r="B21240" t="s">
        <v>24</v>
      </c>
      <c r="C21240" s="1">
        <f>HYPERLINK("https://cao.dolgi.msk.ru/account/1011451311/", 1011451311)</f>
        <v>1011451311</v>
      </c>
      <c r="D21240">
        <v>0</v>
      </c>
    </row>
    <row r="21241" spans="1:4" hidden="1" x14ac:dyDescent="0.3">
      <c r="A21241" t="s">
        <v>1128</v>
      </c>
      <c r="B21241" t="s">
        <v>25</v>
      </c>
      <c r="C21241" s="1">
        <f>HYPERLINK("https://cao.dolgi.msk.ru/account/1011451418/", 1011451418)</f>
        <v>1011451418</v>
      </c>
      <c r="D21241">
        <v>-120.87</v>
      </c>
    </row>
    <row r="21242" spans="1:4" hidden="1" x14ac:dyDescent="0.3">
      <c r="A21242" t="s">
        <v>1128</v>
      </c>
      <c r="B21242" t="s">
        <v>26</v>
      </c>
      <c r="C21242" s="1">
        <f>HYPERLINK("https://cao.dolgi.msk.ru/account/1011451354/", 1011451354)</f>
        <v>1011451354</v>
      </c>
      <c r="D21242">
        <v>-6621.99</v>
      </c>
    </row>
    <row r="21243" spans="1:4" hidden="1" x14ac:dyDescent="0.3">
      <c r="A21243" t="s">
        <v>1128</v>
      </c>
      <c r="B21243" t="s">
        <v>27</v>
      </c>
      <c r="C21243" s="1">
        <f>HYPERLINK("https://cao.dolgi.msk.ru/account/1011451194/", 1011451194)</f>
        <v>1011451194</v>
      </c>
      <c r="D21243">
        <v>-5288.19</v>
      </c>
    </row>
    <row r="21244" spans="1:4" x14ac:dyDescent="0.3">
      <c r="A21244" t="s">
        <v>1128</v>
      </c>
      <c r="B21244" t="s">
        <v>29</v>
      </c>
      <c r="C21244" s="1">
        <f>HYPERLINK("https://cao.dolgi.msk.ru/account/1011450394/", 1011450394)</f>
        <v>1011450394</v>
      </c>
      <c r="D21244">
        <v>5452.26</v>
      </c>
    </row>
    <row r="21245" spans="1:4" hidden="1" x14ac:dyDescent="0.3">
      <c r="A21245" t="s">
        <v>1128</v>
      </c>
      <c r="B21245" t="s">
        <v>38</v>
      </c>
      <c r="C21245" s="1">
        <f>HYPERLINK("https://cao.dolgi.msk.ru/account/1011450941/", 1011450941)</f>
        <v>1011450941</v>
      </c>
      <c r="D21245">
        <v>-3287.94</v>
      </c>
    </row>
    <row r="21246" spans="1:4" hidden="1" x14ac:dyDescent="0.3">
      <c r="A21246" t="s">
        <v>1128</v>
      </c>
      <c r="B21246" t="s">
        <v>39</v>
      </c>
      <c r="C21246" s="1">
        <f>HYPERLINK("https://cao.dolgi.msk.ru/account/1011450861/", 1011450861)</f>
        <v>1011450861</v>
      </c>
      <c r="D21246">
        <v>0</v>
      </c>
    </row>
    <row r="21247" spans="1:4" hidden="1" x14ac:dyDescent="0.3">
      <c r="A21247" t="s">
        <v>1128</v>
      </c>
      <c r="B21247" t="s">
        <v>40</v>
      </c>
      <c r="C21247" s="1">
        <f>HYPERLINK("https://cao.dolgi.msk.ru/account/1011450319/", 1011450319)</f>
        <v>1011450319</v>
      </c>
      <c r="D21247">
        <v>0</v>
      </c>
    </row>
    <row r="21248" spans="1:4" hidden="1" x14ac:dyDescent="0.3">
      <c r="A21248" t="s">
        <v>1128</v>
      </c>
      <c r="B21248" t="s">
        <v>41</v>
      </c>
      <c r="C21248" s="1">
        <f>HYPERLINK("https://cao.dolgi.msk.ru/account/1011450976/", 1011450976)</f>
        <v>1011450976</v>
      </c>
      <c r="D21248">
        <v>0</v>
      </c>
    </row>
    <row r="21249" spans="1:4" hidden="1" x14ac:dyDescent="0.3">
      <c r="A21249" t="s">
        <v>1128</v>
      </c>
      <c r="B21249" t="s">
        <v>51</v>
      </c>
      <c r="C21249" s="1">
        <f>HYPERLINK("https://cao.dolgi.msk.ru/account/1011450562/", 1011450562)</f>
        <v>1011450562</v>
      </c>
      <c r="D21249">
        <v>-160.06</v>
      </c>
    </row>
    <row r="21250" spans="1:4" hidden="1" x14ac:dyDescent="0.3">
      <c r="A21250" t="s">
        <v>1128</v>
      </c>
      <c r="B21250" t="s">
        <v>52</v>
      </c>
      <c r="C21250" s="1">
        <f>HYPERLINK("https://cao.dolgi.msk.ru/account/1011450757/", 1011450757)</f>
        <v>1011450757</v>
      </c>
      <c r="D21250">
        <v>0</v>
      </c>
    </row>
    <row r="21251" spans="1:4" x14ac:dyDescent="0.3">
      <c r="A21251" t="s">
        <v>1128</v>
      </c>
      <c r="B21251" t="s">
        <v>53</v>
      </c>
      <c r="C21251" s="1">
        <f>HYPERLINK("https://cao.dolgi.msk.ru/account/1011450474/", 1011450474)</f>
        <v>1011450474</v>
      </c>
      <c r="D21251">
        <v>91508.64</v>
      </c>
    </row>
    <row r="21252" spans="1:4" hidden="1" x14ac:dyDescent="0.3">
      <c r="A21252" t="s">
        <v>1128</v>
      </c>
      <c r="B21252" t="s">
        <v>54</v>
      </c>
      <c r="C21252" s="1">
        <f>HYPERLINK("https://cao.dolgi.msk.ru/account/1011450538/", 1011450538)</f>
        <v>1011450538</v>
      </c>
      <c r="D21252">
        <v>0</v>
      </c>
    </row>
    <row r="21253" spans="1:4" hidden="1" x14ac:dyDescent="0.3">
      <c r="A21253" t="s">
        <v>1128</v>
      </c>
      <c r="B21253" t="s">
        <v>54</v>
      </c>
      <c r="C21253" s="1">
        <f>HYPERLINK("https://cao.dolgi.msk.ru/account/1011451004/", 1011451004)</f>
        <v>1011451004</v>
      </c>
      <c r="D21253">
        <v>0</v>
      </c>
    </row>
    <row r="21254" spans="1:4" hidden="1" x14ac:dyDescent="0.3">
      <c r="A21254" t="s">
        <v>1128</v>
      </c>
      <c r="B21254" t="s">
        <v>55</v>
      </c>
      <c r="C21254" s="1">
        <f>HYPERLINK("https://cao.dolgi.msk.ru/account/1011450386/", 1011450386)</f>
        <v>1011450386</v>
      </c>
      <c r="D21254">
        <v>-17949.04</v>
      </c>
    </row>
    <row r="21255" spans="1:4" hidden="1" x14ac:dyDescent="0.3">
      <c r="A21255" t="s">
        <v>1128</v>
      </c>
      <c r="B21255" t="s">
        <v>56</v>
      </c>
      <c r="C21255" s="1">
        <f>HYPERLINK("https://cao.dolgi.msk.ru/account/1011450183/", 1011450183)</f>
        <v>1011450183</v>
      </c>
      <c r="D21255">
        <v>0</v>
      </c>
    </row>
    <row r="21256" spans="1:4" hidden="1" x14ac:dyDescent="0.3">
      <c r="A21256" t="s">
        <v>1128</v>
      </c>
      <c r="B21256" t="s">
        <v>87</v>
      </c>
      <c r="C21256" s="1">
        <f>HYPERLINK("https://cao.dolgi.msk.ru/account/1011451039/", 1011451039)</f>
        <v>1011451039</v>
      </c>
      <c r="D21256">
        <v>0</v>
      </c>
    </row>
    <row r="21257" spans="1:4" hidden="1" x14ac:dyDescent="0.3">
      <c r="A21257" t="s">
        <v>1128</v>
      </c>
      <c r="B21257" t="s">
        <v>88</v>
      </c>
      <c r="C21257" s="1">
        <f>HYPERLINK("https://cao.dolgi.msk.ru/account/1011450271/", 1011450271)</f>
        <v>1011450271</v>
      </c>
      <c r="D21257">
        <v>0</v>
      </c>
    </row>
    <row r="21258" spans="1:4" hidden="1" x14ac:dyDescent="0.3">
      <c r="A21258" t="s">
        <v>1128</v>
      </c>
      <c r="B21258" t="s">
        <v>89</v>
      </c>
      <c r="C21258" s="1">
        <f>HYPERLINK("https://cao.dolgi.msk.ru/account/1011451047/", 1011451047)</f>
        <v>1011451047</v>
      </c>
      <c r="D21258">
        <v>-340.23</v>
      </c>
    </row>
    <row r="21259" spans="1:4" hidden="1" x14ac:dyDescent="0.3">
      <c r="A21259" t="s">
        <v>1128</v>
      </c>
      <c r="B21259" t="s">
        <v>90</v>
      </c>
      <c r="C21259" s="1">
        <f>HYPERLINK("https://cao.dolgi.msk.ru/account/1011450087/", 1011450087)</f>
        <v>1011450087</v>
      </c>
      <c r="D21259">
        <v>-293.2</v>
      </c>
    </row>
    <row r="21260" spans="1:4" hidden="1" x14ac:dyDescent="0.3">
      <c r="A21260" t="s">
        <v>1128</v>
      </c>
      <c r="B21260" t="s">
        <v>96</v>
      </c>
      <c r="C21260" s="1">
        <f>HYPERLINK("https://cao.dolgi.msk.ru/account/1011450589/", 1011450589)</f>
        <v>1011450589</v>
      </c>
      <c r="D21260">
        <v>0</v>
      </c>
    </row>
    <row r="21261" spans="1:4" x14ac:dyDescent="0.3">
      <c r="A21261" t="s">
        <v>1128</v>
      </c>
      <c r="B21261" t="s">
        <v>97</v>
      </c>
      <c r="C21261" s="1">
        <f>HYPERLINK("https://cao.dolgi.msk.ru/account/1011450159/", 1011450159)</f>
        <v>1011450159</v>
      </c>
      <c r="D21261">
        <v>4838.38</v>
      </c>
    </row>
    <row r="21262" spans="1:4" hidden="1" x14ac:dyDescent="0.3">
      <c r="A21262" t="s">
        <v>1128</v>
      </c>
      <c r="B21262" t="s">
        <v>98</v>
      </c>
      <c r="C21262" s="1">
        <f>HYPERLINK("https://cao.dolgi.msk.ru/account/1011450992/", 1011450992)</f>
        <v>1011450992</v>
      </c>
      <c r="D21262">
        <v>0</v>
      </c>
    </row>
    <row r="21263" spans="1:4" hidden="1" x14ac:dyDescent="0.3">
      <c r="A21263" t="s">
        <v>1128</v>
      </c>
      <c r="B21263" t="s">
        <v>58</v>
      </c>
      <c r="C21263" s="1">
        <f>HYPERLINK("https://cao.dolgi.msk.ru/account/1011451151/", 1011451151)</f>
        <v>1011451151</v>
      </c>
      <c r="D21263">
        <v>0</v>
      </c>
    </row>
    <row r="21264" spans="1:4" hidden="1" x14ac:dyDescent="0.3">
      <c r="A21264" t="s">
        <v>1128</v>
      </c>
      <c r="B21264" t="s">
        <v>59</v>
      </c>
      <c r="C21264" s="1">
        <f>HYPERLINK("https://cao.dolgi.msk.ru/account/1011450095/", 1011450095)</f>
        <v>1011450095</v>
      </c>
      <c r="D21264">
        <v>-7591.86</v>
      </c>
    </row>
    <row r="21265" spans="1:4" hidden="1" x14ac:dyDescent="0.3">
      <c r="A21265" t="s">
        <v>1128</v>
      </c>
      <c r="B21265" t="s">
        <v>60</v>
      </c>
      <c r="C21265" s="1">
        <f>HYPERLINK("https://cao.dolgi.msk.ru/account/1011450642/", 1011450642)</f>
        <v>1011450642</v>
      </c>
      <c r="D21265">
        <v>-277.26</v>
      </c>
    </row>
    <row r="21266" spans="1:4" hidden="1" x14ac:dyDescent="0.3">
      <c r="A21266" t="s">
        <v>1128</v>
      </c>
      <c r="B21266" t="s">
        <v>61</v>
      </c>
      <c r="C21266" s="1">
        <f>HYPERLINK("https://cao.dolgi.msk.ru/account/1011451071/", 1011451071)</f>
        <v>1011451071</v>
      </c>
      <c r="D21266">
        <v>-3977.57</v>
      </c>
    </row>
    <row r="21267" spans="1:4" hidden="1" x14ac:dyDescent="0.3">
      <c r="A21267" t="s">
        <v>1128</v>
      </c>
      <c r="B21267" t="s">
        <v>62</v>
      </c>
      <c r="C21267" s="1">
        <f>HYPERLINK("https://cao.dolgi.msk.ru/account/1011450765/", 1011450765)</f>
        <v>1011450765</v>
      </c>
      <c r="D21267">
        <v>0</v>
      </c>
    </row>
    <row r="21268" spans="1:4" hidden="1" x14ac:dyDescent="0.3">
      <c r="A21268" t="s">
        <v>1128</v>
      </c>
      <c r="B21268" t="s">
        <v>63</v>
      </c>
      <c r="C21268" s="1">
        <f>HYPERLINK("https://cao.dolgi.msk.ru/account/1011450458/", 1011450458)</f>
        <v>1011450458</v>
      </c>
      <c r="D21268">
        <v>-35434.6</v>
      </c>
    </row>
    <row r="21269" spans="1:4" hidden="1" x14ac:dyDescent="0.3">
      <c r="A21269" t="s">
        <v>1128</v>
      </c>
      <c r="B21269" t="s">
        <v>65</v>
      </c>
      <c r="C21269" s="1">
        <f>HYPERLINK("https://cao.dolgi.msk.ru/account/1011450167/", 1011450167)</f>
        <v>1011450167</v>
      </c>
      <c r="D21269">
        <v>-9058.8700000000008</v>
      </c>
    </row>
    <row r="21270" spans="1:4" hidden="1" x14ac:dyDescent="0.3">
      <c r="A21270" t="s">
        <v>1128</v>
      </c>
      <c r="B21270" t="s">
        <v>66</v>
      </c>
      <c r="C21270" s="1">
        <f>HYPERLINK("https://cao.dolgi.msk.ru/account/1011450466/", 1011450466)</f>
        <v>1011450466</v>
      </c>
      <c r="D21270">
        <v>0</v>
      </c>
    </row>
    <row r="21271" spans="1:4" hidden="1" x14ac:dyDescent="0.3">
      <c r="A21271" t="s">
        <v>1128</v>
      </c>
      <c r="B21271" t="s">
        <v>67</v>
      </c>
      <c r="C21271" s="1">
        <f>HYPERLINK("https://cao.dolgi.msk.ru/account/1011450773/", 1011450773)</f>
        <v>1011450773</v>
      </c>
      <c r="D21271">
        <v>0</v>
      </c>
    </row>
    <row r="21272" spans="1:4" hidden="1" x14ac:dyDescent="0.3">
      <c r="A21272" t="s">
        <v>1128</v>
      </c>
      <c r="B21272" t="s">
        <v>68</v>
      </c>
      <c r="C21272" s="1">
        <f>HYPERLINK("https://cao.dolgi.msk.ru/account/1011451362/", 1011451362)</f>
        <v>1011451362</v>
      </c>
      <c r="D21272">
        <v>0</v>
      </c>
    </row>
    <row r="21273" spans="1:4" hidden="1" x14ac:dyDescent="0.3">
      <c r="A21273" t="s">
        <v>1128</v>
      </c>
      <c r="B21273" t="s">
        <v>69</v>
      </c>
      <c r="C21273" s="1">
        <f>HYPERLINK("https://cao.dolgi.msk.ru/account/1011451274/", 1011451274)</f>
        <v>1011451274</v>
      </c>
      <c r="D21273">
        <v>0</v>
      </c>
    </row>
    <row r="21274" spans="1:4" x14ac:dyDescent="0.3">
      <c r="A21274" t="s">
        <v>1128</v>
      </c>
      <c r="B21274" t="s">
        <v>70</v>
      </c>
      <c r="C21274" s="1">
        <f>HYPERLINK("https://cao.dolgi.msk.ru/account/1011451215/", 1011451215)</f>
        <v>1011451215</v>
      </c>
      <c r="D21274">
        <v>7902.87</v>
      </c>
    </row>
    <row r="21275" spans="1:4" hidden="1" x14ac:dyDescent="0.3">
      <c r="A21275" t="s">
        <v>1128</v>
      </c>
      <c r="B21275" t="s">
        <v>259</v>
      </c>
      <c r="C21275" s="1">
        <f>HYPERLINK("https://cao.dolgi.msk.ru/account/1011451282/", 1011451282)</f>
        <v>1011451282</v>
      </c>
      <c r="D21275">
        <v>-8070.09</v>
      </c>
    </row>
    <row r="21276" spans="1:4" hidden="1" x14ac:dyDescent="0.3">
      <c r="A21276" t="s">
        <v>1128</v>
      </c>
      <c r="B21276" t="s">
        <v>100</v>
      </c>
      <c r="C21276" s="1">
        <f>HYPERLINK("https://cao.dolgi.msk.ru/account/1011450546/", 1011450546)</f>
        <v>1011450546</v>
      </c>
      <c r="D21276">
        <v>0</v>
      </c>
    </row>
    <row r="21277" spans="1:4" hidden="1" x14ac:dyDescent="0.3">
      <c r="A21277" t="s">
        <v>1128</v>
      </c>
      <c r="B21277" t="s">
        <v>72</v>
      </c>
      <c r="C21277" s="1">
        <f>HYPERLINK("https://cao.dolgi.msk.ru/account/1011450706/", 1011450706)</f>
        <v>1011450706</v>
      </c>
      <c r="D21277">
        <v>0</v>
      </c>
    </row>
    <row r="21278" spans="1:4" hidden="1" x14ac:dyDescent="0.3">
      <c r="A21278" t="s">
        <v>1128</v>
      </c>
      <c r="B21278" t="s">
        <v>73</v>
      </c>
      <c r="C21278" s="1">
        <f>HYPERLINK("https://cao.dolgi.msk.ru/account/1011450626/", 1011450626)</f>
        <v>1011450626</v>
      </c>
      <c r="D21278">
        <v>0</v>
      </c>
    </row>
    <row r="21279" spans="1:4" hidden="1" x14ac:dyDescent="0.3">
      <c r="A21279" t="s">
        <v>1128</v>
      </c>
      <c r="B21279" t="s">
        <v>74</v>
      </c>
      <c r="C21279" s="1">
        <f>HYPERLINK("https://cao.dolgi.msk.ru/account/1011450597/", 1011450597)</f>
        <v>1011450597</v>
      </c>
      <c r="D21279">
        <v>-894.18</v>
      </c>
    </row>
    <row r="21280" spans="1:4" hidden="1" x14ac:dyDescent="0.3">
      <c r="A21280" t="s">
        <v>1128</v>
      </c>
      <c r="B21280" t="s">
        <v>75</v>
      </c>
      <c r="C21280" s="1">
        <f>HYPERLINK("https://cao.dolgi.msk.ru/account/1011451338/", 1011451338)</f>
        <v>1011451338</v>
      </c>
      <c r="D21280">
        <v>-3002.54</v>
      </c>
    </row>
    <row r="21281" spans="1:4" hidden="1" x14ac:dyDescent="0.3">
      <c r="A21281" t="s">
        <v>1128</v>
      </c>
      <c r="B21281" t="s">
        <v>76</v>
      </c>
      <c r="C21281" s="1">
        <f>HYPERLINK("https://cao.dolgi.msk.ru/account/1011450909/", 1011450909)</f>
        <v>1011450909</v>
      </c>
      <c r="D21281">
        <v>0</v>
      </c>
    </row>
    <row r="21282" spans="1:4" hidden="1" x14ac:dyDescent="0.3">
      <c r="A21282" t="s">
        <v>1128</v>
      </c>
      <c r="B21282" t="s">
        <v>77</v>
      </c>
      <c r="C21282" s="1">
        <f>HYPERLINK("https://cao.dolgi.msk.ru/account/1011450343/", 1011450343)</f>
        <v>1011450343</v>
      </c>
      <c r="D21282">
        <v>-22223.74</v>
      </c>
    </row>
    <row r="21283" spans="1:4" hidden="1" x14ac:dyDescent="0.3">
      <c r="A21283" t="s">
        <v>1128</v>
      </c>
      <c r="B21283" t="s">
        <v>78</v>
      </c>
      <c r="C21283" s="1">
        <f>HYPERLINK("https://cao.dolgi.msk.ru/account/1011450482/", 1011450482)</f>
        <v>1011450482</v>
      </c>
      <c r="D21283">
        <v>-9194.5400000000009</v>
      </c>
    </row>
    <row r="21284" spans="1:4" hidden="1" x14ac:dyDescent="0.3">
      <c r="A21284" t="s">
        <v>1128</v>
      </c>
      <c r="B21284" t="s">
        <v>79</v>
      </c>
      <c r="C21284" s="1">
        <f>HYPERLINK("https://cao.dolgi.msk.ru/account/1011450108/", 1011450108)</f>
        <v>1011450108</v>
      </c>
      <c r="D21284">
        <v>-11986.9</v>
      </c>
    </row>
    <row r="21285" spans="1:4" x14ac:dyDescent="0.3">
      <c r="A21285" t="s">
        <v>1128</v>
      </c>
      <c r="B21285" t="s">
        <v>80</v>
      </c>
      <c r="C21285" s="1">
        <f>HYPERLINK("https://cao.dolgi.msk.ru/account/1011450554/", 1011450554)</f>
        <v>1011450554</v>
      </c>
      <c r="D21285">
        <v>7016.01</v>
      </c>
    </row>
    <row r="21286" spans="1:4" hidden="1" x14ac:dyDescent="0.3">
      <c r="A21286" t="s">
        <v>1128</v>
      </c>
      <c r="B21286" t="s">
        <v>81</v>
      </c>
      <c r="C21286" s="1">
        <f>HYPERLINK("https://cao.dolgi.msk.ru/account/1011450511/", 1011450511)</f>
        <v>1011450511</v>
      </c>
      <c r="D21286">
        <v>-2983.85</v>
      </c>
    </row>
    <row r="21287" spans="1:4" hidden="1" x14ac:dyDescent="0.3">
      <c r="A21287" t="s">
        <v>1128</v>
      </c>
      <c r="B21287" t="s">
        <v>101</v>
      </c>
      <c r="C21287" s="1">
        <f>HYPERLINK("https://cao.dolgi.msk.ru/account/1011451223/", 1011451223)</f>
        <v>1011451223</v>
      </c>
      <c r="D21287">
        <v>-3213.81</v>
      </c>
    </row>
    <row r="21288" spans="1:4" hidden="1" x14ac:dyDescent="0.3">
      <c r="A21288" t="s">
        <v>1128</v>
      </c>
      <c r="B21288" t="s">
        <v>82</v>
      </c>
      <c r="C21288" s="1">
        <f>HYPERLINK("https://cao.dolgi.msk.ru/account/1011450669/", 1011450669)</f>
        <v>1011450669</v>
      </c>
      <c r="D21288">
        <v>-6585.15</v>
      </c>
    </row>
    <row r="21289" spans="1:4" hidden="1" x14ac:dyDescent="0.3">
      <c r="A21289" t="s">
        <v>1128</v>
      </c>
      <c r="B21289" t="s">
        <v>83</v>
      </c>
      <c r="C21289" s="1">
        <f>HYPERLINK("https://cao.dolgi.msk.ru/account/1011451266/", 1011451266)</f>
        <v>1011451266</v>
      </c>
      <c r="D21289">
        <v>0</v>
      </c>
    </row>
    <row r="21290" spans="1:4" hidden="1" x14ac:dyDescent="0.3">
      <c r="A21290" t="s">
        <v>1128</v>
      </c>
      <c r="B21290" t="s">
        <v>84</v>
      </c>
      <c r="C21290" s="1">
        <f>HYPERLINK("https://cao.dolgi.msk.ru/account/1011450714/", 1011450714)</f>
        <v>1011450714</v>
      </c>
      <c r="D21290">
        <v>0</v>
      </c>
    </row>
    <row r="21291" spans="1:4" x14ac:dyDescent="0.3">
      <c r="A21291" t="s">
        <v>1128</v>
      </c>
      <c r="B21291" t="s">
        <v>85</v>
      </c>
      <c r="C21291" s="1">
        <f>HYPERLINK("https://cao.dolgi.msk.ru/account/1011450407/", 1011450407)</f>
        <v>1011450407</v>
      </c>
      <c r="D21291">
        <v>355629.33</v>
      </c>
    </row>
    <row r="21292" spans="1:4" hidden="1" x14ac:dyDescent="0.3">
      <c r="A21292" t="s">
        <v>1128</v>
      </c>
      <c r="B21292" t="s">
        <v>102</v>
      </c>
      <c r="C21292" s="1">
        <f>HYPERLINK("https://cao.dolgi.msk.ru/account/1011450191/", 1011450191)</f>
        <v>1011450191</v>
      </c>
      <c r="D21292">
        <v>0</v>
      </c>
    </row>
    <row r="21293" spans="1:4" hidden="1" x14ac:dyDescent="0.3">
      <c r="A21293" t="s">
        <v>1128</v>
      </c>
      <c r="B21293" t="s">
        <v>103</v>
      </c>
      <c r="C21293" s="1">
        <f>HYPERLINK("https://cao.dolgi.msk.ru/account/1011451231/", 1011451231)</f>
        <v>1011451231</v>
      </c>
      <c r="D21293">
        <v>0</v>
      </c>
    </row>
    <row r="21294" spans="1:4" hidden="1" x14ac:dyDescent="0.3">
      <c r="A21294" t="s">
        <v>1128</v>
      </c>
      <c r="B21294" t="s">
        <v>104</v>
      </c>
      <c r="C21294" s="1">
        <f>HYPERLINK("https://cao.dolgi.msk.ru/account/1011450351/", 1011450351)</f>
        <v>1011450351</v>
      </c>
      <c r="D21294">
        <v>-3499.55</v>
      </c>
    </row>
    <row r="21295" spans="1:4" hidden="1" x14ac:dyDescent="0.3">
      <c r="A21295" t="s">
        <v>1128</v>
      </c>
      <c r="B21295" t="s">
        <v>105</v>
      </c>
      <c r="C21295" s="1">
        <f>HYPERLINK("https://cao.dolgi.msk.ru/account/1011450829/", 1011450829)</f>
        <v>1011450829</v>
      </c>
      <c r="D21295">
        <v>0</v>
      </c>
    </row>
    <row r="21296" spans="1:4" hidden="1" x14ac:dyDescent="0.3">
      <c r="A21296" t="s">
        <v>1128</v>
      </c>
      <c r="B21296" t="s">
        <v>106</v>
      </c>
      <c r="C21296" s="1">
        <f>HYPERLINK("https://cao.dolgi.msk.ru/account/1011450896/", 1011450896)</f>
        <v>1011450896</v>
      </c>
      <c r="D21296">
        <v>0</v>
      </c>
    </row>
    <row r="21297" spans="1:4" hidden="1" x14ac:dyDescent="0.3">
      <c r="A21297" t="s">
        <v>1128</v>
      </c>
      <c r="B21297" t="s">
        <v>107</v>
      </c>
      <c r="C21297" s="1">
        <f>HYPERLINK("https://cao.dolgi.msk.ru/account/1011450618/", 1011450618)</f>
        <v>1011450618</v>
      </c>
      <c r="D21297">
        <v>-9300.09</v>
      </c>
    </row>
    <row r="21298" spans="1:4" hidden="1" x14ac:dyDescent="0.3">
      <c r="A21298" t="s">
        <v>1128</v>
      </c>
      <c r="B21298" t="s">
        <v>108</v>
      </c>
      <c r="C21298" s="1">
        <f>HYPERLINK("https://cao.dolgi.msk.ru/account/1011450984/", 1011450984)</f>
        <v>1011450984</v>
      </c>
      <c r="D21298">
        <v>0</v>
      </c>
    </row>
    <row r="21299" spans="1:4" hidden="1" x14ac:dyDescent="0.3">
      <c r="A21299" t="s">
        <v>1128</v>
      </c>
      <c r="B21299" t="s">
        <v>109</v>
      </c>
      <c r="C21299" s="1">
        <f>HYPERLINK("https://cao.dolgi.msk.ru/account/1011450933/", 1011450933)</f>
        <v>1011450933</v>
      </c>
      <c r="D21299">
        <v>0</v>
      </c>
    </row>
    <row r="21300" spans="1:4" hidden="1" x14ac:dyDescent="0.3">
      <c r="A21300" t="s">
        <v>1128</v>
      </c>
      <c r="B21300" t="s">
        <v>110</v>
      </c>
      <c r="C21300" s="1">
        <f>HYPERLINK("https://cao.dolgi.msk.ru/account/1011450204/", 1011450204)</f>
        <v>1011450204</v>
      </c>
      <c r="D21300">
        <v>-120.87</v>
      </c>
    </row>
    <row r="21301" spans="1:4" hidden="1" x14ac:dyDescent="0.3">
      <c r="A21301" t="s">
        <v>1128</v>
      </c>
      <c r="B21301" t="s">
        <v>111</v>
      </c>
      <c r="C21301" s="1">
        <f>HYPERLINK("https://cao.dolgi.msk.ru/account/1011451063/", 1011451063)</f>
        <v>1011451063</v>
      </c>
      <c r="D21301">
        <v>-5381.15</v>
      </c>
    </row>
    <row r="21302" spans="1:4" x14ac:dyDescent="0.3">
      <c r="A21302" t="s">
        <v>1128</v>
      </c>
      <c r="B21302" t="s">
        <v>112</v>
      </c>
      <c r="C21302" s="1">
        <f>HYPERLINK("https://cao.dolgi.msk.ru/account/1011450677/", 1011450677)</f>
        <v>1011450677</v>
      </c>
      <c r="D21302">
        <v>33557.86</v>
      </c>
    </row>
    <row r="21303" spans="1:4" hidden="1" x14ac:dyDescent="0.3">
      <c r="A21303" t="s">
        <v>1128</v>
      </c>
      <c r="B21303" t="s">
        <v>113</v>
      </c>
      <c r="C21303" s="1">
        <f>HYPERLINK("https://cao.dolgi.msk.ru/account/1011451098/", 1011451098)</f>
        <v>1011451098</v>
      </c>
      <c r="D21303">
        <v>0</v>
      </c>
    </row>
    <row r="21304" spans="1:4" hidden="1" x14ac:dyDescent="0.3">
      <c r="A21304" t="s">
        <v>1128</v>
      </c>
      <c r="B21304" t="s">
        <v>114</v>
      </c>
      <c r="C21304" s="1">
        <f>HYPERLINK("https://cao.dolgi.msk.ru/account/1011451346/", 1011451346)</f>
        <v>1011451346</v>
      </c>
      <c r="D21304">
        <v>-40.68</v>
      </c>
    </row>
    <row r="21305" spans="1:4" hidden="1" x14ac:dyDescent="0.3">
      <c r="A21305" t="s">
        <v>1128</v>
      </c>
      <c r="B21305" t="s">
        <v>115</v>
      </c>
      <c r="C21305" s="1">
        <f>HYPERLINK("https://cao.dolgi.msk.ru/account/1011450247/", 1011450247)</f>
        <v>1011450247</v>
      </c>
      <c r="D21305">
        <v>-5879.26</v>
      </c>
    </row>
    <row r="21306" spans="1:4" hidden="1" x14ac:dyDescent="0.3">
      <c r="A21306" t="s">
        <v>1128</v>
      </c>
      <c r="B21306" t="s">
        <v>116</v>
      </c>
      <c r="C21306" s="1">
        <f>HYPERLINK("https://cao.dolgi.msk.ru/account/1011450888/", 1011450888)</f>
        <v>1011450888</v>
      </c>
      <c r="D21306">
        <v>-41.5</v>
      </c>
    </row>
    <row r="21307" spans="1:4" hidden="1" x14ac:dyDescent="0.3">
      <c r="A21307" t="s">
        <v>1128</v>
      </c>
      <c r="B21307" t="s">
        <v>266</v>
      </c>
      <c r="C21307" s="1">
        <f>HYPERLINK("https://cao.dolgi.msk.ru/account/1011450693/", 1011450693)</f>
        <v>1011450693</v>
      </c>
      <c r="D21307">
        <v>-37.770000000000003</v>
      </c>
    </row>
    <row r="21308" spans="1:4" hidden="1" x14ac:dyDescent="0.3">
      <c r="A21308" t="s">
        <v>1128</v>
      </c>
      <c r="B21308" t="s">
        <v>117</v>
      </c>
      <c r="C21308" s="1">
        <f>HYPERLINK("https://cao.dolgi.msk.ru/account/1011450255/", 1011450255)</f>
        <v>1011450255</v>
      </c>
      <c r="D21308">
        <v>-7276.59</v>
      </c>
    </row>
    <row r="21309" spans="1:4" hidden="1" x14ac:dyDescent="0.3">
      <c r="A21309" t="s">
        <v>1128</v>
      </c>
      <c r="B21309" t="s">
        <v>118</v>
      </c>
      <c r="C21309" s="1">
        <f>HYPERLINK("https://cao.dolgi.msk.ru/account/1011450212/", 1011450212)</f>
        <v>1011450212</v>
      </c>
      <c r="D21309">
        <v>-6741.61</v>
      </c>
    </row>
    <row r="21310" spans="1:4" hidden="1" x14ac:dyDescent="0.3">
      <c r="A21310" t="s">
        <v>1128</v>
      </c>
      <c r="B21310" t="s">
        <v>119</v>
      </c>
      <c r="C21310" s="1">
        <f>HYPERLINK("https://cao.dolgi.msk.ru/account/1011450415/", 1011450415)</f>
        <v>1011450415</v>
      </c>
      <c r="D21310">
        <v>0</v>
      </c>
    </row>
    <row r="21311" spans="1:4" hidden="1" x14ac:dyDescent="0.3">
      <c r="A21311" t="s">
        <v>1128</v>
      </c>
      <c r="B21311" t="s">
        <v>120</v>
      </c>
      <c r="C21311" s="1">
        <f>HYPERLINK("https://cao.dolgi.msk.ru/account/1011451127/", 1011451127)</f>
        <v>1011451127</v>
      </c>
      <c r="D21311">
        <v>0</v>
      </c>
    </row>
    <row r="21312" spans="1:4" x14ac:dyDescent="0.3">
      <c r="A21312" t="s">
        <v>1128</v>
      </c>
      <c r="B21312" t="s">
        <v>121</v>
      </c>
      <c r="C21312" s="1">
        <f>HYPERLINK("https://cao.dolgi.msk.ru/account/1011450175/", 1011450175)</f>
        <v>1011450175</v>
      </c>
      <c r="D21312">
        <v>10631.9</v>
      </c>
    </row>
    <row r="21313" spans="1:4" x14ac:dyDescent="0.3">
      <c r="A21313" t="s">
        <v>1128</v>
      </c>
      <c r="B21313" t="s">
        <v>122</v>
      </c>
      <c r="C21313" s="1">
        <f>HYPERLINK("https://cao.dolgi.msk.ru/account/1011450917/", 1011450917)</f>
        <v>1011450917</v>
      </c>
      <c r="D21313">
        <v>6712.61</v>
      </c>
    </row>
    <row r="21314" spans="1:4" hidden="1" x14ac:dyDescent="0.3">
      <c r="A21314" t="s">
        <v>1128</v>
      </c>
      <c r="B21314" t="s">
        <v>123</v>
      </c>
      <c r="C21314" s="1">
        <f>HYPERLINK("https://cao.dolgi.msk.ru/account/1011451303/", 1011451303)</f>
        <v>1011451303</v>
      </c>
      <c r="D21314">
        <v>-92.22</v>
      </c>
    </row>
    <row r="21315" spans="1:4" hidden="1" x14ac:dyDescent="0.3">
      <c r="A21315" t="s">
        <v>1128</v>
      </c>
      <c r="B21315" t="s">
        <v>124</v>
      </c>
      <c r="C21315" s="1">
        <f>HYPERLINK("https://cao.dolgi.msk.ru/account/1011450378/", 1011450378)</f>
        <v>1011450378</v>
      </c>
      <c r="D21315">
        <v>0</v>
      </c>
    </row>
    <row r="21316" spans="1:4" hidden="1" x14ac:dyDescent="0.3">
      <c r="A21316" t="s">
        <v>1128</v>
      </c>
      <c r="B21316" t="s">
        <v>125</v>
      </c>
      <c r="C21316" s="1">
        <f>HYPERLINK("https://cao.dolgi.msk.ru/account/1011451012/", 1011451012)</f>
        <v>1011451012</v>
      </c>
      <c r="D21316">
        <v>-8557.59</v>
      </c>
    </row>
    <row r="21317" spans="1:4" hidden="1" x14ac:dyDescent="0.3">
      <c r="A21317" t="s">
        <v>1128</v>
      </c>
      <c r="B21317" t="s">
        <v>126</v>
      </c>
      <c r="C21317" s="1">
        <f>HYPERLINK("https://cao.dolgi.msk.ru/account/1011450781/", 1011450781)</f>
        <v>1011450781</v>
      </c>
      <c r="D21317">
        <v>0</v>
      </c>
    </row>
    <row r="21318" spans="1:4" hidden="1" x14ac:dyDescent="0.3">
      <c r="A21318" t="s">
        <v>1128</v>
      </c>
      <c r="B21318" t="s">
        <v>127</v>
      </c>
      <c r="C21318" s="1">
        <f>HYPERLINK("https://cao.dolgi.msk.ru/account/1011450722/", 1011450722)</f>
        <v>1011450722</v>
      </c>
      <c r="D21318">
        <v>0</v>
      </c>
    </row>
    <row r="21319" spans="1:4" x14ac:dyDescent="0.3">
      <c r="A21319" t="s">
        <v>1128</v>
      </c>
      <c r="B21319" t="s">
        <v>262</v>
      </c>
      <c r="C21319" s="1">
        <f>HYPERLINK("https://cao.dolgi.msk.ru/account/1011450116/", 1011450116)</f>
        <v>1011450116</v>
      </c>
      <c r="D21319">
        <v>8509.5499999999993</v>
      </c>
    </row>
    <row r="21320" spans="1:4" hidden="1" x14ac:dyDescent="0.3">
      <c r="A21320" t="s">
        <v>1128</v>
      </c>
      <c r="B21320" t="s">
        <v>128</v>
      </c>
      <c r="C21320" s="1">
        <f>HYPERLINK("https://cao.dolgi.msk.ru/account/1011450263/", 1011450263)</f>
        <v>1011450263</v>
      </c>
      <c r="D21320">
        <v>0</v>
      </c>
    </row>
    <row r="21321" spans="1:4" hidden="1" x14ac:dyDescent="0.3">
      <c r="A21321" t="s">
        <v>1128</v>
      </c>
      <c r="B21321" t="s">
        <v>129</v>
      </c>
      <c r="C21321" s="1">
        <f>HYPERLINK("https://cao.dolgi.msk.ru/account/1011450802/", 1011450802)</f>
        <v>1011450802</v>
      </c>
      <c r="D21321">
        <v>-54.7</v>
      </c>
    </row>
    <row r="21322" spans="1:4" hidden="1" x14ac:dyDescent="0.3">
      <c r="A21322" t="s">
        <v>1128</v>
      </c>
      <c r="B21322" t="s">
        <v>130</v>
      </c>
      <c r="C21322" s="1">
        <f>HYPERLINK("https://cao.dolgi.msk.ru/account/1011450837/", 1011450837)</f>
        <v>1011450837</v>
      </c>
      <c r="D21322">
        <v>0</v>
      </c>
    </row>
    <row r="21323" spans="1:4" x14ac:dyDescent="0.3">
      <c r="A21323" t="s">
        <v>1128</v>
      </c>
      <c r="B21323" t="s">
        <v>131</v>
      </c>
      <c r="C21323" s="1">
        <f>HYPERLINK("https://cao.dolgi.msk.ru/account/1011450503/", 1011450503)</f>
        <v>1011450503</v>
      </c>
      <c r="D21323">
        <v>7588.86</v>
      </c>
    </row>
    <row r="21324" spans="1:4" hidden="1" x14ac:dyDescent="0.3">
      <c r="A21324" t="s">
        <v>1128</v>
      </c>
      <c r="B21324" t="s">
        <v>132</v>
      </c>
      <c r="C21324" s="1">
        <f>HYPERLINK("https://cao.dolgi.msk.ru/account/1011451389/", 1011451389)</f>
        <v>1011451389</v>
      </c>
      <c r="D21324">
        <v>0</v>
      </c>
    </row>
    <row r="21325" spans="1:4" x14ac:dyDescent="0.3">
      <c r="A21325" t="s">
        <v>1128</v>
      </c>
      <c r="B21325" t="s">
        <v>133</v>
      </c>
      <c r="C21325" s="1">
        <f>HYPERLINK("https://cao.dolgi.msk.ru/account/1011451186/", 1011451186)</f>
        <v>1011451186</v>
      </c>
      <c r="D21325">
        <v>230921.95</v>
      </c>
    </row>
    <row r="21326" spans="1:4" hidden="1" x14ac:dyDescent="0.3">
      <c r="A21326" t="s">
        <v>1128</v>
      </c>
      <c r="B21326" t="s">
        <v>134</v>
      </c>
      <c r="C21326" s="1">
        <f>HYPERLINK("https://cao.dolgi.msk.ru/account/1011451055/", 1011451055)</f>
        <v>1011451055</v>
      </c>
      <c r="D21326">
        <v>0</v>
      </c>
    </row>
    <row r="21327" spans="1:4" hidden="1" x14ac:dyDescent="0.3">
      <c r="A21327" t="s">
        <v>1129</v>
      </c>
      <c r="B21327" t="s">
        <v>6</v>
      </c>
      <c r="C21327" s="1">
        <f>HYPERLINK("https://cao.dolgi.msk.ru/account/1010555354/", 1010555354)</f>
        <v>1010555354</v>
      </c>
      <c r="D21327">
        <v>0</v>
      </c>
    </row>
    <row r="21328" spans="1:4" hidden="1" x14ac:dyDescent="0.3">
      <c r="A21328" t="s">
        <v>1129</v>
      </c>
      <c r="B21328" t="s">
        <v>28</v>
      </c>
      <c r="C21328" s="1">
        <f>HYPERLINK("https://cao.dolgi.msk.ru/account/1010555362/", 1010555362)</f>
        <v>1010555362</v>
      </c>
      <c r="D21328">
        <v>-474.48</v>
      </c>
    </row>
    <row r="21329" spans="1:4" hidden="1" x14ac:dyDescent="0.3">
      <c r="A21329" t="s">
        <v>1129</v>
      </c>
      <c r="B21329" t="s">
        <v>35</v>
      </c>
      <c r="C21329" s="1">
        <f>HYPERLINK("https://cao.dolgi.msk.ru/account/1010555389/", 1010555389)</f>
        <v>1010555389</v>
      </c>
      <c r="D21329">
        <v>-35.659999999999997</v>
      </c>
    </row>
    <row r="21330" spans="1:4" hidden="1" x14ac:dyDescent="0.3">
      <c r="A21330" t="s">
        <v>1129</v>
      </c>
      <c r="B21330" t="s">
        <v>5</v>
      </c>
      <c r="C21330" s="1">
        <f>HYPERLINK("https://cao.dolgi.msk.ru/account/1010555397/", 1010555397)</f>
        <v>1010555397</v>
      </c>
      <c r="D21330">
        <v>0</v>
      </c>
    </row>
    <row r="21331" spans="1:4" hidden="1" x14ac:dyDescent="0.3">
      <c r="A21331" t="s">
        <v>1129</v>
      </c>
      <c r="B21331" t="s">
        <v>7</v>
      </c>
      <c r="C21331" s="1">
        <f>HYPERLINK("https://cao.dolgi.msk.ru/account/1010555418/", 1010555418)</f>
        <v>1010555418</v>
      </c>
      <c r="D21331">
        <v>0</v>
      </c>
    </row>
    <row r="21332" spans="1:4" hidden="1" x14ac:dyDescent="0.3">
      <c r="A21332" t="s">
        <v>1129</v>
      </c>
      <c r="B21332" t="s">
        <v>8</v>
      </c>
      <c r="C21332" s="1">
        <f>HYPERLINK("https://cao.dolgi.msk.ru/account/1010555426/", 1010555426)</f>
        <v>1010555426</v>
      </c>
      <c r="D21332">
        <v>-1866.01</v>
      </c>
    </row>
    <row r="21333" spans="1:4" x14ac:dyDescent="0.3">
      <c r="A21333" t="s">
        <v>1129</v>
      </c>
      <c r="B21333" t="s">
        <v>31</v>
      </c>
      <c r="C21333" s="1">
        <f>HYPERLINK("https://cao.dolgi.msk.ru/account/1010555434/", 1010555434)</f>
        <v>1010555434</v>
      </c>
      <c r="D21333">
        <v>3626.72</v>
      </c>
    </row>
    <row r="21334" spans="1:4" hidden="1" x14ac:dyDescent="0.3">
      <c r="A21334" t="s">
        <v>1129</v>
      </c>
      <c r="B21334" t="s">
        <v>9</v>
      </c>
      <c r="C21334" s="1">
        <f>HYPERLINK("https://cao.dolgi.msk.ru/account/1010555442/", 1010555442)</f>
        <v>1010555442</v>
      </c>
      <c r="D21334">
        <v>-302.12</v>
      </c>
    </row>
    <row r="21335" spans="1:4" hidden="1" x14ac:dyDescent="0.3">
      <c r="A21335" t="s">
        <v>1129</v>
      </c>
      <c r="B21335" t="s">
        <v>10</v>
      </c>
      <c r="C21335" s="1">
        <f>HYPERLINK("https://cao.dolgi.msk.ru/account/1010555469/", 1010555469)</f>
        <v>1010555469</v>
      </c>
      <c r="D21335">
        <v>-3425.5</v>
      </c>
    </row>
    <row r="21336" spans="1:4" hidden="1" x14ac:dyDescent="0.3">
      <c r="A21336" t="s">
        <v>1129</v>
      </c>
      <c r="B21336" t="s">
        <v>11</v>
      </c>
      <c r="C21336" s="1">
        <f>HYPERLINK("https://cao.dolgi.msk.ru/account/1010555477/", 1010555477)</f>
        <v>1010555477</v>
      </c>
      <c r="D21336">
        <v>-31.65</v>
      </c>
    </row>
    <row r="21337" spans="1:4" hidden="1" x14ac:dyDescent="0.3">
      <c r="A21337" t="s">
        <v>1129</v>
      </c>
      <c r="B21337" t="s">
        <v>12</v>
      </c>
      <c r="C21337" s="1">
        <f>HYPERLINK("https://cao.dolgi.msk.ru/account/1010555485/", 1010555485)</f>
        <v>1010555485</v>
      </c>
      <c r="D21337">
        <v>-5114.99</v>
      </c>
    </row>
    <row r="21338" spans="1:4" hidden="1" x14ac:dyDescent="0.3">
      <c r="A21338" t="s">
        <v>1129</v>
      </c>
      <c r="B21338" t="s">
        <v>23</v>
      </c>
      <c r="C21338" s="1">
        <f>HYPERLINK("https://cao.dolgi.msk.ru/account/1010555493/", 1010555493)</f>
        <v>1010555493</v>
      </c>
      <c r="D21338">
        <v>0</v>
      </c>
    </row>
    <row r="21339" spans="1:4" hidden="1" x14ac:dyDescent="0.3">
      <c r="A21339" t="s">
        <v>1130</v>
      </c>
      <c r="B21339" t="s">
        <v>6</v>
      </c>
      <c r="C21339" s="1">
        <f>HYPERLINK("https://cao.dolgi.msk.ru/account/1011482679/", 1011482679)</f>
        <v>1011482679</v>
      </c>
      <c r="D21339">
        <v>-5367.17</v>
      </c>
    </row>
    <row r="21340" spans="1:4" hidden="1" x14ac:dyDescent="0.3">
      <c r="A21340" t="s">
        <v>1130</v>
      </c>
      <c r="B21340" t="s">
        <v>28</v>
      </c>
      <c r="C21340" s="1">
        <f>HYPERLINK("https://cao.dolgi.msk.ru/account/1011482409/", 1011482409)</f>
        <v>1011482409</v>
      </c>
      <c r="D21340">
        <v>0</v>
      </c>
    </row>
    <row r="21341" spans="1:4" hidden="1" x14ac:dyDescent="0.3">
      <c r="A21341" t="s">
        <v>1130</v>
      </c>
      <c r="B21341" t="s">
        <v>35</v>
      </c>
      <c r="C21341" s="1">
        <f>HYPERLINK("https://cao.dolgi.msk.ru/account/1011482468/", 1011482468)</f>
        <v>1011482468</v>
      </c>
      <c r="D21341">
        <v>0</v>
      </c>
    </row>
    <row r="21342" spans="1:4" x14ac:dyDescent="0.3">
      <c r="A21342" t="s">
        <v>1130</v>
      </c>
      <c r="B21342" t="s">
        <v>5</v>
      </c>
      <c r="C21342" s="1">
        <f>HYPERLINK("https://cao.dolgi.msk.ru/account/1011482732/", 1011482732)</f>
        <v>1011482732</v>
      </c>
      <c r="D21342">
        <v>9811.14</v>
      </c>
    </row>
    <row r="21343" spans="1:4" hidden="1" x14ac:dyDescent="0.3">
      <c r="A21343" t="s">
        <v>1130</v>
      </c>
      <c r="B21343" t="s">
        <v>7</v>
      </c>
      <c r="C21343" s="1">
        <f>HYPERLINK("https://cao.dolgi.msk.ru/account/1011482601/", 1011482601)</f>
        <v>1011482601</v>
      </c>
      <c r="D21343">
        <v>0</v>
      </c>
    </row>
    <row r="21344" spans="1:4" hidden="1" x14ac:dyDescent="0.3">
      <c r="A21344" t="s">
        <v>1130</v>
      </c>
      <c r="B21344" t="s">
        <v>8</v>
      </c>
      <c r="C21344" s="1">
        <f>HYPERLINK("https://cao.dolgi.msk.ru/account/1011482759/", 1011482759)</f>
        <v>1011482759</v>
      </c>
      <c r="D21344">
        <v>-16656.009999999998</v>
      </c>
    </row>
    <row r="21345" spans="1:4" hidden="1" x14ac:dyDescent="0.3">
      <c r="A21345" t="s">
        <v>1130</v>
      </c>
      <c r="B21345" t="s">
        <v>31</v>
      </c>
      <c r="C21345" s="1">
        <f>HYPERLINK("https://cao.dolgi.msk.ru/account/1011482564/", 1011482564)</f>
        <v>1011482564</v>
      </c>
      <c r="D21345">
        <v>0</v>
      </c>
    </row>
    <row r="21346" spans="1:4" hidden="1" x14ac:dyDescent="0.3">
      <c r="A21346" t="s">
        <v>1130</v>
      </c>
      <c r="B21346" t="s">
        <v>9</v>
      </c>
      <c r="C21346" s="1">
        <f>HYPERLINK("https://cao.dolgi.msk.ru/account/1011482417/", 1011482417)</f>
        <v>1011482417</v>
      </c>
      <c r="D21346">
        <v>-5836.84</v>
      </c>
    </row>
    <row r="21347" spans="1:4" hidden="1" x14ac:dyDescent="0.3">
      <c r="A21347" t="s">
        <v>1130</v>
      </c>
      <c r="B21347" t="s">
        <v>10</v>
      </c>
      <c r="C21347" s="1">
        <f>HYPERLINK("https://cao.dolgi.msk.ru/account/1011482492/", 1011482492)</f>
        <v>1011482492</v>
      </c>
      <c r="D21347">
        <v>0</v>
      </c>
    </row>
    <row r="21348" spans="1:4" hidden="1" x14ac:dyDescent="0.3">
      <c r="A21348" t="s">
        <v>1130</v>
      </c>
      <c r="B21348" t="s">
        <v>11</v>
      </c>
      <c r="C21348" s="1">
        <f>HYPERLINK("https://cao.dolgi.msk.ru/account/1011482687/", 1011482687)</f>
        <v>1011482687</v>
      </c>
      <c r="D21348">
        <v>0</v>
      </c>
    </row>
    <row r="21349" spans="1:4" hidden="1" x14ac:dyDescent="0.3">
      <c r="A21349" t="s">
        <v>1130</v>
      </c>
      <c r="B21349" t="s">
        <v>12</v>
      </c>
      <c r="C21349" s="1">
        <f>HYPERLINK("https://cao.dolgi.msk.ru/account/1011482628/", 1011482628)</f>
        <v>1011482628</v>
      </c>
      <c r="D21349">
        <v>-5693.79</v>
      </c>
    </row>
    <row r="21350" spans="1:4" hidden="1" x14ac:dyDescent="0.3">
      <c r="A21350" t="s">
        <v>1130</v>
      </c>
      <c r="B21350" t="s">
        <v>23</v>
      </c>
      <c r="C21350" s="1">
        <f>HYPERLINK("https://cao.dolgi.msk.ru/account/1011482695/", 1011482695)</f>
        <v>1011482695</v>
      </c>
      <c r="D21350">
        <v>0</v>
      </c>
    </row>
    <row r="21351" spans="1:4" hidden="1" x14ac:dyDescent="0.3">
      <c r="A21351" t="s">
        <v>1130</v>
      </c>
      <c r="B21351" t="s">
        <v>13</v>
      </c>
      <c r="C21351" s="1">
        <f>HYPERLINK("https://cao.dolgi.msk.ru/account/1011482636/", 1011482636)</f>
        <v>1011482636</v>
      </c>
      <c r="D21351">
        <v>-69651.5</v>
      </c>
    </row>
    <row r="21352" spans="1:4" hidden="1" x14ac:dyDescent="0.3">
      <c r="A21352" t="s">
        <v>1130</v>
      </c>
      <c r="B21352" t="s">
        <v>14</v>
      </c>
      <c r="C21352" s="1">
        <f>HYPERLINK("https://cao.dolgi.msk.ru/account/1011482708/", 1011482708)</f>
        <v>1011482708</v>
      </c>
      <c r="D21352">
        <v>0</v>
      </c>
    </row>
    <row r="21353" spans="1:4" x14ac:dyDescent="0.3">
      <c r="A21353" t="s">
        <v>1130</v>
      </c>
      <c r="B21353" t="s">
        <v>16</v>
      </c>
      <c r="C21353" s="1">
        <f>HYPERLINK("https://cao.dolgi.msk.ru/account/1011482572/", 1011482572)</f>
        <v>1011482572</v>
      </c>
      <c r="D21353">
        <v>23694</v>
      </c>
    </row>
    <row r="21354" spans="1:4" hidden="1" x14ac:dyDescent="0.3">
      <c r="A21354" t="s">
        <v>1130</v>
      </c>
      <c r="B21354" t="s">
        <v>17</v>
      </c>
      <c r="C21354" s="1">
        <f>HYPERLINK("https://cao.dolgi.msk.ru/account/1011482505/", 1011482505)</f>
        <v>1011482505</v>
      </c>
      <c r="D21354">
        <v>0</v>
      </c>
    </row>
    <row r="21355" spans="1:4" hidden="1" x14ac:dyDescent="0.3">
      <c r="A21355" t="s">
        <v>1130</v>
      </c>
      <c r="B21355" t="s">
        <v>27</v>
      </c>
      <c r="C21355" s="1">
        <f>HYPERLINK("https://cao.dolgi.msk.ru/account/1011482767/", 1011482767)</f>
        <v>1011482767</v>
      </c>
      <c r="D21355">
        <v>0</v>
      </c>
    </row>
    <row r="21356" spans="1:4" x14ac:dyDescent="0.3">
      <c r="A21356" t="s">
        <v>1130</v>
      </c>
      <c r="B21356" t="s">
        <v>29</v>
      </c>
      <c r="C21356" s="1">
        <f>HYPERLINK("https://cao.dolgi.msk.ru/account/1011482425/", 1011482425)</f>
        <v>1011482425</v>
      </c>
      <c r="D21356">
        <v>16155.83</v>
      </c>
    </row>
    <row r="21357" spans="1:4" hidden="1" x14ac:dyDescent="0.3">
      <c r="A21357" t="s">
        <v>1130</v>
      </c>
      <c r="B21357" t="s">
        <v>38</v>
      </c>
      <c r="C21357" s="1">
        <f>HYPERLINK("https://cao.dolgi.msk.ru/account/1011482716/", 1011482716)</f>
        <v>1011482716</v>
      </c>
      <c r="D21357">
        <v>0</v>
      </c>
    </row>
    <row r="21358" spans="1:4" hidden="1" x14ac:dyDescent="0.3">
      <c r="A21358" t="s">
        <v>1130</v>
      </c>
      <c r="B21358" t="s">
        <v>39</v>
      </c>
      <c r="C21358" s="1">
        <f>HYPERLINK("https://cao.dolgi.msk.ru/account/1011482521/", 1011482521)</f>
        <v>1011482521</v>
      </c>
      <c r="D21358">
        <v>0</v>
      </c>
    </row>
    <row r="21359" spans="1:4" hidden="1" x14ac:dyDescent="0.3">
      <c r="A21359" t="s">
        <v>1130</v>
      </c>
      <c r="B21359" t="s">
        <v>40</v>
      </c>
      <c r="C21359" s="1">
        <f>HYPERLINK("https://cao.dolgi.msk.ru/account/1011482388/", 1011482388)</f>
        <v>1011482388</v>
      </c>
      <c r="D21359">
        <v>0</v>
      </c>
    </row>
    <row r="21360" spans="1:4" hidden="1" x14ac:dyDescent="0.3">
      <c r="A21360" t="s">
        <v>1130</v>
      </c>
      <c r="B21360" t="s">
        <v>41</v>
      </c>
      <c r="C21360" s="1">
        <f>HYPERLINK("https://cao.dolgi.msk.ru/account/1011482724/", 1011482724)</f>
        <v>1011482724</v>
      </c>
      <c r="D21360">
        <v>0</v>
      </c>
    </row>
    <row r="21361" spans="1:4" hidden="1" x14ac:dyDescent="0.3">
      <c r="A21361" t="s">
        <v>1130</v>
      </c>
      <c r="B21361" t="s">
        <v>51</v>
      </c>
      <c r="C21361" s="1">
        <f>HYPERLINK("https://cao.dolgi.msk.ru/account/1011482513/", 1011482513)</f>
        <v>1011482513</v>
      </c>
      <c r="D21361">
        <v>0</v>
      </c>
    </row>
    <row r="21362" spans="1:4" hidden="1" x14ac:dyDescent="0.3">
      <c r="A21362" t="s">
        <v>1130</v>
      </c>
      <c r="B21362" t="s">
        <v>52</v>
      </c>
      <c r="C21362" s="1">
        <f>HYPERLINK("https://cao.dolgi.msk.ru/account/1011482548/", 1011482548)</f>
        <v>1011482548</v>
      </c>
      <c r="D21362">
        <v>0</v>
      </c>
    </row>
    <row r="21363" spans="1:4" hidden="1" x14ac:dyDescent="0.3">
      <c r="A21363" t="s">
        <v>1130</v>
      </c>
      <c r="B21363" t="s">
        <v>53</v>
      </c>
      <c r="C21363" s="1">
        <f>HYPERLINK("https://cao.dolgi.msk.ru/account/1011482644/", 1011482644)</f>
        <v>1011482644</v>
      </c>
      <c r="D21363">
        <v>-9367.58</v>
      </c>
    </row>
    <row r="21364" spans="1:4" hidden="1" x14ac:dyDescent="0.3">
      <c r="A21364" t="s">
        <v>1130</v>
      </c>
      <c r="B21364" t="s">
        <v>54</v>
      </c>
      <c r="C21364" s="1">
        <f>HYPERLINK("https://cao.dolgi.msk.ru/account/1011482476/", 1011482476)</f>
        <v>1011482476</v>
      </c>
      <c r="D21364">
        <v>-2006.19</v>
      </c>
    </row>
    <row r="21365" spans="1:4" hidden="1" x14ac:dyDescent="0.3">
      <c r="A21365" t="s">
        <v>1130</v>
      </c>
      <c r="B21365" t="s">
        <v>55</v>
      </c>
      <c r="C21365" s="1">
        <f>HYPERLINK("https://cao.dolgi.msk.ru/account/1011482652/", 1011482652)</f>
        <v>1011482652</v>
      </c>
      <c r="D21365">
        <v>-2293.67</v>
      </c>
    </row>
    <row r="21366" spans="1:4" x14ac:dyDescent="0.3">
      <c r="A21366" t="s">
        <v>1130</v>
      </c>
      <c r="B21366" t="s">
        <v>56</v>
      </c>
      <c r="C21366" s="1">
        <f>HYPERLINK("https://cao.dolgi.msk.ru/account/1011482556/", 1011482556)</f>
        <v>1011482556</v>
      </c>
      <c r="D21366">
        <v>14891.16</v>
      </c>
    </row>
    <row r="21367" spans="1:4" x14ac:dyDescent="0.3">
      <c r="A21367" t="s">
        <v>1130</v>
      </c>
      <c r="B21367" t="s">
        <v>87</v>
      </c>
      <c r="C21367" s="1">
        <f>HYPERLINK("https://cao.dolgi.msk.ru/account/1011482484/", 1011482484)</f>
        <v>1011482484</v>
      </c>
      <c r="D21367">
        <v>29266.06</v>
      </c>
    </row>
    <row r="21368" spans="1:4" hidden="1" x14ac:dyDescent="0.3">
      <c r="A21368" t="s">
        <v>1130</v>
      </c>
      <c r="B21368" t="s">
        <v>88</v>
      </c>
      <c r="C21368" s="1">
        <f>HYPERLINK("https://cao.dolgi.msk.ru/account/1011482433/", 1011482433)</f>
        <v>1011482433</v>
      </c>
      <c r="D21368">
        <v>0</v>
      </c>
    </row>
    <row r="21369" spans="1:4" x14ac:dyDescent="0.3">
      <c r="A21369" t="s">
        <v>1130</v>
      </c>
      <c r="B21369" t="s">
        <v>89</v>
      </c>
      <c r="C21369" s="1">
        <f>HYPERLINK("https://cao.dolgi.msk.ru/account/1011482441/", 1011482441)</f>
        <v>1011482441</v>
      </c>
      <c r="D21369">
        <v>13782.56</v>
      </c>
    </row>
    <row r="21370" spans="1:4" hidden="1" x14ac:dyDescent="0.3">
      <c r="A21370" t="s">
        <v>1130</v>
      </c>
      <c r="B21370" t="s">
        <v>90</v>
      </c>
      <c r="C21370" s="1">
        <f>HYPERLINK("https://cao.dolgi.msk.ru/account/1011482775/", 1011482775)</f>
        <v>1011482775</v>
      </c>
      <c r="D21370">
        <v>-3832.52</v>
      </c>
    </row>
    <row r="21371" spans="1:4" x14ac:dyDescent="0.3">
      <c r="A21371" t="s">
        <v>1130</v>
      </c>
      <c r="B21371" t="s">
        <v>96</v>
      </c>
      <c r="C21371" s="1">
        <f>HYPERLINK("https://cao.dolgi.msk.ru/account/1011482599/", 1011482599)</f>
        <v>1011482599</v>
      </c>
      <c r="D21371">
        <v>222326.45</v>
      </c>
    </row>
    <row r="21372" spans="1:4" hidden="1" x14ac:dyDescent="0.3">
      <c r="A21372" t="s">
        <v>1130</v>
      </c>
      <c r="B21372" t="s">
        <v>97</v>
      </c>
      <c r="C21372" s="1">
        <f>HYPERLINK("https://cao.dolgi.msk.ru/account/1011482396/", 1011482396)</f>
        <v>1011482396</v>
      </c>
      <c r="D21372">
        <v>0</v>
      </c>
    </row>
    <row r="21373" spans="1:4" x14ac:dyDescent="0.3">
      <c r="A21373" t="s">
        <v>1130</v>
      </c>
      <c r="B21373" t="s">
        <v>98</v>
      </c>
      <c r="C21373" s="1">
        <f>HYPERLINK("https://cao.dolgi.msk.ru/account/1011482783/", 1011482783)</f>
        <v>1011482783</v>
      </c>
      <c r="D21373">
        <v>63861.82</v>
      </c>
    </row>
    <row r="21374" spans="1:4" hidden="1" x14ac:dyDescent="0.3">
      <c r="A21374" t="s">
        <v>1131</v>
      </c>
      <c r="B21374" t="s">
        <v>35</v>
      </c>
      <c r="C21374" s="1">
        <f>HYPERLINK("https://cao.dolgi.msk.ru/account/1011218448/", 1011218448)</f>
        <v>1011218448</v>
      </c>
      <c r="D21374">
        <v>0</v>
      </c>
    </row>
    <row r="21375" spans="1:4" hidden="1" x14ac:dyDescent="0.3">
      <c r="A21375" t="s">
        <v>1131</v>
      </c>
      <c r="B21375" t="s">
        <v>5</v>
      </c>
      <c r="C21375" s="1">
        <f>HYPERLINK("https://cao.dolgi.msk.ru/account/1011218456/", 1011218456)</f>
        <v>1011218456</v>
      </c>
      <c r="D21375">
        <v>0</v>
      </c>
    </row>
    <row r="21376" spans="1:4" hidden="1" x14ac:dyDescent="0.3">
      <c r="A21376" t="s">
        <v>1131</v>
      </c>
      <c r="B21376" t="s">
        <v>7</v>
      </c>
      <c r="C21376" s="1">
        <f>HYPERLINK("https://cao.dolgi.msk.ru/account/1011218405/", 1011218405)</f>
        <v>1011218405</v>
      </c>
      <c r="D21376">
        <v>0</v>
      </c>
    </row>
    <row r="21377" spans="1:4" hidden="1" x14ac:dyDescent="0.3">
      <c r="A21377" t="s">
        <v>1131</v>
      </c>
      <c r="B21377" t="s">
        <v>8</v>
      </c>
      <c r="C21377" s="1">
        <f>HYPERLINK("https://cao.dolgi.msk.ru/account/1011218421/", 1011218421)</f>
        <v>1011218421</v>
      </c>
      <c r="D21377">
        <v>0</v>
      </c>
    </row>
    <row r="21378" spans="1:4" x14ac:dyDescent="0.3">
      <c r="A21378" t="s">
        <v>1131</v>
      </c>
      <c r="B21378" t="s">
        <v>31</v>
      </c>
      <c r="C21378" s="1">
        <f>HYPERLINK("https://cao.dolgi.msk.ru/account/1011218413/", 1011218413)</f>
        <v>1011218413</v>
      </c>
      <c r="D21378">
        <v>25999.96</v>
      </c>
    </row>
    <row r="21379" spans="1:4" hidden="1" x14ac:dyDescent="0.3">
      <c r="A21379" t="s">
        <v>1131</v>
      </c>
      <c r="B21379" t="s">
        <v>9</v>
      </c>
      <c r="C21379" s="1">
        <f>HYPERLINK("https://cao.dolgi.msk.ru/account/1011218392/", 1011218392)</f>
        <v>1011218392</v>
      </c>
      <c r="D21379">
        <v>-8183.91</v>
      </c>
    </row>
    <row r="21380" spans="1:4" hidden="1" x14ac:dyDescent="0.3">
      <c r="A21380" t="s">
        <v>1132</v>
      </c>
      <c r="B21380" t="s">
        <v>28</v>
      </c>
      <c r="C21380" s="1">
        <f>HYPERLINK("https://cao.dolgi.msk.ru/account/1011331555/", 1011331555)</f>
        <v>1011331555</v>
      </c>
      <c r="D21380">
        <v>-884.2</v>
      </c>
    </row>
    <row r="21381" spans="1:4" hidden="1" x14ac:dyDescent="0.3">
      <c r="A21381" t="s">
        <v>1132</v>
      </c>
      <c r="B21381" t="s">
        <v>35</v>
      </c>
      <c r="C21381" s="1">
        <f>HYPERLINK("https://cao.dolgi.msk.ru/account/1011331483/", 1011331483)</f>
        <v>1011331483</v>
      </c>
      <c r="D21381">
        <v>0</v>
      </c>
    </row>
    <row r="21382" spans="1:4" hidden="1" x14ac:dyDescent="0.3">
      <c r="A21382" t="s">
        <v>1132</v>
      </c>
      <c r="B21382" t="s">
        <v>35</v>
      </c>
      <c r="C21382" s="1">
        <f>HYPERLINK("https://cao.dolgi.msk.ru/account/1011331512/", 1011331512)</f>
        <v>1011331512</v>
      </c>
      <c r="D21382">
        <v>0</v>
      </c>
    </row>
    <row r="21383" spans="1:4" x14ac:dyDescent="0.3">
      <c r="A21383" t="s">
        <v>1132</v>
      </c>
      <c r="B21383" t="s">
        <v>35</v>
      </c>
      <c r="C21383" s="1">
        <f>HYPERLINK("https://cao.dolgi.msk.ru/account/1011331539/", 1011331539)</f>
        <v>1011331539</v>
      </c>
      <c r="D21383">
        <v>4627.37</v>
      </c>
    </row>
    <row r="21384" spans="1:4" x14ac:dyDescent="0.3">
      <c r="A21384" t="s">
        <v>1132</v>
      </c>
      <c r="B21384" t="s">
        <v>35</v>
      </c>
      <c r="C21384" s="1">
        <f>HYPERLINK("https://cao.dolgi.msk.ru/account/1011331547/", 1011331547)</f>
        <v>1011331547</v>
      </c>
      <c r="D21384">
        <v>261154.55</v>
      </c>
    </row>
    <row r="21385" spans="1:4" hidden="1" x14ac:dyDescent="0.3">
      <c r="A21385" t="s">
        <v>1132</v>
      </c>
      <c r="B21385" t="s">
        <v>5</v>
      </c>
      <c r="C21385" s="1">
        <f>HYPERLINK("https://cao.dolgi.msk.ru/account/1011331467/", 1011331467)</f>
        <v>1011331467</v>
      </c>
      <c r="D21385">
        <v>0</v>
      </c>
    </row>
    <row r="21386" spans="1:4" hidden="1" x14ac:dyDescent="0.3">
      <c r="A21386" t="s">
        <v>1132</v>
      </c>
      <c r="B21386" t="s">
        <v>7</v>
      </c>
      <c r="C21386" s="1">
        <f>HYPERLINK("https://cao.dolgi.msk.ru/account/1011331475/", 1011331475)</f>
        <v>1011331475</v>
      </c>
      <c r="D21386">
        <v>0</v>
      </c>
    </row>
    <row r="21387" spans="1:4" x14ac:dyDescent="0.3">
      <c r="A21387" t="s">
        <v>1132</v>
      </c>
      <c r="B21387" t="s">
        <v>8</v>
      </c>
      <c r="C21387" s="1">
        <f>HYPERLINK("https://cao.dolgi.msk.ru/account/1011331491/", 1011331491)</f>
        <v>1011331491</v>
      </c>
      <c r="D21387">
        <v>8065.28</v>
      </c>
    </row>
    <row r="21388" spans="1:4" x14ac:dyDescent="0.3">
      <c r="A21388" t="s">
        <v>1132</v>
      </c>
      <c r="B21388" t="s">
        <v>31</v>
      </c>
      <c r="C21388" s="1">
        <f>HYPERLINK("https://cao.dolgi.msk.ru/account/1011331563/", 1011331563)</f>
        <v>1011331563</v>
      </c>
      <c r="D21388">
        <v>17610.080000000002</v>
      </c>
    </row>
    <row r="21389" spans="1:4" hidden="1" x14ac:dyDescent="0.3">
      <c r="A21389" t="s">
        <v>1132</v>
      </c>
      <c r="B21389" t="s">
        <v>9</v>
      </c>
      <c r="C21389" s="1">
        <f>HYPERLINK("https://cao.dolgi.msk.ru/account/1011331504/", 1011331504)</f>
        <v>1011331504</v>
      </c>
      <c r="D21389">
        <v>0</v>
      </c>
    </row>
    <row r="21390" spans="1:4" x14ac:dyDescent="0.3">
      <c r="A21390" t="s">
        <v>1133</v>
      </c>
      <c r="B21390" t="s">
        <v>23</v>
      </c>
      <c r="C21390" s="1">
        <f>HYPERLINK("https://cao.dolgi.msk.ru/account/1011504399/", 1011504399)</f>
        <v>1011504399</v>
      </c>
      <c r="D21390">
        <v>37519.26</v>
      </c>
    </row>
    <row r="21391" spans="1:4" hidden="1" x14ac:dyDescent="0.3">
      <c r="A21391" t="s">
        <v>1133</v>
      </c>
      <c r="B21391" t="s">
        <v>777</v>
      </c>
      <c r="C21391" s="1">
        <f>HYPERLINK("https://cao.dolgi.msk.ru/account/1011504401/", 1011504401)</f>
        <v>1011504401</v>
      </c>
      <c r="D21391">
        <v>-19876.810000000001</v>
      </c>
    </row>
    <row r="21392" spans="1:4" hidden="1" x14ac:dyDescent="0.3">
      <c r="A21392" t="s">
        <v>1133</v>
      </c>
      <c r="B21392" t="s">
        <v>13</v>
      </c>
      <c r="C21392" s="1">
        <f>HYPERLINK("https://cao.dolgi.msk.ru/account/1011504436/", 1011504436)</f>
        <v>1011504436</v>
      </c>
      <c r="D21392">
        <v>0</v>
      </c>
    </row>
    <row r="21393" spans="1:4" x14ac:dyDescent="0.3">
      <c r="A21393" t="s">
        <v>1133</v>
      </c>
      <c r="B21393" t="s">
        <v>14</v>
      </c>
      <c r="C21393" s="1">
        <f>HYPERLINK("https://cao.dolgi.msk.ru/account/1011504372/", 1011504372)</f>
        <v>1011504372</v>
      </c>
      <c r="D21393">
        <v>22911.94</v>
      </c>
    </row>
    <row r="21394" spans="1:4" hidden="1" x14ac:dyDescent="0.3">
      <c r="A21394" t="s">
        <v>1133</v>
      </c>
      <c r="B21394" t="s">
        <v>16</v>
      </c>
      <c r="C21394" s="1">
        <f>HYPERLINK("https://cao.dolgi.msk.ru/account/1011504364/", 1011504364)</f>
        <v>1011504364</v>
      </c>
      <c r="D21394">
        <v>0</v>
      </c>
    </row>
    <row r="21395" spans="1:4" hidden="1" x14ac:dyDescent="0.3">
      <c r="A21395" t="s">
        <v>1133</v>
      </c>
      <c r="B21395" t="s">
        <v>17</v>
      </c>
      <c r="C21395" s="1">
        <f>HYPERLINK("https://cao.dolgi.msk.ru/account/1011504348/", 1011504348)</f>
        <v>1011504348</v>
      </c>
      <c r="D21395">
        <v>-9573.8700000000008</v>
      </c>
    </row>
    <row r="21396" spans="1:4" hidden="1" x14ac:dyDescent="0.3">
      <c r="A21396" t="s">
        <v>1133</v>
      </c>
      <c r="B21396" t="s">
        <v>18</v>
      </c>
      <c r="C21396" s="1">
        <f>HYPERLINK("https://cao.dolgi.msk.ru/account/1011504321/", 1011504321)</f>
        <v>1011504321</v>
      </c>
      <c r="D21396">
        <v>-7793.28</v>
      </c>
    </row>
    <row r="21397" spans="1:4" hidden="1" x14ac:dyDescent="0.3">
      <c r="A21397" t="s">
        <v>1133</v>
      </c>
      <c r="B21397" t="s">
        <v>21</v>
      </c>
      <c r="C21397" s="1">
        <f>HYPERLINK("https://cao.dolgi.msk.ru/account/1011504305/", 1011504305)</f>
        <v>1011504305</v>
      </c>
      <c r="D21397">
        <v>0</v>
      </c>
    </row>
    <row r="21398" spans="1:4" hidden="1" x14ac:dyDescent="0.3">
      <c r="A21398" t="s">
        <v>1133</v>
      </c>
      <c r="B21398" t="s">
        <v>25</v>
      </c>
      <c r="C21398" s="1">
        <f>HYPERLINK("https://cao.dolgi.msk.ru/account/1011514132/", 1011514132)</f>
        <v>1011514132</v>
      </c>
      <c r="D21398">
        <v>-3056.44</v>
      </c>
    </row>
    <row r="21399" spans="1:4" hidden="1" x14ac:dyDescent="0.3">
      <c r="A21399" t="s">
        <v>1133</v>
      </c>
      <c r="B21399" t="s">
        <v>26</v>
      </c>
      <c r="C21399" s="1">
        <f>HYPERLINK("https://cao.dolgi.msk.ru/account/1011504313/", 1011504313)</f>
        <v>1011504313</v>
      </c>
      <c r="D21399">
        <v>0</v>
      </c>
    </row>
    <row r="21400" spans="1:4" hidden="1" x14ac:dyDescent="0.3">
      <c r="A21400" t="s">
        <v>1134</v>
      </c>
      <c r="B21400" t="s">
        <v>6</v>
      </c>
      <c r="C21400" s="1">
        <f>HYPERLINK("https://cao.dolgi.msk.ru/account/1011377406/", 1011377406)</f>
        <v>1011377406</v>
      </c>
      <c r="D21400">
        <v>0</v>
      </c>
    </row>
    <row r="21401" spans="1:4" hidden="1" x14ac:dyDescent="0.3">
      <c r="A21401" t="s">
        <v>1134</v>
      </c>
      <c r="B21401" t="s">
        <v>28</v>
      </c>
      <c r="C21401" s="1">
        <f>HYPERLINK("https://cao.dolgi.msk.ru/account/1011377414/", 1011377414)</f>
        <v>1011377414</v>
      </c>
      <c r="D21401">
        <v>0</v>
      </c>
    </row>
    <row r="21402" spans="1:4" hidden="1" x14ac:dyDescent="0.3">
      <c r="A21402" t="s">
        <v>1134</v>
      </c>
      <c r="B21402" t="s">
        <v>5</v>
      </c>
      <c r="C21402" s="1">
        <f>HYPERLINK("https://cao.dolgi.msk.ru/account/1011510318/", 1011510318)</f>
        <v>1011510318</v>
      </c>
      <c r="D21402">
        <v>0</v>
      </c>
    </row>
    <row r="21403" spans="1:4" hidden="1" x14ac:dyDescent="0.3">
      <c r="A21403" t="s">
        <v>1134</v>
      </c>
      <c r="B21403" t="s">
        <v>7</v>
      </c>
      <c r="C21403" s="1">
        <f>HYPERLINK("https://cao.dolgi.msk.ru/account/1011377422/", 1011377422)</f>
        <v>1011377422</v>
      </c>
      <c r="D21403">
        <v>-4558.8500000000004</v>
      </c>
    </row>
    <row r="21404" spans="1:4" hidden="1" x14ac:dyDescent="0.3">
      <c r="A21404" t="s">
        <v>1134</v>
      </c>
      <c r="B21404" t="s">
        <v>8</v>
      </c>
      <c r="C21404" s="1">
        <f>HYPERLINK("https://cao.dolgi.msk.ru/account/1011377449/", 1011377449)</f>
        <v>1011377449</v>
      </c>
      <c r="D21404">
        <v>-6675.9</v>
      </c>
    </row>
    <row r="21405" spans="1:4" x14ac:dyDescent="0.3">
      <c r="A21405" t="s">
        <v>1134</v>
      </c>
      <c r="B21405" t="s">
        <v>31</v>
      </c>
      <c r="C21405" s="1">
        <f>HYPERLINK("https://cao.dolgi.msk.ru/account/1011377465/", 1011377465)</f>
        <v>1011377465</v>
      </c>
      <c r="D21405">
        <v>103991.4</v>
      </c>
    </row>
    <row r="21406" spans="1:4" hidden="1" x14ac:dyDescent="0.3">
      <c r="A21406" t="s">
        <v>1134</v>
      </c>
      <c r="B21406" t="s">
        <v>9</v>
      </c>
      <c r="C21406" s="1">
        <f>HYPERLINK("https://cao.dolgi.msk.ru/account/1011377377/", 1011377377)</f>
        <v>1011377377</v>
      </c>
      <c r="D21406">
        <v>0</v>
      </c>
    </row>
    <row r="21407" spans="1:4" x14ac:dyDescent="0.3">
      <c r="A21407" t="s">
        <v>1134</v>
      </c>
      <c r="B21407" t="s">
        <v>10</v>
      </c>
      <c r="C21407" s="1">
        <f>HYPERLINK("https://cao.dolgi.msk.ru/account/1011510211/", 1011510211)</f>
        <v>1011510211</v>
      </c>
      <c r="D21407">
        <v>4039.77</v>
      </c>
    </row>
    <row r="21408" spans="1:4" hidden="1" x14ac:dyDescent="0.3">
      <c r="A21408" t="s">
        <v>1134</v>
      </c>
      <c r="B21408" t="s">
        <v>11</v>
      </c>
      <c r="C21408" s="1">
        <f>HYPERLINK("https://cao.dolgi.msk.ru/account/1011377537/", 1011377537)</f>
        <v>1011377537</v>
      </c>
      <c r="D21408">
        <v>-719.42</v>
      </c>
    </row>
    <row r="21409" spans="1:4" hidden="1" x14ac:dyDescent="0.3">
      <c r="A21409" t="s">
        <v>1134</v>
      </c>
      <c r="B21409" t="s">
        <v>12</v>
      </c>
      <c r="C21409" s="1">
        <f>HYPERLINK("https://cao.dolgi.msk.ru/account/1011377561/", 1011377561)</f>
        <v>1011377561</v>
      </c>
      <c r="D21409">
        <v>0</v>
      </c>
    </row>
    <row r="21410" spans="1:4" hidden="1" x14ac:dyDescent="0.3">
      <c r="A21410" t="s">
        <v>1134</v>
      </c>
      <c r="B21410" t="s">
        <v>23</v>
      </c>
      <c r="C21410" s="1">
        <f>HYPERLINK("https://cao.dolgi.msk.ru/account/1011377473/", 1011377473)</f>
        <v>1011377473</v>
      </c>
      <c r="D21410">
        <v>0</v>
      </c>
    </row>
    <row r="21411" spans="1:4" hidden="1" x14ac:dyDescent="0.3">
      <c r="A21411" t="s">
        <v>1134</v>
      </c>
      <c r="B21411" t="s">
        <v>13</v>
      </c>
      <c r="C21411" s="1">
        <f>HYPERLINK("https://cao.dolgi.msk.ru/account/1011377529/", 1011377529)</f>
        <v>1011377529</v>
      </c>
      <c r="D21411">
        <v>-4609.87</v>
      </c>
    </row>
    <row r="21412" spans="1:4" hidden="1" x14ac:dyDescent="0.3">
      <c r="A21412" t="s">
        <v>1134</v>
      </c>
      <c r="B21412" t="s">
        <v>14</v>
      </c>
      <c r="C21412" s="1">
        <f>HYPERLINK("https://cao.dolgi.msk.ru/account/1011377545/", 1011377545)</f>
        <v>1011377545</v>
      </c>
      <c r="D21412">
        <v>-724.85</v>
      </c>
    </row>
    <row r="21413" spans="1:4" hidden="1" x14ac:dyDescent="0.3">
      <c r="A21413" t="s">
        <v>1134</v>
      </c>
      <c r="B21413" t="s">
        <v>16</v>
      </c>
      <c r="C21413" s="1">
        <f>HYPERLINK("https://cao.dolgi.msk.ru/account/1011377481/", 1011377481)</f>
        <v>1011377481</v>
      </c>
      <c r="D21413">
        <v>-4280.17</v>
      </c>
    </row>
    <row r="21414" spans="1:4" hidden="1" x14ac:dyDescent="0.3">
      <c r="A21414" t="s">
        <v>1134</v>
      </c>
      <c r="B21414" t="s">
        <v>17</v>
      </c>
      <c r="C21414" s="1">
        <f>HYPERLINK("https://cao.dolgi.msk.ru/account/1011377385/", 1011377385)</f>
        <v>1011377385</v>
      </c>
      <c r="D21414">
        <v>0</v>
      </c>
    </row>
    <row r="21415" spans="1:4" hidden="1" x14ac:dyDescent="0.3">
      <c r="A21415" t="s">
        <v>1134</v>
      </c>
      <c r="B21415" t="s">
        <v>18</v>
      </c>
      <c r="C21415" s="1">
        <f>HYPERLINK("https://cao.dolgi.msk.ru/account/1011377393/", 1011377393)</f>
        <v>1011377393</v>
      </c>
      <c r="D21415">
        <v>-79.790000000000006</v>
      </c>
    </row>
    <row r="21416" spans="1:4" hidden="1" x14ac:dyDescent="0.3">
      <c r="A21416" t="s">
        <v>1135</v>
      </c>
      <c r="B21416" t="s">
        <v>35</v>
      </c>
      <c r="C21416" s="1">
        <f>HYPERLINK("https://cao.dolgi.msk.ru/account/1011448112/", 1011448112)</f>
        <v>1011448112</v>
      </c>
      <c r="D21416">
        <v>0</v>
      </c>
    </row>
    <row r="21417" spans="1:4" hidden="1" x14ac:dyDescent="0.3">
      <c r="A21417" t="s">
        <v>1135</v>
      </c>
      <c r="B21417" t="s">
        <v>35</v>
      </c>
      <c r="C21417" s="1">
        <f>HYPERLINK("https://cao.dolgi.msk.ru/account/1011448227/", 1011448227)</f>
        <v>1011448227</v>
      </c>
      <c r="D21417">
        <v>-4191.3</v>
      </c>
    </row>
    <row r="21418" spans="1:4" hidden="1" x14ac:dyDescent="0.3">
      <c r="A21418" t="s">
        <v>1135</v>
      </c>
      <c r="B21418" t="s">
        <v>35</v>
      </c>
      <c r="C21418" s="1">
        <f>HYPERLINK("https://cao.dolgi.msk.ru/account/1011448235/", 1011448235)</f>
        <v>1011448235</v>
      </c>
      <c r="D21418">
        <v>0</v>
      </c>
    </row>
    <row r="21419" spans="1:4" hidden="1" x14ac:dyDescent="0.3">
      <c r="A21419" t="s">
        <v>1135</v>
      </c>
      <c r="B21419" t="s">
        <v>5</v>
      </c>
      <c r="C21419" s="1">
        <f>HYPERLINK("https://cao.dolgi.msk.ru/account/1011448278/", 1011448278)</f>
        <v>1011448278</v>
      </c>
      <c r="D21419">
        <v>-11202.7</v>
      </c>
    </row>
    <row r="21420" spans="1:4" hidden="1" x14ac:dyDescent="0.3">
      <c r="A21420" t="s">
        <v>1135</v>
      </c>
      <c r="B21420" t="s">
        <v>7</v>
      </c>
      <c r="C21420" s="1">
        <f>HYPERLINK("https://cao.dolgi.msk.ru/account/1011448171/", 1011448171)</f>
        <v>1011448171</v>
      </c>
      <c r="D21420">
        <v>-1778.46</v>
      </c>
    </row>
    <row r="21421" spans="1:4" hidden="1" x14ac:dyDescent="0.3">
      <c r="A21421" t="s">
        <v>1135</v>
      </c>
      <c r="B21421" t="s">
        <v>8</v>
      </c>
      <c r="C21421" s="1">
        <f>HYPERLINK("https://cao.dolgi.msk.ru/account/1011448139/", 1011448139)</f>
        <v>1011448139</v>
      </c>
      <c r="D21421">
        <v>-14607.88</v>
      </c>
    </row>
    <row r="21422" spans="1:4" hidden="1" x14ac:dyDescent="0.3">
      <c r="A21422" t="s">
        <v>1135</v>
      </c>
      <c r="B21422" t="s">
        <v>31</v>
      </c>
      <c r="C21422" s="1">
        <f>HYPERLINK("https://cao.dolgi.msk.ru/account/1011448251/", 1011448251)</f>
        <v>1011448251</v>
      </c>
      <c r="D21422">
        <v>0</v>
      </c>
    </row>
    <row r="21423" spans="1:4" hidden="1" x14ac:dyDescent="0.3">
      <c r="A21423" t="s">
        <v>1135</v>
      </c>
      <c r="B21423" t="s">
        <v>9</v>
      </c>
      <c r="C21423" s="1">
        <f>HYPERLINK("https://cao.dolgi.msk.ru/account/1011448243/", 1011448243)</f>
        <v>1011448243</v>
      </c>
      <c r="D21423">
        <v>-8685.92</v>
      </c>
    </row>
    <row r="21424" spans="1:4" hidden="1" x14ac:dyDescent="0.3">
      <c r="A21424" t="s">
        <v>1135</v>
      </c>
      <c r="B21424" t="s">
        <v>10</v>
      </c>
      <c r="C21424" s="1">
        <f>HYPERLINK("https://cao.dolgi.msk.ru/account/1011448163/", 1011448163)</f>
        <v>1011448163</v>
      </c>
      <c r="D21424">
        <v>0</v>
      </c>
    </row>
    <row r="21425" spans="1:4" hidden="1" x14ac:dyDescent="0.3">
      <c r="A21425" t="s">
        <v>1135</v>
      </c>
      <c r="B21425" t="s">
        <v>11</v>
      </c>
      <c r="C21425" s="1">
        <f>HYPERLINK("https://cao.dolgi.msk.ru/account/1011448155/", 1011448155)</f>
        <v>1011448155</v>
      </c>
      <c r="D21425">
        <v>-10914.57</v>
      </c>
    </row>
    <row r="21426" spans="1:4" hidden="1" x14ac:dyDescent="0.3">
      <c r="A21426" t="s">
        <v>1135</v>
      </c>
      <c r="B21426" t="s">
        <v>12</v>
      </c>
      <c r="C21426" s="1">
        <f>HYPERLINK("https://cao.dolgi.msk.ru/account/1011448104/", 1011448104)</f>
        <v>1011448104</v>
      </c>
      <c r="D21426">
        <v>-10491.23</v>
      </c>
    </row>
    <row r="21427" spans="1:4" hidden="1" x14ac:dyDescent="0.3">
      <c r="A21427" t="s">
        <v>1135</v>
      </c>
      <c r="B21427" t="s">
        <v>23</v>
      </c>
      <c r="C21427" s="1">
        <f>HYPERLINK("https://cao.dolgi.msk.ru/account/1011448198/", 1011448198)</f>
        <v>1011448198</v>
      </c>
      <c r="D21427">
        <v>-14729.37</v>
      </c>
    </row>
    <row r="21428" spans="1:4" hidden="1" x14ac:dyDescent="0.3">
      <c r="A21428" t="s">
        <v>1135</v>
      </c>
      <c r="B21428" t="s">
        <v>13</v>
      </c>
      <c r="C21428" s="1">
        <f>HYPERLINK("https://cao.dolgi.msk.ru/account/1011448286/", 1011448286)</f>
        <v>1011448286</v>
      </c>
      <c r="D21428">
        <v>0</v>
      </c>
    </row>
    <row r="21429" spans="1:4" hidden="1" x14ac:dyDescent="0.3">
      <c r="A21429" t="s">
        <v>1136</v>
      </c>
      <c r="B21429" t="s">
        <v>6</v>
      </c>
      <c r="C21429" s="1">
        <f>HYPERLINK("https://cao.dolgi.msk.ru/account/1011343767/", 1011343767)</f>
        <v>1011343767</v>
      </c>
      <c r="D21429">
        <v>0</v>
      </c>
    </row>
    <row r="21430" spans="1:4" hidden="1" x14ac:dyDescent="0.3">
      <c r="A21430" t="s">
        <v>1136</v>
      </c>
      <c r="B21430" t="s">
        <v>28</v>
      </c>
      <c r="C21430" s="1">
        <f>HYPERLINK("https://cao.dolgi.msk.ru/account/1011343783/", 1011343783)</f>
        <v>1011343783</v>
      </c>
      <c r="D21430">
        <v>0</v>
      </c>
    </row>
    <row r="21431" spans="1:4" hidden="1" x14ac:dyDescent="0.3">
      <c r="A21431" t="s">
        <v>1136</v>
      </c>
      <c r="B21431" t="s">
        <v>35</v>
      </c>
      <c r="C21431" s="1">
        <f>HYPERLINK("https://cao.dolgi.msk.ru/account/1011344217/", 1011344217)</f>
        <v>1011344217</v>
      </c>
      <c r="D21431">
        <v>0</v>
      </c>
    </row>
    <row r="21432" spans="1:4" x14ac:dyDescent="0.3">
      <c r="A21432" t="s">
        <v>1136</v>
      </c>
      <c r="B21432" t="s">
        <v>5</v>
      </c>
      <c r="C21432" s="1">
        <f>HYPERLINK("https://cao.dolgi.msk.ru/account/1011343695/", 1011343695)</f>
        <v>1011343695</v>
      </c>
      <c r="D21432">
        <v>21430.3</v>
      </c>
    </row>
    <row r="21433" spans="1:4" hidden="1" x14ac:dyDescent="0.3">
      <c r="A21433" t="s">
        <v>1136</v>
      </c>
      <c r="B21433" t="s">
        <v>7</v>
      </c>
      <c r="C21433" s="1">
        <f>HYPERLINK("https://cao.dolgi.msk.ru/account/1011344284/", 1011344284)</f>
        <v>1011344284</v>
      </c>
      <c r="D21433">
        <v>0</v>
      </c>
    </row>
    <row r="21434" spans="1:4" x14ac:dyDescent="0.3">
      <c r="A21434" t="s">
        <v>1136</v>
      </c>
      <c r="B21434" t="s">
        <v>8</v>
      </c>
      <c r="C21434" s="1">
        <f>HYPERLINK("https://cao.dolgi.msk.ru/account/1011344129/", 1011344129)</f>
        <v>1011344129</v>
      </c>
      <c r="D21434">
        <v>3389.31</v>
      </c>
    </row>
    <row r="21435" spans="1:4" hidden="1" x14ac:dyDescent="0.3">
      <c r="A21435" t="s">
        <v>1136</v>
      </c>
      <c r="B21435" t="s">
        <v>31</v>
      </c>
      <c r="C21435" s="1">
        <f>HYPERLINK("https://cao.dolgi.msk.ru/account/1011344268/", 1011344268)</f>
        <v>1011344268</v>
      </c>
      <c r="D21435">
        <v>0</v>
      </c>
    </row>
    <row r="21436" spans="1:4" x14ac:dyDescent="0.3">
      <c r="A21436" t="s">
        <v>1136</v>
      </c>
      <c r="B21436" t="s">
        <v>9</v>
      </c>
      <c r="C21436" s="1">
        <f>HYPERLINK("https://cao.dolgi.msk.ru/account/1011344014/", 1011344014)</f>
        <v>1011344014</v>
      </c>
      <c r="D21436">
        <v>30874.9</v>
      </c>
    </row>
    <row r="21437" spans="1:4" hidden="1" x14ac:dyDescent="0.3">
      <c r="A21437" t="s">
        <v>1136</v>
      </c>
      <c r="B21437" t="s">
        <v>10</v>
      </c>
      <c r="C21437" s="1">
        <f>HYPERLINK("https://cao.dolgi.msk.ru/account/1011344209/", 1011344209)</f>
        <v>1011344209</v>
      </c>
      <c r="D21437">
        <v>-16406.97</v>
      </c>
    </row>
    <row r="21438" spans="1:4" x14ac:dyDescent="0.3">
      <c r="A21438" t="s">
        <v>1136</v>
      </c>
      <c r="B21438" t="s">
        <v>11</v>
      </c>
      <c r="C21438" s="1">
        <f>HYPERLINK("https://cao.dolgi.msk.ru/account/1011344292/", 1011344292)</f>
        <v>1011344292</v>
      </c>
      <c r="D21438">
        <v>3794.63</v>
      </c>
    </row>
    <row r="21439" spans="1:4" hidden="1" x14ac:dyDescent="0.3">
      <c r="A21439" t="s">
        <v>1136</v>
      </c>
      <c r="B21439" t="s">
        <v>12</v>
      </c>
      <c r="C21439" s="1">
        <f>HYPERLINK("https://cao.dolgi.msk.ru/account/1011343644/", 1011343644)</f>
        <v>1011343644</v>
      </c>
      <c r="D21439">
        <v>0</v>
      </c>
    </row>
    <row r="21440" spans="1:4" hidden="1" x14ac:dyDescent="0.3">
      <c r="A21440" t="s">
        <v>1136</v>
      </c>
      <c r="B21440" t="s">
        <v>23</v>
      </c>
      <c r="C21440" s="1">
        <f>HYPERLINK("https://cao.dolgi.msk.ru/account/1011344348/", 1011344348)</f>
        <v>1011344348</v>
      </c>
      <c r="D21440">
        <v>0</v>
      </c>
    </row>
    <row r="21441" spans="1:4" x14ac:dyDescent="0.3">
      <c r="A21441" t="s">
        <v>1136</v>
      </c>
      <c r="B21441" t="s">
        <v>13</v>
      </c>
      <c r="C21441" s="1">
        <f>HYPERLINK("https://cao.dolgi.msk.ru/account/1011343724/", 1011343724)</f>
        <v>1011343724</v>
      </c>
      <c r="D21441">
        <v>4207.7</v>
      </c>
    </row>
    <row r="21442" spans="1:4" hidden="1" x14ac:dyDescent="0.3">
      <c r="A21442" t="s">
        <v>1136</v>
      </c>
      <c r="B21442" t="s">
        <v>14</v>
      </c>
      <c r="C21442" s="1">
        <f>HYPERLINK("https://cao.dolgi.msk.ru/account/1011344356/", 1011344356)</f>
        <v>1011344356</v>
      </c>
      <c r="D21442">
        <v>0</v>
      </c>
    </row>
    <row r="21443" spans="1:4" hidden="1" x14ac:dyDescent="0.3">
      <c r="A21443" t="s">
        <v>1136</v>
      </c>
      <c r="B21443" t="s">
        <v>16</v>
      </c>
      <c r="C21443" s="1">
        <f>HYPERLINK("https://cao.dolgi.msk.ru/account/1011343679/", 1011343679)</f>
        <v>1011343679</v>
      </c>
      <c r="D21443">
        <v>-4798.72</v>
      </c>
    </row>
    <row r="21444" spans="1:4" hidden="1" x14ac:dyDescent="0.3">
      <c r="A21444" t="s">
        <v>1136</v>
      </c>
      <c r="B21444" t="s">
        <v>17</v>
      </c>
      <c r="C21444" s="1">
        <f>HYPERLINK("https://cao.dolgi.msk.ru/account/1011343548/", 1011343548)</f>
        <v>1011343548</v>
      </c>
      <c r="D21444">
        <v>-5872.21</v>
      </c>
    </row>
    <row r="21445" spans="1:4" hidden="1" x14ac:dyDescent="0.3">
      <c r="A21445" t="s">
        <v>1136</v>
      </c>
      <c r="B21445" t="s">
        <v>18</v>
      </c>
      <c r="C21445" s="1">
        <f>HYPERLINK("https://cao.dolgi.msk.ru/account/1011343935/", 1011343935)</f>
        <v>1011343935</v>
      </c>
      <c r="D21445">
        <v>0</v>
      </c>
    </row>
    <row r="21446" spans="1:4" hidden="1" x14ac:dyDescent="0.3">
      <c r="A21446" t="s">
        <v>1136</v>
      </c>
      <c r="B21446" t="s">
        <v>19</v>
      </c>
      <c r="C21446" s="1">
        <f>HYPERLINK("https://cao.dolgi.msk.ru/account/1011343513/", 1011343513)</f>
        <v>1011343513</v>
      </c>
      <c r="D21446">
        <v>0</v>
      </c>
    </row>
    <row r="21447" spans="1:4" hidden="1" x14ac:dyDescent="0.3">
      <c r="A21447" t="s">
        <v>1136</v>
      </c>
      <c r="B21447" t="s">
        <v>20</v>
      </c>
      <c r="C21447" s="1">
        <f>HYPERLINK("https://cao.dolgi.msk.ru/account/1011344428/", 1011344428)</f>
        <v>1011344428</v>
      </c>
      <c r="D21447">
        <v>0</v>
      </c>
    </row>
    <row r="21448" spans="1:4" hidden="1" x14ac:dyDescent="0.3">
      <c r="A21448" t="s">
        <v>1136</v>
      </c>
      <c r="B21448" t="s">
        <v>21</v>
      </c>
      <c r="C21448" s="1">
        <f>HYPERLINK("https://cao.dolgi.msk.ru/account/1011344233/", 1011344233)</f>
        <v>1011344233</v>
      </c>
      <c r="D21448">
        <v>-8956.99</v>
      </c>
    </row>
    <row r="21449" spans="1:4" x14ac:dyDescent="0.3">
      <c r="A21449" t="s">
        <v>1136</v>
      </c>
      <c r="B21449" t="s">
        <v>22</v>
      </c>
      <c r="C21449" s="1">
        <f>HYPERLINK("https://cao.dolgi.msk.ru/account/1011343556/", 1011343556)</f>
        <v>1011343556</v>
      </c>
      <c r="D21449">
        <v>22053.31</v>
      </c>
    </row>
    <row r="21450" spans="1:4" hidden="1" x14ac:dyDescent="0.3">
      <c r="A21450" t="s">
        <v>1136</v>
      </c>
      <c r="B21450" t="s">
        <v>24</v>
      </c>
      <c r="C21450" s="1">
        <f>HYPERLINK("https://cao.dolgi.msk.ru/account/1011344065/", 1011344065)</f>
        <v>1011344065</v>
      </c>
      <c r="D21450">
        <v>0</v>
      </c>
    </row>
    <row r="21451" spans="1:4" hidden="1" x14ac:dyDescent="0.3">
      <c r="A21451" t="s">
        <v>1136</v>
      </c>
      <c r="B21451" t="s">
        <v>25</v>
      </c>
      <c r="C21451" s="1">
        <f>HYPERLINK("https://cao.dolgi.msk.ru/account/1011344153/", 1011344153)</f>
        <v>1011344153</v>
      </c>
      <c r="D21451">
        <v>-6.99</v>
      </c>
    </row>
    <row r="21452" spans="1:4" hidden="1" x14ac:dyDescent="0.3">
      <c r="A21452" t="s">
        <v>1136</v>
      </c>
      <c r="B21452" t="s">
        <v>26</v>
      </c>
      <c r="C21452" s="1">
        <f>HYPERLINK("https://cao.dolgi.msk.ru/account/1011344313/", 1011344313)</f>
        <v>1011344313</v>
      </c>
      <c r="D21452">
        <v>0</v>
      </c>
    </row>
    <row r="21453" spans="1:4" hidden="1" x14ac:dyDescent="0.3">
      <c r="A21453" t="s">
        <v>1136</v>
      </c>
      <c r="B21453" t="s">
        <v>27</v>
      </c>
      <c r="C21453" s="1">
        <f>HYPERLINK("https://cao.dolgi.msk.ru/account/1011344479/", 1011344479)</f>
        <v>1011344479</v>
      </c>
      <c r="D21453">
        <v>0</v>
      </c>
    </row>
    <row r="21454" spans="1:4" hidden="1" x14ac:dyDescent="0.3">
      <c r="A21454" t="s">
        <v>1136</v>
      </c>
      <c r="B21454" t="s">
        <v>29</v>
      </c>
      <c r="C21454" s="1">
        <f>HYPERLINK("https://cao.dolgi.msk.ru/account/1011344364/", 1011344364)</f>
        <v>1011344364</v>
      </c>
      <c r="D21454">
        <v>0</v>
      </c>
    </row>
    <row r="21455" spans="1:4" hidden="1" x14ac:dyDescent="0.3">
      <c r="A21455" t="s">
        <v>1136</v>
      </c>
      <c r="B21455" t="s">
        <v>38</v>
      </c>
      <c r="C21455" s="1">
        <f>HYPERLINK("https://cao.dolgi.msk.ru/account/1011343628/", 1011343628)</f>
        <v>1011343628</v>
      </c>
      <c r="D21455">
        <v>0</v>
      </c>
    </row>
    <row r="21456" spans="1:4" hidden="1" x14ac:dyDescent="0.3">
      <c r="A21456" t="s">
        <v>1136</v>
      </c>
      <c r="B21456" t="s">
        <v>39</v>
      </c>
      <c r="C21456" s="1">
        <f>HYPERLINK("https://cao.dolgi.msk.ru/account/1011343572/", 1011343572)</f>
        <v>1011343572</v>
      </c>
      <c r="D21456">
        <v>0</v>
      </c>
    </row>
    <row r="21457" spans="1:4" hidden="1" x14ac:dyDescent="0.3">
      <c r="A21457" t="s">
        <v>1136</v>
      </c>
      <c r="B21457" t="s">
        <v>40</v>
      </c>
      <c r="C21457" s="1">
        <f>HYPERLINK("https://cao.dolgi.msk.ru/account/1011343775/", 1011343775)</f>
        <v>1011343775</v>
      </c>
      <c r="D21457">
        <v>0</v>
      </c>
    </row>
    <row r="21458" spans="1:4" x14ac:dyDescent="0.3">
      <c r="A21458" t="s">
        <v>1136</v>
      </c>
      <c r="B21458" t="s">
        <v>41</v>
      </c>
      <c r="C21458" s="1">
        <f>HYPERLINK("https://cao.dolgi.msk.ru/account/1011343986/", 1011343986)</f>
        <v>1011343986</v>
      </c>
      <c r="D21458">
        <v>4100.25</v>
      </c>
    </row>
    <row r="21459" spans="1:4" hidden="1" x14ac:dyDescent="0.3">
      <c r="A21459" t="s">
        <v>1136</v>
      </c>
      <c r="B21459" t="s">
        <v>51</v>
      </c>
      <c r="C21459" s="1">
        <f>HYPERLINK("https://cao.dolgi.msk.ru/account/1011343716/", 1011343716)</f>
        <v>1011343716</v>
      </c>
      <c r="D21459">
        <v>-4076.02</v>
      </c>
    </row>
    <row r="21460" spans="1:4" hidden="1" x14ac:dyDescent="0.3">
      <c r="A21460" t="s">
        <v>1136</v>
      </c>
      <c r="B21460" t="s">
        <v>52</v>
      </c>
      <c r="C21460" s="1">
        <f>HYPERLINK("https://cao.dolgi.msk.ru/account/1011344276/", 1011344276)</f>
        <v>1011344276</v>
      </c>
      <c r="D21460">
        <v>-3998.45</v>
      </c>
    </row>
    <row r="21461" spans="1:4" hidden="1" x14ac:dyDescent="0.3">
      <c r="A21461" t="s">
        <v>1136</v>
      </c>
      <c r="B21461" t="s">
        <v>53</v>
      </c>
      <c r="C21461" s="1">
        <f>HYPERLINK("https://cao.dolgi.msk.ru/account/1011344006/", 1011344006)</f>
        <v>1011344006</v>
      </c>
      <c r="D21461">
        <v>-11358.57</v>
      </c>
    </row>
    <row r="21462" spans="1:4" hidden="1" x14ac:dyDescent="0.3">
      <c r="A21462" t="s">
        <v>1136</v>
      </c>
      <c r="B21462" t="s">
        <v>53</v>
      </c>
      <c r="C21462" s="1">
        <f>HYPERLINK("https://cao.dolgi.msk.ru/account/1011344321/", 1011344321)</f>
        <v>1011344321</v>
      </c>
      <c r="D21462">
        <v>0</v>
      </c>
    </row>
    <row r="21463" spans="1:4" hidden="1" x14ac:dyDescent="0.3">
      <c r="A21463" t="s">
        <v>1136</v>
      </c>
      <c r="B21463" t="s">
        <v>54</v>
      </c>
      <c r="C21463" s="1">
        <f>HYPERLINK("https://cao.dolgi.msk.ru/account/1011343636/", 1011343636)</f>
        <v>1011343636</v>
      </c>
      <c r="D21463">
        <v>0</v>
      </c>
    </row>
    <row r="21464" spans="1:4" hidden="1" x14ac:dyDescent="0.3">
      <c r="A21464" t="s">
        <v>1136</v>
      </c>
      <c r="B21464" t="s">
        <v>55</v>
      </c>
      <c r="C21464" s="1">
        <f>HYPERLINK("https://cao.dolgi.msk.ru/account/1011343732/", 1011343732)</f>
        <v>1011343732</v>
      </c>
      <c r="D21464">
        <v>0</v>
      </c>
    </row>
    <row r="21465" spans="1:4" x14ac:dyDescent="0.3">
      <c r="A21465" t="s">
        <v>1136</v>
      </c>
      <c r="B21465" t="s">
        <v>56</v>
      </c>
      <c r="C21465" s="1">
        <f>HYPERLINK("https://cao.dolgi.msk.ru/account/1011344225/", 1011344225)</f>
        <v>1011344225</v>
      </c>
      <c r="D21465">
        <v>115061.74</v>
      </c>
    </row>
    <row r="21466" spans="1:4" x14ac:dyDescent="0.3">
      <c r="A21466" t="s">
        <v>1136</v>
      </c>
      <c r="B21466" t="s">
        <v>87</v>
      </c>
      <c r="C21466" s="1">
        <f>HYPERLINK("https://cao.dolgi.msk.ru/account/1011344196/", 1011344196)</f>
        <v>1011344196</v>
      </c>
      <c r="D21466">
        <v>1025.9100000000001</v>
      </c>
    </row>
    <row r="21467" spans="1:4" hidden="1" x14ac:dyDescent="0.3">
      <c r="A21467" t="s">
        <v>1136</v>
      </c>
      <c r="B21467" t="s">
        <v>88</v>
      </c>
      <c r="C21467" s="1">
        <f>HYPERLINK("https://cao.dolgi.msk.ru/account/1011344487/", 1011344487)</f>
        <v>1011344487</v>
      </c>
      <c r="D21467">
        <v>-5093.95</v>
      </c>
    </row>
    <row r="21468" spans="1:4" hidden="1" x14ac:dyDescent="0.3">
      <c r="A21468" t="s">
        <v>1136</v>
      </c>
      <c r="B21468" t="s">
        <v>89</v>
      </c>
      <c r="C21468" s="1">
        <f>HYPERLINK("https://cao.dolgi.msk.ru/account/1011343898/", 1011343898)</f>
        <v>1011343898</v>
      </c>
      <c r="D21468">
        <v>0</v>
      </c>
    </row>
    <row r="21469" spans="1:4" x14ac:dyDescent="0.3">
      <c r="A21469" t="s">
        <v>1136</v>
      </c>
      <c r="B21469" t="s">
        <v>90</v>
      </c>
      <c r="C21469" s="1">
        <f>HYPERLINK("https://cao.dolgi.msk.ru/account/1011343708/", 1011343708)</f>
        <v>1011343708</v>
      </c>
      <c r="D21469">
        <v>36128.080000000002</v>
      </c>
    </row>
    <row r="21470" spans="1:4" hidden="1" x14ac:dyDescent="0.3">
      <c r="A21470" t="s">
        <v>1136</v>
      </c>
      <c r="B21470" t="s">
        <v>96</v>
      </c>
      <c r="C21470" s="1">
        <f>HYPERLINK("https://cao.dolgi.msk.ru/account/1011343978/", 1011343978)</f>
        <v>1011343978</v>
      </c>
      <c r="D21470">
        <v>0</v>
      </c>
    </row>
    <row r="21471" spans="1:4" hidden="1" x14ac:dyDescent="0.3">
      <c r="A21471" t="s">
        <v>1136</v>
      </c>
      <c r="B21471" t="s">
        <v>97</v>
      </c>
      <c r="C21471" s="1">
        <f>HYPERLINK("https://cao.dolgi.msk.ru/account/1011343863/", 1011343863)</f>
        <v>1011343863</v>
      </c>
      <c r="D21471">
        <v>0</v>
      </c>
    </row>
    <row r="21472" spans="1:4" hidden="1" x14ac:dyDescent="0.3">
      <c r="A21472" t="s">
        <v>1136</v>
      </c>
      <c r="B21472" t="s">
        <v>98</v>
      </c>
      <c r="C21472" s="1">
        <f>HYPERLINK("https://cao.dolgi.msk.ru/account/1011343687/", 1011343687)</f>
        <v>1011343687</v>
      </c>
      <c r="D21472">
        <v>0</v>
      </c>
    </row>
    <row r="21473" spans="1:4" hidden="1" x14ac:dyDescent="0.3">
      <c r="A21473" t="s">
        <v>1136</v>
      </c>
      <c r="B21473" t="s">
        <v>58</v>
      </c>
      <c r="C21473" s="1">
        <f>HYPERLINK("https://cao.dolgi.msk.ru/account/1011344022/", 1011344022)</f>
        <v>1011344022</v>
      </c>
      <c r="D21473">
        <v>0</v>
      </c>
    </row>
    <row r="21474" spans="1:4" hidden="1" x14ac:dyDescent="0.3">
      <c r="A21474" t="s">
        <v>1136</v>
      </c>
      <c r="B21474" t="s">
        <v>59</v>
      </c>
      <c r="C21474" s="1">
        <f>HYPERLINK("https://cao.dolgi.msk.ru/account/1011344241/", 1011344241)</f>
        <v>1011344241</v>
      </c>
      <c r="D21474">
        <v>0</v>
      </c>
    </row>
    <row r="21475" spans="1:4" hidden="1" x14ac:dyDescent="0.3">
      <c r="A21475" t="s">
        <v>1136</v>
      </c>
      <c r="B21475" t="s">
        <v>60</v>
      </c>
      <c r="C21475" s="1">
        <f>HYPERLINK("https://cao.dolgi.msk.ru/account/1011344444/", 1011344444)</f>
        <v>1011344444</v>
      </c>
      <c r="D21475">
        <v>-138.96</v>
      </c>
    </row>
    <row r="21476" spans="1:4" hidden="1" x14ac:dyDescent="0.3">
      <c r="A21476" t="s">
        <v>1136</v>
      </c>
      <c r="B21476" t="s">
        <v>61</v>
      </c>
      <c r="C21476" s="1">
        <f>HYPERLINK("https://cao.dolgi.msk.ru/account/1011344161/", 1011344161)</f>
        <v>1011344161</v>
      </c>
      <c r="D21476">
        <v>-6912.66</v>
      </c>
    </row>
    <row r="21477" spans="1:4" hidden="1" x14ac:dyDescent="0.3">
      <c r="A21477" t="s">
        <v>1136</v>
      </c>
      <c r="B21477" t="s">
        <v>62</v>
      </c>
      <c r="C21477" s="1">
        <f>HYPERLINK("https://cao.dolgi.msk.ru/account/1011344372/", 1011344372)</f>
        <v>1011344372</v>
      </c>
      <c r="D21477">
        <v>-6181.23</v>
      </c>
    </row>
    <row r="21478" spans="1:4" hidden="1" x14ac:dyDescent="0.3">
      <c r="A21478" t="s">
        <v>1136</v>
      </c>
      <c r="B21478" t="s">
        <v>63</v>
      </c>
      <c r="C21478" s="1">
        <f>HYPERLINK("https://cao.dolgi.msk.ru/account/1011343564/", 1011343564)</f>
        <v>1011343564</v>
      </c>
      <c r="D21478">
        <v>0</v>
      </c>
    </row>
    <row r="21479" spans="1:4" hidden="1" x14ac:dyDescent="0.3">
      <c r="A21479" t="s">
        <v>1136</v>
      </c>
      <c r="B21479" t="s">
        <v>64</v>
      </c>
      <c r="C21479" s="1">
        <f>HYPERLINK("https://cao.dolgi.msk.ru/account/1011344452/", 1011344452)</f>
        <v>1011344452</v>
      </c>
      <c r="D21479">
        <v>0</v>
      </c>
    </row>
    <row r="21480" spans="1:4" hidden="1" x14ac:dyDescent="0.3">
      <c r="A21480" t="s">
        <v>1136</v>
      </c>
      <c r="B21480" t="s">
        <v>65</v>
      </c>
      <c r="C21480" s="1">
        <f>HYPERLINK("https://cao.dolgi.msk.ru/account/1011344399/", 1011344399)</f>
        <v>1011344399</v>
      </c>
      <c r="D21480">
        <v>-4376.8</v>
      </c>
    </row>
    <row r="21481" spans="1:4" hidden="1" x14ac:dyDescent="0.3">
      <c r="A21481" t="s">
        <v>1136</v>
      </c>
      <c r="B21481" t="s">
        <v>66</v>
      </c>
      <c r="C21481" s="1">
        <f>HYPERLINK("https://cao.dolgi.msk.ru/account/1011343927/", 1011343927)</f>
        <v>1011343927</v>
      </c>
      <c r="D21481">
        <v>-129.38999999999999</v>
      </c>
    </row>
    <row r="21482" spans="1:4" hidden="1" x14ac:dyDescent="0.3">
      <c r="A21482" t="s">
        <v>1136</v>
      </c>
      <c r="B21482" t="s">
        <v>67</v>
      </c>
      <c r="C21482" s="1">
        <f>HYPERLINK("https://cao.dolgi.msk.ru/account/1011343599/", 1011343599)</f>
        <v>1011343599</v>
      </c>
      <c r="D21482">
        <v>0</v>
      </c>
    </row>
    <row r="21483" spans="1:4" hidden="1" x14ac:dyDescent="0.3">
      <c r="A21483" t="s">
        <v>1136</v>
      </c>
      <c r="B21483" t="s">
        <v>68</v>
      </c>
      <c r="C21483" s="1">
        <f>HYPERLINK("https://cao.dolgi.msk.ru/account/1011343759/", 1011343759)</f>
        <v>1011343759</v>
      </c>
      <c r="D21483">
        <v>0</v>
      </c>
    </row>
    <row r="21484" spans="1:4" hidden="1" x14ac:dyDescent="0.3">
      <c r="A21484" t="s">
        <v>1136</v>
      </c>
      <c r="B21484" t="s">
        <v>69</v>
      </c>
      <c r="C21484" s="1">
        <f>HYPERLINK("https://cao.dolgi.msk.ru/account/1011344436/", 1011344436)</f>
        <v>1011344436</v>
      </c>
      <c r="D21484">
        <v>-4904.2299999999996</v>
      </c>
    </row>
    <row r="21485" spans="1:4" hidden="1" x14ac:dyDescent="0.3">
      <c r="A21485" t="s">
        <v>1136</v>
      </c>
      <c r="B21485" t="s">
        <v>70</v>
      </c>
      <c r="C21485" s="1">
        <f>HYPERLINK("https://cao.dolgi.msk.ru/account/1011343855/", 1011343855)</f>
        <v>1011343855</v>
      </c>
      <c r="D21485">
        <v>0</v>
      </c>
    </row>
    <row r="21486" spans="1:4" hidden="1" x14ac:dyDescent="0.3">
      <c r="A21486" t="s">
        <v>1136</v>
      </c>
      <c r="B21486" t="s">
        <v>70</v>
      </c>
      <c r="C21486" s="1">
        <f>HYPERLINK("https://cao.dolgi.msk.ru/account/1011344401/", 1011344401)</f>
        <v>1011344401</v>
      </c>
      <c r="D21486">
        <v>-3396.66</v>
      </c>
    </row>
    <row r="21487" spans="1:4" x14ac:dyDescent="0.3">
      <c r="A21487" t="s">
        <v>1136</v>
      </c>
      <c r="B21487" t="s">
        <v>259</v>
      </c>
      <c r="C21487" s="1">
        <f>HYPERLINK("https://cao.dolgi.msk.ru/account/1011344081/", 1011344081)</f>
        <v>1011344081</v>
      </c>
      <c r="D21487">
        <v>17685.259999999998</v>
      </c>
    </row>
    <row r="21488" spans="1:4" x14ac:dyDescent="0.3">
      <c r="A21488" t="s">
        <v>1136</v>
      </c>
      <c r="B21488" t="s">
        <v>100</v>
      </c>
      <c r="C21488" s="1">
        <f>HYPERLINK("https://cao.dolgi.msk.ru/account/1011344188/", 1011344188)</f>
        <v>1011344188</v>
      </c>
      <c r="D21488">
        <v>350.26</v>
      </c>
    </row>
    <row r="21489" spans="1:4" hidden="1" x14ac:dyDescent="0.3">
      <c r="A21489" t="s">
        <v>1136</v>
      </c>
      <c r="B21489" t="s">
        <v>72</v>
      </c>
      <c r="C21489" s="1">
        <f>HYPERLINK("https://cao.dolgi.msk.ru/account/1011343943/", 1011343943)</f>
        <v>1011343943</v>
      </c>
      <c r="D21489">
        <v>-122.7</v>
      </c>
    </row>
    <row r="21490" spans="1:4" hidden="1" x14ac:dyDescent="0.3">
      <c r="A21490" t="s">
        <v>1136</v>
      </c>
      <c r="B21490" t="s">
        <v>73</v>
      </c>
      <c r="C21490" s="1">
        <f>HYPERLINK("https://cao.dolgi.msk.ru/account/1011343994/", 1011343994)</f>
        <v>1011343994</v>
      </c>
      <c r="D21490">
        <v>0</v>
      </c>
    </row>
    <row r="21491" spans="1:4" hidden="1" x14ac:dyDescent="0.3">
      <c r="A21491" t="s">
        <v>1136</v>
      </c>
      <c r="B21491" t="s">
        <v>74</v>
      </c>
      <c r="C21491" s="1">
        <f>HYPERLINK("https://cao.dolgi.msk.ru/account/1011344049/", 1011344049)</f>
        <v>1011344049</v>
      </c>
      <c r="D21491">
        <v>0</v>
      </c>
    </row>
    <row r="21492" spans="1:4" hidden="1" x14ac:dyDescent="0.3">
      <c r="A21492" t="s">
        <v>1136</v>
      </c>
      <c r="B21492" t="s">
        <v>75</v>
      </c>
      <c r="C21492" s="1">
        <f>HYPERLINK("https://cao.dolgi.msk.ru/account/1011344305/", 1011344305)</f>
        <v>1011344305</v>
      </c>
      <c r="D21492">
        <v>0</v>
      </c>
    </row>
    <row r="21493" spans="1:4" hidden="1" x14ac:dyDescent="0.3">
      <c r="A21493" t="s">
        <v>1136</v>
      </c>
      <c r="B21493" t="s">
        <v>76</v>
      </c>
      <c r="C21493" s="1">
        <f>HYPERLINK("https://cao.dolgi.msk.ru/account/1011344495/", 1011344495)</f>
        <v>1011344495</v>
      </c>
      <c r="D21493">
        <v>-138.96</v>
      </c>
    </row>
    <row r="21494" spans="1:4" x14ac:dyDescent="0.3">
      <c r="A21494" t="s">
        <v>1136</v>
      </c>
      <c r="B21494" t="s">
        <v>77</v>
      </c>
      <c r="C21494" s="1">
        <f>HYPERLINK("https://cao.dolgi.msk.ru/account/1011343492/", 1011343492)</f>
        <v>1011343492</v>
      </c>
      <c r="D21494">
        <v>2100.2199999999998</v>
      </c>
    </row>
    <row r="21495" spans="1:4" hidden="1" x14ac:dyDescent="0.3">
      <c r="A21495" t="s">
        <v>1136</v>
      </c>
      <c r="B21495" t="s">
        <v>78</v>
      </c>
      <c r="C21495" s="1">
        <f>HYPERLINK("https://cao.dolgi.msk.ru/account/1011343521/", 1011343521)</f>
        <v>1011343521</v>
      </c>
      <c r="D21495">
        <v>0</v>
      </c>
    </row>
    <row r="21496" spans="1:4" hidden="1" x14ac:dyDescent="0.3">
      <c r="A21496" t="s">
        <v>1136</v>
      </c>
      <c r="B21496" t="s">
        <v>79</v>
      </c>
      <c r="C21496" s="1">
        <f>HYPERLINK("https://cao.dolgi.msk.ru/account/1011343871/", 1011343871)</f>
        <v>1011343871</v>
      </c>
      <c r="D21496">
        <v>-10696.72</v>
      </c>
    </row>
    <row r="21497" spans="1:4" hidden="1" x14ac:dyDescent="0.3">
      <c r="A21497" t="s">
        <v>1136</v>
      </c>
      <c r="B21497" t="s">
        <v>80</v>
      </c>
      <c r="C21497" s="1">
        <f>HYPERLINK("https://cao.dolgi.msk.ru/account/1011344508/", 1011344508)</f>
        <v>1011344508</v>
      </c>
      <c r="D21497">
        <v>-16882.52</v>
      </c>
    </row>
    <row r="21498" spans="1:4" hidden="1" x14ac:dyDescent="0.3">
      <c r="A21498" t="s">
        <v>1136</v>
      </c>
      <c r="B21498" t="s">
        <v>81</v>
      </c>
      <c r="C21498" s="1">
        <f>HYPERLINK("https://cao.dolgi.msk.ru/account/1011343804/", 1011343804)</f>
        <v>1011343804</v>
      </c>
      <c r="D21498">
        <v>0</v>
      </c>
    </row>
    <row r="21499" spans="1:4" hidden="1" x14ac:dyDescent="0.3">
      <c r="A21499" t="s">
        <v>1136</v>
      </c>
      <c r="B21499" t="s">
        <v>101</v>
      </c>
      <c r="C21499" s="1">
        <f>HYPERLINK("https://cao.dolgi.msk.ru/account/1011343847/", 1011343847)</f>
        <v>1011343847</v>
      </c>
      <c r="D21499">
        <v>0</v>
      </c>
    </row>
    <row r="21500" spans="1:4" hidden="1" x14ac:dyDescent="0.3">
      <c r="A21500" t="s">
        <v>1136</v>
      </c>
      <c r="B21500" t="s">
        <v>82</v>
      </c>
      <c r="C21500" s="1">
        <f>HYPERLINK("https://cao.dolgi.msk.ru/account/1011344073/", 1011344073)</f>
        <v>1011344073</v>
      </c>
      <c r="D21500">
        <v>0</v>
      </c>
    </row>
    <row r="21501" spans="1:4" hidden="1" x14ac:dyDescent="0.3">
      <c r="A21501" t="s">
        <v>1136</v>
      </c>
      <c r="B21501" t="s">
        <v>83</v>
      </c>
      <c r="C21501" s="1">
        <f>HYPERLINK("https://cao.dolgi.msk.ru/account/1011344137/", 1011344137)</f>
        <v>1011344137</v>
      </c>
      <c r="D21501">
        <v>-35013.31</v>
      </c>
    </row>
    <row r="21502" spans="1:4" hidden="1" x14ac:dyDescent="0.3">
      <c r="A21502" t="s">
        <v>1136</v>
      </c>
      <c r="B21502" t="s">
        <v>84</v>
      </c>
      <c r="C21502" s="1">
        <f>HYPERLINK("https://cao.dolgi.msk.ru/account/1011343812/", 1011343812)</f>
        <v>1011343812</v>
      </c>
      <c r="D21502">
        <v>-7355.74</v>
      </c>
    </row>
    <row r="21503" spans="1:4" hidden="1" x14ac:dyDescent="0.3">
      <c r="A21503" t="s">
        <v>1136</v>
      </c>
      <c r="B21503" t="s">
        <v>85</v>
      </c>
      <c r="C21503" s="1">
        <f>HYPERLINK("https://cao.dolgi.msk.ru/account/1011514714/", 1011514714)</f>
        <v>1011514714</v>
      </c>
      <c r="D21503">
        <v>-4910.3</v>
      </c>
    </row>
    <row r="21504" spans="1:4" hidden="1" x14ac:dyDescent="0.3">
      <c r="A21504" t="s">
        <v>1136</v>
      </c>
      <c r="B21504" t="s">
        <v>102</v>
      </c>
      <c r="C21504" s="1">
        <f>HYPERLINK("https://cao.dolgi.msk.ru/account/1011343839/", 1011343839)</f>
        <v>1011343839</v>
      </c>
      <c r="D21504">
        <v>-5595.98</v>
      </c>
    </row>
    <row r="21505" spans="1:4" hidden="1" x14ac:dyDescent="0.3">
      <c r="A21505" t="s">
        <v>1136</v>
      </c>
      <c r="B21505" t="s">
        <v>103</v>
      </c>
      <c r="C21505" s="1">
        <f>HYPERLINK("https://cao.dolgi.msk.ru/account/1011343652/", 1011343652)</f>
        <v>1011343652</v>
      </c>
      <c r="D21505">
        <v>0</v>
      </c>
    </row>
    <row r="21506" spans="1:4" hidden="1" x14ac:dyDescent="0.3">
      <c r="A21506" t="s">
        <v>1136</v>
      </c>
      <c r="B21506" t="s">
        <v>103</v>
      </c>
      <c r="C21506" s="1">
        <f>HYPERLINK("https://cao.dolgi.msk.ru/account/1011343951/", 1011343951)</f>
        <v>1011343951</v>
      </c>
      <c r="D21506">
        <v>0</v>
      </c>
    </row>
    <row r="21507" spans="1:4" hidden="1" x14ac:dyDescent="0.3">
      <c r="A21507" t="s">
        <v>1136</v>
      </c>
      <c r="B21507" t="s">
        <v>104</v>
      </c>
      <c r="C21507" s="1">
        <f>HYPERLINK("https://cao.dolgi.msk.ru/account/1011344057/", 1011344057)</f>
        <v>1011344057</v>
      </c>
      <c r="D21507">
        <v>-4828.22</v>
      </c>
    </row>
    <row r="21508" spans="1:4" hidden="1" x14ac:dyDescent="0.3">
      <c r="A21508" t="s">
        <v>1136</v>
      </c>
      <c r="B21508" t="s">
        <v>105</v>
      </c>
      <c r="C21508" s="1">
        <f>HYPERLINK("https://cao.dolgi.msk.ru/account/1011343791/", 1011343791)</f>
        <v>1011343791</v>
      </c>
      <c r="D21508">
        <v>0</v>
      </c>
    </row>
    <row r="21509" spans="1:4" hidden="1" x14ac:dyDescent="0.3">
      <c r="A21509" t="s">
        <v>1136</v>
      </c>
      <c r="B21509" t="s">
        <v>106</v>
      </c>
      <c r="C21509" s="1">
        <f>HYPERLINK("https://cao.dolgi.msk.ru/account/1011344102/", 1011344102)</f>
        <v>1011344102</v>
      </c>
      <c r="D21509">
        <v>-4564.53</v>
      </c>
    </row>
    <row r="21510" spans="1:4" hidden="1" x14ac:dyDescent="0.3">
      <c r="A21510" t="s">
        <v>1136</v>
      </c>
      <c r="B21510" t="s">
        <v>107</v>
      </c>
      <c r="C21510" s="1">
        <f>HYPERLINK("https://cao.dolgi.msk.ru/account/1011343505/", 1011343505)</f>
        <v>1011343505</v>
      </c>
      <c r="D21510">
        <v>0</v>
      </c>
    </row>
    <row r="21511" spans="1:4" hidden="1" x14ac:dyDescent="0.3">
      <c r="A21511" t="s">
        <v>1136</v>
      </c>
      <c r="B21511" t="s">
        <v>108</v>
      </c>
      <c r="C21511" s="1">
        <f>HYPERLINK("https://cao.dolgi.msk.ru/account/1011343919/", 1011343919)</f>
        <v>1011343919</v>
      </c>
      <c r="D21511">
        <v>0</v>
      </c>
    </row>
    <row r="21512" spans="1:4" hidden="1" x14ac:dyDescent="0.3">
      <c r="A21512" t="s">
        <v>1137</v>
      </c>
      <c r="B21512" t="s">
        <v>6</v>
      </c>
      <c r="C21512" s="1">
        <f>HYPERLINK("https://cao.dolgi.msk.ru/account/1011503046/", 1011503046)</f>
        <v>1011503046</v>
      </c>
      <c r="D21512">
        <v>-384.53</v>
      </c>
    </row>
    <row r="21513" spans="1:4" hidden="1" x14ac:dyDescent="0.3">
      <c r="A21513" t="s">
        <v>1137</v>
      </c>
      <c r="B21513" t="s">
        <v>28</v>
      </c>
      <c r="C21513" s="1">
        <f>HYPERLINK("https://cao.dolgi.msk.ru/account/1011503126/", 1011503126)</f>
        <v>1011503126</v>
      </c>
      <c r="D21513">
        <v>0</v>
      </c>
    </row>
    <row r="21514" spans="1:4" hidden="1" x14ac:dyDescent="0.3">
      <c r="A21514" t="s">
        <v>1137</v>
      </c>
      <c r="B21514" t="s">
        <v>35</v>
      </c>
      <c r="C21514" s="1">
        <f>HYPERLINK("https://cao.dolgi.msk.ru/account/1011502852/", 1011502852)</f>
        <v>1011502852</v>
      </c>
      <c r="D21514">
        <v>-2394.16</v>
      </c>
    </row>
    <row r="21515" spans="1:4" hidden="1" x14ac:dyDescent="0.3">
      <c r="A21515" t="s">
        <v>1137</v>
      </c>
      <c r="B21515" t="s">
        <v>35</v>
      </c>
      <c r="C21515" s="1">
        <f>HYPERLINK("https://cao.dolgi.msk.ru/account/1011503054/", 1011503054)</f>
        <v>1011503054</v>
      </c>
      <c r="D21515">
        <v>0</v>
      </c>
    </row>
    <row r="21516" spans="1:4" hidden="1" x14ac:dyDescent="0.3">
      <c r="A21516" t="s">
        <v>1137</v>
      </c>
      <c r="B21516" t="s">
        <v>35</v>
      </c>
      <c r="C21516" s="1">
        <f>HYPERLINK("https://cao.dolgi.msk.ru/account/1011503222/", 1011503222)</f>
        <v>1011503222</v>
      </c>
      <c r="D21516">
        <v>-2618.98</v>
      </c>
    </row>
    <row r="21517" spans="1:4" x14ac:dyDescent="0.3">
      <c r="A21517" t="s">
        <v>1137</v>
      </c>
      <c r="B21517" t="s">
        <v>5</v>
      </c>
      <c r="C21517" s="1">
        <f>HYPERLINK("https://cao.dolgi.msk.ru/account/1011503038/", 1011503038)</f>
        <v>1011503038</v>
      </c>
      <c r="D21517">
        <v>1606.17</v>
      </c>
    </row>
    <row r="21518" spans="1:4" hidden="1" x14ac:dyDescent="0.3">
      <c r="A21518" t="s">
        <v>1137</v>
      </c>
      <c r="B21518" t="s">
        <v>7</v>
      </c>
      <c r="C21518" s="1">
        <f>HYPERLINK("https://cao.dolgi.msk.ru/account/1011502959/", 1011502959)</f>
        <v>1011502959</v>
      </c>
      <c r="D21518">
        <v>0</v>
      </c>
    </row>
    <row r="21519" spans="1:4" x14ac:dyDescent="0.3">
      <c r="A21519" t="s">
        <v>1137</v>
      </c>
      <c r="B21519" t="s">
        <v>8</v>
      </c>
      <c r="C21519" s="1">
        <f>HYPERLINK("https://cao.dolgi.msk.ru/account/1011502895/", 1011502895)</f>
        <v>1011502895</v>
      </c>
      <c r="D21519">
        <v>20240.189999999999</v>
      </c>
    </row>
    <row r="21520" spans="1:4" x14ac:dyDescent="0.3">
      <c r="A21520" t="s">
        <v>1137</v>
      </c>
      <c r="B21520" t="s">
        <v>31</v>
      </c>
      <c r="C21520" s="1">
        <f>HYPERLINK("https://cao.dolgi.msk.ru/account/1011503337/", 1011503337)</f>
        <v>1011503337</v>
      </c>
      <c r="D21520">
        <v>421436.15</v>
      </c>
    </row>
    <row r="21521" spans="1:4" hidden="1" x14ac:dyDescent="0.3">
      <c r="A21521" t="s">
        <v>1137</v>
      </c>
      <c r="B21521" t="s">
        <v>9</v>
      </c>
      <c r="C21521" s="1">
        <f>HYPERLINK("https://cao.dolgi.msk.ru/account/1011503097/", 1011503097)</f>
        <v>1011503097</v>
      </c>
      <c r="D21521">
        <v>-168.27</v>
      </c>
    </row>
    <row r="21522" spans="1:4" hidden="1" x14ac:dyDescent="0.3">
      <c r="A21522" t="s">
        <v>1137</v>
      </c>
      <c r="B21522" t="s">
        <v>10</v>
      </c>
      <c r="C21522" s="1">
        <f>HYPERLINK("https://cao.dolgi.msk.ru/account/1011502967/", 1011502967)</f>
        <v>1011502967</v>
      </c>
      <c r="D21522">
        <v>-9424.56</v>
      </c>
    </row>
    <row r="21523" spans="1:4" x14ac:dyDescent="0.3">
      <c r="A21523" t="s">
        <v>1137</v>
      </c>
      <c r="B21523" t="s">
        <v>11</v>
      </c>
      <c r="C21523" s="1">
        <f>HYPERLINK("https://cao.dolgi.msk.ru/account/1011503134/", 1011503134)</f>
        <v>1011503134</v>
      </c>
      <c r="D21523">
        <v>5376.37</v>
      </c>
    </row>
    <row r="21524" spans="1:4" hidden="1" x14ac:dyDescent="0.3">
      <c r="A21524" t="s">
        <v>1137</v>
      </c>
      <c r="B21524" t="s">
        <v>12</v>
      </c>
      <c r="C21524" s="1">
        <f>HYPERLINK("https://cao.dolgi.msk.ru/account/1011503118/", 1011503118)</f>
        <v>1011503118</v>
      </c>
      <c r="D21524">
        <v>0</v>
      </c>
    </row>
    <row r="21525" spans="1:4" hidden="1" x14ac:dyDescent="0.3">
      <c r="A21525" t="s">
        <v>1137</v>
      </c>
      <c r="B21525" t="s">
        <v>23</v>
      </c>
      <c r="C21525" s="1">
        <f>HYPERLINK("https://cao.dolgi.msk.ru/account/1011502879/", 1011502879)</f>
        <v>1011502879</v>
      </c>
      <c r="D21525">
        <v>0</v>
      </c>
    </row>
    <row r="21526" spans="1:4" hidden="1" x14ac:dyDescent="0.3">
      <c r="A21526" t="s">
        <v>1137</v>
      </c>
      <c r="B21526" t="s">
        <v>13</v>
      </c>
      <c r="C21526" s="1">
        <f>HYPERLINK("https://cao.dolgi.msk.ru/account/1011503142/", 1011503142)</f>
        <v>1011503142</v>
      </c>
      <c r="D21526">
        <v>-142.47999999999999</v>
      </c>
    </row>
    <row r="21527" spans="1:4" hidden="1" x14ac:dyDescent="0.3">
      <c r="A21527" t="s">
        <v>1137</v>
      </c>
      <c r="B21527" t="s">
        <v>14</v>
      </c>
      <c r="C21527" s="1">
        <f>HYPERLINK("https://cao.dolgi.msk.ru/account/1011503169/", 1011503169)</f>
        <v>1011503169</v>
      </c>
      <c r="D21527">
        <v>0</v>
      </c>
    </row>
    <row r="21528" spans="1:4" hidden="1" x14ac:dyDescent="0.3">
      <c r="A21528" t="s">
        <v>1137</v>
      </c>
      <c r="B21528" t="s">
        <v>16</v>
      </c>
      <c r="C21528" s="1">
        <f>HYPERLINK("https://cao.dolgi.msk.ru/account/1011503249/", 1011503249)</f>
        <v>1011503249</v>
      </c>
      <c r="D21528">
        <v>0</v>
      </c>
    </row>
    <row r="21529" spans="1:4" hidden="1" x14ac:dyDescent="0.3">
      <c r="A21529" t="s">
        <v>1137</v>
      </c>
      <c r="B21529" t="s">
        <v>17</v>
      </c>
      <c r="C21529" s="1">
        <f>HYPERLINK("https://cao.dolgi.msk.ru/account/1011503185/", 1011503185)</f>
        <v>1011503185</v>
      </c>
      <c r="D21529">
        <v>0</v>
      </c>
    </row>
    <row r="21530" spans="1:4" x14ac:dyDescent="0.3">
      <c r="A21530" t="s">
        <v>1137</v>
      </c>
      <c r="B21530" t="s">
        <v>18</v>
      </c>
      <c r="C21530" s="1">
        <f>HYPERLINK("https://cao.dolgi.msk.ru/account/1011502908/", 1011502908)</f>
        <v>1011502908</v>
      </c>
      <c r="D21530">
        <v>13820.98</v>
      </c>
    </row>
    <row r="21531" spans="1:4" hidden="1" x14ac:dyDescent="0.3">
      <c r="A21531" t="s">
        <v>1137</v>
      </c>
      <c r="B21531" t="s">
        <v>19</v>
      </c>
      <c r="C21531" s="1">
        <f>HYPERLINK("https://cao.dolgi.msk.ru/account/1011503214/", 1011503214)</f>
        <v>1011503214</v>
      </c>
      <c r="D21531">
        <v>-60.28</v>
      </c>
    </row>
    <row r="21532" spans="1:4" hidden="1" x14ac:dyDescent="0.3">
      <c r="A21532" t="s">
        <v>1137</v>
      </c>
      <c r="B21532" t="s">
        <v>20</v>
      </c>
      <c r="C21532" s="1">
        <f>HYPERLINK("https://cao.dolgi.msk.ru/account/1011502916/", 1011502916)</f>
        <v>1011502916</v>
      </c>
      <c r="D21532">
        <v>-711.43</v>
      </c>
    </row>
    <row r="21533" spans="1:4" hidden="1" x14ac:dyDescent="0.3">
      <c r="A21533" t="s">
        <v>1137</v>
      </c>
      <c r="B21533" t="s">
        <v>21</v>
      </c>
      <c r="C21533" s="1">
        <f>HYPERLINK("https://cao.dolgi.msk.ru/account/1011503345/", 1011503345)</f>
        <v>1011503345</v>
      </c>
      <c r="D21533">
        <v>-169.24</v>
      </c>
    </row>
    <row r="21534" spans="1:4" hidden="1" x14ac:dyDescent="0.3">
      <c r="A21534" t="s">
        <v>1137</v>
      </c>
      <c r="B21534" t="s">
        <v>22</v>
      </c>
      <c r="C21534" s="1">
        <f>HYPERLINK("https://cao.dolgi.msk.ru/account/1011503257/", 1011503257)</f>
        <v>1011503257</v>
      </c>
      <c r="D21534">
        <v>0</v>
      </c>
    </row>
    <row r="21535" spans="1:4" hidden="1" x14ac:dyDescent="0.3">
      <c r="A21535" t="s">
        <v>1137</v>
      </c>
      <c r="B21535" t="s">
        <v>24</v>
      </c>
      <c r="C21535" s="1">
        <f>HYPERLINK("https://cao.dolgi.msk.ru/account/1011502924/", 1011502924)</f>
        <v>1011502924</v>
      </c>
      <c r="D21535">
        <v>-3722.53</v>
      </c>
    </row>
    <row r="21536" spans="1:4" hidden="1" x14ac:dyDescent="0.3">
      <c r="A21536" t="s">
        <v>1137</v>
      </c>
      <c r="B21536" t="s">
        <v>24</v>
      </c>
      <c r="C21536" s="1">
        <f>HYPERLINK("https://cao.dolgi.msk.ru/account/1011503193/", 1011503193)</f>
        <v>1011503193</v>
      </c>
      <c r="D21536">
        <v>-2444.64</v>
      </c>
    </row>
    <row r="21537" spans="1:4" hidden="1" x14ac:dyDescent="0.3">
      <c r="A21537" t="s">
        <v>1137</v>
      </c>
      <c r="B21537" t="s">
        <v>25</v>
      </c>
      <c r="C21537" s="1">
        <f>HYPERLINK("https://cao.dolgi.msk.ru/account/1011503265/", 1011503265)</f>
        <v>1011503265</v>
      </c>
      <c r="D21537">
        <v>0</v>
      </c>
    </row>
    <row r="21538" spans="1:4" x14ac:dyDescent="0.3">
      <c r="A21538" t="s">
        <v>1137</v>
      </c>
      <c r="B21538" t="s">
        <v>26</v>
      </c>
      <c r="C21538" s="1">
        <f>HYPERLINK("https://cao.dolgi.msk.ru/account/1011502975/", 1011502975)</f>
        <v>1011502975</v>
      </c>
      <c r="D21538">
        <v>11554.19</v>
      </c>
    </row>
    <row r="21539" spans="1:4" hidden="1" x14ac:dyDescent="0.3">
      <c r="A21539" t="s">
        <v>1137</v>
      </c>
      <c r="B21539" t="s">
        <v>27</v>
      </c>
      <c r="C21539" s="1">
        <f>HYPERLINK("https://cao.dolgi.msk.ru/account/1011502983/", 1011502983)</f>
        <v>1011502983</v>
      </c>
      <c r="D21539">
        <v>-8656.17</v>
      </c>
    </row>
    <row r="21540" spans="1:4" hidden="1" x14ac:dyDescent="0.3">
      <c r="A21540" t="s">
        <v>1137</v>
      </c>
      <c r="B21540" t="s">
        <v>29</v>
      </c>
      <c r="C21540" s="1">
        <f>HYPERLINK("https://cao.dolgi.msk.ru/account/1011503273/", 1011503273)</f>
        <v>1011503273</v>
      </c>
      <c r="D21540">
        <v>-21417.54</v>
      </c>
    </row>
    <row r="21541" spans="1:4" x14ac:dyDescent="0.3">
      <c r="A21541" t="s">
        <v>1137</v>
      </c>
      <c r="B21541" t="s">
        <v>38</v>
      </c>
      <c r="C21541" s="1">
        <f>HYPERLINK("https://cao.dolgi.msk.ru/account/1011502991/", 1011502991)</f>
        <v>1011502991</v>
      </c>
      <c r="D21541">
        <v>3800.14</v>
      </c>
    </row>
    <row r="21542" spans="1:4" hidden="1" x14ac:dyDescent="0.3">
      <c r="A21542" t="s">
        <v>1137</v>
      </c>
      <c r="B21542" t="s">
        <v>38</v>
      </c>
      <c r="C21542" s="1">
        <f>HYPERLINK("https://cao.dolgi.msk.ru/account/1011503206/", 1011503206)</f>
        <v>1011503206</v>
      </c>
      <c r="D21542">
        <v>-165.34</v>
      </c>
    </row>
    <row r="21543" spans="1:4" hidden="1" x14ac:dyDescent="0.3">
      <c r="A21543" t="s">
        <v>1137</v>
      </c>
      <c r="B21543" t="s">
        <v>39</v>
      </c>
      <c r="C21543" s="1">
        <f>HYPERLINK("https://cao.dolgi.msk.ru/account/1011503281/", 1011503281)</f>
        <v>1011503281</v>
      </c>
      <c r="D21543">
        <v>-87.24</v>
      </c>
    </row>
    <row r="21544" spans="1:4" x14ac:dyDescent="0.3">
      <c r="A21544" t="s">
        <v>1137</v>
      </c>
      <c r="B21544" t="s">
        <v>40</v>
      </c>
      <c r="C21544" s="1">
        <f>HYPERLINK("https://cao.dolgi.msk.ru/account/1011503003/", 1011503003)</f>
        <v>1011503003</v>
      </c>
      <c r="D21544">
        <v>365812.64</v>
      </c>
    </row>
    <row r="21545" spans="1:4" x14ac:dyDescent="0.3">
      <c r="A21545" t="s">
        <v>1137</v>
      </c>
      <c r="B21545" t="s">
        <v>41</v>
      </c>
      <c r="C21545" s="1">
        <f>HYPERLINK("https://cao.dolgi.msk.ru/account/1011503302/", 1011503302)</f>
        <v>1011503302</v>
      </c>
      <c r="D21545">
        <v>6136.74</v>
      </c>
    </row>
    <row r="21546" spans="1:4" hidden="1" x14ac:dyDescent="0.3">
      <c r="A21546" t="s">
        <v>1137</v>
      </c>
      <c r="B21546" t="s">
        <v>51</v>
      </c>
      <c r="C21546" s="1">
        <f>HYPERLINK("https://cao.dolgi.msk.ru/account/1011502932/", 1011502932)</f>
        <v>1011502932</v>
      </c>
      <c r="D21546">
        <v>0</v>
      </c>
    </row>
    <row r="21547" spans="1:4" x14ac:dyDescent="0.3">
      <c r="A21547" t="s">
        <v>1137</v>
      </c>
      <c r="B21547" t="s">
        <v>52</v>
      </c>
      <c r="C21547" s="1">
        <f>HYPERLINK("https://cao.dolgi.msk.ru/account/1011503329/", 1011503329)</f>
        <v>1011503329</v>
      </c>
      <c r="D21547">
        <v>465656.05</v>
      </c>
    </row>
    <row r="21548" spans="1:4" x14ac:dyDescent="0.3">
      <c r="A21548" t="s">
        <v>1137</v>
      </c>
      <c r="B21548" t="s">
        <v>53</v>
      </c>
      <c r="C21548" s="1">
        <f>HYPERLINK("https://cao.dolgi.msk.ru/account/1011503062/", 1011503062)</f>
        <v>1011503062</v>
      </c>
      <c r="D21548">
        <v>23718.59</v>
      </c>
    </row>
    <row r="21549" spans="1:4" hidden="1" x14ac:dyDescent="0.3">
      <c r="A21549" t="s">
        <v>1137</v>
      </c>
      <c r="B21549" t="s">
        <v>54</v>
      </c>
      <c r="C21549" s="1">
        <f>HYPERLINK("https://cao.dolgi.msk.ru/account/1011503011/", 1011503011)</f>
        <v>1011503011</v>
      </c>
      <c r="D21549">
        <v>0</v>
      </c>
    </row>
    <row r="21550" spans="1:4" hidden="1" x14ac:dyDescent="0.3">
      <c r="A21550" t="s">
        <v>1137</v>
      </c>
      <c r="B21550" t="s">
        <v>55</v>
      </c>
      <c r="C21550" s="1">
        <f>HYPERLINK("https://cao.dolgi.msk.ru/account/1011502887/", 1011502887)</f>
        <v>1011502887</v>
      </c>
      <c r="D21550">
        <v>-6738.14</v>
      </c>
    </row>
    <row r="21551" spans="1:4" hidden="1" x14ac:dyDescent="0.3">
      <c r="A21551" t="s">
        <v>1137</v>
      </c>
      <c r="B21551" t="s">
        <v>1138</v>
      </c>
      <c r="C21551" s="1">
        <f>HYPERLINK("https://cao.dolgi.msk.ru/account/1011503177/", 1011503177)</f>
        <v>1011503177</v>
      </c>
      <c r="D21551">
        <v>0</v>
      </c>
    </row>
    <row r="21552" spans="1:4" hidden="1" x14ac:dyDescent="0.3">
      <c r="A21552" t="s">
        <v>1137</v>
      </c>
      <c r="B21552" t="s">
        <v>56</v>
      </c>
      <c r="C21552" s="1">
        <f>HYPERLINK("https://cao.dolgi.msk.ru/account/1011503089/", 1011503089)</f>
        <v>1011503089</v>
      </c>
      <c r="D21552">
        <v>-56116.639999999999</v>
      </c>
    </row>
    <row r="21553" spans="1:4" hidden="1" x14ac:dyDescent="0.3">
      <c r="A21553" t="s">
        <v>1139</v>
      </c>
      <c r="B21553" t="s">
        <v>6</v>
      </c>
      <c r="C21553" s="1">
        <f>HYPERLINK("https://cao.dolgi.msk.ru/account/1010139967/", 1010139967)</f>
        <v>1010139967</v>
      </c>
      <c r="D21553">
        <v>-265.14999999999998</v>
      </c>
    </row>
    <row r="21554" spans="1:4" hidden="1" x14ac:dyDescent="0.3">
      <c r="A21554" t="s">
        <v>1139</v>
      </c>
      <c r="B21554" t="s">
        <v>28</v>
      </c>
      <c r="C21554" s="1">
        <f>HYPERLINK("https://cao.dolgi.msk.ru/account/1010139721/", 1010139721)</f>
        <v>1010139721</v>
      </c>
      <c r="D21554">
        <v>0</v>
      </c>
    </row>
    <row r="21555" spans="1:4" hidden="1" x14ac:dyDescent="0.3">
      <c r="A21555" t="s">
        <v>1139</v>
      </c>
      <c r="B21555" t="s">
        <v>35</v>
      </c>
      <c r="C21555" s="1">
        <f>HYPERLINK("https://cao.dolgi.msk.ru/account/1010139748/", 1010139748)</f>
        <v>1010139748</v>
      </c>
      <c r="D21555">
        <v>0</v>
      </c>
    </row>
    <row r="21556" spans="1:4" hidden="1" x14ac:dyDescent="0.3">
      <c r="A21556" t="s">
        <v>1139</v>
      </c>
      <c r="B21556" t="s">
        <v>5</v>
      </c>
      <c r="C21556" s="1">
        <f>HYPERLINK("https://cao.dolgi.msk.ru/account/1019021172/", 1019021172)</f>
        <v>1019021172</v>
      </c>
      <c r="D21556">
        <v>0</v>
      </c>
    </row>
    <row r="21557" spans="1:4" hidden="1" x14ac:dyDescent="0.3">
      <c r="A21557" t="s">
        <v>1139</v>
      </c>
      <c r="B21557" t="s">
        <v>7</v>
      </c>
      <c r="C21557" s="1">
        <f>HYPERLINK("https://cao.dolgi.msk.ru/account/1010139764/", 1010139764)</f>
        <v>1010139764</v>
      </c>
      <c r="D21557">
        <v>0</v>
      </c>
    </row>
    <row r="21558" spans="1:4" hidden="1" x14ac:dyDescent="0.3">
      <c r="A21558" t="s">
        <v>1139</v>
      </c>
      <c r="B21558" t="s">
        <v>8</v>
      </c>
      <c r="C21558" s="1">
        <f>HYPERLINK("https://cao.dolgi.msk.ru/account/1010139772/", 1010139772)</f>
        <v>1010139772</v>
      </c>
      <c r="D21558">
        <v>0</v>
      </c>
    </row>
    <row r="21559" spans="1:4" x14ac:dyDescent="0.3">
      <c r="A21559" t="s">
        <v>1139</v>
      </c>
      <c r="B21559" t="s">
        <v>31</v>
      </c>
      <c r="C21559" s="1">
        <f>HYPERLINK("https://cao.dolgi.msk.ru/account/1010139799/", 1010139799)</f>
        <v>1010139799</v>
      </c>
      <c r="D21559">
        <v>357.65</v>
      </c>
    </row>
    <row r="21560" spans="1:4" hidden="1" x14ac:dyDescent="0.3">
      <c r="A21560" t="s">
        <v>1139</v>
      </c>
      <c r="B21560" t="s">
        <v>9</v>
      </c>
      <c r="C21560" s="1">
        <f>HYPERLINK("https://cao.dolgi.msk.ru/account/1010139801/", 1010139801)</f>
        <v>1010139801</v>
      </c>
      <c r="D21560">
        <v>-245</v>
      </c>
    </row>
    <row r="21561" spans="1:4" hidden="1" x14ac:dyDescent="0.3">
      <c r="A21561" t="s">
        <v>1139</v>
      </c>
      <c r="B21561" t="s">
        <v>10</v>
      </c>
      <c r="C21561" s="1">
        <f>HYPERLINK("https://cao.dolgi.msk.ru/account/1010139828/", 1010139828)</f>
        <v>1010139828</v>
      </c>
      <c r="D21561">
        <v>0</v>
      </c>
    </row>
    <row r="21562" spans="1:4" hidden="1" x14ac:dyDescent="0.3">
      <c r="A21562" t="s">
        <v>1139</v>
      </c>
      <c r="B21562" t="s">
        <v>11</v>
      </c>
      <c r="C21562" s="1">
        <f>HYPERLINK("https://cao.dolgi.msk.ru/account/1010139836/", 1010139836)</f>
        <v>1010139836</v>
      </c>
      <c r="D21562">
        <v>-77.88</v>
      </c>
    </row>
    <row r="21563" spans="1:4" hidden="1" x14ac:dyDescent="0.3">
      <c r="A21563" t="s">
        <v>1139</v>
      </c>
      <c r="B21563" t="s">
        <v>12</v>
      </c>
      <c r="C21563" s="1">
        <f>HYPERLINK("https://cao.dolgi.msk.ru/account/1010139844/", 1010139844)</f>
        <v>1010139844</v>
      </c>
      <c r="D21563">
        <v>0</v>
      </c>
    </row>
    <row r="21564" spans="1:4" hidden="1" x14ac:dyDescent="0.3">
      <c r="A21564" t="s">
        <v>1139</v>
      </c>
      <c r="B21564" t="s">
        <v>23</v>
      </c>
      <c r="C21564" s="1">
        <f>HYPERLINK("https://cao.dolgi.msk.ru/account/1010139852/", 1010139852)</f>
        <v>1010139852</v>
      </c>
      <c r="D21564">
        <v>0</v>
      </c>
    </row>
    <row r="21565" spans="1:4" hidden="1" x14ac:dyDescent="0.3">
      <c r="A21565" t="s">
        <v>1139</v>
      </c>
      <c r="B21565" t="s">
        <v>13</v>
      </c>
      <c r="C21565" s="1">
        <f>HYPERLINK("https://cao.dolgi.msk.ru/account/1010139879/", 1010139879)</f>
        <v>1010139879</v>
      </c>
      <c r="D21565">
        <v>-1871.7</v>
      </c>
    </row>
    <row r="21566" spans="1:4" hidden="1" x14ac:dyDescent="0.3">
      <c r="A21566" t="s">
        <v>1139</v>
      </c>
      <c r="B21566" t="s">
        <v>14</v>
      </c>
      <c r="C21566" s="1">
        <f>HYPERLINK("https://cao.dolgi.msk.ru/account/1010139887/", 1010139887)</f>
        <v>1010139887</v>
      </c>
      <c r="D21566">
        <v>-17259.21</v>
      </c>
    </row>
    <row r="21567" spans="1:4" hidden="1" x14ac:dyDescent="0.3">
      <c r="A21567" t="s">
        <v>1139</v>
      </c>
      <c r="B21567" t="s">
        <v>16</v>
      </c>
      <c r="C21567" s="1">
        <f>HYPERLINK("https://cao.dolgi.msk.ru/account/1010139895/", 1010139895)</f>
        <v>1010139895</v>
      </c>
      <c r="D21567">
        <v>-8074.88</v>
      </c>
    </row>
    <row r="21568" spans="1:4" hidden="1" x14ac:dyDescent="0.3">
      <c r="A21568" t="s">
        <v>1139</v>
      </c>
      <c r="B21568" t="s">
        <v>17</v>
      </c>
      <c r="C21568" s="1">
        <f>HYPERLINK("https://cao.dolgi.msk.ru/account/1010139908/", 1010139908)</f>
        <v>1010139908</v>
      </c>
      <c r="D21568">
        <v>0</v>
      </c>
    </row>
    <row r="21569" spans="1:4" hidden="1" x14ac:dyDescent="0.3">
      <c r="A21569" t="s">
        <v>1139</v>
      </c>
      <c r="B21569" t="s">
        <v>18</v>
      </c>
      <c r="C21569" s="1">
        <f>HYPERLINK("https://cao.dolgi.msk.ru/account/1010139916/", 1010139916)</f>
        <v>1010139916</v>
      </c>
      <c r="D21569">
        <v>0</v>
      </c>
    </row>
    <row r="21570" spans="1:4" hidden="1" x14ac:dyDescent="0.3">
      <c r="A21570" t="s">
        <v>1139</v>
      </c>
      <c r="B21570" t="s">
        <v>19</v>
      </c>
      <c r="C21570" s="1">
        <f>HYPERLINK("https://cao.dolgi.msk.ru/account/1010139924/", 1010139924)</f>
        <v>1010139924</v>
      </c>
      <c r="D21570">
        <v>-9042.32</v>
      </c>
    </row>
    <row r="21571" spans="1:4" x14ac:dyDescent="0.3">
      <c r="A21571" t="s">
        <v>1139</v>
      </c>
      <c r="B21571" t="s">
        <v>20</v>
      </c>
      <c r="C21571" s="1">
        <f>HYPERLINK("https://cao.dolgi.msk.ru/account/1010139932/", 1010139932)</f>
        <v>1010139932</v>
      </c>
      <c r="D21571">
        <v>82452.800000000003</v>
      </c>
    </row>
    <row r="21572" spans="1:4" hidden="1" x14ac:dyDescent="0.3">
      <c r="A21572" t="s">
        <v>1139</v>
      </c>
      <c r="B21572" t="s">
        <v>21</v>
      </c>
      <c r="C21572" s="1">
        <f>HYPERLINK("https://cao.dolgi.msk.ru/account/1010139959/", 1010139959)</f>
        <v>1010139959</v>
      </c>
      <c r="D21572">
        <v>0</v>
      </c>
    </row>
    <row r="21573" spans="1:4" hidden="1" x14ac:dyDescent="0.3">
      <c r="A21573" t="s">
        <v>1140</v>
      </c>
      <c r="B21573" t="s">
        <v>6</v>
      </c>
      <c r="C21573" s="1">
        <f>HYPERLINK("https://cao.dolgi.msk.ru/account/1011377596/", 1011377596)</f>
        <v>1011377596</v>
      </c>
      <c r="D21573">
        <v>0</v>
      </c>
    </row>
    <row r="21574" spans="1:4" hidden="1" x14ac:dyDescent="0.3">
      <c r="A21574" t="s">
        <v>1140</v>
      </c>
      <c r="B21574" t="s">
        <v>28</v>
      </c>
      <c r="C21574" s="1">
        <f>HYPERLINK("https://cao.dolgi.msk.ru/account/1011377676/", 1011377676)</f>
        <v>1011377676</v>
      </c>
      <c r="D21574">
        <v>0</v>
      </c>
    </row>
    <row r="21575" spans="1:4" hidden="1" x14ac:dyDescent="0.3">
      <c r="A21575" t="s">
        <v>1140</v>
      </c>
      <c r="B21575" t="s">
        <v>35</v>
      </c>
      <c r="C21575" s="1">
        <f>HYPERLINK("https://cao.dolgi.msk.ru/account/1011377609/", 1011377609)</f>
        <v>1011377609</v>
      </c>
      <c r="D21575">
        <v>-7099.43</v>
      </c>
    </row>
    <row r="21576" spans="1:4" hidden="1" x14ac:dyDescent="0.3">
      <c r="A21576" t="s">
        <v>1140</v>
      </c>
      <c r="B21576" t="s">
        <v>5</v>
      </c>
      <c r="C21576" s="1">
        <f>HYPERLINK("https://cao.dolgi.msk.ru/account/1011377713/", 1011377713)</f>
        <v>1011377713</v>
      </c>
      <c r="D21576">
        <v>0</v>
      </c>
    </row>
    <row r="21577" spans="1:4" hidden="1" x14ac:dyDescent="0.3">
      <c r="A21577" t="s">
        <v>1140</v>
      </c>
      <c r="B21577" t="s">
        <v>7</v>
      </c>
      <c r="C21577" s="1">
        <f>HYPERLINK("https://cao.dolgi.msk.ru/account/1011377684/", 1011377684)</f>
        <v>1011377684</v>
      </c>
      <c r="D21577">
        <v>0</v>
      </c>
    </row>
    <row r="21578" spans="1:4" hidden="1" x14ac:dyDescent="0.3">
      <c r="A21578" t="s">
        <v>1140</v>
      </c>
      <c r="B21578" t="s">
        <v>8</v>
      </c>
      <c r="C21578" s="1">
        <f>HYPERLINK("https://cao.dolgi.msk.ru/account/1011377692/", 1011377692)</f>
        <v>1011377692</v>
      </c>
      <c r="D21578">
        <v>0</v>
      </c>
    </row>
    <row r="21579" spans="1:4" hidden="1" x14ac:dyDescent="0.3">
      <c r="A21579" t="s">
        <v>1140</v>
      </c>
      <c r="B21579" t="s">
        <v>31</v>
      </c>
      <c r="C21579" s="1">
        <f>HYPERLINK("https://cao.dolgi.msk.ru/account/1011377641/", 1011377641)</f>
        <v>1011377641</v>
      </c>
      <c r="D21579">
        <v>0</v>
      </c>
    </row>
    <row r="21580" spans="1:4" hidden="1" x14ac:dyDescent="0.3">
      <c r="A21580" t="s">
        <v>1140</v>
      </c>
      <c r="B21580" t="s">
        <v>1050</v>
      </c>
      <c r="C21580" s="1">
        <f>HYPERLINK("https://cao.dolgi.msk.ru/account/1011377705/", 1011377705)</f>
        <v>1011377705</v>
      </c>
      <c r="D21580">
        <v>0</v>
      </c>
    </row>
    <row r="21581" spans="1:4" hidden="1" x14ac:dyDescent="0.3">
      <c r="A21581" t="s">
        <v>1140</v>
      </c>
      <c r="B21581" t="s">
        <v>11</v>
      </c>
      <c r="C21581" s="1">
        <f>HYPERLINK("https://cao.dolgi.msk.ru/account/1011377617/", 1011377617)</f>
        <v>1011377617</v>
      </c>
      <c r="D21581">
        <v>0</v>
      </c>
    </row>
    <row r="21582" spans="1:4" x14ac:dyDescent="0.3">
      <c r="A21582" t="s">
        <v>1140</v>
      </c>
      <c r="B21582" t="s">
        <v>12</v>
      </c>
      <c r="C21582" s="1">
        <f>HYPERLINK("https://cao.dolgi.msk.ru/account/1011377625/", 1011377625)</f>
        <v>1011377625</v>
      </c>
      <c r="D21582">
        <v>27276.54</v>
      </c>
    </row>
    <row r="21583" spans="1:4" x14ac:dyDescent="0.3">
      <c r="A21583" t="s">
        <v>1140</v>
      </c>
      <c r="B21583" t="s">
        <v>23</v>
      </c>
      <c r="C21583" s="1">
        <f>HYPERLINK("https://cao.dolgi.msk.ru/account/1011377588/", 1011377588)</f>
        <v>1011377588</v>
      </c>
      <c r="D21583">
        <v>12722.44</v>
      </c>
    </row>
    <row r="21584" spans="1:4" x14ac:dyDescent="0.3">
      <c r="A21584" t="s">
        <v>1140</v>
      </c>
      <c r="B21584" t="s">
        <v>23</v>
      </c>
      <c r="C21584" s="1">
        <f>HYPERLINK("https://cao.dolgi.msk.ru/account/1011377668/", 1011377668)</f>
        <v>1011377668</v>
      </c>
      <c r="D21584">
        <v>13829.58</v>
      </c>
    </row>
    <row r="21585" spans="1:4" hidden="1" x14ac:dyDescent="0.3">
      <c r="A21585" t="s">
        <v>1140</v>
      </c>
      <c r="B21585" t="s">
        <v>13</v>
      </c>
      <c r="C21585" s="1">
        <f>HYPERLINK("https://cao.dolgi.msk.ru/account/1011377633/", 1011377633)</f>
        <v>1011377633</v>
      </c>
      <c r="D21585">
        <v>-418.45</v>
      </c>
    </row>
    <row r="21586" spans="1:4" x14ac:dyDescent="0.3">
      <c r="A21586" t="s">
        <v>1140</v>
      </c>
      <c r="B21586" t="s">
        <v>14</v>
      </c>
      <c r="C21586" s="1">
        <f>HYPERLINK("https://cao.dolgi.msk.ru/account/1011377721/", 1011377721)</f>
        <v>1011377721</v>
      </c>
      <c r="D21586">
        <v>14571.53</v>
      </c>
    </row>
    <row r="21587" spans="1:4" hidden="1" x14ac:dyDescent="0.3">
      <c r="A21587" t="s">
        <v>1141</v>
      </c>
      <c r="B21587" t="s">
        <v>6</v>
      </c>
      <c r="C21587" s="1">
        <f>HYPERLINK("https://cao.dolgi.msk.ru/account/1011456569/", 1011456569)</f>
        <v>1011456569</v>
      </c>
      <c r="D21587">
        <v>0</v>
      </c>
    </row>
    <row r="21588" spans="1:4" hidden="1" x14ac:dyDescent="0.3">
      <c r="A21588" t="s">
        <v>1141</v>
      </c>
      <c r="B21588" t="s">
        <v>28</v>
      </c>
      <c r="C21588" s="1">
        <f>HYPERLINK("https://cao.dolgi.msk.ru/account/1011456403/", 1011456403)</f>
        <v>1011456403</v>
      </c>
      <c r="D21588">
        <v>0</v>
      </c>
    </row>
    <row r="21589" spans="1:4" hidden="1" x14ac:dyDescent="0.3">
      <c r="A21589" t="s">
        <v>1141</v>
      </c>
      <c r="B21589" t="s">
        <v>35</v>
      </c>
      <c r="C21589" s="1">
        <f>HYPERLINK("https://cao.dolgi.msk.ru/account/1011456243/", 1011456243)</f>
        <v>1011456243</v>
      </c>
      <c r="D21589">
        <v>0</v>
      </c>
    </row>
    <row r="21590" spans="1:4" hidden="1" x14ac:dyDescent="0.3">
      <c r="A21590" t="s">
        <v>1141</v>
      </c>
      <c r="B21590" t="s">
        <v>5</v>
      </c>
      <c r="C21590" s="1">
        <f>HYPERLINK("https://cao.dolgi.msk.ru/account/1011456518/", 1011456518)</f>
        <v>1011456518</v>
      </c>
      <c r="D21590">
        <v>0</v>
      </c>
    </row>
    <row r="21591" spans="1:4" hidden="1" x14ac:dyDescent="0.3">
      <c r="A21591" t="s">
        <v>1141</v>
      </c>
      <c r="B21591" t="s">
        <v>759</v>
      </c>
      <c r="C21591" s="1">
        <f>HYPERLINK("https://cao.dolgi.msk.ru/account/1011456315/", 1011456315)</f>
        <v>1011456315</v>
      </c>
      <c r="D21591">
        <v>-11440.84</v>
      </c>
    </row>
    <row r="21592" spans="1:4" x14ac:dyDescent="0.3">
      <c r="A21592" t="s">
        <v>1141</v>
      </c>
      <c r="B21592" t="s">
        <v>9</v>
      </c>
      <c r="C21592" s="1">
        <f>HYPERLINK("https://cao.dolgi.msk.ru/account/1011456681/", 1011456681)</f>
        <v>1011456681</v>
      </c>
      <c r="D21592">
        <v>22859.86</v>
      </c>
    </row>
    <row r="21593" spans="1:4" hidden="1" x14ac:dyDescent="0.3">
      <c r="A21593" t="s">
        <v>1141</v>
      </c>
      <c r="B21593" t="s">
        <v>10</v>
      </c>
      <c r="C21593" s="1">
        <f>HYPERLINK("https://cao.dolgi.msk.ru/account/1011456817/", 1011456817)</f>
        <v>1011456817</v>
      </c>
      <c r="D21593">
        <v>0</v>
      </c>
    </row>
    <row r="21594" spans="1:4" hidden="1" x14ac:dyDescent="0.3">
      <c r="A21594" t="s">
        <v>1141</v>
      </c>
      <c r="B21594" t="s">
        <v>11</v>
      </c>
      <c r="C21594" s="1">
        <f>HYPERLINK("https://cao.dolgi.msk.ru/account/1011456833/", 1011456833)</f>
        <v>1011456833</v>
      </c>
      <c r="D21594">
        <v>0</v>
      </c>
    </row>
    <row r="21595" spans="1:4" hidden="1" x14ac:dyDescent="0.3">
      <c r="A21595" t="s">
        <v>1141</v>
      </c>
      <c r="B21595" t="s">
        <v>12</v>
      </c>
      <c r="C21595" s="1">
        <f>HYPERLINK("https://cao.dolgi.msk.ru/account/1011456737/", 1011456737)</f>
        <v>1011456737</v>
      </c>
      <c r="D21595">
        <v>0</v>
      </c>
    </row>
    <row r="21596" spans="1:4" hidden="1" x14ac:dyDescent="0.3">
      <c r="A21596" t="s">
        <v>1141</v>
      </c>
      <c r="B21596" t="s">
        <v>23</v>
      </c>
      <c r="C21596" s="1">
        <f>HYPERLINK("https://cao.dolgi.msk.ru/account/1011457035/", 1011457035)</f>
        <v>1011457035</v>
      </c>
      <c r="D21596">
        <v>0</v>
      </c>
    </row>
    <row r="21597" spans="1:4" hidden="1" x14ac:dyDescent="0.3">
      <c r="A21597" t="s">
        <v>1141</v>
      </c>
      <c r="B21597" t="s">
        <v>13</v>
      </c>
      <c r="C21597" s="1">
        <f>HYPERLINK("https://cao.dolgi.msk.ru/account/1011456825/", 1011456825)</f>
        <v>1011456825</v>
      </c>
      <c r="D21597">
        <v>0</v>
      </c>
    </row>
    <row r="21598" spans="1:4" hidden="1" x14ac:dyDescent="0.3">
      <c r="A21598" t="s">
        <v>1141</v>
      </c>
      <c r="B21598" t="s">
        <v>14</v>
      </c>
      <c r="C21598" s="1">
        <f>HYPERLINK("https://cao.dolgi.msk.ru/account/1011456622/", 1011456622)</f>
        <v>1011456622</v>
      </c>
      <c r="D21598">
        <v>-3278.79</v>
      </c>
    </row>
    <row r="21599" spans="1:4" hidden="1" x14ac:dyDescent="0.3">
      <c r="A21599" t="s">
        <v>1141</v>
      </c>
      <c r="B21599" t="s">
        <v>16</v>
      </c>
      <c r="C21599" s="1">
        <f>HYPERLINK("https://cao.dolgi.msk.ru/account/1011456358/", 1011456358)</f>
        <v>1011456358</v>
      </c>
      <c r="D21599">
        <v>-7162.83</v>
      </c>
    </row>
    <row r="21600" spans="1:4" hidden="1" x14ac:dyDescent="0.3">
      <c r="A21600" t="s">
        <v>1141</v>
      </c>
      <c r="B21600" t="s">
        <v>17</v>
      </c>
      <c r="C21600" s="1">
        <f>HYPERLINK("https://cao.dolgi.msk.ru/account/1011456251/", 1011456251)</f>
        <v>1011456251</v>
      </c>
      <c r="D21600">
        <v>-7348.37</v>
      </c>
    </row>
    <row r="21601" spans="1:4" hidden="1" x14ac:dyDescent="0.3">
      <c r="A21601" t="s">
        <v>1141</v>
      </c>
      <c r="B21601" t="s">
        <v>18</v>
      </c>
      <c r="C21601" s="1">
        <f>HYPERLINK("https://cao.dolgi.msk.ru/account/1011456892/", 1011456892)</f>
        <v>1011456892</v>
      </c>
      <c r="D21601">
        <v>-129.9</v>
      </c>
    </row>
    <row r="21602" spans="1:4" x14ac:dyDescent="0.3">
      <c r="A21602" t="s">
        <v>1141</v>
      </c>
      <c r="B21602" t="s">
        <v>19</v>
      </c>
      <c r="C21602" s="1">
        <f>HYPERLINK("https://cao.dolgi.msk.ru/account/1011456614/", 1011456614)</f>
        <v>1011456614</v>
      </c>
      <c r="D21602">
        <v>29442.15</v>
      </c>
    </row>
    <row r="21603" spans="1:4" x14ac:dyDescent="0.3">
      <c r="A21603" t="s">
        <v>1141</v>
      </c>
      <c r="B21603" t="s">
        <v>20</v>
      </c>
      <c r="C21603" s="1">
        <f>HYPERLINK("https://cao.dolgi.msk.ru/account/1011456577/", 1011456577)</f>
        <v>1011456577</v>
      </c>
      <c r="D21603">
        <v>8881.93</v>
      </c>
    </row>
    <row r="21604" spans="1:4" x14ac:dyDescent="0.3">
      <c r="A21604" t="s">
        <v>1141</v>
      </c>
      <c r="B21604" t="s">
        <v>21</v>
      </c>
      <c r="C21604" s="1">
        <f>HYPERLINK("https://cao.dolgi.msk.ru/account/1011456753/", 1011456753)</f>
        <v>1011456753</v>
      </c>
      <c r="D21604">
        <v>40653.24</v>
      </c>
    </row>
    <row r="21605" spans="1:4" hidden="1" x14ac:dyDescent="0.3">
      <c r="A21605" t="s">
        <v>1141</v>
      </c>
      <c r="B21605" t="s">
        <v>22</v>
      </c>
      <c r="C21605" s="1">
        <f>HYPERLINK("https://cao.dolgi.msk.ru/account/1011456411/", 1011456411)</f>
        <v>1011456411</v>
      </c>
      <c r="D21605">
        <v>-122.7</v>
      </c>
    </row>
    <row r="21606" spans="1:4" hidden="1" x14ac:dyDescent="0.3">
      <c r="A21606" t="s">
        <v>1141</v>
      </c>
      <c r="B21606" t="s">
        <v>24</v>
      </c>
      <c r="C21606" s="1">
        <f>HYPERLINK("https://cao.dolgi.msk.ru/account/1011457027/", 1011457027)</f>
        <v>1011457027</v>
      </c>
      <c r="D21606">
        <v>0</v>
      </c>
    </row>
    <row r="21607" spans="1:4" hidden="1" x14ac:dyDescent="0.3">
      <c r="A21607" t="s">
        <v>1141</v>
      </c>
      <c r="B21607" t="s">
        <v>25</v>
      </c>
      <c r="C21607" s="1">
        <f>HYPERLINK("https://cao.dolgi.msk.ru/account/1011456235/", 1011456235)</f>
        <v>1011456235</v>
      </c>
      <c r="D21607">
        <v>-8.36</v>
      </c>
    </row>
    <row r="21608" spans="1:4" hidden="1" x14ac:dyDescent="0.3">
      <c r="A21608" t="s">
        <v>1141</v>
      </c>
      <c r="B21608" t="s">
        <v>26</v>
      </c>
      <c r="C21608" s="1">
        <f>HYPERLINK("https://cao.dolgi.msk.ru/account/1011456905/", 1011456905)</f>
        <v>1011456905</v>
      </c>
      <c r="D21608">
        <v>-14311.42</v>
      </c>
    </row>
    <row r="21609" spans="1:4" hidden="1" x14ac:dyDescent="0.3">
      <c r="A21609" t="s">
        <v>1141</v>
      </c>
      <c r="B21609" t="s">
        <v>27</v>
      </c>
      <c r="C21609" s="1">
        <f>HYPERLINK("https://cao.dolgi.msk.ru/account/1011456294/", 1011456294)</f>
        <v>1011456294</v>
      </c>
      <c r="D21609">
        <v>0</v>
      </c>
    </row>
    <row r="21610" spans="1:4" hidden="1" x14ac:dyDescent="0.3">
      <c r="A21610" t="s">
        <v>1141</v>
      </c>
      <c r="B21610" t="s">
        <v>29</v>
      </c>
      <c r="C21610" s="1">
        <f>HYPERLINK("https://cao.dolgi.msk.ru/account/1011456374/", 1011456374)</f>
        <v>1011456374</v>
      </c>
      <c r="D21610">
        <v>0</v>
      </c>
    </row>
    <row r="21611" spans="1:4" hidden="1" x14ac:dyDescent="0.3">
      <c r="A21611" t="s">
        <v>1141</v>
      </c>
      <c r="B21611" t="s">
        <v>38</v>
      </c>
      <c r="C21611" s="1">
        <f>HYPERLINK("https://cao.dolgi.msk.ru/account/1011456366/", 1011456366)</f>
        <v>1011456366</v>
      </c>
      <c r="D21611">
        <v>0</v>
      </c>
    </row>
    <row r="21612" spans="1:4" x14ac:dyDescent="0.3">
      <c r="A21612" t="s">
        <v>1141</v>
      </c>
      <c r="B21612" t="s">
        <v>39</v>
      </c>
      <c r="C21612" s="1">
        <f>HYPERLINK("https://cao.dolgi.msk.ru/account/1011456446/", 1011456446)</f>
        <v>1011456446</v>
      </c>
      <c r="D21612">
        <v>2872.9</v>
      </c>
    </row>
    <row r="21613" spans="1:4" hidden="1" x14ac:dyDescent="0.3">
      <c r="A21613" t="s">
        <v>1141</v>
      </c>
      <c r="B21613" t="s">
        <v>40</v>
      </c>
      <c r="C21613" s="1">
        <f>HYPERLINK("https://cao.dolgi.msk.ru/account/1011456884/", 1011456884)</f>
        <v>1011456884</v>
      </c>
      <c r="D21613">
        <v>0</v>
      </c>
    </row>
    <row r="21614" spans="1:4" hidden="1" x14ac:dyDescent="0.3">
      <c r="A21614" t="s">
        <v>1141</v>
      </c>
      <c r="B21614" t="s">
        <v>41</v>
      </c>
      <c r="C21614" s="1">
        <f>HYPERLINK("https://cao.dolgi.msk.ru/account/1011456526/", 1011456526)</f>
        <v>1011456526</v>
      </c>
      <c r="D21614">
        <v>0</v>
      </c>
    </row>
    <row r="21615" spans="1:4" hidden="1" x14ac:dyDescent="0.3">
      <c r="A21615" t="s">
        <v>1141</v>
      </c>
      <c r="B21615" t="s">
        <v>51</v>
      </c>
      <c r="C21615" s="1">
        <f>HYPERLINK("https://cao.dolgi.msk.ru/account/1011456702/", 1011456702)</f>
        <v>1011456702</v>
      </c>
      <c r="D21615">
        <v>0</v>
      </c>
    </row>
    <row r="21616" spans="1:4" hidden="1" x14ac:dyDescent="0.3">
      <c r="A21616" t="s">
        <v>1141</v>
      </c>
      <c r="B21616" t="s">
        <v>52</v>
      </c>
      <c r="C21616" s="1">
        <f>HYPERLINK("https://cao.dolgi.msk.ru/account/1011456868/", 1011456868)</f>
        <v>1011456868</v>
      </c>
      <c r="D21616">
        <v>0</v>
      </c>
    </row>
    <row r="21617" spans="1:4" hidden="1" x14ac:dyDescent="0.3">
      <c r="A21617" t="s">
        <v>1141</v>
      </c>
      <c r="B21617" t="s">
        <v>53</v>
      </c>
      <c r="C21617" s="1">
        <f>HYPERLINK("https://cao.dolgi.msk.ru/account/1011456497/", 1011456497)</f>
        <v>1011456497</v>
      </c>
      <c r="D21617">
        <v>-638.91</v>
      </c>
    </row>
    <row r="21618" spans="1:4" hidden="1" x14ac:dyDescent="0.3">
      <c r="A21618" t="s">
        <v>1141</v>
      </c>
      <c r="B21618" t="s">
        <v>54</v>
      </c>
      <c r="C21618" s="1">
        <f>HYPERLINK("https://cao.dolgi.msk.ru/account/1011456382/", 1011456382)</f>
        <v>1011456382</v>
      </c>
      <c r="D21618">
        <v>0</v>
      </c>
    </row>
    <row r="21619" spans="1:4" hidden="1" x14ac:dyDescent="0.3">
      <c r="A21619" t="s">
        <v>1141</v>
      </c>
      <c r="B21619" t="s">
        <v>55</v>
      </c>
      <c r="C21619" s="1">
        <f>HYPERLINK("https://cao.dolgi.msk.ru/account/1011456948/", 1011456948)</f>
        <v>1011456948</v>
      </c>
      <c r="D21619">
        <v>-6785.98</v>
      </c>
    </row>
    <row r="21620" spans="1:4" x14ac:dyDescent="0.3">
      <c r="A21620" t="s">
        <v>1141</v>
      </c>
      <c r="B21620" t="s">
        <v>56</v>
      </c>
      <c r="C21620" s="1">
        <f>HYPERLINK("https://cao.dolgi.msk.ru/account/1011456761/", 1011456761)</f>
        <v>1011456761</v>
      </c>
      <c r="D21620">
        <v>13847.46</v>
      </c>
    </row>
    <row r="21621" spans="1:4" x14ac:dyDescent="0.3">
      <c r="A21621" t="s">
        <v>1141</v>
      </c>
      <c r="B21621" t="s">
        <v>87</v>
      </c>
      <c r="C21621" s="1">
        <f>HYPERLINK("https://cao.dolgi.msk.ru/account/1011457107/", 1011457107)</f>
        <v>1011457107</v>
      </c>
      <c r="D21621">
        <v>1955.79</v>
      </c>
    </row>
    <row r="21622" spans="1:4" hidden="1" x14ac:dyDescent="0.3">
      <c r="A21622" t="s">
        <v>1141</v>
      </c>
      <c r="B21622" t="s">
        <v>88</v>
      </c>
      <c r="C21622" s="1">
        <f>HYPERLINK("https://cao.dolgi.msk.ru/account/1011457051/", 1011457051)</f>
        <v>1011457051</v>
      </c>
      <c r="D21622">
        <v>0</v>
      </c>
    </row>
    <row r="21623" spans="1:4" hidden="1" x14ac:dyDescent="0.3">
      <c r="A21623" t="s">
        <v>1141</v>
      </c>
      <c r="B21623" t="s">
        <v>89</v>
      </c>
      <c r="C21623" s="1">
        <f>HYPERLINK("https://cao.dolgi.msk.ru/account/1011456788/", 1011456788)</f>
        <v>1011456788</v>
      </c>
      <c r="D21623">
        <v>-7266.21</v>
      </c>
    </row>
    <row r="21624" spans="1:4" hidden="1" x14ac:dyDescent="0.3">
      <c r="A21624" t="s">
        <v>1141</v>
      </c>
      <c r="B21624" t="s">
        <v>90</v>
      </c>
      <c r="C21624" s="1">
        <f>HYPERLINK("https://cao.dolgi.msk.ru/account/1011456809/", 1011456809)</f>
        <v>1011456809</v>
      </c>
      <c r="D21624">
        <v>-8141.55</v>
      </c>
    </row>
    <row r="21625" spans="1:4" hidden="1" x14ac:dyDescent="0.3">
      <c r="A21625" t="s">
        <v>1141</v>
      </c>
      <c r="B21625" t="s">
        <v>96</v>
      </c>
      <c r="C21625" s="1">
        <f>HYPERLINK("https://cao.dolgi.msk.ru/account/1011456585/", 1011456585)</f>
        <v>1011456585</v>
      </c>
      <c r="D21625">
        <v>0</v>
      </c>
    </row>
    <row r="21626" spans="1:4" x14ac:dyDescent="0.3">
      <c r="A21626" t="s">
        <v>1141</v>
      </c>
      <c r="B21626" t="s">
        <v>97</v>
      </c>
      <c r="C21626" s="1">
        <f>HYPERLINK("https://cao.dolgi.msk.ru/account/1011457043/", 1011457043)</f>
        <v>1011457043</v>
      </c>
      <c r="D21626">
        <v>22585.8</v>
      </c>
    </row>
    <row r="21627" spans="1:4" x14ac:dyDescent="0.3">
      <c r="A21627" t="s">
        <v>1141</v>
      </c>
      <c r="B21627" t="s">
        <v>98</v>
      </c>
      <c r="C21627" s="1">
        <f>HYPERLINK("https://cao.dolgi.msk.ru/account/1011456673/", 1011456673)</f>
        <v>1011456673</v>
      </c>
      <c r="D21627">
        <v>1105.22</v>
      </c>
    </row>
    <row r="21628" spans="1:4" hidden="1" x14ac:dyDescent="0.3">
      <c r="A21628" t="s">
        <v>1141</v>
      </c>
      <c r="B21628" t="s">
        <v>58</v>
      </c>
      <c r="C21628" s="1">
        <f>HYPERLINK("https://cao.dolgi.msk.ru/account/1011456227/", 1011456227)</f>
        <v>1011456227</v>
      </c>
      <c r="D21628">
        <v>-8599.15</v>
      </c>
    </row>
    <row r="21629" spans="1:4" hidden="1" x14ac:dyDescent="0.3">
      <c r="A21629" t="s">
        <v>1141</v>
      </c>
      <c r="B21629" t="s">
        <v>59</v>
      </c>
      <c r="C21629" s="1">
        <f>HYPERLINK("https://cao.dolgi.msk.ru/account/1011456593/", 1011456593)</f>
        <v>1011456593</v>
      </c>
      <c r="D21629">
        <v>-10604.59</v>
      </c>
    </row>
    <row r="21630" spans="1:4" hidden="1" x14ac:dyDescent="0.3">
      <c r="A21630" t="s">
        <v>1141</v>
      </c>
      <c r="B21630" t="s">
        <v>60</v>
      </c>
      <c r="C21630" s="1">
        <f>HYPERLINK("https://cao.dolgi.msk.ru/account/1011456534/", 1011456534)</f>
        <v>1011456534</v>
      </c>
      <c r="D21630">
        <v>0</v>
      </c>
    </row>
    <row r="21631" spans="1:4" x14ac:dyDescent="0.3">
      <c r="A21631" t="s">
        <v>1141</v>
      </c>
      <c r="B21631" t="s">
        <v>61</v>
      </c>
      <c r="C21631" s="1">
        <f>HYPERLINK("https://cao.dolgi.msk.ru/account/1011456323/", 1011456323)</f>
        <v>1011456323</v>
      </c>
      <c r="D21631">
        <v>5270.87</v>
      </c>
    </row>
    <row r="21632" spans="1:4" x14ac:dyDescent="0.3">
      <c r="A21632" t="s">
        <v>1141</v>
      </c>
      <c r="B21632" t="s">
        <v>62</v>
      </c>
      <c r="C21632" s="1">
        <f>HYPERLINK("https://cao.dolgi.msk.ru/account/1011456542/", 1011456542)</f>
        <v>1011456542</v>
      </c>
      <c r="D21632">
        <v>571.66999999999996</v>
      </c>
    </row>
    <row r="21633" spans="1:4" hidden="1" x14ac:dyDescent="0.3">
      <c r="A21633" t="s">
        <v>1141</v>
      </c>
      <c r="B21633" t="s">
        <v>63</v>
      </c>
      <c r="C21633" s="1">
        <f>HYPERLINK("https://cao.dolgi.msk.ru/account/1011457086/", 1011457086)</f>
        <v>1011457086</v>
      </c>
      <c r="D21633">
        <v>0</v>
      </c>
    </row>
    <row r="21634" spans="1:4" hidden="1" x14ac:dyDescent="0.3">
      <c r="A21634" t="s">
        <v>1141</v>
      </c>
      <c r="B21634" t="s">
        <v>64</v>
      </c>
      <c r="C21634" s="1">
        <f>HYPERLINK("https://cao.dolgi.msk.ru/account/1011456649/", 1011456649)</f>
        <v>1011456649</v>
      </c>
      <c r="D21634">
        <v>0</v>
      </c>
    </row>
    <row r="21635" spans="1:4" hidden="1" x14ac:dyDescent="0.3">
      <c r="A21635" t="s">
        <v>1141</v>
      </c>
      <c r="B21635" t="s">
        <v>65</v>
      </c>
      <c r="C21635" s="1">
        <f>HYPERLINK("https://cao.dolgi.msk.ru/account/1011456606/", 1011456606)</f>
        <v>1011456606</v>
      </c>
      <c r="D21635">
        <v>0</v>
      </c>
    </row>
    <row r="21636" spans="1:4" x14ac:dyDescent="0.3">
      <c r="A21636" t="s">
        <v>1141</v>
      </c>
      <c r="B21636" t="s">
        <v>66</v>
      </c>
      <c r="C21636" s="1">
        <f>HYPERLINK("https://cao.dolgi.msk.ru/account/1011456796/", 1011456796)</f>
        <v>1011456796</v>
      </c>
      <c r="D21636">
        <v>12213.41</v>
      </c>
    </row>
    <row r="21637" spans="1:4" hidden="1" x14ac:dyDescent="0.3">
      <c r="A21637" t="s">
        <v>1141</v>
      </c>
      <c r="B21637" t="s">
        <v>67</v>
      </c>
      <c r="C21637" s="1">
        <f>HYPERLINK("https://cao.dolgi.msk.ru/account/1011456331/", 1011456331)</f>
        <v>1011456331</v>
      </c>
      <c r="D21637">
        <v>0</v>
      </c>
    </row>
    <row r="21638" spans="1:4" hidden="1" x14ac:dyDescent="0.3">
      <c r="A21638" t="s">
        <v>1141</v>
      </c>
      <c r="B21638" t="s">
        <v>68</v>
      </c>
      <c r="C21638" s="1">
        <f>HYPERLINK("https://cao.dolgi.msk.ru/account/1011456913/", 1011456913)</f>
        <v>1011456913</v>
      </c>
      <c r="D21638">
        <v>0</v>
      </c>
    </row>
    <row r="21639" spans="1:4" hidden="1" x14ac:dyDescent="0.3">
      <c r="A21639" t="s">
        <v>1141</v>
      </c>
      <c r="B21639" t="s">
        <v>69</v>
      </c>
      <c r="C21639" s="1">
        <f>HYPERLINK("https://cao.dolgi.msk.ru/account/1011456876/", 1011456876)</f>
        <v>1011456876</v>
      </c>
      <c r="D21639">
        <v>0</v>
      </c>
    </row>
    <row r="21640" spans="1:4" hidden="1" x14ac:dyDescent="0.3">
      <c r="A21640" t="s">
        <v>1141</v>
      </c>
      <c r="B21640" t="s">
        <v>70</v>
      </c>
      <c r="C21640" s="1">
        <f>HYPERLINK("https://cao.dolgi.msk.ru/account/1011456657/", 1011456657)</f>
        <v>1011456657</v>
      </c>
      <c r="D21640">
        <v>-6375.25</v>
      </c>
    </row>
    <row r="21641" spans="1:4" hidden="1" x14ac:dyDescent="0.3">
      <c r="A21641" t="s">
        <v>1141</v>
      </c>
      <c r="B21641" t="s">
        <v>259</v>
      </c>
      <c r="C21641" s="1">
        <f>HYPERLINK("https://cao.dolgi.msk.ru/account/1011456921/", 1011456921)</f>
        <v>1011456921</v>
      </c>
      <c r="D21641">
        <v>0</v>
      </c>
    </row>
    <row r="21642" spans="1:4" hidden="1" x14ac:dyDescent="0.3">
      <c r="A21642" t="s">
        <v>1141</v>
      </c>
      <c r="B21642" t="s">
        <v>100</v>
      </c>
      <c r="C21642" s="1">
        <f>HYPERLINK("https://cao.dolgi.msk.ru/account/1011457078/", 1011457078)</f>
        <v>1011457078</v>
      </c>
      <c r="D21642">
        <v>-12201.79</v>
      </c>
    </row>
    <row r="21643" spans="1:4" x14ac:dyDescent="0.3">
      <c r="A21643" t="s">
        <v>1141</v>
      </c>
      <c r="B21643" t="s">
        <v>72</v>
      </c>
      <c r="C21643" s="1">
        <f>HYPERLINK("https://cao.dolgi.msk.ru/account/1011456438/", 1011456438)</f>
        <v>1011456438</v>
      </c>
      <c r="D21643">
        <v>47598.43</v>
      </c>
    </row>
    <row r="21644" spans="1:4" hidden="1" x14ac:dyDescent="0.3">
      <c r="A21644" t="s">
        <v>1141</v>
      </c>
      <c r="B21644" t="s">
        <v>73</v>
      </c>
      <c r="C21644" s="1">
        <f>HYPERLINK("https://cao.dolgi.msk.ru/account/1011457094/", 1011457094)</f>
        <v>1011457094</v>
      </c>
      <c r="D21644">
        <v>-5830.87</v>
      </c>
    </row>
    <row r="21645" spans="1:4" x14ac:dyDescent="0.3">
      <c r="A21645" t="s">
        <v>1141</v>
      </c>
      <c r="B21645" t="s">
        <v>74</v>
      </c>
      <c r="C21645" s="1">
        <f>HYPERLINK("https://cao.dolgi.msk.ru/account/1011456462/", 1011456462)</f>
        <v>1011456462</v>
      </c>
      <c r="D21645">
        <v>10033.799999999999</v>
      </c>
    </row>
    <row r="21646" spans="1:4" x14ac:dyDescent="0.3">
      <c r="A21646" t="s">
        <v>1141</v>
      </c>
      <c r="B21646" t="s">
        <v>75</v>
      </c>
      <c r="C21646" s="1">
        <f>HYPERLINK("https://cao.dolgi.msk.ru/account/1011456729/", 1011456729)</f>
        <v>1011456729</v>
      </c>
      <c r="D21646">
        <v>0.87</v>
      </c>
    </row>
    <row r="21647" spans="1:4" hidden="1" x14ac:dyDescent="0.3">
      <c r="A21647" t="s">
        <v>1141</v>
      </c>
      <c r="B21647" t="s">
        <v>76</v>
      </c>
      <c r="C21647" s="1">
        <f>HYPERLINK("https://cao.dolgi.msk.ru/account/1011456489/", 1011456489)</f>
        <v>1011456489</v>
      </c>
      <c r="D21647">
        <v>0</v>
      </c>
    </row>
    <row r="21648" spans="1:4" hidden="1" x14ac:dyDescent="0.3">
      <c r="A21648" t="s">
        <v>1141</v>
      </c>
      <c r="B21648" t="s">
        <v>77</v>
      </c>
      <c r="C21648" s="1">
        <f>HYPERLINK("https://cao.dolgi.msk.ru/account/1011457115/", 1011457115)</f>
        <v>1011457115</v>
      </c>
      <c r="D21648">
        <v>0</v>
      </c>
    </row>
    <row r="21649" spans="1:4" x14ac:dyDescent="0.3">
      <c r="A21649" t="s">
        <v>1141</v>
      </c>
      <c r="B21649" t="s">
        <v>78</v>
      </c>
      <c r="C21649" s="1">
        <f>HYPERLINK("https://cao.dolgi.msk.ru/account/1011456454/", 1011456454)</f>
        <v>1011456454</v>
      </c>
      <c r="D21649">
        <v>4391.09</v>
      </c>
    </row>
    <row r="21650" spans="1:4" hidden="1" x14ac:dyDescent="0.3">
      <c r="A21650" t="s">
        <v>1141</v>
      </c>
      <c r="B21650" t="s">
        <v>79</v>
      </c>
      <c r="C21650" s="1">
        <f>HYPERLINK("https://cao.dolgi.msk.ru/account/1011456841/", 1011456841)</f>
        <v>1011456841</v>
      </c>
      <c r="D21650">
        <v>0</v>
      </c>
    </row>
    <row r="21651" spans="1:4" hidden="1" x14ac:dyDescent="0.3">
      <c r="A21651" t="s">
        <v>1141</v>
      </c>
      <c r="B21651" t="s">
        <v>80</v>
      </c>
      <c r="C21651" s="1">
        <f>HYPERLINK("https://cao.dolgi.msk.ru/account/1011456307/", 1011456307)</f>
        <v>1011456307</v>
      </c>
      <c r="D21651">
        <v>0</v>
      </c>
    </row>
    <row r="21652" spans="1:4" hidden="1" x14ac:dyDescent="0.3">
      <c r="A21652" t="s">
        <v>1141</v>
      </c>
      <c r="B21652" t="s">
        <v>81</v>
      </c>
      <c r="C21652" s="1">
        <f>HYPERLINK("https://cao.dolgi.msk.ru/account/1011456745/", 1011456745)</f>
        <v>1011456745</v>
      </c>
      <c r="D21652">
        <v>-1924.44</v>
      </c>
    </row>
    <row r="21653" spans="1:4" hidden="1" x14ac:dyDescent="0.3">
      <c r="A21653" t="s">
        <v>1141</v>
      </c>
      <c r="B21653" t="s">
        <v>101</v>
      </c>
      <c r="C21653" s="1">
        <f>HYPERLINK("https://cao.dolgi.msk.ru/account/1011456278/", 1011456278)</f>
        <v>1011456278</v>
      </c>
      <c r="D21653">
        <v>-3589.06</v>
      </c>
    </row>
    <row r="21654" spans="1:4" hidden="1" x14ac:dyDescent="0.3">
      <c r="A21654" t="s">
        <v>1141</v>
      </c>
      <c r="B21654" t="s">
        <v>101</v>
      </c>
      <c r="C21654" s="1">
        <f>HYPERLINK("https://cao.dolgi.msk.ru/account/1011510238/", 1011510238)</f>
        <v>1011510238</v>
      </c>
      <c r="D21654">
        <v>0</v>
      </c>
    </row>
    <row r="21655" spans="1:4" hidden="1" x14ac:dyDescent="0.3">
      <c r="A21655" t="s">
        <v>1141</v>
      </c>
      <c r="B21655" t="s">
        <v>101</v>
      </c>
      <c r="C21655" s="1">
        <f>HYPERLINK("https://cao.dolgi.msk.ru/account/1011510246/", 1011510246)</f>
        <v>1011510246</v>
      </c>
      <c r="D21655">
        <v>0</v>
      </c>
    </row>
    <row r="21656" spans="1:4" hidden="1" x14ac:dyDescent="0.3">
      <c r="A21656" t="s">
        <v>1141</v>
      </c>
      <c r="B21656" t="s">
        <v>82</v>
      </c>
      <c r="C21656" s="1">
        <f>HYPERLINK("https://cao.dolgi.msk.ru/account/1011456972/", 1011456972)</f>
        <v>1011456972</v>
      </c>
      <c r="D21656">
        <v>0</v>
      </c>
    </row>
    <row r="21657" spans="1:4" hidden="1" x14ac:dyDescent="0.3">
      <c r="A21657" t="s">
        <v>1141</v>
      </c>
      <c r="B21657" t="s">
        <v>83</v>
      </c>
      <c r="C21657" s="1">
        <f>HYPERLINK("https://cao.dolgi.msk.ru/account/1011456956/", 1011456956)</f>
        <v>1011456956</v>
      </c>
      <c r="D21657">
        <v>0</v>
      </c>
    </row>
    <row r="21658" spans="1:4" hidden="1" x14ac:dyDescent="0.3">
      <c r="A21658" t="s">
        <v>1141</v>
      </c>
      <c r="B21658" t="s">
        <v>84</v>
      </c>
      <c r="C21658" s="1">
        <f>HYPERLINK("https://cao.dolgi.msk.ru/account/1011457019/", 1011457019)</f>
        <v>1011457019</v>
      </c>
      <c r="D21658">
        <v>-8341.5</v>
      </c>
    </row>
    <row r="21659" spans="1:4" x14ac:dyDescent="0.3">
      <c r="A21659" t="s">
        <v>1141</v>
      </c>
      <c r="B21659" t="s">
        <v>85</v>
      </c>
      <c r="C21659" s="1">
        <f>HYPERLINK("https://cao.dolgi.msk.ru/account/1011456665/", 1011456665)</f>
        <v>1011456665</v>
      </c>
      <c r="D21659">
        <v>5231.47</v>
      </c>
    </row>
    <row r="21660" spans="1:4" hidden="1" x14ac:dyDescent="0.3">
      <c r="A21660" t="s">
        <v>1141</v>
      </c>
      <c r="B21660" t="s">
        <v>102</v>
      </c>
      <c r="C21660" s="1">
        <f>HYPERLINK("https://cao.dolgi.msk.ru/account/1011456286/", 1011456286)</f>
        <v>1011456286</v>
      </c>
      <c r="D21660">
        <v>0</v>
      </c>
    </row>
    <row r="21661" spans="1:4" hidden="1" x14ac:dyDescent="0.3">
      <c r="A21661" t="s">
        <v>1141</v>
      </c>
      <c r="B21661" t="s">
        <v>103</v>
      </c>
      <c r="C21661" s="1">
        <f>HYPERLINK("https://cao.dolgi.msk.ru/account/1011456964/", 1011456964)</f>
        <v>1011456964</v>
      </c>
      <c r="D21661">
        <v>0</v>
      </c>
    </row>
    <row r="21662" spans="1:4" hidden="1" x14ac:dyDescent="0.3">
      <c r="A21662" t="s">
        <v>1141</v>
      </c>
      <c r="B21662" t="s">
        <v>104</v>
      </c>
      <c r="C21662" s="1">
        <f>HYPERLINK("https://cao.dolgi.msk.ru/account/1011456999/", 1011456999)</f>
        <v>1011456999</v>
      </c>
      <c r="D21662">
        <v>-8257.0300000000007</v>
      </c>
    </row>
    <row r="21663" spans="1:4" hidden="1" x14ac:dyDescent="0.3">
      <c r="A21663" t="s">
        <v>1142</v>
      </c>
      <c r="B21663" t="s">
        <v>28</v>
      </c>
      <c r="C21663" s="1">
        <f>HYPERLINK("https://cao.dolgi.msk.ru/account/1011483049/", 1011483049)</f>
        <v>1011483049</v>
      </c>
      <c r="D21663">
        <v>0</v>
      </c>
    </row>
    <row r="21664" spans="1:4" hidden="1" x14ac:dyDescent="0.3">
      <c r="A21664" t="s">
        <v>1142</v>
      </c>
      <c r="B21664" t="s">
        <v>35</v>
      </c>
      <c r="C21664" s="1">
        <f>HYPERLINK("https://cao.dolgi.msk.ru/account/1011482791/", 1011482791)</f>
        <v>1011482791</v>
      </c>
      <c r="D21664">
        <v>0</v>
      </c>
    </row>
    <row r="21665" spans="1:4" hidden="1" x14ac:dyDescent="0.3">
      <c r="A21665" t="s">
        <v>1142</v>
      </c>
      <c r="B21665" t="s">
        <v>5</v>
      </c>
      <c r="C21665" s="1">
        <f>HYPERLINK("https://cao.dolgi.msk.ru/account/1011482986/", 1011482986)</f>
        <v>1011482986</v>
      </c>
      <c r="D21665">
        <v>-1658.81</v>
      </c>
    </row>
    <row r="21666" spans="1:4" hidden="1" x14ac:dyDescent="0.3">
      <c r="A21666" t="s">
        <v>1142</v>
      </c>
      <c r="B21666" t="s">
        <v>7</v>
      </c>
      <c r="C21666" s="1">
        <f>HYPERLINK("https://cao.dolgi.msk.ru/account/1011482994/", 1011482994)</f>
        <v>1011482994</v>
      </c>
      <c r="D21666">
        <v>-4965.32</v>
      </c>
    </row>
    <row r="21667" spans="1:4" hidden="1" x14ac:dyDescent="0.3">
      <c r="A21667" t="s">
        <v>1142</v>
      </c>
      <c r="B21667" t="s">
        <v>8</v>
      </c>
      <c r="C21667" s="1">
        <f>HYPERLINK("https://cao.dolgi.msk.ru/account/1011482855/", 1011482855)</f>
        <v>1011482855</v>
      </c>
      <c r="D21667">
        <v>-1.4</v>
      </c>
    </row>
    <row r="21668" spans="1:4" hidden="1" x14ac:dyDescent="0.3">
      <c r="A21668" t="s">
        <v>1142</v>
      </c>
      <c r="B21668" t="s">
        <v>31</v>
      </c>
      <c r="C21668" s="1">
        <f>HYPERLINK("https://cao.dolgi.msk.ru/account/1011482935/", 1011482935)</f>
        <v>1011482935</v>
      </c>
      <c r="D21668">
        <v>0</v>
      </c>
    </row>
    <row r="21669" spans="1:4" hidden="1" x14ac:dyDescent="0.3">
      <c r="A21669" t="s">
        <v>1142</v>
      </c>
      <c r="B21669" t="s">
        <v>9</v>
      </c>
      <c r="C21669" s="1">
        <f>HYPERLINK("https://cao.dolgi.msk.ru/account/1011483022/", 1011483022)</f>
        <v>1011483022</v>
      </c>
      <c r="D21669">
        <v>0</v>
      </c>
    </row>
    <row r="21670" spans="1:4" hidden="1" x14ac:dyDescent="0.3">
      <c r="A21670" t="s">
        <v>1142</v>
      </c>
      <c r="B21670" t="s">
        <v>10</v>
      </c>
      <c r="C21670" s="1">
        <f>HYPERLINK("https://cao.dolgi.msk.ru/account/1011483006/", 1011483006)</f>
        <v>1011483006</v>
      </c>
      <c r="D21670">
        <v>0</v>
      </c>
    </row>
    <row r="21671" spans="1:4" hidden="1" x14ac:dyDescent="0.3">
      <c r="A21671" t="s">
        <v>1142</v>
      </c>
      <c r="B21671" t="s">
        <v>11</v>
      </c>
      <c r="C21671" s="1">
        <f>HYPERLINK("https://cao.dolgi.msk.ru/account/1011482804/", 1011482804)</f>
        <v>1011482804</v>
      </c>
      <c r="D21671">
        <v>0</v>
      </c>
    </row>
    <row r="21672" spans="1:4" hidden="1" x14ac:dyDescent="0.3">
      <c r="A21672" t="s">
        <v>1142</v>
      </c>
      <c r="B21672" t="s">
        <v>12</v>
      </c>
      <c r="C21672" s="1">
        <f>HYPERLINK("https://cao.dolgi.msk.ru/account/1011482812/", 1011482812)</f>
        <v>1011482812</v>
      </c>
      <c r="D21672">
        <v>0</v>
      </c>
    </row>
    <row r="21673" spans="1:4" hidden="1" x14ac:dyDescent="0.3">
      <c r="A21673" t="s">
        <v>1142</v>
      </c>
      <c r="B21673" t="s">
        <v>23</v>
      </c>
      <c r="C21673" s="1">
        <f>HYPERLINK("https://cao.dolgi.msk.ru/account/1011482863/", 1011482863)</f>
        <v>1011482863</v>
      </c>
      <c r="D21673">
        <v>-7637.44</v>
      </c>
    </row>
    <row r="21674" spans="1:4" hidden="1" x14ac:dyDescent="0.3">
      <c r="A21674" t="s">
        <v>1142</v>
      </c>
      <c r="B21674" t="s">
        <v>13</v>
      </c>
      <c r="C21674" s="1">
        <f>HYPERLINK("https://cao.dolgi.msk.ru/account/1011483057/", 1011483057)</f>
        <v>1011483057</v>
      </c>
      <c r="D21674">
        <v>-121.59</v>
      </c>
    </row>
    <row r="21675" spans="1:4" x14ac:dyDescent="0.3">
      <c r="A21675" t="s">
        <v>1142</v>
      </c>
      <c r="B21675" t="s">
        <v>14</v>
      </c>
      <c r="C21675" s="1">
        <f>HYPERLINK("https://cao.dolgi.msk.ru/account/1011482871/", 1011482871)</f>
        <v>1011482871</v>
      </c>
      <c r="D21675">
        <v>7264.99</v>
      </c>
    </row>
    <row r="21676" spans="1:4" x14ac:dyDescent="0.3">
      <c r="A21676" t="s">
        <v>1142</v>
      </c>
      <c r="B21676" t="s">
        <v>16</v>
      </c>
      <c r="C21676" s="1">
        <f>HYPERLINK("https://cao.dolgi.msk.ru/account/1011482839/", 1011482839)</f>
        <v>1011482839</v>
      </c>
      <c r="D21676">
        <v>18443.93</v>
      </c>
    </row>
    <row r="21677" spans="1:4" hidden="1" x14ac:dyDescent="0.3">
      <c r="A21677" t="s">
        <v>1142</v>
      </c>
      <c r="B21677" t="s">
        <v>17</v>
      </c>
      <c r="C21677" s="1">
        <f>HYPERLINK("https://cao.dolgi.msk.ru/account/1011482943/", 1011482943)</f>
        <v>1011482943</v>
      </c>
      <c r="D21677">
        <v>-8153.59</v>
      </c>
    </row>
    <row r="21678" spans="1:4" hidden="1" x14ac:dyDescent="0.3">
      <c r="A21678" t="s">
        <v>1142</v>
      </c>
      <c r="B21678" t="s">
        <v>18</v>
      </c>
      <c r="C21678" s="1">
        <f>HYPERLINK("https://cao.dolgi.msk.ru/account/1011482919/", 1011482919)</f>
        <v>1011482919</v>
      </c>
      <c r="D21678">
        <v>-6346.95</v>
      </c>
    </row>
    <row r="21679" spans="1:4" hidden="1" x14ac:dyDescent="0.3">
      <c r="A21679" t="s">
        <v>1142</v>
      </c>
      <c r="B21679" t="s">
        <v>19</v>
      </c>
      <c r="C21679" s="1">
        <f>HYPERLINK("https://cao.dolgi.msk.ru/account/1011483014/", 1011483014)</f>
        <v>1011483014</v>
      </c>
      <c r="D21679">
        <v>-4205.12</v>
      </c>
    </row>
    <row r="21680" spans="1:4" x14ac:dyDescent="0.3">
      <c r="A21680" t="s">
        <v>1142</v>
      </c>
      <c r="B21680" t="s">
        <v>20</v>
      </c>
      <c r="C21680" s="1">
        <f>HYPERLINK("https://cao.dolgi.msk.ru/account/1011482898/", 1011482898)</f>
        <v>1011482898</v>
      </c>
      <c r="D21680">
        <v>7062.92</v>
      </c>
    </row>
    <row r="21681" spans="1:4" hidden="1" x14ac:dyDescent="0.3">
      <c r="A21681" t="s">
        <v>1142</v>
      </c>
      <c r="B21681" t="s">
        <v>21</v>
      </c>
      <c r="C21681" s="1">
        <f>HYPERLINK("https://cao.dolgi.msk.ru/account/1011482951/", 1011482951)</f>
        <v>1011482951</v>
      </c>
      <c r="D21681">
        <v>0</v>
      </c>
    </row>
    <row r="21682" spans="1:4" hidden="1" x14ac:dyDescent="0.3">
      <c r="A21682" t="s">
        <v>1142</v>
      </c>
      <c r="B21682" t="s">
        <v>22</v>
      </c>
      <c r="C21682" s="1">
        <f>HYPERLINK("https://cao.dolgi.msk.ru/account/1011482927/", 1011482927)</f>
        <v>1011482927</v>
      </c>
      <c r="D21682">
        <v>-4103.49</v>
      </c>
    </row>
    <row r="21683" spans="1:4" hidden="1" x14ac:dyDescent="0.3">
      <c r="A21683" t="s">
        <v>1142</v>
      </c>
      <c r="B21683" t="s">
        <v>24</v>
      </c>
      <c r="C21683" s="1">
        <f>HYPERLINK("https://cao.dolgi.msk.ru/account/1011482847/", 1011482847)</f>
        <v>1011482847</v>
      </c>
      <c r="D21683">
        <v>-6830.59</v>
      </c>
    </row>
    <row r="21684" spans="1:4" hidden="1" x14ac:dyDescent="0.3">
      <c r="A21684" t="s">
        <v>1143</v>
      </c>
      <c r="B21684" t="s">
        <v>6</v>
      </c>
      <c r="C21684" s="1">
        <f>HYPERLINK("https://cao.dolgi.msk.ru/account/1011331707/", 1011331707)</f>
        <v>1011331707</v>
      </c>
      <c r="D21684">
        <v>-4944.2700000000004</v>
      </c>
    </row>
    <row r="21685" spans="1:4" hidden="1" x14ac:dyDescent="0.3">
      <c r="A21685" t="s">
        <v>1143</v>
      </c>
      <c r="B21685" t="s">
        <v>28</v>
      </c>
      <c r="C21685" s="1">
        <f>HYPERLINK("https://cao.dolgi.msk.ru/account/1011331571/", 1011331571)</f>
        <v>1011331571</v>
      </c>
      <c r="D21685">
        <v>0</v>
      </c>
    </row>
    <row r="21686" spans="1:4" hidden="1" x14ac:dyDescent="0.3">
      <c r="A21686" t="s">
        <v>1143</v>
      </c>
      <c r="B21686" t="s">
        <v>35</v>
      </c>
      <c r="C21686" s="1">
        <f>HYPERLINK("https://cao.dolgi.msk.ru/account/1011331598/", 1011331598)</f>
        <v>1011331598</v>
      </c>
      <c r="D21686">
        <v>0</v>
      </c>
    </row>
    <row r="21687" spans="1:4" hidden="1" x14ac:dyDescent="0.3">
      <c r="A21687" t="s">
        <v>1143</v>
      </c>
      <c r="B21687" t="s">
        <v>5</v>
      </c>
      <c r="C21687" s="1">
        <f>HYPERLINK("https://cao.dolgi.msk.ru/account/1011331619/", 1011331619)</f>
        <v>1011331619</v>
      </c>
      <c r="D21687">
        <v>0</v>
      </c>
    </row>
    <row r="21688" spans="1:4" hidden="1" x14ac:dyDescent="0.3">
      <c r="A21688" t="s">
        <v>1143</v>
      </c>
      <c r="B21688" t="s">
        <v>7</v>
      </c>
      <c r="C21688" s="1">
        <f>HYPERLINK("https://cao.dolgi.msk.ru/account/1011331627/", 1011331627)</f>
        <v>1011331627</v>
      </c>
      <c r="D21688">
        <v>0</v>
      </c>
    </row>
    <row r="21689" spans="1:4" hidden="1" x14ac:dyDescent="0.3">
      <c r="A21689" t="s">
        <v>1143</v>
      </c>
      <c r="B21689" t="s">
        <v>8</v>
      </c>
      <c r="C21689" s="1">
        <f>HYPERLINK("https://cao.dolgi.msk.ru/account/1011331643/", 1011331643)</f>
        <v>1011331643</v>
      </c>
      <c r="D21689">
        <v>0</v>
      </c>
    </row>
    <row r="21690" spans="1:4" hidden="1" x14ac:dyDescent="0.3">
      <c r="A21690" t="s">
        <v>1143</v>
      </c>
      <c r="B21690" t="s">
        <v>31</v>
      </c>
      <c r="C21690" s="1">
        <f>HYPERLINK("https://cao.dolgi.msk.ru/account/1011331686/", 1011331686)</f>
        <v>1011331686</v>
      </c>
      <c r="D21690">
        <v>0</v>
      </c>
    </row>
    <row r="21691" spans="1:4" hidden="1" x14ac:dyDescent="0.3">
      <c r="A21691" t="s">
        <v>1143</v>
      </c>
      <c r="B21691" t="s">
        <v>9</v>
      </c>
      <c r="C21691" s="1">
        <f>HYPERLINK("https://cao.dolgi.msk.ru/account/1011331694/", 1011331694)</f>
        <v>1011331694</v>
      </c>
      <c r="D21691">
        <v>0</v>
      </c>
    </row>
    <row r="21692" spans="1:4" hidden="1" x14ac:dyDescent="0.3">
      <c r="A21692" t="s">
        <v>1143</v>
      </c>
      <c r="B21692" t="s">
        <v>10</v>
      </c>
      <c r="C21692" s="1">
        <f>HYPERLINK("https://cao.dolgi.msk.ru/account/1011331651/", 1011331651)</f>
        <v>1011331651</v>
      </c>
      <c r="D21692">
        <v>-257.64</v>
      </c>
    </row>
    <row r="21693" spans="1:4" hidden="1" x14ac:dyDescent="0.3">
      <c r="A21693" t="s">
        <v>1143</v>
      </c>
      <c r="B21693" t="s">
        <v>11</v>
      </c>
      <c r="C21693" s="1">
        <f>HYPERLINK("https://cao.dolgi.msk.ru/account/1011331678/", 1011331678)</f>
        <v>1011331678</v>
      </c>
      <c r="D21693">
        <v>-1.31</v>
      </c>
    </row>
    <row r="21694" spans="1:4" hidden="1" x14ac:dyDescent="0.3">
      <c r="A21694" t="s">
        <v>1143</v>
      </c>
      <c r="B21694" t="s">
        <v>12</v>
      </c>
      <c r="C21694" s="1">
        <f>HYPERLINK("https://cao.dolgi.msk.ru/account/1011331635/", 1011331635)</f>
        <v>1011331635</v>
      </c>
      <c r="D21694">
        <v>0</v>
      </c>
    </row>
    <row r="21695" spans="1:4" hidden="1" x14ac:dyDescent="0.3">
      <c r="A21695" t="s">
        <v>1143</v>
      </c>
      <c r="B21695" t="s">
        <v>23</v>
      </c>
      <c r="C21695" s="1">
        <f>HYPERLINK("https://cao.dolgi.msk.ru/account/1011331715/", 1011331715)</f>
        <v>1011331715</v>
      </c>
      <c r="D21695">
        <v>0</v>
      </c>
    </row>
    <row r="21696" spans="1:4" hidden="1" x14ac:dyDescent="0.3">
      <c r="A21696" t="s">
        <v>1144</v>
      </c>
      <c r="B21696" t="s">
        <v>31</v>
      </c>
      <c r="C21696" s="1">
        <f>HYPERLINK("https://cao.dolgi.msk.ru/account/1011377801/", 1011377801)</f>
        <v>1011377801</v>
      </c>
      <c r="D21696">
        <v>0</v>
      </c>
    </row>
    <row r="21697" spans="1:4" x14ac:dyDescent="0.3">
      <c r="A21697" t="s">
        <v>1144</v>
      </c>
      <c r="B21697" t="s">
        <v>9</v>
      </c>
      <c r="C21697" s="1">
        <f>HYPERLINK("https://cao.dolgi.msk.ru/account/1011377836/", 1011377836)</f>
        <v>1011377836</v>
      </c>
      <c r="D21697">
        <v>4835.91</v>
      </c>
    </row>
    <row r="21698" spans="1:4" x14ac:dyDescent="0.3">
      <c r="A21698" t="s">
        <v>1144</v>
      </c>
      <c r="B21698" t="s">
        <v>9</v>
      </c>
      <c r="C21698" s="1">
        <f>HYPERLINK("https://cao.dolgi.msk.ru/account/1011377844/", 1011377844)</f>
        <v>1011377844</v>
      </c>
      <c r="D21698">
        <v>470.11</v>
      </c>
    </row>
    <row r="21699" spans="1:4" hidden="1" x14ac:dyDescent="0.3">
      <c r="A21699" t="s">
        <v>1144</v>
      </c>
      <c r="B21699" t="s">
        <v>10</v>
      </c>
      <c r="C21699" s="1">
        <f>HYPERLINK("https://cao.dolgi.msk.ru/account/1011377828/", 1011377828)</f>
        <v>1011377828</v>
      </c>
      <c r="D21699">
        <v>-2098.04</v>
      </c>
    </row>
    <row r="21700" spans="1:4" hidden="1" x14ac:dyDescent="0.3">
      <c r="A21700" t="s">
        <v>1144</v>
      </c>
      <c r="B21700" t="s">
        <v>11</v>
      </c>
      <c r="C21700" s="1">
        <f>HYPERLINK("https://cao.dolgi.msk.ru/account/1011377748/", 1011377748)</f>
        <v>1011377748</v>
      </c>
      <c r="D21700">
        <v>-705.38</v>
      </c>
    </row>
    <row r="21701" spans="1:4" x14ac:dyDescent="0.3">
      <c r="A21701" t="s">
        <v>1144</v>
      </c>
      <c r="B21701" t="s">
        <v>11</v>
      </c>
      <c r="C21701" s="1">
        <f>HYPERLINK("https://cao.dolgi.msk.ru/account/1011377756/", 1011377756)</f>
        <v>1011377756</v>
      </c>
      <c r="D21701">
        <v>30406.17</v>
      </c>
    </row>
    <row r="21702" spans="1:4" hidden="1" x14ac:dyDescent="0.3">
      <c r="A21702" t="s">
        <v>1144</v>
      </c>
      <c r="B21702" t="s">
        <v>11</v>
      </c>
      <c r="C21702" s="1">
        <f>HYPERLINK("https://cao.dolgi.msk.ru/account/1011377764/", 1011377764)</f>
        <v>1011377764</v>
      </c>
      <c r="D21702">
        <v>-955.92</v>
      </c>
    </row>
    <row r="21703" spans="1:4" x14ac:dyDescent="0.3">
      <c r="A21703" t="s">
        <v>1144</v>
      </c>
      <c r="B21703" t="s">
        <v>12</v>
      </c>
      <c r="C21703" s="1">
        <f>HYPERLINK("https://cao.dolgi.msk.ru/account/1011377772/", 1011377772)</f>
        <v>1011377772</v>
      </c>
      <c r="D21703">
        <v>7525.22</v>
      </c>
    </row>
    <row r="21704" spans="1:4" hidden="1" x14ac:dyDescent="0.3">
      <c r="A21704" t="s">
        <v>1144</v>
      </c>
      <c r="B21704" t="s">
        <v>23</v>
      </c>
      <c r="C21704" s="1">
        <f>HYPERLINK("https://cao.dolgi.msk.ru/account/1011377799/", 1011377799)</f>
        <v>1011377799</v>
      </c>
      <c r="D21704">
        <v>-10545.84</v>
      </c>
    </row>
    <row r="21705" spans="1:4" hidden="1" x14ac:dyDescent="0.3">
      <c r="A21705" t="s">
        <v>1145</v>
      </c>
      <c r="B21705" t="s">
        <v>6</v>
      </c>
      <c r="C21705" s="1">
        <f>HYPERLINK("https://cao.dolgi.msk.ru/account/1011483313/", 1011483313)</f>
        <v>1011483313</v>
      </c>
      <c r="D21705">
        <v>0</v>
      </c>
    </row>
    <row r="21706" spans="1:4" hidden="1" x14ac:dyDescent="0.3">
      <c r="A21706" t="s">
        <v>1145</v>
      </c>
      <c r="B21706" t="s">
        <v>28</v>
      </c>
      <c r="C21706" s="1">
        <f>HYPERLINK("https://cao.dolgi.msk.ru/account/1011483065/", 1011483065)</f>
        <v>1011483065</v>
      </c>
      <c r="D21706">
        <v>-11.27</v>
      </c>
    </row>
    <row r="21707" spans="1:4" x14ac:dyDescent="0.3">
      <c r="A21707" t="s">
        <v>1145</v>
      </c>
      <c r="B21707" t="s">
        <v>35</v>
      </c>
      <c r="C21707" s="1">
        <f>HYPERLINK("https://cao.dolgi.msk.ru/account/1011483137/", 1011483137)</f>
        <v>1011483137</v>
      </c>
      <c r="D21707">
        <v>8927.42</v>
      </c>
    </row>
    <row r="21708" spans="1:4" hidden="1" x14ac:dyDescent="0.3">
      <c r="A21708" t="s">
        <v>1145</v>
      </c>
      <c r="B21708" t="s">
        <v>5</v>
      </c>
      <c r="C21708" s="1">
        <f>HYPERLINK("https://cao.dolgi.msk.ru/account/1011483372/", 1011483372)</f>
        <v>1011483372</v>
      </c>
      <c r="D21708">
        <v>0</v>
      </c>
    </row>
    <row r="21709" spans="1:4" hidden="1" x14ac:dyDescent="0.3">
      <c r="A21709" t="s">
        <v>1145</v>
      </c>
      <c r="B21709" t="s">
        <v>7</v>
      </c>
      <c r="C21709" s="1">
        <f>HYPERLINK("https://cao.dolgi.msk.ru/account/1011483241/", 1011483241)</f>
        <v>1011483241</v>
      </c>
      <c r="D21709">
        <v>0</v>
      </c>
    </row>
    <row r="21710" spans="1:4" x14ac:dyDescent="0.3">
      <c r="A21710" t="s">
        <v>1145</v>
      </c>
      <c r="B21710" t="s">
        <v>8</v>
      </c>
      <c r="C21710" s="1">
        <f>HYPERLINK("https://cao.dolgi.msk.ru/account/1011483145/", 1011483145)</f>
        <v>1011483145</v>
      </c>
      <c r="D21710">
        <v>7668.93</v>
      </c>
    </row>
    <row r="21711" spans="1:4" hidden="1" x14ac:dyDescent="0.3">
      <c r="A21711" t="s">
        <v>1145</v>
      </c>
      <c r="B21711" t="s">
        <v>31</v>
      </c>
      <c r="C21711" s="1">
        <f>HYPERLINK("https://cao.dolgi.msk.ru/account/1011483153/", 1011483153)</f>
        <v>1011483153</v>
      </c>
      <c r="D21711">
        <v>-12016.61</v>
      </c>
    </row>
    <row r="21712" spans="1:4" hidden="1" x14ac:dyDescent="0.3">
      <c r="A21712" t="s">
        <v>1145</v>
      </c>
      <c r="B21712" t="s">
        <v>9</v>
      </c>
      <c r="C21712" s="1">
        <f>HYPERLINK("https://cao.dolgi.msk.ru/account/1011483209/", 1011483209)</f>
        <v>1011483209</v>
      </c>
      <c r="D21712">
        <v>0</v>
      </c>
    </row>
    <row r="21713" spans="1:4" hidden="1" x14ac:dyDescent="0.3">
      <c r="A21713" t="s">
        <v>1145</v>
      </c>
      <c r="B21713" t="s">
        <v>10</v>
      </c>
      <c r="C21713" s="1">
        <f>HYPERLINK("https://cao.dolgi.msk.ru/account/1011483321/", 1011483321)</f>
        <v>1011483321</v>
      </c>
      <c r="D21713">
        <v>0</v>
      </c>
    </row>
    <row r="21714" spans="1:4" hidden="1" x14ac:dyDescent="0.3">
      <c r="A21714" t="s">
        <v>1145</v>
      </c>
      <c r="B21714" t="s">
        <v>11</v>
      </c>
      <c r="C21714" s="1">
        <f>HYPERLINK("https://cao.dolgi.msk.ru/account/1011483225/", 1011483225)</f>
        <v>1011483225</v>
      </c>
      <c r="D21714">
        <v>-15419.55</v>
      </c>
    </row>
    <row r="21715" spans="1:4" hidden="1" x14ac:dyDescent="0.3">
      <c r="A21715" t="s">
        <v>1145</v>
      </c>
      <c r="B21715" t="s">
        <v>12</v>
      </c>
      <c r="C21715" s="1">
        <f>HYPERLINK("https://cao.dolgi.msk.ru/account/1011483268/", 1011483268)</f>
        <v>1011483268</v>
      </c>
      <c r="D21715">
        <v>0</v>
      </c>
    </row>
    <row r="21716" spans="1:4" hidden="1" x14ac:dyDescent="0.3">
      <c r="A21716" t="s">
        <v>1145</v>
      </c>
      <c r="B21716" t="s">
        <v>23</v>
      </c>
      <c r="C21716" s="1">
        <f>HYPERLINK("https://cao.dolgi.msk.ru/account/1011483276/", 1011483276)</f>
        <v>1011483276</v>
      </c>
      <c r="D21716">
        <v>0</v>
      </c>
    </row>
    <row r="21717" spans="1:4" hidden="1" x14ac:dyDescent="0.3">
      <c r="A21717" t="s">
        <v>1145</v>
      </c>
      <c r="B21717" t="s">
        <v>13</v>
      </c>
      <c r="C21717" s="1">
        <f>HYPERLINK("https://cao.dolgi.msk.ru/account/1011483399/", 1011483399)</f>
        <v>1011483399</v>
      </c>
      <c r="D21717">
        <v>-5489.09</v>
      </c>
    </row>
    <row r="21718" spans="1:4" x14ac:dyDescent="0.3">
      <c r="A21718" t="s">
        <v>1145</v>
      </c>
      <c r="B21718" t="s">
        <v>14</v>
      </c>
      <c r="C21718" s="1">
        <f>HYPERLINK("https://cao.dolgi.msk.ru/account/1011483436/", 1011483436)</f>
        <v>1011483436</v>
      </c>
      <c r="D21718">
        <v>6108.48</v>
      </c>
    </row>
    <row r="21719" spans="1:4" hidden="1" x14ac:dyDescent="0.3">
      <c r="A21719" t="s">
        <v>1145</v>
      </c>
      <c r="B21719" t="s">
        <v>16</v>
      </c>
      <c r="C21719" s="1">
        <f>HYPERLINK("https://cao.dolgi.msk.ru/account/1011483305/", 1011483305)</f>
        <v>1011483305</v>
      </c>
      <c r="D21719">
        <v>-115.42</v>
      </c>
    </row>
    <row r="21720" spans="1:4" hidden="1" x14ac:dyDescent="0.3">
      <c r="A21720" t="s">
        <v>1145</v>
      </c>
      <c r="B21720" t="s">
        <v>17</v>
      </c>
      <c r="C21720" s="1">
        <f>HYPERLINK("https://cao.dolgi.msk.ru/account/1011483233/", 1011483233)</f>
        <v>1011483233</v>
      </c>
      <c r="D21720">
        <v>0</v>
      </c>
    </row>
    <row r="21721" spans="1:4" hidden="1" x14ac:dyDescent="0.3">
      <c r="A21721" t="s">
        <v>1145</v>
      </c>
      <c r="B21721" t="s">
        <v>18</v>
      </c>
      <c r="C21721" s="1">
        <f>HYPERLINK("https://cao.dolgi.msk.ru/account/1011483401/", 1011483401)</f>
        <v>1011483401</v>
      </c>
      <c r="D21721">
        <v>0</v>
      </c>
    </row>
    <row r="21722" spans="1:4" hidden="1" x14ac:dyDescent="0.3">
      <c r="A21722" t="s">
        <v>1145</v>
      </c>
      <c r="B21722" t="s">
        <v>19</v>
      </c>
      <c r="C21722" s="1">
        <f>HYPERLINK("https://cao.dolgi.msk.ru/account/1011483217/", 1011483217)</f>
        <v>1011483217</v>
      </c>
      <c r="D21722">
        <v>0</v>
      </c>
    </row>
    <row r="21723" spans="1:4" hidden="1" x14ac:dyDescent="0.3">
      <c r="A21723" t="s">
        <v>1145</v>
      </c>
      <c r="B21723" t="s">
        <v>20</v>
      </c>
      <c r="C21723" s="1">
        <f>HYPERLINK("https://cao.dolgi.msk.ru/account/1011483348/", 1011483348)</f>
        <v>1011483348</v>
      </c>
      <c r="D21723">
        <v>0</v>
      </c>
    </row>
    <row r="21724" spans="1:4" hidden="1" x14ac:dyDescent="0.3">
      <c r="A21724" t="s">
        <v>1145</v>
      </c>
      <c r="B21724" t="s">
        <v>21</v>
      </c>
      <c r="C21724" s="1">
        <f>HYPERLINK("https://cao.dolgi.msk.ru/account/1011483073/", 1011483073)</f>
        <v>1011483073</v>
      </c>
      <c r="D21724">
        <v>-10188.98</v>
      </c>
    </row>
    <row r="21725" spans="1:4" hidden="1" x14ac:dyDescent="0.3">
      <c r="A21725" t="s">
        <v>1145</v>
      </c>
      <c r="B21725" t="s">
        <v>22</v>
      </c>
      <c r="C21725" s="1">
        <f>HYPERLINK("https://cao.dolgi.msk.ru/account/1011483161/", 1011483161)</f>
        <v>1011483161</v>
      </c>
      <c r="D21725">
        <v>0</v>
      </c>
    </row>
    <row r="21726" spans="1:4" hidden="1" x14ac:dyDescent="0.3">
      <c r="A21726" t="s">
        <v>1145</v>
      </c>
      <c r="B21726" t="s">
        <v>22</v>
      </c>
      <c r="C21726" s="1">
        <f>HYPERLINK("https://cao.dolgi.msk.ru/account/1011483364/", 1011483364)</f>
        <v>1011483364</v>
      </c>
      <c r="D21726">
        <v>-4972.82</v>
      </c>
    </row>
    <row r="21727" spans="1:4" hidden="1" x14ac:dyDescent="0.3">
      <c r="A21727" t="s">
        <v>1145</v>
      </c>
      <c r="B21727" t="s">
        <v>24</v>
      </c>
      <c r="C21727" s="1">
        <f>HYPERLINK("https://cao.dolgi.msk.ru/account/1011483284/", 1011483284)</f>
        <v>1011483284</v>
      </c>
      <c r="D21727">
        <v>0</v>
      </c>
    </row>
    <row r="21728" spans="1:4" hidden="1" x14ac:dyDescent="0.3">
      <c r="A21728" t="s">
        <v>1145</v>
      </c>
      <c r="B21728" t="s">
        <v>25</v>
      </c>
      <c r="C21728" s="1">
        <f>HYPERLINK("https://cao.dolgi.msk.ru/account/1011483188/", 1011483188)</f>
        <v>1011483188</v>
      </c>
      <c r="D21728">
        <v>0</v>
      </c>
    </row>
    <row r="21729" spans="1:4" hidden="1" x14ac:dyDescent="0.3">
      <c r="A21729" t="s">
        <v>1145</v>
      </c>
      <c r="B21729" t="s">
        <v>26</v>
      </c>
      <c r="C21729" s="1">
        <f>HYPERLINK("https://cao.dolgi.msk.ru/account/1011483196/", 1011483196)</f>
        <v>1011483196</v>
      </c>
      <c r="D21729">
        <v>0</v>
      </c>
    </row>
    <row r="21730" spans="1:4" x14ac:dyDescent="0.3">
      <c r="A21730" t="s">
        <v>1145</v>
      </c>
      <c r="B21730" t="s">
        <v>27</v>
      </c>
      <c r="C21730" s="1">
        <f>HYPERLINK("https://cao.dolgi.msk.ru/account/1011483356/", 1011483356)</f>
        <v>1011483356</v>
      </c>
      <c r="D21730">
        <v>2000</v>
      </c>
    </row>
    <row r="21731" spans="1:4" hidden="1" x14ac:dyDescent="0.3">
      <c r="A21731" t="s">
        <v>1145</v>
      </c>
      <c r="B21731" t="s">
        <v>29</v>
      </c>
      <c r="C21731" s="1">
        <f>HYPERLINK("https://cao.dolgi.msk.ru/account/1011483428/", 1011483428)</f>
        <v>1011483428</v>
      </c>
      <c r="D21731">
        <v>0</v>
      </c>
    </row>
    <row r="21732" spans="1:4" hidden="1" x14ac:dyDescent="0.3">
      <c r="A21732" t="s">
        <v>1145</v>
      </c>
      <c r="B21732" t="s">
        <v>38</v>
      </c>
      <c r="C21732" s="1">
        <f>HYPERLINK("https://cao.dolgi.msk.ru/account/1011483081/", 1011483081)</f>
        <v>1011483081</v>
      </c>
      <c r="D21732">
        <v>0</v>
      </c>
    </row>
    <row r="21733" spans="1:4" hidden="1" x14ac:dyDescent="0.3">
      <c r="A21733" t="s">
        <v>1145</v>
      </c>
      <c r="B21733" t="s">
        <v>39</v>
      </c>
      <c r="C21733" s="1">
        <f>HYPERLINK("https://cao.dolgi.msk.ru/account/1011483292/", 1011483292)</f>
        <v>1011483292</v>
      </c>
      <c r="D21733">
        <v>-10502.06</v>
      </c>
    </row>
    <row r="21734" spans="1:4" hidden="1" x14ac:dyDescent="0.3">
      <c r="A21734" t="s">
        <v>1145</v>
      </c>
      <c r="B21734" t="s">
        <v>40</v>
      </c>
      <c r="C21734" s="1">
        <f>HYPERLINK("https://cao.dolgi.msk.ru/account/1011483102/", 1011483102)</f>
        <v>1011483102</v>
      </c>
      <c r="D21734">
        <v>0</v>
      </c>
    </row>
    <row r="21735" spans="1:4" hidden="1" x14ac:dyDescent="0.3">
      <c r="A21735" t="s">
        <v>1145</v>
      </c>
      <c r="B21735" t="s">
        <v>41</v>
      </c>
      <c r="C21735" s="1">
        <f>HYPERLINK("https://cao.dolgi.msk.ru/account/1011483129/", 1011483129)</f>
        <v>1011483129</v>
      </c>
      <c r="D21735">
        <v>0</v>
      </c>
    </row>
    <row r="21736" spans="1:4" x14ac:dyDescent="0.3">
      <c r="A21736" t="s">
        <v>1146</v>
      </c>
      <c r="B21736" t="s">
        <v>6</v>
      </c>
      <c r="C21736" s="1">
        <f>HYPERLINK("https://cao.dolgi.msk.ru/account/1011500179/", 1011500179)</f>
        <v>1011500179</v>
      </c>
      <c r="D21736">
        <v>4287.72</v>
      </c>
    </row>
    <row r="21737" spans="1:4" x14ac:dyDescent="0.3">
      <c r="A21737" t="s">
        <v>1146</v>
      </c>
      <c r="B21737" t="s">
        <v>35</v>
      </c>
      <c r="C21737" s="1">
        <f>HYPERLINK("https://cao.dolgi.msk.ru/account/1011500435/", 1011500435)</f>
        <v>1011500435</v>
      </c>
      <c r="D21737">
        <v>4624.17</v>
      </c>
    </row>
    <row r="21738" spans="1:4" hidden="1" x14ac:dyDescent="0.3">
      <c r="A21738" t="s">
        <v>1146</v>
      </c>
      <c r="B21738" t="s">
        <v>5</v>
      </c>
      <c r="C21738" s="1">
        <f>HYPERLINK("https://cao.dolgi.msk.ru/account/1011500187/", 1011500187)</f>
        <v>1011500187</v>
      </c>
      <c r="D21738">
        <v>-6522.66</v>
      </c>
    </row>
    <row r="21739" spans="1:4" hidden="1" x14ac:dyDescent="0.3">
      <c r="A21739" t="s">
        <v>1146</v>
      </c>
      <c r="B21739" t="s">
        <v>7</v>
      </c>
      <c r="C21739" s="1">
        <f>HYPERLINK("https://cao.dolgi.msk.ru/account/1011500195/", 1011500195)</f>
        <v>1011500195</v>
      </c>
      <c r="D21739">
        <v>0</v>
      </c>
    </row>
    <row r="21740" spans="1:4" hidden="1" x14ac:dyDescent="0.3">
      <c r="A21740" t="s">
        <v>1146</v>
      </c>
      <c r="B21740" t="s">
        <v>7</v>
      </c>
      <c r="C21740" s="1">
        <f>HYPERLINK("https://cao.dolgi.msk.ru/account/1011500507/", 1011500507)</f>
        <v>1011500507</v>
      </c>
      <c r="D21740">
        <v>0</v>
      </c>
    </row>
    <row r="21741" spans="1:4" x14ac:dyDescent="0.3">
      <c r="A21741" t="s">
        <v>1146</v>
      </c>
      <c r="B21741" t="s">
        <v>8</v>
      </c>
      <c r="C21741" s="1">
        <f>HYPERLINK("https://cao.dolgi.msk.ru/account/1011500515/", 1011500515)</f>
        <v>1011500515</v>
      </c>
      <c r="D21741">
        <v>11296.42</v>
      </c>
    </row>
    <row r="21742" spans="1:4" hidden="1" x14ac:dyDescent="0.3">
      <c r="A21742" t="s">
        <v>1146</v>
      </c>
      <c r="B21742" t="s">
        <v>31</v>
      </c>
      <c r="C21742" s="1">
        <f>HYPERLINK("https://cao.dolgi.msk.ru/account/1011500208/", 1011500208)</f>
        <v>1011500208</v>
      </c>
      <c r="D21742">
        <v>0</v>
      </c>
    </row>
    <row r="21743" spans="1:4" hidden="1" x14ac:dyDescent="0.3">
      <c r="A21743" t="s">
        <v>1146</v>
      </c>
      <c r="B21743" t="s">
        <v>9</v>
      </c>
      <c r="C21743" s="1">
        <f>HYPERLINK("https://cao.dolgi.msk.ru/account/1011500291/", 1011500291)</f>
        <v>1011500291</v>
      </c>
      <c r="D21743">
        <v>0</v>
      </c>
    </row>
    <row r="21744" spans="1:4" hidden="1" x14ac:dyDescent="0.3">
      <c r="A21744" t="s">
        <v>1146</v>
      </c>
      <c r="B21744" t="s">
        <v>10</v>
      </c>
      <c r="C21744" s="1">
        <f>HYPERLINK("https://cao.dolgi.msk.ru/account/1011500304/", 1011500304)</f>
        <v>1011500304</v>
      </c>
      <c r="D21744">
        <v>0</v>
      </c>
    </row>
    <row r="21745" spans="1:4" hidden="1" x14ac:dyDescent="0.3">
      <c r="A21745" t="s">
        <v>1146</v>
      </c>
      <c r="B21745" t="s">
        <v>11</v>
      </c>
      <c r="C21745" s="1">
        <f>HYPERLINK("https://cao.dolgi.msk.ru/account/1011500523/", 1011500523)</f>
        <v>1011500523</v>
      </c>
      <c r="D21745">
        <v>0</v>
      </c>
    </row>
    <row r="21746" spans="1:4" hidden="1" x14ac:dyDescent="0.3">
      <c r="A21746" t="s">
        <v>1146</v>
      </c>
      <c r="B21746" t="s">
        <v>32</v>
      </c>
      <c r="C21746" s="1">
        <f>HYPERLINK("https://cao.dolgi.msk.ru/account/1011500443/", 1011500443)</f>
        <v>1011500443</v>
      </c>
      <c r="D21746">
        <v>0</v>
      </c>
    </row>
    <row r="21747" spans="1:4" hidden="1" x14ac:dyDescent="0.3">
      <c r="A21747" t="s">
        <v>1146</v>
      </c>
      <c r="B21747" t="s">
        <v>12</v>
      </c>
      <c r="C21747" s="1">
        <f>HYPERLINK("https://cao.dolgi.msk.ru/account/1011500136/", 1011500136)</f>
        <v>1011500136</v>
      </c>
      <c r="D21747">
        <v>0</v>
      </c>
    </row>
    <row r="21748" spans="1:4" hidden="1" x14ac:dyDescent="0.3">
      <c r="A21748" t="s">
        <v>1146</v>
      </c>
      <c r="B21748" t="s">
        <v>23</v>
      </c>
      <c r="C21748" s="1">
        <f>HYPERLINK("https://cao.dolgi.msk.ru/account/1011500216/", 1011500216)</f>
        <v>1011500216</v>
      </c>
      <c r="D21748">
        <v>0</v>
      </c>
    </row>
    <row r="21749" spans="1:4" hidden="1" x14ac:dyDescent="0.3">
      <c r="A21749" t="s">
        <v>1146</v>
      </c>
      <c r="B21749" t="s">
        <v>13</v>
      </c>
      <c r="C21749" s="1">
        <f>HYPERLINK("https://cao.dolgi.msk.ru/account/1011500128/", 1011500128)</f>
        <v>1011500128</v>
      </c>
      <c r="D21749">
        <v>0</v>
      </c>
    </row>
    <row r="21750" spans="1:4" hidden="1" x14ac:dyDescent="0.3">
      <c r="A21750" t="s">
        <v>1146</v>
      </c>
      <c r="B21750" t="s">
        <v>14</v>
      </c>
      <c r="C21750" s="1">
        <f>HYPERLINK("https://cao.dolgi.msk.ru/account/1011500451/", 1011500451)</f>
        <v>1011500451</v>
      </c>
      <c r="D21750">
        <v>0</v>
      </c>
    </row>
    <row r="21751" spans="1:4" hidden="1" x14ac:dyDescent="0.3">
      <c r="A21751" t="s">
        <v>1146</v>
      </c>
      <c r="B21751" t="s">
        <v>16</v>
      </c>
      <c r="C21751" s="1">
        <f>HYPERLINK("https://cao.dolgi.msk.ru/account/1011500339/", 1011500339)</f>
        <v>1011500339</v>
      </c>
      <c r="D21751">
        <v>-18117.62</v>
      </c>
    </row>
    <row r="21752" spans="1:4" hidden="1" x14ac:dyDescent="0.3">
      <c r="A21752" t="s">
        <v>1146</v>
      </c>
      <c r="B21752" t="s">
        <v>17</v>
      </c>
      <c r="C21752" s="1">
        <f>HYPERLINK("https://cao.dolgi.msk.ru/account/1011500144/", 1011500144)</f>
        <v>1011500144</v>
      </c>
      <c r="D21752">
        <v>0</v>
      </c>
    </row>
    <row r="21753" spans="1:4" hidden="1" x14ac:dyDescent="0.3">
      <c r="A21753" t="s">
        <v>1146</v>
      </c>
      <c r="B21753" t="s">
        <v>18</v>
      </c>
      <c r="C21753" s="1">
        <f>HYPERLINK("https://cao.dolgi.msk.ru/account/1011500347/", 1011500347)</f>
        <v>1011500347</v>
      </c>
      <c r="D21753">
        <v>0</v>
      </c>
    </row>
    <row r="21754" spans="1:4" hidden="1" x14ac:dyDescent="0.3">
      <c r="A21754" t="s">
        <v>1146</v>
      </c>
      <c r="B21754" t="s">
        <v>19</v>
      </c>
      <c r="C21754" s="1">
        <f>HYPERLINK("https://cao.dolgi.msk.ru/account/1011500224/", 1011500224)</f>
        <v>1011500224</v>
      </c>
      <c r="D21754">
        <v>-7115.72</v>
      </c>
    </row>
    <row r="21755" spans="1:4" hidden="1" x14ac:dyDescent="0.3">
      <c r="A21755" t="s">
        <v>1146</v>
      </c>
      <c r="B21755" t="s">
        <v>20</v>
      </c>
      <c r="C21755" s="1">
        <f>HYPERLINK("https://cao.dolgi.msk.ru/account/1011500283/", 1011500283)</f>
        <v>1011500283</v>
      </c>
      <c r="D21755">
        <v>0</v>
      </c>
    </row>
    <row r="21756" spans="1:4" hidden="1" x14ac:dyDescent="0.3">
      <c r="A21756" t="s">
        <v>1146</v>
      </c>
      <c r="B21756" t="s">
        <v>21</v>
      </c>
      <c r="C21756" s="1">
        <f>HYPERLINK("https://cao.dolgi.msk.ru/account/1011500152/", 1011500152)</f>
        <v>1011500152</v>
      </c>
      <c r="D21756">
        <v>-21282.47</v>
      </c>
    </row>
    <row r="21757" spans="1:4" x14ac:dyDescent="0.3">
      <c r="A21757" t="s">
        <v>1146</v>
      </c>
      <c r="B21757" t="s">
        <v>22</v>
      </c>
      <c r="C21757" s="1">
        <f>HYPERLINK("https://cao.dolgi.msk.ru/account/1011500478/", 1011500478)</f>
        <v>1011500478</v>
      </c>
      <c r="D21757">
        <v>13579.4</v>
      </c>
    </row>
    <row r="21758" spans="1:4" x14ac:dyDescent="0.3">
      <c r="A21758" t="s">
        <v>1146</v>
      </c>
      <c r="B21758" t="s">
        <v>24</v>
      </c>
      <c r="C21758" s="1">
        <f>HYPERLINK("https://cao.dolgi.msk.ru/account/1011500355/", 1011500355)</f>
        <v>1011500355</v>
      </c>
      <c r="D21758">
        <v>13607.63</v>
      </c>
    </row>
    <row r="21759" spans="1:4" hidden="1" x14ac:dyDescent="0.3">
      <c r="A21759" t="s">
        <v>1146</v>
      </c>
      <c r="B21759" t="s">
        <v>25</v>
      </c>
      <c r="C21759" s="1">
        <f>HYPERLINK("https://cao.dolgi.msk.ru/account/1011500232/", 1011500232)</f>
        <v>1011500232</v>
      </c>
      <c r="D21759">
        <v>0</v>
      </c>
    </row>
    <row r="21760" spans="1:4" hidden="1" x14ac:dyDescent="0.3">
      <c r="A21760" t="s">
        <v>1146</v>
      </c>
      <c r="B21760" t="s">
        <v>26</v>
      </c>
      <c r="C21760" s="1">
        <f>HYPERLINK("https://cao.dolgi.msk.ru/account/1011500558/", 1011500558)</f>
        <v>1011500558</v>
      </c>
      <c r="D21760">
        <v>-8718.7999999999993</v>
      </c>
    </row>
    <row r="21761" spans="1:4" hidden="1" x14ac:dyDescent="0.3">
      <c r="A21761" t="s">
        <v>1146</v>
      </c>
      <c r="B21761" t="s">
        <v>27</v>
      </c>
      <c r="C21761" s="1">
        <f>HYPERLINK("https://cao.dolgi.msk.ru/account/1011500486/", 1011500486)</f>
        <v>1011500486</v>
      </c>
      <c r="D21761">
        <v>-6965.33</v>
      </c>
    </row>
    <row r="21762" spans="1:4" x14ac:dyDescent="0.3">
      <c r="A21762" t="s">
        <v>1146</v>
      </c>
      <c r="B21762" t="s">
        <v>29</v>
      </c>
      <c r="C21762" s="1">
        <f>HYPERLINK("https://cao.dolgi.msk.ru/account/1011500259/", 1011500259)</f>
        <v>1011500259</v>
      </c>
      <c r="D21762">
        <v>44450.97</v>
      </c>
    </row>
    <row r="21763" spans="1:4" hidden="1" x14ac:dyDescent="0.3">
      <c r="A21763" t="s">
        <v>1146</v>
      </c>
      <c r="B21763" t="s">
        <v>29</v>
      </c>
      <c r="C21763" s="1">
        <f>HYPERLINK("https://cao.dolgi.msk.ru/account/1011500267/", 1011500267)</f>
        <v>1011500267</v>
      </c>
      <c r="D21763">
        <v>-4265.08</v>
      </c>
    </row>
    <row r="21764" spans="1:4" hidden="1" x14ac:dyDescent="0.3">
      <c r="A21764" t="s">
        <v>1146</v>
      </c>
      <c r="B21764" t="s">
        <v>29</v>
      </c>
      <c r="C21764" s="1">
        <f>HYPERLINK("https://cao.dolgi.msk.ru/account/1011500371/", 1011500371)</f>
        <v>1011500371</v>
      </c>
      <c r="D21764">
        <v>-3670.15</v>
      </c>
    </row>
    <row r="21765" spans="1:4" hidden="1" x14ac:dyDescent="0.3">
      <c r="A21765" t="s">
        <v>1146</v>
      </c>
      <c r="B21765" t="s">
        <v>29</v>
      </c>
      <c r="C21765" s="1">
        <f>HYPERLINK("https://cao.dolgi.msk.ru/account/1011515426/", 1011515426)</f>
        <v>1011515426</v>
      </c>
      <c r="D21765">
        <v>-1252.68</v>
      </c>
    </row>
    <row r="21766" spans="1:4" hidden="1" x14ac:dyDescent="0.3">
      <c r="A21766" t="s">
        <v>1146</v>
      </c>
      <c r="B21766" t="s">
        <v>38</v>
      </c>
      <c r="C21766" s="1">
        <f>HYPERLINK("https://cao.dolgi.msk.ru/account/1011500566/", 1011500566)</f>
        <v>1011500566</v>
      </c>
      <c r="D21766">
        <v>-7293.09</v>
      </c>
    </row>
    <row r="21767" spans="1:4" hidden="1" x14ac:dyDescent="0.3">
      <c r="A21767" t="s">
        <v>1146</v>
      </c>
      <c r="B21767" t="s">
        <v>39</v>
      </c>
      <c r="C21767" s="1">
        <f>HYPERLINK("https://cao.dolgi.msk.ru/account/1011500398/", 1011500398)</f>
        <v>1011500398</v>
      </c>
      <c r="D21767">
        <v>0</v>
      </c>
    </row>
    <row r="21768" spans="1:4" hidden="1" x14ac:dyDescent="0.3">
      <c r="A21768" t="s">
        <v>1146</v>
      </c>
      <c r="B21768" t="s">
        <v>40</v>
      </c>
      <c r="C21768" s="1">
        <f>HYPERLINK("https://cao.dolgi.msk.ru/account/1011500419/", 1011500419)</f>
        <v>1011500419</v>
      </c>
      <c r="D21768">
        <v>0</v>
      </c>
    </row>
    <row r="21769" spans="1:4" hidden="1" x14ac:dyDescent="0.3">
      <c r="A21769" t="s">
        <v>1146</v>
      </c>
      <c r="B21769" t="s">
        <v>41</v>
      </c>
      <c r="C21769" s="1">
        <f>HYPERLINK("https://cao.dolgi.msk.ru/account/1011500494/", 1011500494)</f>
        <v>1011500494</v>
      </c>
      <c r="D21769">
        <v>-13705.16</v>
      </c>
    </row>
    <row r="21770" spans="1:4" hidden="1" x14ac:dyDescent="0.3">
      <c r="A21770" t="s">
        <v>1146</v>
      </c>
      <c r="B21770" t="s">
        <v>51</v>
      </c>
      <c r="C21770" s="1">
        <f>HYPERLINK("https://cao.dolgi.msk.ru/account/1011500275/", 1011500275)</f>
        <v>1011500275</v>
      </c>
      <c r="D21770">
        <v>0</v>
      </c>
    </row>
    <row r="21771" spans="1:4" x14ac:dyDescent="0.3">
      <c r="A21771" t="s">
        <v>1146</v>
      </c>
      <c r="B21771" t="s">
        <v>51</v>
      </c>
      <c r="C21771" s="1">
        <f>HYPERLINK("https://cao.dolgi.msk.ru/account/1011500312/", 1011500312)</f>
        <v>1011500312</v>
      </c>
      <c r="D21771">
        <v>92457.03</v>
      </c>
    </row>
    <row r="21772" spans="1:4" hidden="1" x14ac:dyDescent="0.3">
      <c r="A21772" t="s">
        <v>1147</v>
      </c>
      <c r="B21772" t="s">
        <v>6</v>
      </c>
      <c r="C21772" s="1">
        <f>HYPERLINK("https://cao.dolgi.msk.ru/account/1011359435/", 1011359435)</f>
        <v>1011359435</v>
      </c>
      <c r="D21772">
        <v>-8186.85</v>
      </c>
    </row>
    <row r="21773" spans="1:4" hidden="1" x14ac:dyDescent="0.3">
      <c r="A21773" t="s">
        <v>1147</v>
      </c>
      <c r="B21773" t="s">
        <v>28</v>
      </c>
      <c r="C21773" s="1">
        <f>HYPERLINK("https://cao.dolgi.msk.ru/account/1011359574/", 1011359574)</f>
        <v>1011359574</v>
      </c>
      <c r="D21773">
        <v>-3131.92</v>
      </c>
    </row>
    <row r="21774" spans="1:4" hidden="1" x14ac:dyDescent="0.3">
      <c r="A21774" t="s">
        <v>1147</v>
      </c>
      <c r="B21774" t="s">
        <v>35</v>
      </c>
      <c r="C21774" s="1">
        <f>HYPERLINK("https://cao.dolgi.msk.ru/account/1011359443/", 1011359443)</f>
        <v>1011359443</v>
      </c>
      <c r="D21774">
        <v>-104.21</v>
      </c>
    </row>
    <row r="21775" spans="1:4" hidden="1" x14ac:dyDescent="0.3">
      <c r="A21775" t="s">
        <v>1147</v>
      </c>
      <c r="B21775" t="s">
        <v>5</v>
      </c>
      <c r="C21775" s="1">
        <f>HYPERLINK("https://cao.dolgi.msk.ru/account/1011359363/", 1011359363)</f>
        <v>1011359363</v>
      </c>
      <c r="D21775">
        <v>0</v>
      </c>
    </row>
    <row r="21776" spans="1:4" hidden="1" x14ac:dyDescent="0.3">
      <c r="A21776" t="s">
        <v>1147</v>
      </c>
      <c r="B21776" t="s">
        <v>7</v>
      </c>
      <c r="C21776" s="1">
        <f>HYPERLINK("https://cao.dolgi.msk.ru/account/1011359451/", 1011359451)</f>
        <v>1011359451</v>
      </c>
      <c r="D21776">
        <v>0</v>
      </c>
    </row>
    <row r="21777" spans="1:4" hidden="1" x14ac:dyDescent="0.3">
      <c r="A21777" t="s">
        <v>1147</v>
      </c>
      <c r="B21777" t="s">
        <v>8</v>
      </c>
      <c r="C21777" s="1">
        <f>HYPERLINK("https://cao.dolgi.msk.ru/account/1011359371/", 1011359371)</f>
        <v>1011359371</v>
      </c>
      <c r="D21777">
        <v>-5396.5</v>
      </c>
    </row>
    <row r="21778" spans="1:4" hidden="1" x14ac:dyDescent="0.3">
      <c r="A21778" t="s">
        <v>1147</v>
      </c>
      <c r="B21778" t="s">
        <v>31</v>
      </c>
      <c r="C21778" s="1">
        <f>HYPERLINK("https://cao.dolgi.msk.ru/account/1011359419/", 1011359419)</f>
        <v>1011359419</v>
      </c>
      <c r="D21778">
        <v>0</v>
      </c>
    </row>
    <row r="21779" spans="1:4" hidden="1" x14ac:dyDescent="0.3">
      <c r="A21779" t="s">
        <v>1147</v>
      </c>
      <c r="B21779" t="s">
        <v>9</v>
      </c>
      <c r="C21779" s="1">
        <f>HYPERLINK("https://cao.dolgi.msk.ru/account/1011359398/", 1011359398)</f>
        <v>1011359398</v>
      </c>
      <c r="D21779">
        <v>0</v>
      </c>
    </row>
    <row r="21780" spans="1:4" hidden="1" x14ac:dyDescent="0.3">
      <c r="A21780" t="s">
        <v>1147</v>
      </c>
      <c r="B21780" t="s">
        <v>10</v>
      </c>
      <c r="C21780" s="1">
        <f>HYPERLINK("https://cao.dolgi.msk.ru/account/1011359494/", 1011359494)</f>
        <v>1011359494</v>
      </c>
      <c r="D21780">
        <v>-8501.35</v>
      </c>
    </row>
    <row r="21781" spans="1:4" hidden="1" x14ac:dyDescent="0.3">
      <c r="A21781" t="s">
        <v>1147</v>
      </c>
      <c r="B21781" t="s">
        <v>11</v>
      </c>
      <c r="C21781" s="1">
        <f>HYPERLINK("https://cao.dolgi.msk.ru/account/1011359478/", 1011359478)</f>
        <v>1011359478</v>
      </c>
      <c r="D21781">
        <v>-4490.1499999999996</v>
      </c>
    </row>
    <row r="21782" spans="1:4" hidden="1" x14ac:dyDescent="0.3">
      <c r="A21782" t="s">
        <v>1147</v>
      </c>
      <c r="B21782" t="s">
        <v>12</v>
      </c>
      <c r="C21782" s="1">
        <f>HYPERLINK("https://cao.dolgi.msk.ru/account/1011359531/", 1011359531)</f>
        <v>1011359531</v>
      </c>
      <c r="D21782">
        <v>0</v>
      </c>
    </row>
    <row r="21783" spans="1:4" hidden="1" x14ac:dyDescent="0.3">
      <c r="A21783" t="s">
        <v>1147</v>
      </c>
      <c r="B21783" t="s">
        <v>23</v>
      </c>
      <c r="C21783" s="1">
        <f>HYPERLINK("https://cao.dolgi.msk.ru/account/1011359427/", 1011359427)</f>
        <v>1011359427</v>
      </c>
      <c r="D21783">
        <v>0</v>
      </c>
    </row>
    <row r="21784" spans="1:4" hidden="1" x14ac:dyDescent="0.3">
      <c r="A21784" t="s">
        <v>1147</v>
      </c>
      <c r="B21784" t="s">
        <v>13</v>
      </c>
      <c r="C21784" s="1">
        <f>HYPERLINK("https://cao.dolgi.msk.ru/account/1011359582/", 1011359582)</f>
        <v>1011359582</v>
      </c>
      <c r="D21784">
        <v>0</v>
      </c>
    </row>
    <row r="21785" spans="1:4" x14ac:dyDescent="0.3">
      <c r="A21785" t="s">
        <v>1147</v>
      </c>
      <c r="B21785" t="s">
        <v>14</v>
      </c>
      <c r="C21785" s="1">
        <f>HYPERLINK("https://cao.dolgi.msk.ru/account/1011359558/", 1011359558)</f>
        <v>1011359558</v>
      </c>
      <c r="D21785">
        <v>3576.62</v>
      </c>
    </row>
    <row r="21786" spans="1:4" x14ac:dyDescent="0.3">
      <c r="A21786" t="s">
        <v>1147</v>
      </c>
      <c r="B21786" t="s">
        <v>16</v>
      </c>
      <c r="C21786" s="1">
        <f>HYPERLINK("https://cao.dolgi.msk.ru/account/1011359507/", 1011359507)</f>
        <v>1011359507</v>
      </c>
      <c r="D21786">
        <v>25826.29</v>
      </c>
    </row>
    <row r="21787" spans="1:4" x14ac:dyDescent="0.3">
      <c r="A21787" t="s">
        <v>1147</v>
      </c>
      <c r="B21787" t="s">
        <v>17</v>
      </c>
      <c r="C21787" s="1">
        <f>HYPERLINK("https://cao.dolgi.msk.ru/account/1011359566/", 1011359566)</f>
        <v>1011359566</v>
      </c>
      <c r="D21787">
        <v>5910.77</v>
      </c>
    </row>
    <row r="21788" spans="1:4" hidden="1" x14ac:dyDescent="0.3">
      <c r="A21788" t="s">
        <v>1147</v>
      </c>
      <c r="B21788" t="s">
        <v>18</v>
      </c>
      <c r="C21788" s="1">
        <f>HYPERLINK("https://cao.dolgi.msk.ru/account/1011359486/", 1011359486)</f>
        <v>1011359486</v>
      </c>
      <c r="D21788">
        <v>0</v>
      </c>
    </row>
    <row r="21789" spans="1:4" x14ac:dyDescent="0.3">
      <c r="A21789" t="s">
        <v>1147</v>
      </c>
      <c r="B21789" t="s">
        <v>19</v>
      </c>
      <c r="C21789" s="1">
        <f>HYPERLINK("https://cao.dolgi.msk.ru/account/1011359515/", 1011359515)</f>
        <v>1011359515</v>
      </c>
      <c r="D21789">
        <v>2587.21</v>
      </c>
    </row>
    <row r="21790" spans="1:4" hidden="1" x14ac:dyDescent="0.3">
      <c r="A21790" t="s">
        <v>1147</v>
      </c>
      <c r="B21790" t="s">
        <v>20</v>
      </c>
      <c r="C21790" s="1">
        <f>HYPERLINK("https://cao.dolgi.msk.ru/account/1011359523/", 1011359523)</f>
        <v>1011359523</v>
      </c>
      <c r="D21790">
        <v>-76.58</v>
      </c>
    </row>
    <row r="21791" spans="1:4" hidden="1" x14ac:dyDescent="0.3">
      <c r="A21791" t="s">
        <v>1147</v>
      </c>
      <c r="B21791" t="s">
        <v>21</v>
      </c>
      <c r="C21791" s="1">
        <f>HYPERLINK("https://cao.dolgi.msk.ru/account/1011359603/", 1011359603)</f>
        <v>1011359603</v>
      </c>
      <c r="D21791">
        <v>-2182.88</v>
      </c>
    </row>
    <row r="21792" spans="1:4" hidden="1" x14ac:dyDescent="0.3">
      <c r="A21792" t="s">
        <v>1148</v>
      </c>
      <c r="B21792" t="s">
        <v>28</v>
      </c>
      <c r="C21792" s="1">
        <f>HYPERLINK("https://cao.dolgi.msk.ru/account/1011483508/", 1011483508)</f>
        <v>1011483508</v>
      </c>
      <c r="D21792">
        <v>0</v>
      </c>
    </row>
    <row r="21793" spans="1:4" hidden="1" x14ac:dyDescent="0.3">
      <c r="A21793" t="s">
        <v>1148</v>
      </c>
      <c r="B21793" t="s">
        <v>35</v>
      </c>
      <c r="C21793" s="1">
        <f>HYPERLINK("https://cao.dolgi.msk.ru/account/1011483647/", 1011483647)</f>
        <v>1011483647</v>
      </c>
      <c r="D21793">
        <v>-56021.69</v>
      </c>
    </row>
    <row r="21794" spans="1:4" hidden="1" x14ac:dyDescent="0.3">
      <c r="A21794" t="s">
        <v>1148</v>
      </c>
      <c r="B21794" t="s">
        <v>5</v>
      </c>
      <c r="C21794" s="1">
        <f>HYPERLINK("https://cao.dolgi.msk.ru/account/1011483655/", 1011483655)</f>
        <v>1011483655</v>
      </c>
      <c r="D21794">
        <v>-10603.64</v>
      </c>
    </row>
    <row r="21795" spans="1:4" x14ac:dyDescent="0.3">
      <c r="A21795" t="s">
        <v>1148</v>
      </c>
      <c r="B21795" t="s">
        <v>7</v>
      </c>
      <c r="C21795" s="1">
        <f>HYPERLINK("https://cao.dolgi.msk.ru/account/1011483698/", 1011483698)</f>
        <v>1011483698</v>
      </c>
      <c r="D21795">
        <v>9060.8799999999992</v>
      </c>
    </row>
    <row r="21796" spans="1:4" hidden="1" x14ac:dyDescent="0.3">
      <c r="A21796" t="s">
        <v>1148</v>
      </c>
      <c r="B21796" t="s">
        <v>8</v>
      </c>
      <c r="C21796" s="1">
        <f>HYPERLINK("https://cao.dolgi.msk.ru/account/1011483532/", 1011483532)</f>
        <v>1011483532</v>
      </c>
      <c r="D21796">
        <v>0</v>
      </c>
    </row>
    <row r="21797" spans="1:4" hidden="1" x14ac:dyDescent="0.3">
      <c r="A21797" t="s">
        <v>1148</v>
      </c>
      <c r="B21797" t="s">
        <v>31</v>
      </c>
      <c r="C21797" s="1">
        <f>HYPERLINK("https://cao.dolgi.msk.ru/account/1011483591/", 1011483591)</f>
        <v>1011483591</v>
      </c>
      <c r="D21797">
        <v>0</v>
      </c>
    </row>
    <row r="21798" spans="1:4" hidden="1" x14ac:dyDescent="0.3">
      <c r="A21798" t="s">
        <v>1148</v>
      </c>
      <c r="B21798" t="s">
        <v>9</v>
      </c>
      <c r="C21798" s="1">
        <f>HYPERLINK("https://cao.dolgi.msk.ru/account/1011483444/", 1011483444)</f>
        <v>1011483444</v>
      </c>
      <c r="D21798">
        <v>0</v>
      </c>
    </row>
    <row r="21799" spans="1:4" hidden="1" x14ac:dyDescent="0.3">
      <c r="A21799" t="s">
        <v>1148</v>
      </c>
      <c r="B21799" t="s">
        <v>10</v>
      </c>
      <c r="C21799" s="1">
        <f>HYPERLINK("https://cao.dolgi.msk.ru/account/1011483479/", 1011483479)</f>
        <v>1011483479</v>
      </c>
      <c r="D21799">
        <v>0</v>
      </c>
    </row>
    <row r="21800" spans="1:4" hidden="1" x14ac:dyDescent="0.3">
      <c r="A21800" t="s">
        <v>1148</v>
      </c>
      <c r="B21800" t="s">
        <v>11</v>
      </c>
      <c r="C21800" s="1">
        <f>HYPERLINK("https://cao.dolgi.msk.ru/account/1011483604/", 1011483604)</f>
        <v>1011483604</v>
      </c>
      <c r="D21800">
        <v>0</v>
      </c>
    </row>
    <row r="21801" spans="1:4" x14ac:dyDescent="0.3">
      <c r="A21801" t="s">
        <v>1148</v>
      </c>
      <c r="B21801" t="s">
        <v>12</v>
      </c>
      <c r="C21801" s="1">
        <f>HYPERLINK("https://cao.dolgi.msk.ru/account/1011483495/", 1011483495)</f>
        <v>1011483495</v>
      </c>
      <c r="D21801">
        <v>18874.330000000002</v>
      </c>
    </row>
    <row r="21802" spans="1:4" hidden="1" x14ac:dyDescent="0.3">
      <c r="A21802" t="s">
        <v>1148</v>
      </c>
      <c r="B21802" t="s">
        <v>23</v>
      </c>
      <c r="C21802" s="1">
        <f>HYPERLINK("https://cao.dolgi.msk.ru/account/1011483663/", 1011483663)</f>
        <v>1011483663</v>
      </c>
      <c r="D21802">
        <v>0</v>
      </c>
    </row>
    <row r="21803" spans="1:4" hidden="1" x14ac:dyDescent="0.3">
      <c r="A21803" t="s">
        <v>1148</v>
      </c>
      <c r="B21803" t="s">
        <v>13</v>
      </c>
      <c r="C21803" s="1">
        <f>HYPERLINK("https://cao.dolgi.msk.ru/account/1011483612/", 1011483612)</f>
        <v>1011483612</v>
      </c>
      <c r="D21803">
        <v>0</v>
      </c>
    </row>
    <row r="21804" spans="1:4" hidden="1" x14ac:dyDescent="0.3">
      <c r="A21804" t="s">
        <v>1148</v>
      </c>
      <c r="B21804" t="s">
        <v>14</v>
      </c>
      <c r="C21804" s="1">
        <f>HYPERLINK("https://cao.dolgi.msk.ru/account/1011483559/", 1011483559)</f>
        <v>1011483559</v>
      </c>
      <c r="D21804">
        <v>0</v>
      </c>
    </row>
    <row r="21805" spans="1:4" hidden="1" x14ac:dyDescent="0.3">
      <c r="A21805" t="s">
        <v>1148</v>
      </c>
      <c r="B21805" t="s">
        <v>16</v>
      </c>
      <c r="C21805" s="1">
        <f>HYPERLINK("https://cao.dolgi.msk.ru/account/1011483452/", 1011483452)</f>
        <v>1011483452</v>
      </c>
      <c r="D21805">
        <v>-18310.98</v>
      </c>
    </row>
    <row r="21806" spans="1:4" hidden="1" x14ac:dyDescent="0.3">
      <c r="A21806" t="s">
        <v>1148</v>
      </c>
      <c r="B21806" t="s">
        <v>17</v>
      </c>
      <c r="C21806" s="1">
        <f>HYPERLINK("https://cao.dolgi.msk.ru/account/1011483567/", 1011483567)</f>
        <v>1011483567</v>
      </c>
      <c r="D21806">
        <v>0</v>
      </c>
    </row>
    <row r="21807" spans="1:4" hidden="1" x14ac:dyDescent="0.3">
      <c r="A21807" t="s">
        <v>1148</v>
      </c>
      <c r="B21807" t="s">
        <v>1149</v>
      </c>
      <c r="C21807" s="1">
        <f>HYPERLINK("https://cao.dolgi.msk.ru/account/1011483639/", 1011483639)</f>
        <v>1011483639</v>
      </c>
      <c r="D21807">
        <v>0</v>
      </c>
    </row>
    <row r="21808" spans="1:4" hidden="1" x14ac:dyDescent="0.3">
      <c r="A21808" t="s">
        <v>1148</v>
      </c>
      <c r="B21808" t="s">
        <v>19</v>
      </c>
      <c r="C21808" s="1">
        <f>HYPERLINK("https://cao.dolgi.msk.ru/account/1011483583/", 1011483583)</f>
        <v>1011483583</v>
      </c>
      <c r="D21808">
        <v>0</v>
      </c>
    </row>
    <row r="21809" spans="1:4" x14ac:dyDescent="0.3">
      <c r="A21809" t="s">
        <v>1148</v>
      </c>
      <c r="B21809" t="s">
        <v>20</v>
      </c>
      <c r="C21809" s="1">
        <f>HYPERLINK("https://cao.dolgi.msk.ru/account/1011483516/", 1011483516)</f>
        <v>1011483516</v>
      </c>
      <c r="D21809">
        <v>13782.64</v>
      </c>
    </row>
    <row r="21810" spans="1:4" x14ac:dyDescent="0.3">
      <c r="A21810" t="s">
        <v>1148</v>
      </c>
      <c r="B21810" t="s">
        <v>21</v>
      </c>
      <c r="C21810" s="1">
        <f>HYPERLINK("https://cao.dolgi.msk.ru/account/1011483487/", 1011483487)</f>
        <v>1011483487</v>
      </c>
      <c r="D21810">
        <v>16967.79</v>
      </c>
    </row>
    <row r="21811" spans="1:4" hidden="1" x14ac:dyDescent="0.3">
      <c r="A21811" t="s">
        <v>1148</v>
      </c>
      <c r="B21811" t="s">
        <v>24</v>
      </c>
      <c r="C21811" s="1">
        <f>HYPERLINK("https://cao.dolgi.msk.ru/account/1011483524/", 1011483524)</f>
        <v>1011483524</v>
      </c>
      <c r="D21811">
        <v>0</v>
      </c>
    </row>
    <row r="21812" spans="1:4" x14ac:dyDescent="0.3">
      <c r="A21812" t="s">
        <v>1148</v>
      </c>
      <c r="B21812" t="s">
        <v>25</v>
      </c>
      <c r="C21812" s="1">
        <f>HYPERLINK("https://cao.dolgi.msk.ru/account/1011483671/", 1011483671)</f>
        <v>1011483671</v>
      </c>
      <c r="D21812">
        <v>97156.7</v>
      </c>
    </row>
    <row r="21813" spans="1:4" hidden="1" x14ac:dyDescent="0.3">
      <c r="A21813" t="s">
        <v>1150</v>
      </c>
      <c r="B21813" t="s">
        <v>5</v>
      </c>
      <c r="C21813" s="1">
        <f>HYPERLINK("https://cao.dolgi.msk.ru/account/1011469511/", 1011469511)</f>
        <v>1011469511</v>
      </c>
      <c r="D21813">
        <v>0</v>
      </c>
    </row>
    <row r="21814" spans="1:4" hidden="1" x14ac:dyDescent="0.3">
      <c r="A21814" t="s">
        <v>1150</v>
      </c>
      <c r="B21814" t="s">
        <v>8</v>
      </c>
      <c r="C21814" s="1">
        <f>HYPERLINK("https://cao.dolgi.msk.ru/account/1011469482/", 1011469482)</f>
        <v>1011469482</v>
      </c>
      <c r="D21814">
        <v>0</v>
      </c>
    </row>
    <row r="21815" spans="1:4" x14ac:dyDescent="0.3">
      <c r="A21815" t="s">
        <v>1150</v>
      </c>
      <c r="B21815" t="s">
        <v>31</v>
      </c>
      <c r="C21815" s="1">
        <f>HYPERLINK("https://cao.dolgi.msk.ru/account/1011469554/", 1011469554)</f>
        <v>1011469554</v>
      </c>
      <c r="D21815">
        <v>13244.32</v>
      </c>
    </row>
    <row r="21816" spans="1:4" hidden="1" x14ac:dyDescent="0.3">
      <c r="A21816" t="s">
        <v>1150</v>
      </c>
      <c r="B21816" t="s">
        <v>9</v>
      </c>
      <c r="C21816" s="1">
        <f>HYPERLINK("https://cao.dolgi.msk.ru/account/1011469538/", 1011469538)</f>
        <v>1011469538</v>
      </c>
      <c r="D21816">
        <v>-2.1800000000000002</v>
      </c>
    </row>
    <row r="21817" spans="1:4" hidden="1" x14ac:dyDescent="0.3">
      <c r="A21817" t="s">
        <v>1150</v>
      </c>
      <c r="B21817" t="s">
        <v>10</v>
      </c>
      <c r="C21817" s="1">
        <f>HYPERLINK("https://cao.dolgi.msk.ru/account/1011469474/", 1011469474)</f>
        <v>1011469474</v>
      </c>
      <c r="D21817">
        <v>0</v>
      </c>
    </row>
    <row r="21818" spans="1:4" x14ac:dyDescent="0.3">
      <c r="A21818" t="s">
        <v>1150</v>
      </c>
      <c r="B21818" t="s">
        <v>11</v>
      </c>
      <c r="C21818" s="1">
        <f>HYPERLINK("https://cao.dolgi.msk.ru/account/1011469466/", 1011469466)</f>
        <v>1011469466</v>
      </c>
      <c r="D21818">
        <v>13438.1</v>
      </c>
    </row>
    <row r="21819" spans="1:4" x14ac:dyDescent="0.3">
      <c r="A21819" t="s">
        <v>1150</v>
      </c>
      <c r="B21819" t="s">
        <v>12</v>
      </c>
      <c r="C21819" s="1">
        <f>HYPERLINK("https://cao.dolgi.msk.ru/account/1011469431/", 1011469431)</f>
        <v>1011469431</v>
      </c>
      <c r="D21819">
        <v>3311.08</v>
      </c>
    </row>
    <row r="21820" spans="1:4" x14ac:dyDescent="0.3">
      <c r="A21820" t="s">
        <v>1150</v>
      </c>
      <c r="B21820" t="s">
        <v>12</v>
      </c>
      <c r="C21820" s="1">
        <f>HYPERLINK("https://cao.dolgi.msk.ru/account/1011469458/", 1011469458)</f>
        <v>1011469458</v>
      </c>
      <c r="D21820">
        <v>9469.51</v>
      </c>
    </row>
    <row r="21821" spans="1:4" x14ac:dyDescent="0.3">
      <c r="A21821" t="s">
        <v>1150</v>
      </c>
      <c r="B21821" t="s">
        <v>12</v>
      </c>
      <c r="C21821" s="1">
        <f>HYPERLINK("https://cao.dolgi.msk.ru/account/1011469503/", 1011469503)</f>
        <v>1011469503</v>
      </c>
      <c r="D21821">
        <v>113991.82</v>
      </c>
    </row>
    <row r="21822" spans="1:4" hidden="1" x14ac:dyDescent="0.3">
      <c r="A21822" t="s">
        <v>1150</v>
      </c>
      <c r="B21822" t="s">
        <v>12</v>
      </c>
      <c r="C21822" s="1">
        <f>HYPERLINK("https://cao.dolgi.msk.ru/account/1011469546/", 1011469546)</f>
        <v>1011469546</v>
      </c>
      <c r="D21822">
        <v>0</v>
      </c>
    </row>
    <row r="21823" spans="1:4" hidden="1" x14ac:dyDescent="0.3">
      <c r="A21823" t="s">
        <v>1151</v>
      </c>
      <c r="B21823" t="s">
        <v>6</v>
      </c>
      <c r="C21823" s="1">
        <f>HYPERLINK("https://cao.dolgi.msk.ru/account/1011457297/", 1011457297)</f>
        <v>1011457297</v>
      </c>
      <c r="D21823">
        <v>-10953.26</v>
      </c>
    </row>
    <row r="21824" spans="1:4" hidden="1" x14ac:dyDescent="0.3">
      <c r="A21824" t="s">
        <v>1151</v>
      </c>
      <c r="B21824" t="s">
        <v>35</v>
      </c>
      <c r="C21824" s="1">
        <f>HYPERLINK("https://cao.dolgi.msk.ru/account/1011457238/", 1011457238)</f>
        <v>1011457238</v>
      </c>
      <c r="D21824">
        <v>0</v>
      </c>
    </row>
    <row r="21825" spans="1:4" hidden="1" x14ac:dyDescent="0.3">
      <c r="A21825" t="s">
        <v>1151</v>
      </c>
      <c r="B21825" t="s">
        <v>5</v>
      </c>
      <c r="C21825" s="1">
        <f>HYPERLINK("https://cao.dolgi.msk.ru/account/1011457326/", 1011457326)</f>
        <v>1011457326</v>
      </c>
      <c r="D21825">
        <v>-16937.68</v>
      </c>
    </row>
    <row r="21826" spans="1:4" hidden="1" x14ac:dyDescent="0.3">
      <c r="A21826" t="s">
        <v>1151</v>
      </c>
      <c r="B21826" t="s">
        <v>7</v>
      </c>
      <c r="C21826" s="1">
        <f>HYPERLINK("https://cao.dolgi.msk.ru/account/1011457406/", 1011457406)</f>
        <v>1011457406</v>
      </c>
      <c r="D21826">
        <v>0</v>
      </c>
    </row>
    <row r="21827" spans="1:4" hidden="1" x14ac:dyDescent="0.3">
      <c r="A21827" t="s">
        <v>1151</v>
      </c>
      <c r="B21827" t="s">
        <v>8</v>
      </c>
      <c r="C21827" s="1">
        <f>HYPERLINK("https://cao.dolgi.msk.ru/account/1011457158/", 1011457158)</f>
        <v>1011457158</v>
      </c>
      <c r="D21827">
        <v>-97836.37</v>
      </c>
    </row>
    <row r="21828" spans="1:4" hidden="1" x14ac:dyDescent="0.3">
      <c r="A21828" t="s">
        <v>1151</v>
      </c>
      <c r="B21828" t="s">
        <v>31</v>
      </c>
      <c r="C21828" s="1">
        <f>HYPERLINK("https://cao.dolgi.msk.ru/account/1011457254/", 1011457254)</f>
        <v>1011457254</v>
      </c>
      <c r="D21828">
        <v>0</v>
      </c>
    </row>
    <row r="21829" spans="1:4" hidden="1" x14ac:dyDescent="0.3">
      <c r="A21829" t="s">
        <v>1151</v>
      </c>
      <c r="B21829" t="s">
        <v>9</v>
      </c>
      <c r="C21829" s="1">
        <f>HYPERLINK("https://cao.dolgi.msk.ru/account/1011457166/", 1011457166)</f>
        <v>1011457166</v>
      </c>
      <c r="D21829">
        <v>-14398.54</v>
      </c>
    </row>
    <row r="21830" spans="1:4" hidden="1" x14ac:dyDescent="0.3">
      <c r="A21830" t="s">
        <v>1151</v>
      </c>
      <c r="B21830" t="s">
        <v>11</v>
      </c>
      <c r="C21830" s="1">
        <f>HYPERLINK("https://cao.dolgi.msk.ru/account/1011457123/", 1011457123)</f>
        <v>1011457123</v>
      </c>
      <c r="D21830">
        <v>0</v>
      </c>
    </row>
    <row r="21831" spans="1:4" hidden="1" x14ac:dyDescent="0.3">
      <c r="A21831" t="s">
        <v>1151</v>
      </c>
      <c r="B21831" t="s">
        <v>12</v>
      </c>
      <c r="C21831" s="1">
        <f>HYPERLINK("https://cao.dolgi.msk.ru/account/1011457211/", 1011457211)</f>
        <v>1011457211</v>
      </c>
      <c r="D21831">
        <v>0</v>
      </c>
    </row>
    <row r="21832" spans="1:4" x14ac:dyDescent="0.3">
      <c r="A21832" t="s">
        <v>1151</v>
      </c>
      <c r="B21832" t="s">
        <v>12</v>
      </c>
      <c r="C21832" s="1">
        <f>HYPERLINK("https://cao.dolgi.msk.ru/account/1011457246/", 1011457246)</f>
        <v>1011457246</v>
      </c>
      <c r="D21832">
        <v>26879.15</v>
      </c>
    </row>
    <row r="21833" spans="1:4" hidden="1" x14ac:dyDescent="0.3">
      <c r="A21833" t="s">
        <v>1151</v>
      </c>
      <c r="B21833" t="s">
        <v>12</v>
      </c>
      <c r="C21833" s="1">
        <f>HYPERLINK("https://cao.dolgi.msk.ru/account/1011457262/", 1011457262)</f>
        <v>1011457262</v>
      </c>
      <c r="D21833">
        <v>-3860.58</v>
      </c>
    </row>
    <row r="21834" spans="1:4" x14ac:dyDescent="0.3">
      <c r="A21834" t="s">
        <v>1151</v>
      </c>
      <c r="B21834" t="s">
        <v>12</v>
      </c>
      <c r="C21834" s="1">
        <f>HYPERLINK("https://cao.dolgi.msk.ru/account/1011457369/", 1011457369)</f>
        <v>1011457369</v>
      </c>
      <c r="D21834">
        <v>11102.07</v>
      </c>
    </row>
    <row r="21835" spans="1:4" x14ac:dyDescent="0.3">
      <c r="A21835" t="s">
        <v>1151</v>
      </c>
      <c r="B21835" t="s">
        <v>12</v>
      </c>
      <c r="C21835" s="1">
        <f>HYPERLINK("https://cao.dolgi.msk.ru/account/1011457393/", 1011457393)</f>
        <v>1011457393</v>
      </c>
      <c r="D21835">
        <v>10652.42</v>
      </c>
    </row>
    <row r="21836" spans="1:4" hidden="1" x14ac:dyDescent="0.3">
      <c r="A21836" t="s">
        <v>1151</v>
      </c>
      <c r="B21836" t="s">
        <v>23</v>
      </c>
      <c r="C21836" s="1">
        <f>HYPERLINK("https://cao.dolgi.msk.ru/account/1011457385/", 1011457385)</f>
        <v>1011457385</v>
      </c>
      <c r="D21836">
        <v>0</v>
      </c>
    </row>
    <row r="21837" spans="1:4" hidden="1" x14ac:dyDescent="0.3">
      <c r="A21837" t="s">
        <v>1151</v>
      </c>
      <c r="B21837" t="s">
        <v>13</v>
      </c>
      <c r="C21837" s="1">
        <f>HYPERLINK("https://cao.dolgi.msk.ru/account/1011504612/", 1011504612)</f>
        <v>1011504612</v>
      </c>
      <c r="D21837">
        <v>0</v>
      </c>
    </row>
    <row r="21838" spans="1:4" hidden="1" x14ac:dyDescent="0.3">
      <c r="A21838" t="s">
        <v>1151</v>
      </c>
      <c r="B21838" t="s">
        <v>14</v>
      </c>
      <c r="C21838" s="1">
        <f>HYPERLINK("https://cao.dolgi.msk.ru/account/1011457334/", 1011457334)</f>
        <v>1011457334</v>
      </c>
      <c r="D21838">
        <v>-230</v>
      </c>
    </row>
    <row r="21839" spans="1:4" x14ac:dyDescent="0.3">
      <c r="A21839" t="s">
        <v>1151</v>
      </c>
      <c r="B21839" t="s">
        <v>16</v>
      </c>
      <c r="C21839" s="1">
        <f>HYPERLINK("https://cao.dolgi.msk.ru/account/1011457174/", 1011457174)</f>
        <v>1011457174</v>
      </c>
      <c r="D21839">
        <v>13556.71</v>
      </c>
    </row>
    <row r="21840" spans="1:4" hidden="1" x14ac:dyDescent="0.3">
      <c r="A21840" t="s">
        <v>1151</v>
      </c>
      <c r="B21840" t="s">
        <v>17</v>
      </c>
      <c r="C21840" s="1">
        <f>HYPERLINK("https://cao.dolgi.msk.ru/account/1011457342/", 1011457342)</f>
        <v>1011457342</v>
      </c>
      <c r="D21840">
        <v>0</v>
      </c>
    </row>
    <row r="21841" spans="1:4" x14ac:dyDescent="0.3">
      <c r="A21841" t="s">
        <v>1152</v>
      </c>
      <c r="B21841" t="s">
        <v>20</v>
      </c>
      <c r="C21841" s="1">
        <f>HYPERLINK("https://cao.dolgi.msk.ru/account/1011490484/", 1011490484)</f>
        <v>1011490484</v>
      </c>
      <c r="D21841">
        <v>13833.17</v>
      </c>
    </row>
    <row r="21842" spans="1:4" hidden="1" x14ac:dyDescent="0.3">
      <c r="A21842" t="s">
        <v>1152</v>
      </c>
      <c r="B21842" t="s">
        <v>21</v>
      </c>
      <c r="C21842" s="1">
        <f>HYPERLINK("https://cao.dolgi.msk.ru/account/1011490425/", 1011490425)</f>
        <v>1011490425</v>
      </c>
      <c r="D21842">
        <v>0</v>
      </c>
    </row>
    <row r="21843" spans="1:4" x14ac:dyDescent="0.3">
      <c r="A21843" t="s">
        <v>1152</v>
      </c>
      <c r="B21843" t="s">
        <v>22</v>
      </c>
      <c r="C21843" s="1">
        <f>HYPERLINK("https://cao.dolgi.msk.ru/account/1011490396/", 1011490396)</f>
        <v>1011490396</v>
      </c>
      <c r="D21843">
        <v>45135.9</v>
      </c>
    </row>
    <row r="21844" spans="1:4" hidden="1" x14ac:dyDescent="0.3">
      <c r="A21844" t="s">
        <v>1152</v>
      </c>
      <c r="B21844" t="s">
        <v>24</v>
      </c>
      <c r="C21844" s="1">
        <f>HYPERLINK("https://cao.dolgi.msk.ru/account/1011490409/", 1011490409)</f>
        <v>1011490409</v>
      </c>
      <c r="D21844">
        <v>0</v>
      </c>
    </row>
    <row r="21845" spans="1:4" hidden="1" x14ac:dyDescent="0.3">
      <c r="A21845" t="s">
        <v>1152</v>
      </c>
      <c r="B21845" t="s">
        <v>24</v>
      </c>
      <c r="C21845" s="1">
        <f>HYPERLINK("https://cao.dolgi.msk.ru/account/1011490468/", 1011490468)</f>
        <v>1011490468</v>
      </c>
      <c r="D21845">
        <v>-4536.99</v>
      </c>
    </row>
    <row r="21846" spans="1:4" x14ac:dyDescent="0.3">
      <c r="A21846" t="s">
        <v>1152</v>
      </c>
      <c r="B21846" t="s">
        <v>24</v>
      </c>
      <c r="C21846" s="1">
        <f>HYPERLINK("https://cao.dolgi.msk.ru/account/1011490492/", 1011490492)</f>
        <v>1011490492</v>
      </c>
      <c r="D21846">
        <v>3515.42</v>
      </c>
    </row>
    <row r="21847" spans="1:4" hidden="1" x14ac:dyDescent="0.3">
      <c r="A21847" t="s">
        <v>1152</v>
      </c>
      <c r="B21847" t="s">
        <v>25</v>
      </c>
      <c r="C21847" s="1">
        <f>HYPERLINK("https://cao.dolgi.msk.ru/account/1011490417/", 1011490417)</f>
        <v>1011490417</v>
      </c>
      <c r="D21847">
        <v>-1746.2</v>
      </c>
    </row>
    <row r="21848" spans="1:4" hidden="1" x14ac:dyDescent="0.3">
      <c r="A21848" t="s">
        <v>1152</v>
      </c>
      <c r="B21848" t="s">
        <v>25</v>
      </c>
      <c r="C21848" s="1">
        <f>HYPERLINK("https://cao.dolgi.msk.ru/account/1011490441/", 1011490441)</f>
        <v>1011490441</v>
      </c>
      <c r="D21848">
        <v>-2706.04</v>
      </c>
    </row>
    <row r="21849" spans="1:4" hidden="1" x14ac:dyDescent="0.3">
      <c r="A21849" t="s">
        <v>1152</v>
      </c>
      <c r="B21849" t="s">
        <v>25</v>
      </c>
      <c r="C21849" s="1">
        <f>HYPERLINK("https://cao.dolgi.msk.ru/account/1011490505/", 1011490505)</f>
        <v>1011490505</v>
      </c>
      <c r="D21849">
        <v>0</v>
      </c>
    </row>
    <row r="21850" spans="1:4" hidden="1" x14ac:dyDescent="0.3">
      <c r="A21850" t="s">
        <v>1152</v>
      </c>
      <c r="B21850" t="s">
        <v>26</v>
      </c>
      <c r="C21850" s="1">
        <f>HYPERLINK("https://cao.dolgi.msk.ru/account/1011490476/", 1011490476)</f>
        <v>1011490476</v>
      </c>
      <c r="D21850">
        <v>0</v>
      </c>
    </row>
    <row r="21851" spans="1:4" hidden="1" x14ac:dyDescent="0.3">
      <c r="A21851" t="s">
        <v>1152</v>
      </c>
      <c r="B21851" t="s">
        <v>26</v>
      </c>
      <c r="C21851" s="1">
        <f>HYPERLINK("https://cao.dolgi.msk.ru/account/1011539874/", 1011539874)</f>
        <v>1011539874</v>
      </c>
      <c r="D21851">
        <v>0</v>
      </c>
    </row>
    <row r="21852" spans="1:4" hidden="1" x14ac:dyDescent="0.3">
      <c r="A21852" t="s">
        <v>1153</v>
      </c>
      <c r="B21852" t="s">
        <v>29</v>
      </c>
      <c r="C21852" s="1">
        <f>HYPERLINK("https://cao.dolgi.msk.ru/account/1011431193/", 1011431193)</f>
        <v>1011431193</v>
      </c>
      <c r="D21852">
        <v>0</v>
      </c>
    </row>
    <row r="21853" spans="1:4" hidden="1" x14ac:dyDescent="0.3">
      <c r="A21853" t="s">
        <v>1153</v>
      </c>
      <c r="B21853" t="s">
        <v>38</v>
      </c>
      <c r="C21853" s="1">
        <f>HYPERLINK("https://cao.dolgi.msk.ru/account/1011431185/", 1011431185)</f>
        <v>1011431185</v>
      </c>
      <c r="D21853">
        <v>0</v>
      </c>
    </row>
    <row r="21854" spans="1:4" hidden="1" x14ac:dyDescent="0.3">
      <c r="A21854" t="s">
        <v>1153</v>
      </c>
      <c r="B21854" t="s">
        <v>39</v>
      </c>
      <c r="C21854" s="1">
        <f>HYPERLINK("https://cao.dolgi.msk.ru/account/1011431142/", 1011431142)</f>
        <v>1011431142</v>
      </c>
      <c r="D21854">
        <v>-8274.8700000000008</v>
      </c>
    </row>
    <row r="21855" spans="1:4" hidden="1" x14ac:dyDescent="0.3">
      <c r="A21855" t="s">
        <v>1153</v>
      </c>
      <c r="B21855" t="s">
        <v>51</v>
      </c>
      <c r="C21855" s="1">
        <f>HYPERLINK("https://cao.dolgi.msk.ru/account/1011431214/", 1011431214)</f>
        <v>1011431214</v>
      </c>
      <c r="D21855">
        <v>0</v>
      </c>
    </row>
    <row r="21856" spans="1:4" x14ac:dyDescent="0.3">
      <c r="A21856" t="s">
        <v>1153</v>
      </c>
      <c r="B21856" t="s">
        <v>52</v>
      </c>
      <c r="C21856" s="1">
        <f>HYPERLINK("https://cao.dolgi.msk.ru/account/1011431249/", 1011431249)</f>
        <v>1011431249</v>
      </c>
      <c r="D21856">
        <v>19858.84</v>
      </c>
    </row>
    <row r="21857" spans="1:4" hidden="1" x14ac:dyDescent="0.3">
      <c r="A21857" t="s">
        <v>1153</v>
      </c>
      <c r="B21857" t="s">
        <v>53</v>
      </c>
      <c r="C21857" s="1">
        <f>HYPERLINK("https://cao.dolgi.msk.ru/account/1011431134/", 1011431134)</f>
        <v>1011431134</v>
      </c>
      <c r="D21857">
        <v>-11266.71</v>
      </c>
    </row>
    <row r="21858" spans="1:4" hidden="1" x14ac:dyDescent="0.3">
      <c r="A21858" t="s">
        <v>1153</v>
      </c>
      <c r="B21858" t="s">
        <v>54</v>
      </c>
      <c r="C21858" s="1">
        <f>HYPERLINK("https://cao.dolgi.msk.ru/account/1011431222/", 1011431222)</f>
        <v>1011431222</v>
      </c>
      <c r="D21858">
        <v>-3165.7</v>
      </c>
    </row>
    <row r="21859" spans="1:4" hidden="1" x14ac:dyDescent="0.3">
      <c r="A21859" t="s">
        <v>1153</v>
      </c>
      <c r="B21859" t="s">
        <v>54</v>
      </c>
      <c r="C21859" s="1">
        <f>HYPERLINK("https://cao.dolgi.msk.ru/account/1011431257/", 1011431257)</f>
        <v>1011431257</v>
      </c>
      <c r="D21859">
        <v>-2905.7</v>
      </c>
    </row>
    <row r="21860" spans="1:4" hidden="1" x14ac:dyDescent="0.3">
      <c r="A21860" t="s">
        <v>1153</v>
      </c>
      <c r="B21860" t="s">
        <v>54</v>
      </c>
      <c r="C21860" s="1">
        <f>HYPERLINK("https://cao.dolgi.msk.ru/account/1011486354/", 1011486354)</f>
        <v>1011486354</v>
      </c>
      <c r="D21860">
        <v>-2905.7</v>
      </c>
    </row>
    <row r="21861" spans="1:4" hidden="1" x14ac:dyDescent="0.3">
      <c r="A21861" t="s">
        <v>1153</v>
      </c>
      <c r="B21861" t="s">
        <v>55</v>
      </c>
      <c r="C21861" s="1">
        <f>HYPERLINK("https://cao.dolgi.msk.ru/account/1011431169/", 1011431169)</f>
        <v>1011431169</v>
      </c>
      <c r="D21861">
        <v>-3127.42</v>
      </c>
    </row>
    <row r="21862" spans="1:4" hidden="1" x14ac:dyDescent="0.3">
      <c r="A21862" t="s">
        <v>1153</v>
      </c>
      <c r="B21862" t="s">
        <v>55</v>
      </c>
      <c r="C21862" s="1">
        <f>HYPERLINK("https://cao.dolgi.msk.ru/account/1011431177/", 1011431177)</f>
        <v>1011431177</v>
      </c>
      <c r="D21862">
        <v>-4044.76</v>
      </c>
    </row>
    <row r="21863" spans="1:4" hidden="1" x14ac:dyDescent="0.3">
      <c r="A21863" t="s">
        <v>1153</v>
      </c>
      <c r="B21863" t="s">
        <v>56</v>
      </c>
      <c r="C21863" s="1">
        <f>HYPERLINK("https://cao.dolgi.msk.ru/account/1011431206/", 1011431206)</f>
        <v>1011431206</v>
      </c>
      <c r="D21863">
        <v>0</v>
      </c>
    </row>
    <row r="21864" spans="1:4" hidden="1" x14ac:dyDescent="0.3">
      <c r="A21864" t="s">
        <v>1154</v>
      </c>
      <c r="B21864" t="s">
        <v>89</v>
      </c>
      <c r="C21864" s="1">
        <f>HYPERLINK("https://cao.dolgi.msk.ru/account/1011431361/", 1011431361)</f>
        <v>1011431361</v>
      </c>
      <c r="D21864">
        <v>0</v>
      </c>
    </row>
    <row r="21865" spans="1:4" hidden="1" x14ac:dyDescent="0.3">
      <c r="A21865" t="s">
        <v>1154</v>
      </c>
      <c r="B21865" t="s">
        <v>90</v>
      </c>
      <c r="C21865" s="1">
        <f>HYPERLINK("https://cao.dolgi.msk.ru/account/1011431353/", 1011431353)</f>
        <v>1011431353</v>
      </c>
      <c r="D21865">
        <v>0</v>
      </c>
    </row>
    <row r="21866" spans="1:4" hidden="1" x14ac:dyDescent="0.3">
      <c r="A21866" t="s">
        <v>1154</v>
      </c>
      <c r="B21866" t="s">
        <v>96</v>
      </c>
      <c r="C21866" s="1">
        <f>HYPERLINK("https://cao.dolgi.msk.ru/account/1011431329/", 1011431329)</f>
        <v>1011431329</v>
      </c>
      <c r="D21866">
        <v>-10079.76</v>
      </c>
    </row>
    <row r="21867" spans="1:4" hidden="1" x14ac:dyDescent="0.3">
      <c r="A21867" t="s">
        <v>1154</v>
      </c>
      <c r="B21867" t="s">
        <v>97</v>
      </c>
      <c r="C21867" s="1">
        <f>HYPERLINK("https://cao.dolgi.msk.ru/account/1011431273/", 1011431273)</f>
        <v>1011431273</v>
      </c>
      <c r="D21867">
        <v>-26091.57</v>
      </c>
    </row>
    <row r="21868" spans="1:4" hidden="1" x14ac:dyDescent="0.3">
      <c r="A21868" t="s">
        <v>1154</v>
      </c>
      <c r="B21868" t="s">
        <v>58</v>
      </c>
      <c r="C21868" s="1">
        <f>HYPERLINK("https://cao.dolgi.msk.ru/account/1011431281/", 1011431281)</f>
        <v>1011431281</v>
      </c>
      <c r="D21868">
        <v>0</v>
      </c>
    </row>
    <row r="21869" spans="1:4" hidden="1" x14ac:dyDescent="0.3">
      <c r="A21869" t="s">
        <v>1154</v>
      </c>
      <c r="B21869" t="s">
        <v>59</v>
      </c>
      <c r="C21869" s="1">
        <f>HYPERLINK("https://cao.dolgi.msk.ru/account/1011431337/", 1011431337)</f>
        <v>1011431337</v>
      </c>
      <c r="D21869">
        <v>-16650.79</v>
      </c>
    </row>
    <row r="21870" spans="1:4" hidden="1" x14ac:dyDescent="0.3">
      <c r="A21870" t="s">
        <v>1154</v>
      </c>
      <c r="B21870" t="s">
        <v>60</v>
      </c>
      <c r="C21870" s="1">
        <f>HYPERLINK("https://cao.dolgi.msk.ru/account/1011431302/", 1011431302)</f>
        <v>1011431302</v>
      </c>
      <c r="D21870">
        <v>0</v>
      </c>
    </row>
    <row r="21871" spans="1:4" hidden="1" x14ac:dyDescent="0.3">
      <c r="A21871" t="s">
        <v>1154</v>
      </c>
      <c r="B21871" t="s">
        <v>61</v>
      </c>
      <c r="C21871" s="1">
        <f>HYPERLINK("https://cao.dolgi.msk.ru/account/1011431345/", 1011431345)</f>
        <v>1011431345</v>
      </c>
      <c r="D21871">
        <v>-7127.2</v>
      </c>
    </row>
    <row r="21872" spans="1:4" hidden="1" x14ac:dyDescent="0.3">
      <c r="A21872" t="s">
        <v>1154</v>
      </c>
      <c r="B21872" t="s">
        <v>64</v>
      </c>
      <c r="C21872" s="1">
        <f>HYPERLINK("https://cao.dolgi.msk.ru/account/1011431388/", 1011431388)</f>
        <v>1011431388</v>
      </c>
      <c r="D21872">
        <v>-7136.1</v>
      </c>
    </row>
    <row r="21873" spans="1:4" hidden="1" x14ac:dyDescent="0.3">
      <c r="A21873" t="s">
        <v>1154</v>
      </c>
      <c r="B21873" t="s">
        <v>65</v>
      </c>
      <c r="C21873" s="1">
        <f>HYPERLINK("https://cao.dolgi.msk.ru/account/1011431409/", 1011431409)</f>
        <v>1011431409</v>
      </c>
      <c r="D21873">
        <v>-12023.89</v>
      </c>
    </row>
    <row r="21874" spans="1:4" hidden="1" x14ac:dyDescent="0.3">
      <c r="A21874" t="s">
        <v>1154</v>
      </c>
      <c r="B21874" t="s">
        <v>66</v>
      </c>
      <c r="C21874" s="1">
        <f>HYPERLINK("https://cao.dolgi.msk.ru/account/1011431396/", 1011431396)</f>
        <v>1011431396</v>
      </c>
      <c r="D21874">
        <v>0</v>
      </c>
    </row>
    <row r="21875" spans="1:4" x14ac:dyDescent="0.3">
      <c r="A21875" t="s">
        <v>1154</v>
      </c>
      <c r="B21875" t="s">
        <v>67</v>
      </c>
      <c r="C21875" s="1">
        <f>HYPERLINK("https://cao.dolgi.msk.ru/account/1011431265/", 1011431265)</f>
        <v>1011431265</v>
      </c>
      <c r="D21875">
        <v>18687.2</v>
      </c>
    </row>
    <row r="21876" spans="1:4" hidden="1" x14ac:dyDescent="0.3">
      <c r="A21876" t="s">
        <v>1155</v>
      </c>
      <c r="B21876" t="s">
        <v>35</v>
      </c>
      <c r="C21876" s="1">
        <f>HYPERLINK("https://cao.dolgi.msk.ru/account/1011490724/", 1011490724)</f>
        <v>1011490724</v>
      </c>
      <c r="D21876">
        <v>0</v>
      </c>
    </row>
    <row r="21877" spans="1:4" hidden="1" x14ac:dyDescent="0.3">
      <c r="A21877" t="s">
        <v>1155</v>
      </c>
      <c r="B21877" t="s">
        <v>7</v>
      </c>
      <c r="C21877" s="1">
        <f>HYPERLINK("https://cao.dolgi.msk.ru/account/1011490599/", 1011490599)</f>
        <v>1011490599</v>
      </c>
      <c r="D21877">
        <v>0</v>
      </c>
    </row>
    <row r="21878" spans="1:4" x14ac:dyDescent="0.3">
      <c r="A21878" t="s">
        <v>1155</v>
      </c>
      <c r="B21878" t="s">
        <v>8</v>
      </c>
      <c r="C21878" s="1">
        <f>HYPERLINK("https://cao.dolgi.msk.ru/account/1011490601/", 1011490601)</f>
        <v>1011490601</v>
      </c>
      <c r="D21878">
        <v>2657.59</v>
      </c>
    </row>
    <row r="21879" spans="1:4" hidden="1" x14ac:dyDescent="0.3">
      <c r="A21879" t="s">
        <v>1155</v>
      </c>
      <c r="B21879" t="s">
        <v>31</v>
      </c>
      <c r="C21879" s="1">
        <f>HYPERLINK("https://cao.dolgi.msk.ru/account/1011490732/", 1011490732)</f>
        <v>1011490732</v>
      </c>
      <c r="D21879">
        <v>0</v>
      </c>
    </row>
    <row r="21880" spans="1:4" hidden="1" x14ac:dyDescent="0.3">
      <c r="A21880" t="s">
        <v>1155</v>
      </c>
      <c r="B21880" t="s">
        <v>9</v>
      </c>
      <c r="C21880" s="1">
        <f>HYPERLINK("https://cao.dolgi.msk.ru/account/1011490513/", 1011490513)</f>
        <v>1011490513</v>
      </c>
      <c r="D21880">
        <v>-90712.06</v>
      </c>
    </row>
    <row r="21881" spans="1:4" hidden="1" x14ac:dyDescent="0.3">
      <c r="A21881" t="s">
        <v>1155</v>
      </c>
      <c r="B21881" t="s">
        <v>10</v>
      </c>
      <c r="C21881" s="1">
        <f>HYPERLINK("https://cao.dolgi.msk.ru/account/1011490767/", 1011490767)</f>
        <v>1011490767</v>
      </c>
      <c r="D21881">
        <v>0</v>
      </c>
    </row>
    <row r="21882" spans="1:4" hidden="1" x14ac:dyDescent="0.3">
      <c r="A21882" t="s">
        <v>1155</v>
      </c>
      <c r="B21882" t="s">
        <v>11</v>
      </c>
      <c r="C21882" s="1">
        <f>HYPERLINK("https://cao.dolgi.msk.ru/account/1011490636/", 1011490636)</f>
        <v>1011490636</v>
      </c>
      <c r="D21882">
        <v>0</v>
      </c>
    </row>
    <row r="21883" spans="1:4" hidden="1" x14ac:dyDescent="0.3">
      <c r="A21883" t="s">
        <v>1155</v>
      </c>
      <c r="B21883" t="s">
        <v>12</v>
      </c>
      <c r="C21883" s="1">
        <f>HYPERLINK("https://cao.dolgi.msk.ru/account/1011490708/", 1011490708)</f>
        <v>1011490708</v>
      </c>
      <c r="D21883">
        <v>-10197.280000000001</v>
      </c>
    </row>
    <row r="21884" spans="1:4" x14ac:dyDescent="0.3">
      <c r="A21884" t="s">
        <v>1155</v>
      </c>
      <c r="B21884" t="s">
        <v>23</v>
      </c>
      <c r="C21884" s="1">
        <f>HYPERLINK("https://cao.dolgi.msk.ru/account/1011490759/", 1011490759)</f>
        <v>1011490759</v>
      </c>
      <c r="D21884">
        <v>10309.040000000001</v>
      </c>
    </row>
    <row r="21885" spans="1:4" x14ac:dyDescent="0.3">
      <c r="A21885" t="s">
        <v>1155</v>
      </c>
      <c r="B21885" t="s">
        <v>13</v>
      </c>
      <c r="C21885" s="1">
        <f>HYPERLINK("https://cao.dolgi.msk.ru/account/1011490644/", 1011490644)</f>
        <v>1011490644</v>
      </c>
      <c r="D21885">
        <v>9095.2800000000007</v>
      </c>
    </row>
    <row r="21886" spans="1:4" hidden="1" x14ac:dyDescent="0.3">
      <c r="A21886" t="s">
        <v>1155</v>
      </c>
      <c r="B21886" t="s">
        <v>14</v>
      </c>
      <c r="C21886" s="1">
        <f>HYPERLINK("https://cao.dolgi.msk.ru/account/1011490521/", 1011490521)</f>
        <v>1011490521</v>
      </c>
      <c r="D21886">
        <v>-420.81</v>
      </c>
    </row>
    <row r="21887" spans="1:4" hidden="1" x14ac:dyDescent="0.3">
      <c r="A21887" t="s">
        <v>1155</v>
      </c>
      <c r="B21887" t="s">
        <v>16</v>
      </c>
      <c r="C21887" s="1">
        <f>HYPERLINK("https://cao.dolgi.msk.ru/account/1011490572/", 1011490572)</f>
        <v>1011490572</v>
      </c>
      <c r="D21887">
        <v>0</v>
      </c>
    </row>
    <row r="21888" spans="1:4" x14ac:dyDescent="0.3">
      <c r="A21888" t="s">
        <v>1155</v>
      </c>
      <c r="B21888" t="s">
        <v>17</v>
      </c>
      <c r="C21888" s="1">
        <f>HYPERLINK("https://cao.dolgi.msk.ru/account/1011490775/", 1011490775)</f>
        <v>1011490775</v>
      </c>
      <c r="D21888">
        <v>11177.37</v>
      </c>
    </row>
    <row r="21889" spans="1:4" hidden="1" x14ac:dyDescent="0.3">
      <c r="A21889" t="s">
        <v>1155</v>
      </c>
      <c r="B21889" t="s">
        <v>18</v>
      </c>
      <c r="C21889" s="1">
        <f>HYPERLINK("https://cao.dolgi.msk.ru/account/1011490548/", 1011490548)</f>
        <v>1011490548</v>
      </c>
      <c r="D21889">
        <v>0</v>
      </c>
    </row>
    <row r="21890" spans="1:4" hidden="1" x14ac:dyDescent="0.3">
      <c r="A21890" t="s">
        <v>1155</v>
      </c>
      <c r="B21890" t="s">
        <v>19</v>
      </c>
      <c r="C21890" s="1">
        <f>HYPERLINK("https://cao.dolgi.msk.ru/account/1011490556/", 1011490556)</f>
        <v>1011490556</v>
      </c>
      <c r="D21890">
        <v>0</v>
      </c>
    </row>
    <row r="21891" spans="1:4" hidden="1" x14ac:dyDescent="0.3">
      <c r="A21891" t="s">
        <v>1155</v>
      </c>
      <c r="B21891" t="s">
        <v>20</v>
      </c>
      <c r="C21891" s="1">
        <f>HYPERLINK("https://cao.dolgi.msk.ru/account/1011490652/", 1011490652)</f>
        <v>1011490652</v>
      </c>
      <c r="D21891">
        <v>0</v>
      </c>
    </row>
    <row r="21892" spans="1:4" hidden="1" x14ac:dyDescent="0.3">
      <c r="A21892" t="s">
        <v>1155</v>
      </c>
      <c r="B21892" t="s">
        <v>21</v>
      </c>
      <c r="C21892" s="1">
        <f>HYPERLINK("https://cao.dolgi.msk.ru/account/1011490679/", 1011490679)</f>
        <v>1011490679</v>
      </c>
      <c r="D21892">
        <v>-9428.36</v>
      </c>
    </row>
    <row r="21893" spans="1:4" hidden="1" x14ac:dyDescent="0.3">
      <c r="A21893" t="s">
        <v>1155</v>
      </c>
      <c r="B21893" t="s">
        <v>22</v>
      </c>
      <c r="C21893" s="1">
        <f>HYPERLINK("https://cao.dolgi.msk.ru/account/1011490687/", 1011490687)</f>
        <v>1011490687</v>
      </c>
      <c r="D21893">
        <v>-9887.35</v>
      </c>
    </row>
    <row r="21894" spans="1:4" hidden="1" x14ac:dyDescent="0.3">
      <c r="A21894" t="s">
        <v>1155</v>
      </c>
      <c r="B21894" t="s">
        <v>24</v>
      </c>
      <c r="C21894" s="1">
        <f>HYPERLINK("https://cao.dolgi.msk.ru/account/1011490716/", 1011490716)</f>
        <v>1011490716</v>
      </c>
      <c r="D21894">
        <v>-7820.25</v>
      </c>
    </row>
    <row r="21895" spans="1:4" hidden="1" x14ac:dyDescent="0.3">
      <c r="A21895" t="s">
        <v>1155</v>
      </c>
      <c r="B21895" t="s">
        <v>25</v>
      </c>
      <c r="C21895" s="1">
        <f>HYPERLINK("https://cao.dolgi.msk.ru/account/1011490628/", 1011490628)</f>
        <v>1011490628</v>
      </c>
      <c r="D21895">
        <v>-7918.12</v>
      </c>
    </row>
    <row r="21896" spans="1:4" x14ac:dyDescent="0.3">
      <c r="A21896" t="s">
        <v>1155</v>
      </c>
      <c r="B21896" t="s">
        <v>26</v>
      </c>
      <c r="C21896" s="1">
        <f>HYPERLINK("https://cao.dolgi.msk.ru/account/1011490695/", 1011490695)</f>
        <v>1011490695</v>
      </c>
      <c r="D21896">
        <v>21770.5</v>
      </c>
    </row>
    <row r="21897" spans="1:4" hidden="1" x14ac:dyDescent="0.3">
      <c r="A21897" t="s">
        <v>1155</v>
      </c>
      <c r="B21897" t="s">
        <v>27</v>
      </c>
      <c r="C21897" s="1">
        <f>HYPERLINK("https://cao.dolgi.msk.ru/account/1011490564/", 1011490564)</f>
        <v>1011490564</v>
      </c>
      <c r="D21897">
        <v>0</v>
      </c>
    </row>
    <row r="21898" spans="1:4" hidden="1" x14ac:dyDescent="0.3">
      <c r="A21898" t="s">
        <v>1156</v>
      </c>
      <c r="B21898" t="s">
        <v>6</v>
      </c>
      <c r="C21898" s="1">
        <f>HYPERLINK("https://cao.dolgi.msk.ru/account/1011431759/", 1011431759)</f>
        <v>1011431759</v>
      </c>
      <c r="D21898">
        <v>0</v>
      </c>
    </row>
    <row r="21899" spans="1:4" hidden="1" x14ac:dyDescent="0.3">
      <c r="A21899" t="s">
        <v>1156</v>
      </c>
      <c r="B21899" t="s">
        <v>28</v>
      </c>
      <c r="C21899" s="1">
        <f>HYPERLINK("https://cao.dolgi.msk.ru/account/1011431783/", 1011431783)</f>
        <v>1011431783</v>
      </c>
      <c r="D21899">
        <v>0</v>
      </c>
    </row>
    <row r="21900" spans="1:4" hidden="1" x14ac:dyDescent="0.3">
      <c r="A21900" t="s">
        <v>1156</v>
      </c>
      <c r="B21900" t="s">
        <v>35</v>
      </c>
      <c r="C21900" s="1">
        <f>HYPERLINK("https://cao.dolgi.msk.ru/account/1011431679/", 1011431679)</f>
        <v>1011431679</v>
      </c>
      <c r="D21900">
        <v>0</v>
      </c>
    </row>
    <row r="21901" spans="1:4" hidden="1" x14ac:dyDescent="0.3">
      <c r="A21901" t="s">
        <v>1156</v>
      </c>
      <c r="B21901" t="s">
        <v>5</v>
      </c>
      <c r="C21901" s="1">
        <f>HYPERLINK("https://cao.dolgi.msk.ru/account/1011431484/", 1011431484)</f>
        <v>1011431484</v>
      </c>
      <c r="D21901">
        <v>0</v>
      </c>
    </row>
    <row r="21902" spans="1:4" hidden="1" x14ac:dyDescent="0.3">
      <c r="A21902" t="s">
        <v>1156</v>
      </c>
      <c r="B21902" t="s">
        <v>7</v>
      </c>
      <c r="C21902" s="1">
        <f>HYPERLINK("https://cao.dolgi.msk.ru/account/1011431513/", 1011431513)</f>
        <v>1011431513</v>
      </c>
      <c r="D21902">
        <v>0</v>
      </c>
    </row>
    <row r="21903" spans="1:4" hidden="1" x14ac:dyDescent="0.3">
      <c r="A21903" t="s">
        <v>1156</v>
      </c>
      <c r="B21903" t="s">
        <v>8</v>
      </c>
      <c r="C21903" s="1">
        <f>HYPERLINK("https://cao.dolgi.msk.ru/account/1011431732/", 1011431732)</f>
        <v>1011431732</v>
      </c>
      <c r="D21903">
        <v>-9519.65</v>
      </c>
    </row>
    <row r="21904" spans="1:4" hidden="1" x14ac:dyDescent="0.3">
      <c r="A21904" t="s">
        <v>1156</v>
      </c>
      <c r="B21904" t="s">
        <v>31</v>
      </c>
      <c r="C21904" s="1">
        <f>HYPERLINK("https://cao.dolgi.msk.ru/account/1011431441/", 1011431441)</f>
        <v>1011431441</v>
      </c>
      <c r="D21904">
        <v>0</v>
      </c>
    </row>
    <row r="21905" spans="1:4" hidden="1" x14ac:dyDescent="0.3">
      <c r="A21905" t="s">
        <v>1156</v>
      </c>
      <c r="B21905" t="s">
        <v>9</v>
      </c>
      <c r="C21905" s="1">
        <f>HYPERLINK("https://cao.dolgi.msk.ru/account/1011431476/", 1011431476)</f>
        <v>1011431476</v>
      </c>
      <c r="D21905">
        <v>0</v>
      </c>
    </row>
    <row r="21906" spans="1:4" hidden="1" x14ac:dyDescent="0.3">
      <c r="A21906" t="s">
        <v>1156</v>
      </c>
      <c r="B21906" t="s">
        <v>10</v>
      </c>
      <c r="C21906" s="1">
        <f>HYPERLINK("https://cao.dolgi.msk.ru/account/1011431687/", 1011431687)</f>
        <v>1011431687</v>
      </c>
      <c r="D21906">
        <v>0</v>
      </c>
    </row>
    <row r="21907" spans="1:4" hidden="1" x14ac:dyDescent="0.3">
      <c r="A21907" t="s">
        <v>1156</v>
      </c>
      <c r="B21907" t="s">
        <v>11</v>
      </c>
      <c r="C21907" s="1">
        <f>HYPERLINK("https://cao.dolgi.msk.ru/account/1011431601/", 1011431601)</f>
        <v>1011431601</v>
      </c>
      <c r="D21907">
        <v>0</v>
      </c>
    </row>
    <row r="21908" spans="1:4" hidden="1" x14ac:dyDescent="0.3">
      <c r="A21908" t="s">
        <v>1156</v>
      </c>
      <c r="B21908" t="s">
        <v>12</v>
      </c>
      <c r="C21908" s="1">
        <f>HYPERLINK("https://cao.dolgi.msk.ru/account/1011431556/", 1011431556)</f>
        <v>1011431556</v>
      </c>
      <c r="D21908">
        <v>-67.53</v>
      </c>
    </row>
    <row r="21909" spans="1:4" hidden="1" x14ac:dyDescent="0.3">
      <c r="A21909" t="s">
        <v>1156</v>
      </c>
      <c r="B21909" t="s">
        <v>23</v>
      </c>
      <c r="C21909" s="1">
        <f>HYPERLINK("https://cao.dolgi.msk.ru/account/1011431468/", 1011431468)</f>
        <v>1011431468</v>
      </c>
      <c r="D21909">
        <v>-3822.66</v>
      </c>
    </row>
    <row r="21910" spans="1:4" x14ac:dyDescent="0.3">
      <c r="A21910" t="s">
        <v>1156</v>
      </c>
      <c r="B21910" t="s">
        <v>13</v>
      </c>
      <c r="C21910" s="1">
        <f>HYPERLINK("https://cao.dolgi.msk.ru/account/1011431708/", 1011431708)</f>
        <v>1011431708</v>
      </c>
      <c r="D21910">
        <v>61807.64</v>
      </c>
    </row>
    <row r="21911" spans="1:4" hidden="1" x14ac:dyDescent="0.3">
      <c r="A21911" t="s">
        <v>1156</v>
      </c>
      <c r="B21911" t="s">
        <v>14</v>
      </c>
      <c r="C21911" s="1">
        <f>HYPERLINK("https://cao.dolgi.msk.ru/account/1011431791/", 1011431791)</f>
        <v>1011431791</v>
      </c>
      <c r="D21911">
        <v>-3806.9</v>
      </c>
    </row>
    <row r="21912" spans="1:4" x14ac:dyDescent="0.3">
      <c r="A21912" t="s">
        <v>1156</v>
      </c>
      <c r="B21912" t="s">
        <v>16</v>
      </c>
      <c r="C21912" s="1">
        <f>HYPERLINK("https://cao.dolgi.msk.ru/account/1011431425/", 1011431425)</f>
        <v>1011431425</v>
      </c>
      <c r="D21912">
        <v>28559.08</v>
      </c>
    </row>
    <row r="21913" spans="1:4" hidden="1" x14ac:dyDescent="0.3">
      <c r="A21913" t="s">
        <v>1156</v>
      </c>
      <c r="B21913" t="s">
        <v>17</v>
      </c>
      <c r="C21913" s="1">
        <f>HYPERLINK("https://cao.dolgi.msk.ru/account/1011431652/", 1011431652)</f>
        <v>1011431652</v>
      </c>
      <c r="D21913">
        <v>0</v>
      </c>
    </row>
    <row r="21914" spans="1:4" hidden="1" x14ac:dyDescent="0.3">
      <c r="A21914" t="s">
        <v>1156</v>
      </c>
      <c r="B21914" t="s">
        <v>18</v>
      </c>
      <c r="C21914" s="1">
        <f>HYPERLINK("https://cao.dolgi.msk.ru/account/1011431636/", 1011431636)</f>
        <v>1011431636</v>
      </c>
      <c r="D21914">
        <v>0</v>
      </c>
    </row>
    <row r="21915" spans="1:4" x14ac:dyDescent="0.3">
      <c r="A21915" t="s">
        <v>1156</v>
      </c>
      <c r="B21915" t="s">
        <v>19</v>
      </c>
      <c r="C21915" s="1">
        <f>HYPERLINK("https://cao.dolgi.msk.ru/account/1011431644/", 1011431644)</f>
        <v>1011431644</v>
      </c>
      <c r="D21915">
        <v>5377.46</v>
      </c>
    </row>
    <row r="21916" spans="1:4" x14ac:dyDescent="0.3">
      <c r="A21916" t="s">
        <v>1156</v>
      </c>
      <c r="B21916" t="s">
        <v>20</v>
      </c>
      <c r="C21916" s="1">
        <f>HYPERLINK("https://cao.dolgi.msk.ru/account/1011431599/", 1011431599)</f>
        <v>1011431599</v>
      </c>
      <c r="D21916">
        <v>40041.54</v>
      </c>
    </row>
    <row r="21917" spans="1:4" hidden="1" x14ac:dyDescent="0.3">
      <c r="A21917" t="s">
        <v>1156</v>
      </c>
      <c r="B21917" t="s">
        <v>21</v>
      </c>
      <c r="C21917" s="1">
        <f>HYPERLINK("https://cao.dolgi.msk.ru/account/1011431564/", 1011431564)</f>
        <v>1011431564</v>
      </c>
      <c r="D21917">
        <v>0</v>
      </c>
    </row>
    <row r="21918" spans="1:4" hidden="1" x14ac:dyDescent="0.3">
      <c r="A21918" t="s">
        <v>1156</v>
      </c>
      <c r="B21918" t="s">
        <v>22</v>
      </c>
      <c r="C21918" s="1">
        <f>HYPERLINK("https://cao.dolgi.msk.ru/account/1011431417/", 1011431417)</f>
        <v>1011431417</v>
      </c>
      <c r="D21918">
        <v>0</v>
      </c>
    </row>
    <row r="21919" spans="1:4" hidden="1" x14ac:dyDescent="0.3">
      <c r="A21919" t="s">
        <v>1156</v>
      </c>
      <c r="B21919" t="s">
        <v>24</v>
      </c>
      <c r="C21919" s="1">
        <f>HYPERLINK("https://cao.dolgi.msk.ru/account/1011431548/", 1011431548)</f>
        <v>1011431548</v>
      </c>
      <c r="D21919">
        <v>-14956.69</v>
      </c>
    </row>
    <row r="21920" spans="1:4" hidden="1" x14ac:dyDescent="0.3">
      <c r="A21920" t="s">
        <v>1156</v>
      </c>
      <c r="B21920" t="s">
        <v>25</v>
      </c>
      <c r="C21920" s="1">
        <f>HYPERLINK("https://cao.dolgi.msk.ru/account/1011431695/", 1011431695)</f>
        <v>1011431695</v>
      </c>
      <c r="D21920">
        <v>-4727.24</v>
      </c>
    </row>
    <row r="21921" spans="1:4" hidden="1" x14ac:dyDescent="0.3">
      <c r="A21921" t="s">
        <v>1156</v>
      </c>
      <c r="B21921" t="s">
        <v>26</v>
      </c>
      <c r="C21921" s="1">
        <f>HYPERLINK("https://cao.dolgi.msk.ru/account/1011431775/", 1011431775)</f>
        <v>1011431775</v>
      </c>
      <c r="D21921">
        <v>0</v>
      </c>
    </row>
    <row r="21922" spans="1:4" x14ac:dyDescent="0.3">
      <c r="A21922" t="s">
        <v>1156</v>
      </c>
      <c r="B21922" t="s">
        <v>27</v>
      </c>
      <c r="C21922" s="1">
        <f>HYPERLINK("https://cao.dolgi.msk.ru/account/1011431505/", 1011431505)</f>
        <v>1011431505</v>
      </c>
      <c r="D21922">
        <v>5535.45</v>
      </c>
    </row>
    <row r="21923" spans="1:4" hidden="1" x14ac:dyDescent="0.3">
      <c r="A21923" t="s">
        <v>1156</v>
      </c>
      <c r="B21923" t="s">
        <v>29</v>
      </c>
      <c r="C21923" s="1">
        <f>HYPERLINK("https://cao.dolgi.msk.ru/account/1011431433/", 1011431433)</f>
        <v>1011431433</v>
      </c>
      <c r="D21923">
        <v>0</v>
      </c>
    </row>
    <row r="21924" spans="1:4" hidden="1" x14ac:dyDescent="0.3">
      <c r="A21924" t="s">
        <v>1156</v>
      </c>
      <c r="B21924" t="s">
        <v>29</v>
      </c>
      <c r="C21924" s="1">
        <f>HYPERLINK("https://cao.dolgi.msk.ru/account/1011431716/", 1011431716)</f>
        <v>1011431716</v>
      </c>
      <c r="D21924">
        <v>-2834.13</v>
      </c>
    </row>
    <row r="21925" spans="1:4" hidden="1" x14ac:dyDescent="0.3">
      <c r="A21925" t="s">
        <v>1156</v>
      </c>
      <c r="B21925" t="s">
        <v>38</v>
      </c>
      <c r="C21925" s="1">
        <f>HYPERLINK("https://cao.dolgi.msk.ru/account/1011431572/", 1011431572)</f>
        <v>1011431572</v>
      </c>
      <c r="D21925">
        <v>-285.52999999999997</v>
      </c>
    </row>
    <row r="21926" spans="1:4" hidden="1" x14ac:dyDescent="0.3">
      <c r="A21926" t="s">
        <v>1156</v>
      </c>
      <c r="B21926" t="s">
        <v>39</v>
      </c>
      <c r="C21926" s="1">
        <f>HYPERLINK("https://cao.dolgi.msk.ru/account/1011431804/", 1011431804)</f>
        <v>1011431804</v>
      </c>
      <c r="D21926">
        <v>0</v>
      </c>
    </row>
    <row r="21927" spans="1:4" hidden="1" x14ac:dyDescent="0.3">
      <c r="A21927" t="s">
        <v>1156</v>
      </c>
      <c r="B21927" t="s">
        <v>40</v>
      </c>
      <c r="C21927" s="1">
        <f>HYPERLINK("https://cao.dolgi.msk.ru/account/1011431628/", 1011431628)</f>
        <v>1011431628</v>
      </c>
      <c r="D21927">
        <v>0</v>
      </c>
    </row>
    <row r="21928" spans="1:4" x14ac:dyDescent="0.3">
      <c r="A21928" t="s">
        <v>1156</v>
      </c>
      <c r="B21928" t="s">
        <v>41</v>
      </c>
      <c r="C21928" s="1">
        <f>HYPERLINK("https://cao.dolgi.msk.ru/account/1011431767/", 1011431767)</f>
        <v>1011431767</v>
      </c>
      <c r="D21928">
        <v>5324.43</v>
      </c>
    </row>
    <row r="21929" spans="1:4" hidden="1" x14ac:dyDescent="0.3">
      <c r="A21929" t="s">
        <v>1156</v>
      </c>
      <c r="B21929" t="s">
        <v>51</v>
      </c>
      <c r="C21929" s="1">
        <f>HYPERLINK("https://cao.dolgi.msk.ru/account/1011431492/", 1011431492)</f>
        <v>1011431492</v>
      </c>
      <c r="D21929">
        <v>0</v>
      </c>
    </row>
    <row r="21930" spans="1:4" hidden="1" x14ac:dyDescent="0.3">
      <c r="A21930" t="s">
        <v>1156</v>
      </c>
      <c r="B21930" t="s">
        <v>52</v>
      </c>
      <c r="C21930" s="1">
        <f>HYPERLINK("https://cao.dolgi.msk.ru/account/1011431521/", 1011431521)</f>
        <v>1011431521</v>
      </c>
      <c r="D21930">
        <v>0</v>
      </c>
    </row>
    <row r="21931" spans="1:4" x14ac:dyDescent="0.3">
      <c r="A21931" t="s">
        <v>1157</v>
      </c>
      <c r="B21931" t="s">
        <v>1158</v>
      </c>
      <c r="C21931" s="1">
        <f>HYPERLINK("https://cao.dolgi.msk.ru/account/1011359785/", 1011359785)</f>
        <v>1011359785</v>
      </c>
      <c r="D21931">
        <v>22111.95</v>
      </c>
    </row>
    <row r="21932" spans="1:4" x14ac:dyDescent="0.3">
      <c r="A21932" t="s">
        <v>1157</v>
      </c>
      <c r="B21932" t="s">
        <v>1159</v>
      </c>
      <c r="C21932" s="1">
        <f>HYPERLINK("https://cao.dolgi.msk.ru/account/1011359806/", 1011359806)</f>
        <v>1011359806</v>
      </c>
      <c r="D21932">
        <v>19467.45</v>
      </c>
    </row>
    <row r="21933" spans="1:4" hidden="1" x14ac:dyDescent="0.3">
      <c r="A21933" t="s">
        <v>1157</v>
      </c>
      <c r="B21933" t="s">
        <v>1160</v>
      </c>
      <c r="C21933" s="1">
        <f>HYPERLINK("https://cao.dolgi.msk.ru/account/1011378775/", 1011378775)</f>
        <v>1011378775</v>
      </c>
      <c r="D21933">
        <v>-2763.18</v>
      </c>
    </row>
    <row r="21934" spans="1:4" hidden="1" x14ac:dyDescent="0.3">
      <c r="A21934" t="s">
        <v>1157</v>
      </c>
      <c r="B21934" t="s">
        <v>1161</v>
      </c>
      <c r="C21934" s="1">
        <f>HYPERLINK("https://cao.dolgi.msk.ru/account/1011378791/", 1011378791)</f>
        <v>1011378791</v>
      </c>
      <c r="D21934">
        <v>0</v>
      </c>
    </row>
    <row r="21935" spans="1:4" x14ac:dyDescent="0.3">
      <c r="A21935" t="s">
        <v>1157</v>
      </c>
      <c r="B21935" t="s">
        <v>1162</v>
      </c>
      <c r="C21935" s="1">
        <f>HYPERLINK("https://cao.dolgi.msk.ru/account/1011378804/", 1011378804)</f>
        <v>1011378804</v>
      </c>
      <c r="D21935">
        <v>15983.47</v>
      </c>
    </row>
    <row r="21936" spans="1:4" x14ac:dyDescent="0.3">
      <c r="A21936" t="s">
        <v>1157</v>
      </c>
      <c r="B21936" t="s">
        <v>1163</v>
      </c>
      <c r="C21936" s="1">
        <f>HYPERLINK("https://cao.dolgi.msk.ru/account/1011378812/", 1011378812)</f>
        <v>1011378812</v>
      </c>
      <c r="D21936">
        <v>55656.58</v>
      </c>
    </row>
    <row r="21937" spans="1:4" x14ac:dyDescent="0.3">
      <c r="A21937" t="s">
        <v>1157</v>
      </c>
      <c r="B21937" t="s">
        <v>1164</v>
      </c>
      <c r="C21937" s="1">
        <f>HYPERLINK("https://cao.dolgi.msk.ru/account/1011378839/", 1011378839)</f>
        <v>1011378839</v>
      </c>
      <c r="D21937">
        <v>73691.14</v>
      </c>
    </row>
    <row r="21938" spans="1:4" hidden="1" x14ac:dyDescent="0.3">
      <c r="A21938" t="s">
        <v>1157</v>
      </c>
      <c r="B21938" t="s">
        <v>1165</v>
      </c>
      <c r="C21938" s="1">
        <f>HYPERLINK("https://cao.dolgi.msk.ru/account/1011378847/", 1011378847)</f>
        <v>1011378847</v>
      </c>
      <c r="D21938">
        <v>-2757.38</v>
      </c>
    </row>
    <row r="21939" spans="1:4" hidden="1" x14ac:dyDescent="0.3">
      <c r="A21939" t="s">
        <v>1157</v>
      </c>
      <c r="B21939" t="s">
        <v>1166</v>
      </c>
      <c r="C21939" s="1">
        <f>HYPERLINK("https://cao.dolgi.msk.ru/account/1011378855/", 1011378855)</f>
        <v>1011378855</v>
      </c>
      <c r="D21939">
        <v>0</v>
      </c>
    </row>
    <row r="21940" spans="1:4" hidden="1" x14ac:dyDescent="0.3">
      <c r="A21940" t="s">
        <v>1157</v>
      </c>
      <c r="B21940" t="s">
        <v>1167</v>
      </c>
      <c r="C21940" s="1">
        <f>HYPERLINK("https://cao.dolgi.msk.ru/account/1011378871/", 1011378871)</f>
        <v>1011378871</v>
      </c>
      <c r="D21940">
        <v>-12750</v>
      </c>
    </row>
    <row r="21941" spans="1:4" x14ac:dyDescent="0.3">
      <c r="A21941" t="s">
        <v>1157</v>
      </c>
      <c r="B21941" t="s">
        <v>1168</v>
      </c>
      <c r="C21941" s="1">
        <f>HYPERLINK("https://cao.dolgi.msk.ru/account/1011378898/", 1011378898)</f>
        <v>1011378898</v>
      </c>
      <c r="D21941">
        <v>18936.82</v>
      </c>
    </row>
    <row r="21942" spans="1:4" x14ac:dyDescent="0.3">
      <c r="A21942" t="s">
        <v>1157</v>
      </c>
      <c r="B21942" t="s">
        <v>1169</v>
      </c>
      <c r="C21942" s="1">
        <f>HYPERLINK("https://cao.dolgi.msk.ru/account/1011378919/", 1011378919)</f>
        <v>1011378919</v>
      </c>
      <c r="D21942">
        <v>195270.31</v>
      </c>
    </row>
    <row r="21943" spans="1:4" hidden="1" x14ac:dyDescent="0.3">
      <c r="A21943" t="s">
        <v>1157</v>
      </c>
      <c r="B21943" t="s">
        <v>1170</v>
      </c>
      <c r="C21943" s="1">
        <f>HYPERLINK("https://cao.dolgi.msk.ru/account/1011378951/", 1011378951)</f>
        <v>1011378951</v>
      </c>
      <c r="D21943">
        <v>0</v>
      </c>
    </row>
    <row r="21944" spans="1:4" x14ac:dyDescent="0.3">
      <c r="A21944" t="s">
        <v>1157</v>
      </c>
      <c r="B21944" t="s">
        <v>1171</v>
      </c>
      <c r="C21944" s="1">
        <f>HYPERLINK("https://cao.dolgi.msk.ru/account/1011378978/", 1011378978)</f>
        <v>1011378978</v>
      </c>
      <c r="D21944">
        <v>6180.63</v>
      </c>
    </row>
    <row r="21945" spans="1:4" hidden="1" x14ac:dyDescent="0.3">
      <c r="A21945" t="s">
        <v>1157</v>
      </c>
      <c r="B21945" t="s">
        <v>1172</v>
      </c>
      <c r="C21945" s="1">
        <f>HYPERLINK("https://cao.dolgi.msk.ru/account/1011378986/", 1011378986)</f>
        <v>1011378986</v>
      </c>
      <c r="D21945">
        <v>0</v>
      </c>
    </row>
    <row r="21946" spans="1:4" hidden="1" x14ac:dyDescent="0.3">
      <c r="A21946" t="s">
        <v>1157</v>
      </c>
      <c r="B21946" t="s">
        <v>1173</v>
      </c>
      <c r="C21946" s="1">
        <f>HYPERLINK("https://cao.dolgi.msk.ru/account/1011378994/", 1011378994)</f>
        <v>1011378994</v>
      </c>
      <c r="D21946">
        <v>-5462.25</v>
      </c>
    </row>
    <row r="21947" spans="1:4" x14ac:dyDescent="0.3">
      <c r="A21947" t="s">
        <v>1157</v>
      </c>
      <c r="B21947" t="s">
        <v>1174</v>
      </c>
      <c r="C21947" s="1">
        <f>HYPERLINK("https://cao.dolgi.msk.ru/account/1011379006/", 1011379006)</f>
        <v>1011379006</v>
      </c>
      <c r="D21947">
        <v>31829.13</v>
      </c>
    </row>
    <row r="21948" spans="1:4" x14ac:dyDescent="0.3">
      <c r="A21948" t="s">
        <v>1157</v>
      </c>
      <c r="B21948" t="s">
        <v>1175</v>
      </c>
      <c r="C21948" s="1">
        <f>HYPERLINK("https://cao.dolgi.msk.ru/account/1011379014/", 1011379014)</f>
        <v>1011379014</v>
      </c>
      <c r="D21948">
        <v>2482.94</v>
      </c>
    </row>
    <row r="21949" spans="1:4" x14ac:dyDescent="0.3">
      <c r="A21949" t="s">
        <v>1157</v>
      </c>
      <c r="B21949" t="s">
        <v>1176</v>
      </c>
      <c r="C21949" s="1">
        <f>HYPERLINK("https://cao.dolgi.msk.ru/account/1011379022/", 1011379022)</f>
        <v>1011379022</v>
      </c>
      <c r="D21949">
        <v>34130.019999999997</v>
      </c>
    </row>
    <row r="21950" spans="1:4" x14ac:dyDescent="0.3">
      <c r="A21950" t="s">
        <v>1157</v>
      </c>
      <c r="B21950" t="s">
        <v>1177</v>
      </c>
      <c r="C21950" s="1">
        <f>HYPERLINK("https://cao.dolgi.msk.ru/account/1011379049/", 1011379049)</f>
        <v>1011379049</v>
      </c>
      <c r="D21950">
        <v>2733.62</v>
      </c>
    </row>
    <row r="21951" spans="1:4" x14ac:dyDescent="0.3">
      <c r="A21951" t="s">
        <v>1157</v>
      </c>
      <c r="B21951" t="s">
        <v>1178</v>
      </c>
      <c r="C21951" s="1">
        <f>HYPERLINK("https://cao.dolgi.msk.ru/account/1011379057/", 1011379057)</f>
        <v>1011379057</v>
      </c>
      <c r="D21951">
        <v>20067.66</v>
      </c>
    </row>
    <row r="21952" spans="1:4" hidden="1" x14ac:dyDescent="0.3">
      <c r="A21952" t="s">
        <v>1157</v>
      </c>
      <c r="B21952" t="s">
        <v>1179</v>
      </c>
      <c r="C21952" s="1">
        <f>HYPERLINK("https://cao.dolgi.msk.ru/account/1011379073/", 1011379073)</f>
        <v>1011379073</v>
      </c>
      <c r="D21952">
        <v>0</v>
      </c>
    </row>
    <row r="21953" spans="1:4" hidden="1" x14ac:dyDescent="0.3">
      <c r="A21953" t="s">
        <v>1157</v>
      </c>
      <c r="B21953" t="s">
        <v>1180</v>
      </c>
      <c r="C21953" s="1">
        <f>HYPERLINK("https://cao.dolgi.msk.ru/account/1011379081/", 1011379081)</f>
        <v>1011379081</v>
      </c>
      <c r="D21953">
        <v>0</v>
      </c>
    </row>
    <row r="21954" spans="1:4" x14ac:dyDescent="0.3">
      <c r="A21954" t="s">
        <v>1157</v>
      </c>
      <c r="B21954" t="s">
        <v>1181</v>
      </c>
      <c r="C21954" s="1">
        <f>HYPERLINK("https://cao.dolgi.msk.ru/account/1011379102/", 1011379102)</f>
        <v>1011379102</v>
      </c>
      <c r="D21954">
        <v>782.52</v>
      </c>
    </row>
    <row r="21955" spans="1:4" x14ac:dyDescent="0.3">
      <c r="A21955" t="s">
        <v>1157</v>
      </c>
      <c r="B21955" t="s">
        <v>1182</v>
      </c>
      <c r="C21955" s="1">
        <f>HYPERLINK("https://cao.dolgi.msk.ru/account/1011379145/", 1011379145)</f>
        <v>1011379145</v>
      </c>
      <c r="D21955">
        <v>22098.19</v>
      </c>
    </row>
    <row r="21956" spans="1:4" hidden="1" x14ac:dyDescent="0.3">
      <c r="A21956" t="s">
        <v>1157</v>
      </c>
      <c r="B21956" t="s">
        <v>1183</v>
      </c>
      <c r="C21956" s="1">
        <f>HYPERLINK("https://cao.dolgi.msk.ru/account/1011379161/", 1011379161)</f>
        <v>1011379161</v>
      </c>
      <c r="D21956">
        <v>0</v>
      </c>
    </row>
    <row r="21957" spans="1:4" hidden="1" x14ac:dyDescent="0.3">
      <c r="A21957" t="s">
        <v>1157</v>
      </c>
      <c r="B21957" t="s">
        <v>1184</v>
      </c>
      <c r="C21957" s="1">
        <f>HYPERLINK("https://cao.dolgi.msk.ru/account/1011379209/", 1011379209)</f>
        <v>1011379209</v>
      </c>
      <c r="D21957">
        <v>-2700</v>
      </c>
    </row>
    <row r="21958" spans="1:4" x14ac:dyDescent="0.3">
      <c r="A21958" t="s">
        <v>1157</v>
      </c>
      <c r="B21958" t="s">
        <v>1185</v>
      </c>
      <c r="C21958" s="1">
        <f>HYPERLINK("https://cao.dolgi.msk.ru/account/1011486418/", 1011486418)</f>
        <v>1011486418</v>
      </c>
      <c r="D21958">
        <v>3849.35</v>
      </c>
    </row>
    <row r="21959" spans="1:4" x14ac:dyDescent="0.3">
      <c r="A21959" t="s">
        <v>1157</v>
      </c>
      <c r="B21959" t="s">
        <v>1186</v>
      </c>
      <c r="C21959" s="1">
        <f>HYPERLINK("https://cao.dolgi.msk.ru/account/1011494127/", 1011494127)</f>
        <v>1011494127</v>
      </c>
      <c r="D21959">
        <v>13082.12</v>
      </c>
    </row>
    <row r="21960" spans="1:4" x14ac:dyDescent="0.3">
      <c r="A21960" t="s">
        <v>1157</v>
      </c>
      <c r="B21960" t="s">
        <v>1187</v>
      </c>
      <c r="C21960" s="1">
        <f>HYPERLINK("https://cao.dolgi.msk.ru/account/1011495891/", 1011495891)</f>
        <v>1011495891</v>
      </c>
      <c r="D21960">
        <v>8097.55</v>
      </c>
    </row>
    <row r="21961" spans="1:4" hidden="1" x14ac:dyDescent="0.3">
      <c r="A21961" t="s">
        <v>1157</v>
      </c>
      <c r="B21961" t="s">
        <v>1188</v>
      </c>
      <c r="C21961" s="1">
        <f>HYPERLINK("https://cao.dolgi.msk.ru/account/1011504495/", 1011504495)</f>
        <v>1011504495</v>
      </c>
      <c r="D21961">
        <v>0</v>
      </c>
    </row>
    <row r="21962" spans="1:4" hidden="1" x14ac:dyDescent="0.3">
      <c r="A21962" t="s">
        <v>1157</v>
      </c>
      <c r="B21962" t="s">
        <v>1189</v>
      </c>
      <c r="C21962" s="1">
        <f>HYPERLINK("https://cao.dolgi.msk.ru/account/1011504639/", 1011504639)</f>
        <v>1011504639</v>
      </c>
      <c r="D21962">
        <v>-1180.05</v>
      </c>
    </row>
    <row r="21963" spans="1:4" x14ac:dyDescent="0.3">
      <c r="A21963" t="s">
        <v>1157</v>
      </c>
      <c r="B21963" t="s">
        <v>1190</v>
      </c>
      <c r="C21963" s="1">
        <f>HYPERLINK("https://cao.dolgi.msk.ru/account/1011504815/", 1011504815)</f>
        <v>1011504815</v>
      </c>
      <c r="D21963">
        <v>58267.63</v>
      </c>
    </row>
    <row r="21964" spans="1:4" x14ac:dyDescent="0.3">
      <c r="A21964" t="s">
        <v>1157</v>
      </c>
      <c r="B21964" t="s">
        <v>1191</v>
      </c>
      <c r="C21964" s="1">
        <f>HYPERLINK("https://cao.dolgi.msk.ru/account/1011504831/", 1011504831)</f>
        <v>1011504831</v>
      </c>
      <c r="D21964">
        <v>11251.96</v>
      </c>
    </row>
    <row r="21965" spans="1:4" x14ac:dyDescent="0.3">
      <c r="A21965" t="s">
        <v>1157</v>
      </c>
      <c r="B21965" t="s">
        <v>1192</v>
      </c>
      <c r="C21965" s="1">
        <f>HYPERLINK("https://cao.dolgi.msk.ru/account/1011504989/", 1011504989)</f>
        <v>1011504989</v>
      </c>
      <c r="D21965">
        <v>22583.82</v>
      </c>
    </row>
    <row r="21966" spans="1:4" x14ac:dyDescent="0.3">
      <c r="A21966" t="s">
        <v>1157</v>
      </c>
      <c r="B21966" t="s">
        <v>1193</v>
      </c>
      <c r="C21966" s="1">
        <f>HYPERLINK("https://cao.dolgi.msk.ru/account/1011505156/", 1011505156)</f>
        <v>1011505156</v>
      </c>
      <c r="D21966">
        <v>2852.69</v>
      </c>
    </row>
    <row r="21967" spans="1:4" x14ac:dyDescent="0.3">
      <c r="A21967" t="s">
        <v>1157</v>
      </c>
      <c r="B21967" t="s">
        <v>1194</v>
      </c>
      <c r="C21967" s="1">
        <f>HYPERLINK("https://cao.dolgi.msk.ru/account/1011507848/", 1011507848)</f>
        <v>1011507848</v>
      </c>
      <c r="D21967">
        <v>28789.919999999998</v>
      </c>
    </row>
    <row r="21968" spans="1:4" x14ac:dyDescent="0.3">
      <c r="A21968" t="s">
        <v>1157</v>
      </c>
      <c r="B21968" t="s">
        <v>1195</v>
      </c>
      <c r="C21968" s="1">
        <f>HYPERLINK("https://cao.dolgi.msk.ru/account/1011511505/", 1011511505)</f>
        <v>1011511505</v>
      </c>
      <c r="D21968">
        <v>3148.32</v>
      </c>
    </row>
    <row r="21969" spans="1:4" hidden="1" x14ac:dyDescent="0.3">
      <c r="A21969" t="s">
        <v>1157</v>
      </c>
      <c r="B21969" t="s">
        <v>1196</v>
      </c>
      <c r="C21969" s="1">
        <f>HYPERLINK("https://cao.dolgi.msk.ru/account/1011514271/", 1011514271)</f>
        <v>1011514271</v>
      </c>
      <c r="D21969">
        <v>-2827.02</v>
      </c>
    </row>
    <row r="21970" spans="1:4" x14ac:dyDescent="0.3">
      <c r="A21970" t="s">
        <v>1157</v>
      </c>
      <c r="B21970" t="s">
        <v>1197</v>
      </c>
      <c r="C21970" s="1">
        <f>HYPERLINK("https://cao.dolgi.msk.ru/account/1011514335/", 1011514335)</f>
        <v>1011514335</v>
      </c>
      <c r="D21970">
        <v>8285.91</v>
      </c>
    </row>
    <row r="21971" spans="1:4" hidden="1" x14ac:dyDescent="0.3">
      <c r="A21971" t="s">
        <v>1157</v>
      </c>
      <c r="B21971" t="s">
        <v>1198</v>
      </c>
      <c r="C21971" s="1">
        <f>HYPERLINK("https://cao.dolgi.msk.ru/account/1011514482/", 1011514482)</f>
        <v>1011514482</v>
      </c>
      <c r="D21971">
        <v>0</v>
      </c>
    </row>
    <row r="21972" spans="1:4" hidden="1" x14ac:dyDescent="0.3">
      <c r="A21972" t="s">
        <v>1157</v>
      </c>
      <c r="B21972" t="s">
        <v>1199</v>
      </c>
      <c r="C21972" s="1">
        <f>HYPERLINK("https://cao.dolgi.msk.ru/account/1011514722/", 1011514722)</f>
        <v>1011514722</v>
      </c>
      <c r="D21972">
        <v>-2757.38</v>
      </c>
    </row>
    <row r="21973" spans="1:4" x14ac:dyDescent="0.3">
      <c r="A21973" t="s">
        <v>1157</v>
      </c>
      <c r="B21973" t="s">
        <v>1200</v>
      </c>
      <c r="C21973" s="1">
        <f>HYPERLINK("https://cao.dolgi.msk.ru/account/1011514917/", 1011514917)</f>
        <v>1011514917</v>
      </c>
      <c r="D21973">
        <v>19055.22</v>
      </c>
    </row>
    <row r="21974" spans="1:4" hidden="1" x14ac:dyDescent="0.3">
      <c r="A21974" t="s">
        <v>1157</v>
      </c>
      <c r="B21974" t="s">
        <v>1201</v>
      </c>
      <c r="C21974" s="1">
        <f>HYPERLINK("https://cao.dolgi.msk.ru/account/1011515311/", 1011515311)</f>
        <v>1011515311</v>
      </c>
      <c r="D21974">
        <v>-164.8</v>
      </c>
    </row>
    <row r="21975" spans="1:4" x14ac:dyDescent="0.3">
      <c r="A21975" t="s">
        <v>1157</v>
      </c>
      <c r="B21975" t="s">
        <v>1202</v>
      </c>
      <c r="C21975" s="1">
        <f>HYPERLINK("https://cao.dolgi.msk.ru/account/1011515477/", 1011515477)</f>
        <v>1011515477</v>
      </c>
      <c r="D21975">
        <v>25197.19</v>
      </c>
    </row>
    <row r="21976" spans="1:4" x14ac:dyDescent="0.3">
      <c r="A21976" t="s">
        <v>1157</v>
      </c>
      <c r="B21976" t="s">
        <v>1203</v>
      </c>
      <c r="C21976" s="1">
        <f>HYPERLINK("https://cao.dolgi.msk.ru/account/1011515485/", 1011515485)</f>
        <v>1011515485</v>
      </c>
      <c r="D21976">
        <v>2847.02</v>
      </c>
    </row>
    <row r="21977" spans="1:4" hidden="1" x14ac:dyDescent="0.3">
      <c r="A21977" t="s">
        <v>1157</v>
      </c>
      <c r="B21977" t="s">
        <v>1204</v>
      </c>
      <c r="C21977" s="1">
        <f>HYPERLINK("https://cao.dolgi.msk.ru/account/1011515995/", 1011515995)</f>
        <v>1011515995</v>
      </c>
      <c r="D21977">
        <v>0</v>
      </c>
    </row>
    <row r="21978" spans="1:4" hidden="1" x14ac:dyDescent="0.3">
      <c r="A21978" t="s">
        <v>1157</v>
      </c>
      <c r="B21978" t="s">
        <v>1205</v>
      </c>
      <c r="C21978" s="1">
        <f>HYPERLINK("https://cao.dolgi.msk.ru/account/1011516955/", 1011516955)</f>
        <v>1011516955</v>
      </c>
      <c r="D21978">
        <v>0</v>
      </c>
    </row>
    <row r="21979" spans="1:4" x14ac:dyDescent="0.3">
      <c r="A21979" t="s">
        <v>1157</v>
      </c>
      <c r="B21979" t="s">
        <v>1206</v>
      </c>
      <c r="C21979" s="1">
        <f>HYPERLINK("https://cao.dolgi.msk.ru/account/1011527486/", 1011527486)</f>
        <v>1011527486</v>
      </c>
      <c r="D21979">
        <v>41078.949999999997</v>
      </c>
    </row>
    <row r="21980" spans="1:4" x14ac:dyDescent="0.3">
      <c r="A21980" t="s">
        <v>1157</v>
      </c>
      <c r="B21980" t="s">
        <v>6</v>
      </c>
      <c r="C21980" s="1">
        <f>HYPERLINK("https://cao.dolgi.msk.ru/account/1011117006/", 1011117006)</f>
        <v>1011117006</v>
      </c>
      <c r="D21980">
        <v>10556.56</v>
      </c>
    </row>
    <row r="21981" spans="1:4" x14ac:dyDescent="0.3">
      <c r="A21981" t="s">
        <v>1157</v>
      </c>
      <c r="B21981" t="s">
        <v>28</v>
      </c>
      <c r="C21981" s="1">
        <f>HYPERLINK("https://cao.dolgi.msk.ru/account/1011117014/", 1011117014)</f>
        <v>1011117014</v>
      </c>
      <c r="D21981">
        <v>4776.6000000000004</v>
      </c>
    </row>
    <row r="21982" spans="1:4" hidden="1" x14ac:dyDescent="0.3">
      <c r="A21982" t="s">
        <v>1157</v>
      </c>
      <c r="B21982" t="s">
        <v>35</v>
      </c>
      <c r="C21982" s="1">
        <f>HYPERLINK("https://cao.dolgi.msk.ru/account/1011117081/", 1011117081)</f>
        <v>1011117081</v>
      </c>
      <c r="D21982">
        <v>-6653.64</v>
      </c>
    </row>
    <row r="21983" spans="1:4" hidden="1" x14ac:dyDescent="0.3">
      <c r="A21983" t="s">
        <v>1157</v>
      </c>
      <c r="B21983" t="s">
        <v>5</v>
      </c>
      <c r="C21983" s="1">
        <f>HYPERLINK("https://cao.dolgi.msk.ru/account/1011117102/", 1011117102)</f>
        <v>1011117102</v>
      </c>
      <c r="D21983">
        <v>0</v>
      </c>
    </row>
    <row r="21984" spans="1:4" x14ac:dyDescent="0.3">
      <c r="A21984" t="s">
        <v>1157</v>
      </c>
      <c r="B21984" t="s">
        <v>7</v>
      </c>
      <c r="C21984" s="1">
        <f>HYPERLINK("https://cao.dolgi.msk.ru/account/1011135917/", 1011135917)</f>
        <v>1011135917</v>
      </c>
      <c r="D21984">
        <v>42708.480000000003</v>
      </c>
    </row>
    <row r="21985" spans="1:4" hidden="1" x14ac:dyDescent="0.3">
      <c r="A21985" t="s">
        <v>1157</v>
      </c>
      <c r="B21985" t="s">
        <v>8</v>
      </c>
      <c r="C21985" s="1">
        <f>HYPERLINK("https://cao.dolgi.msk.ru/account/1011117129/", 1011117129)</f>
        <v>1011117129</v>
      </c>
      <c r="D21985">
        <v>0</v>
      </c>
    </row>
    <row r="21986" spans="1:4" hidden="1" x14ac:dyDescent="0.3">
      <c r="A21986" t="s">
        <v>1157</v>
      </c>
      <c r="B21986" t="s">
        <v>31</v>
      </c>
      <c r="C21986" s="1">
        <f>HYPERLINK("https://cao.dolgi.msk.ru/account/1011117137/", 1011117137)</f>
        <v>1011117137</v>
      </c>
      <c r="D21986">
        <v>0</v>
      </c>
    </row>
    <row r="21987" spans="1:4" hidden="1" x14ac:dyDescent="0.3">
      <c r="A21987" t="s">
        <v>1157</v>
      </c>
      <c r="B21987" t="s">
        <v>9</v>
      </c>
      <c r="C21987" s="1">
        <f>HYPERLINK("https://cao.dolgi.msk.ru/account/1011117145/", 1011117145)</f>
        <v>1011117145</v>
      </c>
      <c r="D21987">
        <v>-6614.53</v>
      </c>
    </row>
    <row r="21988" spans="1:4" hidden="1" x14ac:dyDescent="0.3">
      <c r="A21988" t="s">
        <v>1157</v>
      </c>
      <c r="B21988" t="s">
        <v>10</v>
      </c>
      <c r="C21988" s="1">
        <f>HYPERLINK("https://cao.dolgi.msk.ru/account/1011117153/", 1011117153)</f>
        <v>1011117153</v>
      </c>
      <c r="D21988">
        <v>0</v>
      </c>
    </row>
    <row r="21989" spans="1:4" hidden="1" x14ac:dyDescent="0.3">
      <c r="A21989" t="s">
        <v>1157</v>
      </c>
      <c r="B21989" t="s">
        <v>11</v>
      </c>
      <c r="C21989" s="1">
        <f>HYPERLINK("https://cao.dolgi.msk.ru/account/1011117161/", 1011117161)</f>
        <v>1011117161</v>
      </c>
      <c r="D21989">
        <v>-6336.3</v>
      </c>
    </row>
    <row r="21990" spans="1:4" hidden="1" x14ac:dyDescent="0.3">
      <c r="A21990" t="s">
        <v>1157</v>
      </c>
      <c r="B21990" t="s">
        <v>12</v>
      </c>
      <c r="C21990" s="1">
        <f>HYPERLINK("https://cao.dolgi.msk.ru/account/1011117188/", 1011117188)</f>
        <v>1011117188</v>
      </c>
      <c r="D21990">
        <v>-11538.28</v>
      </c>
    </row>
    <row r="21991" spans="1:4" hidden="1" x14ac:dyDescent="0.3">
      <c r="A21991" t="s">
        <v>1157</v>
      </c>
      <c r="B21991" t="s">
        <v>23</v>
      </c>
      <c r="C21991" s="1">
        <f>HYPERLINK("https://cao.dolgi.msk.ru/account/1011117196/", 1011117196)</f>
        <v>1011117196</v>
      </c>
      <c r="D21991">
        <v>-54363.98</v>
      </c>
    </row>
    <row r="21992" spans="1:4" hidden="1" x14ac:dyDescent="0.3">
      <c r="A21992" t="s">
        <v>1157</v>
      </c>
      <c r="B21992" t="s">
        <v>13</v>
      </c>
      <c r="C21992" s="1">
        <f>HYPERLINK("https://cao.dolgi.msk.ru/account/1011117209/", 1011117209)</f>
        <v>1011117209</v>
      </c>
      <c r="D21992">
        <v>-6569.85</v>
      </c>
    </row>
    <row r="21993" spans="1:4" x14ac:dyDescent="0.3">
      <c r="A21993" t="s">
        <v>1157</v>
      </c>
      <c r="B21993" t="s">
        <v>14</v>
      </c>
      <c r="C21993" s="1">
        <f>HYPERLINK("https://cao.dolgi.msk.ru/account/1011135431/", 1011135431)</f>
        <v>1011135431</v>
      </c>
      <c r="D21993">
        <v>20732.189999999999</v>
      </c>
    </row>
    <row r="21994" spans="1:4" x14ac:dyDescent="0.3">
      <c r="A21994" t="s">
        <v>1157</v>
      </c>
      <c r="B21994" t="s">
        <v>16</v>
      </c>
      <c r="C21994" s="1">
        <f>HYPERLINK("https://cao.dolgi.msk.ru/account/1011135458/", 1011135458)</f>
        <v>1011135458</v>
      </c>
      <c r="D21994">
        <v>10874.64</v>
      </c>
    </row>
    <row r="21995" spans="1:4" hidden="1" x14ac:dyDescent="0.3">
      <c r="A21995" t="s">
        <v>1157</v>
      </c>
      <c r="B21995" t="s">
        <v>17</v>
      </c>
      <c r="C21995" s="1">
        <f>HYPERLINK("https://cao.dolgi.msk.ru/account/1011117217/", 1011117217)</f>
        <v>1011117217</v>
      </c>
      <c r="D21995">
        <v>0</v>
      </c>
    </row>
    <row r="21996" spans="1:4" x14ac:dyDescent="0.3">
      <c r="A21996" t="s">
        <v>1157</v>
      </c>
      <c r="B21996" t="s">
        <v>18</v>
      </c>
      <c r="C21996" s="1">
        <f>HYPERLINK("https://cao.dolgi.msk.ru/account/1011117225/", 1011117225)</f>
        <v>1011117225</v>
      </c>
      <c r="D21996">
        <v>7437.17</v>
      </c>
    </row>
    <row r="21997" spans="1:4" hidden="1" x14ac:dyDescent="0.3">
      <c r="A21997" t="s">
        <v>1157</v>
      </c>
      <c r="B21997" t="s">
        <v>19</v>
      </c>
      <c r="C21997" s="1">
        <f>HYPERLINK("https://cao.dolgi.msk.ru/account/1011117233/", 1011117233)</f>
        <v>1011117233</v>
      </c>
      <c r="D21997">
        <v>0</v>
      </c>
    </row>
    <row r="21998" spans="1:4" hidden="1" x14ac:dyDescent="0.3">
      <c r="A21998" t="s">
        <v>1157</v>
      </c>
      <c r="B21998" t="s">
        <v>20</v>
      </c>
      <c r="C21998" s="1">
        <f>HYPERLINK("https://cao.dolgi.msk.ru/account/1011117241/", 1011117241)</f>
        <v>1011117241</v>
      </c>
      <c r="D21998">
        <v>-15359.89</v>
      </c>
    </row>
    <row r="21999" spans="1:4" hidden="1" x14ac:dyDescent="0.3">
      <c r="A21999" t="s">
        <v>1157</v>
      </c>
      <c r="B21999" t="s">
        <v>21</v>
      </c>
      <c r="C21999" s="1">
        <f>HYPERLINK("https://cao.dolgi.msk.ru/account/1011117022/", 1011117022)</f>
        <v>1011117022</v>
      </c>
      <c r="D21999">
        <v>-10931.78</v>
      </c>
    </row>
    <row r="22000" spans="1:4" hidden="1" x14ac:dyDescent="0.3">
      <c r="A22000" t="s">
        <v>1157</v>
      </c>
      <c r="B22000" t="s">
        <v>22</v>
      </c>
      <c r="C22000" s="1">
        <f>HYPERLINK("https://cao.dolgi.msk.ru/account/1011117049/", 1011117049)</f>
        <v>1011117049</v>
      </c>
      <c r="D22000">
        <v>-779.43</v>
      </c>
    </row>
    <row r="22001" spans="1:4" x14ac:dyDescent="0.3">
      <c r="A22001" t="s">
        <v>1157</v>
      </c>
      <c r="B22001" t="s">
        <v>24</v>
      </c>
      <c r="C22001" s="1">
        <f>HYPERLINK("https://cao.dolgi.msk.ru/account/1011117057/", 1011117057)</f>
        <v>1011117057</v>
      </c>
      <c r="D22001">
        <v>3483.94</v>
      </c>
    </row>
    <row r="22002" spans="1:4" hidden="1" x14ac:dyDescent="0.3">
      <c r="A22002" t="s">
        <v>1157</v>
      </c>
      <c r="B22002" t="s">
        <v>25</v>
      </c>
      <c r="C22002" s="1">
        <f>HYPERLINK("https://cao.dolgi.msk.ru/account/1011117073/", 1011117073)</f>
        <v>1011117073</v>
      </c>
      <c r="D22002">
        <v>0</v>
      </c>
    </row>
    <row r="22003" spans="1:4" x14ac:dyDescent="0.3">
      <c r="A22003" t="s">
        <v>1207</v>
      </c>
      <c r="B22003" t="s">
        <v>6</v>
      </c>
      <c r="C22003" s="1">
        <f>HYPERLINK("https://cao.dolgi.msk.ru/account/1011448438/", 1011448438)</f>
        <v>1011448438</v>
      </c>
      <c r="D22003">
        <v>5752.01</v>
      </c>
    </row>
    <row r="22004" spans="1:4" x14ac:dyDescent="0.3">
      <c r="A22004" t="s">
        <v>1207</v>
      </c>
      <c r="B22004" t="s">
        <v>6</v>
      </c>
      <c r="C22004" s="1">
        <f>HYPERLINK("https://cao.dolgi.msk.ru/account/1011449107/", 1011449107)</f>
        <v>1011449107</v>
      </c>
      <c r="D22004">
        <v>36481.370000000003</v>
      </c>
    </row>
    <row r="22005" spans="1:4" x14ac:dyDescent="0.3">
      <c r="A22005" t="s">
        <v>1207</v>
      </c>
      <c r="B22005" t="s">
        <v>6</v>
      </c>
      <c r="C22005" s="1">
        <f>HYPERLINK("https://cao.dolgi.msk.ru/account/1011449174/", 1011449174)</f>
        <v>1011449174</v>
      </c>
      <c r="D22005">
        <v>221604.65</v>
      </c>
    </row>
    <row r="22006" spans="1:4" hidden="1" x14ac:dyDescent="0.3">
      <c r="A22006" t="s">
        <v>1207</v>
      </c>
      <c r="B22006" t="s">
        <v>28</v>
      </c>
      <c r="C22006" s="1">
        <f>HYPERLINK("https://cao.dolgi.msk.ru/account/1011449289/", 1011449289)</f>
        <v>1011449289</v>
      </c>
      <c r="D22006">
        <v>0</v>
      </c>
    </row>
    <row r="22007" spans="1:4" hidden="1" x14ac:dyDescent="0.3">
      <c r="A22007" t="s">
        <v>1207</v>
      </c>
      <c r="B22007" t="s">
        <v>35</v>
      </c>
      <c r="C22007" s="1">
        <f>HYPERLINK("https://cao.dolgi.msk.ru/account/1011541472/", 1011541472)</f>
        <v>1011541472</v>
      </c>
      <c r="D22007">
        <v>0</v>
      </c>
    </row>
    <row r="22008" spans="1:4" hidden="1" x14ac:dyDescent="0.3">
      <c r="A22008" t="s">
        <v>1207</v>
      </c>
      <c r="B22008" t="s">
        <v>5</v>
      </c>
      <c r="C22008" s="1">
        <f>HYPERLINK("https://cao.dolgi.msk.ru/account/1011448761/", 1011448761)</f>
        <v>1011448761</v>
      </c>
      <c r="D22008">
        <v>0</v>
      </c>
    </row>
    <row r="22009" spans="1:4" hidden="1" x14ac:dyDescent="0.3">
      <c r="A22009" t="s">
        <v>1207</v>
      </c>
      <c r="B22009" t="s">
        <v>7</v>
      </c>
      <c r="C22009" s="1">
        <f>HYPERLINK("https://cao.dolgi.msk.ru/account/1011448622/", 1011448622)</f>
        <v>1011448622</v>
      </c>
      <c r="D22009">
        <v>-2111.2199999999998</v>
      </c>
    </row>
    <row r="22010" spans="1:4" hidden="1" x14ac:dyDescent="0.3">
      <c r="A22010" t="s">
        <v>1207</v>
      </c>
      <c r="B22010" t="s">
        <v>8</v>
      </c>
      <c r="C22010" s="1">
        <f>HYPERLINK("https://cao.dolgi.msk.ru/account/1011449254/", 1011449254)</f>
        <v>1011449254</v>
      </c>
      <c r="D22010">
        <v>0</v>
      </c>
    </row>
    <row r="22011" spans="1:4" hidden="1" x14ac:dyDescent="0.3">
      <c r="A22011" t="s">
        <v>1207</v>
      </c>
      <c r="B22011" t="s">
        <v>31</v>
      </c>
      <c r="C22011" s="1">
        <f>HYPERLINK("https://cao.dolgi.msk.ru/account/1011448673/", 1011448673)</f>
        <v>1011448673</v>
      </c>
      <c r="D22011">
        <v>0</v>
      </c>
    </row>
    <row r="22012" spans="1:4" hidden="1" x14ac:dyDescent="0.3">
      <c r="A22012" t="s">
        <v>1207</v>
      </c>
      <c r="B22012" t="s">
        <v>9</v>
      </c>
      <c r="C22012" s="1">
        <f>HYPERLINK("https://cao.dolgi.msk.ru/account/1011448905/", 1011448905)</f>
        <v>1011448905</v>
      </c>
      <c r="D22012">
        <v>-5692.5</v>
      </c>
    </row>
    <row r="22013" spans="1:4" hidden="1" x14ac:dyDescent="0.3">
      <c r="A22013" t="s">
        <v>1207</v>
      </c>
      <c r="B22013" t="s">
        <v>10</v>
      </c>
      <c r="C22013" s="1">
        <f>HYPERLINK("https://cao.dolgi.msk.ru/account/1011448489/", 1011448489)</f>
        <v>1011448489</v>
      </c>
      <c r="D22013">
        <v>0</v>
      </c>
    </row>
    <row r="22014" spans="1:4" hidden="1" x14ac:dyDescent="0.3">
      <c r="A22014" t="s">
        <v>1207</v>
      </c>
      <c r="B22014" t="s">
        <v>11</v>
      </c>
      <c r="C22014" s="1">
        <f>HYPERLINK("https://cao.dolgi.msk.ru/account/1011448817/", 1011448817)</f>
        <v>1011448817</v>
      </c>
      <c r="D22014">
        <v>0</v>
      </c>
    </row>
    <row r="22015" spans="1:4" hidden="1" x14ac:dyDescent="0.3">
      <c r="A22015" t="s">
        <v>1207</v>
      </c>
      <c r="B22015" t="s">
        <v>12</v>
      </c>
      <c r="C22015" s="1">
        <f>HYPERLINK("https://cao.dolgi.msk.ru/account/1011449297/", 1011449297)</f>
        <v>1011449297</v>
      </c>
      <c r="D22015">
        <v>0</v>
      </c>
    </row>
    <row r="22016" spans="1:4" hidden="1" x14ac:dyDescent="0.3">
      <c r="A22016" t="s">
        <v>1207</v>
      </c>
      <c r="B22016" t="s">
        <v>23</v>
      </c>
      <c r="C22016" s="1">
        <f>HYPERLINK("https://cao.dolgi.msk.ru/account/1011448323/", 1011448323)</f>
        <v>1011448323</v>
      </c>
      <c r="D22016">
        <v>-6251.12</v>
      </c>
    </row>
    <row r="22017" spans="1:4" hidden="1" x14ac:dyDescent="0.3">
      <c r="A22017" t="s">
        <v>1207</v>
      </c>
      <c r="B22017" t="s">
        <v>13</v>
      </c>
      <c r="C22017" s="1">
        <f>HYPERLINK("https://cao.dolgi.msk.ru/account/1011448534/", 1011448534)</f>
        <v>1011448534</v>
      </c>
      <c r="D22017">
        <v>0</v>
      </c>
    </row>
    <row r="22018" spans="1:4" hidden="1" x14ac:dyDescent="0.3">
      <c r="A22018" t="s">
        <v>1207</v>
      </c>
      <c r="B22018" t="s">
        <v>14</v>
      </c>
      <c r="C22018" s="1">
        <f>HYPERLINK("https://cao.dolgi.msk.ru/account/1011449115/", 1011449115)</f>
        <v>1011449115</v>
      </c>
      <c r="D22018">
        <v>-1260.99</v>
      </c>
    </row>
    <row r="22019" spans="1:4" hidden="1" x14ac:dyDescent="0.3">
      <c r="A22019" t="s">
        <v>1207</v>
      </c>
      <c r="B22019" t="s">
        <v>16</v>
      </c>
      <c r="C22019" s="1">
        <f>HYPERLINK("https://cao.dolgi.msk.ru/account/1011448753/", 1011448753)</f>
        <v>1011448753</v>
      </c>
      <c r="D22019">
        <v>0</v>
      </c>
    </row>
    <row r="22020" spans="1:4" hidden="1" x14ac:dyDescent="0.3">
      <c r="A22020" t="s">
        <v>1207</v>
      </c>
      <c r="B22020" t="s">
        <v>17</v>
      </c>
      <c r="C22020" s="1">
        <f>HYPERLINK("https://cao.dolgi.msk.ru/account/1011449182/", 1011449182)</f>
        <v>1011449182</v>
      </c>
      <c r="D22020">
        <v>0</v>
      </c>
    </row>
    <row r="22021" spans="1:4" hidden="1" x14ac:dyDescent="0.3">
      <c r="A22021" t="s">
        <v>1207</v>
      </c>
      <c r="B22021" t="s">
        <v>18</v>
      </c>
      <c r="C22021" s="1">
        <f>HYPERLINK("https://cao.dolgi.msk.ru/account/1011449342/", 1011449342)</f>
        <v>1011449342</v>
      </c>
      <c r="D22021">
        <v>0</v>
      </c>
    </row>
    <row r="22022" spans="1:4" hidden="1" x14ac:dyDescent="0.3">
      <c r="A22022" t="s">
        <v>1207</v>
      </c>
      <c r="B22022" t="s">
        <v>19</v>
      </c>
      <c r="C22022" s="1">
        <f>HYPERLINK("https://cao.dolgi.msk.ru/account/1011448702/", 1011448702)</f>
        <v>1011448702</v>
      </c>
      <c r="D22022">
        <v>0</v>
      </c>
    </row>
    <row r="22023" spans="1:4" hidden="1" x14ac:dyDescent="0.3">
      <c r="A22023" t="s">
        <v>1207</v>
      </c>
      <c r="B22023" t="s">
        <v>20</v>
      </c>
      <c r="C22023" s="1">
        <f>HYPERLINK("https://cao.dolgi.msk.ru/account/1011448585/", 1011448585)</f>
        <v>1011448585</v>
      </c>
      <c r="D22023">
        <v>-7672.22</v>
      </c>
    </row>
    <row r="22024" spans="1:4" hidden="1" x14ac:dyDescent="0.3">
      <c r="A22024" t="s">
        <v>1207</v>
      </c>
      <c r="B22024" t="s">
        <v>21</v>
      </c>
      <c r="C22024" s="1">
        <f>HYPERLINK("https://cao.dolgi.msk.ru/account/1011449326/", 1011449326)</f>
        <v>1011449326</v>
      </c>
      <c r="D22024">
        <v>-390.92</v>
      </c>
    </row>
    <row r="22025" spans="1:4" hidden="1" x14ac:dyDescent="0.3">
      <c r="A22025" t="s">
        <v>1207</v>
      </c>
      <c r="B22025" t="s">
        <v>22</v>
      </c>
      <c r="C22025" s="1">
        <f>HYPERLINK("https://cao.dolgi.msk.ru/account/1011448382/", 1011448382)</f>
        <v>1011448382</v>
      </c>
      <c r="D22025">
        <v>-1511.04</v>
      </c>
    </row>
    <row r="22026" spans="1:4" hidden="1" x14ac:dyDescent="0.3">
      <c r="A22026" t="s">
        <v>1207</v>
      </c>
      <c r="B22026" t="s">
        <v>24</v>
      </c>
      <c r="C22026" s="1">
        <f>HYPERLINK("https://cao.dolgi.msk.ru/account/1011448809/", 1011448809)</f>
        <v>1011448809</v>
      </c>
      <c r="D22026">
        <v>-14694.86</v>
      </c>
    </row>
    <row r="22027" spans="1:4" hidden="1" x14ac:dyDescent="0.3">
      <c r="A22027" t="s">
        <v>1207</v>
      </c>
      <c r="B22027" t="s">
        <v>25</v>
      </c>
      <c r="C22027" s="1">
        <f>HYPERLINK("https://cao.dolgi.msk.ru/account/1011448921/", 1011448921)</f>
        <v>1011448921</v>
      </c>
      <c r="D22027">
        <v>0</v>
      </c>
    </row>
    <row r="22028" spans="1:4" x14ac:dyDescent="0.3">
      <c r="A22028" t="s">
        <v>1207</v>
      </c>
      <c r="B22028" t="s">
        <v>26</v>
      </c>
      <c r="C22028" s="1">
        <f>HYPERLINK("https://cao.dolgi.msk.ru/account/1011448876/", 1011448876)</f>
        <v>1011448876</v>
      </c>
      <c r="D22028">
        <v>1359.63</v>
      </c>
    </row>
    <row r="22029" spans="1:4" hidden="1" x14ac:dyDescent="0.3">
      <c r="A22029" t="s">
        <v>1207</v>
      </c>
      <c r="B22029" t="s">
        <v>26</v>
      </c>
      <c r="C22029" s="1">
        <f>HYPERLINK("https://cao.dolgi.msk.ru/account/1011448956/", 1011448956)</f>
        <v>1011448956</v>
      </c>
      <c r="D22029">
        <v>0</v>
      </c>
    </row>
    <row r="22030" spans="1:4" hidden="1" x14ac:dyDescent="0.3">
      <c r="A22030" t="s">
        <v>1207</v>
      </c>
      <c r="B22030" t="s">
        <v>26</v>
      </c>
      <c r="C22030" s="1">
        <f>HYPERLINK("https://cao.dolgi.msk.ru/account/1011449318/", 1011449318)</f>
        <v>1011449318</v>
      </c>
      <c r="D22030">
        <v>-219.96</v>
      </c>
    </row>
    <row r="22031" spans="1:4" hidden="1" x14ac:dyDescent="0.3">
      <c r="A22031" t="s">
        <v>1207</v>
      </c>
      <c r="B22031" t="s">
        <v>27</v>
      </c>
      <c r="C22031" s="1">
        <f>HYPERLINK("https://cao.dolgi.msk.ru/account/1011448294/", 1011448294)</f>
        <v>1011448294</v>
      </c>
      <c r="D22031">
        <v>0</v>
      </c>
    </row>
    <row r="22032" spans="1:4" hidden="1" x14ac:dyDescent="0.3">
      <c r="A22032" t="s">
        <v>1207</v>
      </c>
      <c r="B22032" t="s">
        <v>29</v>
      </c>
      <c r="C22032" s="1">
        <f>HYPERLINK("https://cao.dolgi.msk.ru/account/1011448964/", 1011448964)</f>
        <v>1011448964</v>
      </c>
      <c r="D22032">
        <v>-6019.22</v>
      </c>
    </row>
    <row r="22033" spans="1:4" hidden="1" x14ac:dyDescent="0.3">
      <c r="A22033" t="s">
        <v>1207</v>
      </c>
      <c r="B22033" t="s">
        <v>38</v>
      </c>
      <c r="C22033" s="1">
        <f>HYPERLINK("https://cao.dolgi.msk.ru/account/1011448307/", 1011448307)</f>
        <v>1011448307</v>
      </c>
      <c r="D22033">
        <v>-9118.74</v>
      </c>
    </row>
    <row r="22034" spans="1:4" hidden="1" x14ac:dyDescent="0.3">
      <c r="A22034" t="s">
        <v>1207</v>
      </c>
      <c r="B22034" t="s">
        <v>39</v>
      </c>
      <c r="C22034" s="1">
        <f>HYPERLINK("https://cao.dolgi.msk.ru/account/1011449211/", 1011449211)</f>
        <v>1011449211</v>
      </c>
      <c r="D22034">
        <v>-11431.97</v>
      </c>
    </row>
    <row r="22035" spans="1:4" hidden="1" x14ac:dyDescent="0.3">
      <c r="A22035" t="s">
        <v>1207</v>
      </c>
      <c r="B22035" t="s">
        <v>40</v>
      </c>
      <c r="C22035" s="1">
        <f>HYPERLINK("https://cao.dolgi.msk.ru/account/1011448868/", 1011448868)</f>
        <v>1011448868</v>
      </c>
      <c r="D22035">
        <v>-5721.51</v>
      </c>
    </row>
    <row r="22036" spans="1:4" hidden="1" x14ac:dyDescent="0.3">
      <c r="A22036" t="s">
        <v>1207</v>
      </c>
      <c r="B22036" t="s">
        <v>41</v>
      </c>
      <c r="C22036" s="1">
        <f>HYPERLINK("https://cao.dolgi.msk.ru/account/1011448411/", 1011448411)</f>
        <v>1011448411</v>
      </c>
      <c r="D22036">
        <v>0</v>
      </c>
    </row>
    <row r="22037" spans="1:4" hidden="1" x14ac:dyDescent="0.3">
      <c r="A22037" t="s">
        <v>1207</v>
      </c>
      <c r="B22037" t="s">
        <v>41</v>
      </c>
      <c r="C22037" s="1">
        <f>HYPERLINK("https://cao.dolgi.msk.ru/account/1011448614/", 1011448614)</f>
        <v>1011448614</v>
      </c>
      <c r="D22037">
        <v>0</v>
      </c>
    </row>
    <row r="22038" spans="1:4" hidden="1" x14ac:dyDescent="0.3">
      <c r="A22038" t="s">
        <v>1207</v>
      </c>
      <c r="B22038" t="s">
        <v>51</v>
      </c>
      <c r="C22038" s="1">
        <f>HYPERLINK("https://cao.dolgi.msk.ru/account/1011448497/", 1011448497)</f>
        <v>1011448497</v>
      </c>
      <c r="D22038">
        <v>0</v>
      </c>
    </row>
    <row r="22039" spans="1:4" hidden="1" x14ac:dyDescent="0.3">
      <c r="A22039" t="s">
        <v>1207</v>
      </c>
      <c r="B22039" t="s">
        <v>52</v>
      </c>
      <c r="C22039" s="1">
        <f>HYPERLINK("https://cao.dolgi.msk.ru/account/1011448884/", 1011448884)</f>
        <v>1011448884</v>
      </c>
      <c r="D22039">
        <v>0</v>
      </c>
    </row>
    <row r="22040" spans="1:4" hidden="1" x14ac:dyDescent="0.3">
      <c r="A22040" t="s">
        <v>1207</v>
      </c>
      <c r="B22040" t="s">
        <v>53</v>
      </c>
      <c r="C22040" s="1">
        <f>HYPERLINK("https://cao.dolgi.msk.ru/account/1011448577/", 1011448577)</f>
        <v>1011448577</v>
      </c>
      <c r="D22040">
        <v>-24358.42</v>
      </c>
    </row>
    <row r="22041" spans="1:4" x14ac:dyDescent="0.3">
      <c r="A22041" t="s">
        <v>1207</v>
      </c>
      <c r="B22041" t="s">
        <v>54</v>
      </c>
      <c r="C22041" s="1">
        <f>HYPERLINK("https://cao.dolgi.msk.ru/account/1011449131/", 1011449131)</f>
        <v>1011449131</v>
      </c>
      <c r="D22041">
        <v>5116.2299999999996</v>
      </c>
    </row>
    <row r="22042" spans="1:4" hidden="1" x14ac:dyDescent="0.3">
      <c r="A22042" t="s">
        <v>1207</v>
      </c>
      <c r="B22042" t="s">
        <v>55</v>
      </c>
      <c r="C22042" s="1">
        <f>HYPERLINK("https://cao.dolgi.msk.ru/account/1011448374/", 1011448374)</f>
        <v>1011448374</v>
      </c>
      <c r="D22042">
        <v>-7305.21</v>
      </c>
    </row>
    <row r="22043" spans="1:4" hidden="1" x14ac:dyDescent="0.3">
      <c r="A22043" t="s">
        <v>1207</v>
      </c>
      <c r="B22043" t="s">
        <v>56</v>
      </c>
      <c r="C22043" s="1">
        <f>HYPERLINK("https://cao.dolgi.msk.ru/account/1011448518/", 1011448518)</f>
        <v>1011448518</v>
      </c>
      <c r="D22043">
        <v>-13106.18</v>
      </c>
    </row>
    <row r="22044" spans="1:4" hidden="1" x14ac:dyDescent="0.3">
      <c r="A22044" t="s">
        <v>1207</v>
      </c>
      <c r="B22044" t="s">
        <v>87</v>
      </c>
      <c r="C22044" s="1">
        <f>HYPERLINK("https://cao.dolgi.msk.ru/account/1011448569/", 1011448569)</f>
        <v>1011448569</v>
      </c>
      <c r="D22044">
        <v>-7343.65</v>
      </c>
    </row>
    <row r="22045" spans="1:4" x14ac:dyDescent="0.3">
      <c r="A22045" t="s">
        <v>1207</v>
      </c>
      <c r="B22045" t="s">
        <v>88</v>
      </c>
      <c r="C22045" s="1">
        <f>HYPERLINK("https://cao.dolgi.msk.ru/account/1011449043/", 1011449043)</f>
        <v>1011449043</v>
      </c>
      <c r="D22045">
        <v>8971.9</v>
      </c>
    </row>
    <row r="22046" spans="1:4" hidden="1" x14ac:dyDescent="0.3">
      <c r="A22046" t="s">
        <v>1207</v>
      </c>
      <c r="B22046" t="s">
        <v>89</v>
      </c>
      <c r="C22046" s="1">
        <f>HYPERLINK("https://cao.dolgi.msk.ru/account/1011448972/", 1011448972)</f>
        <v>1011448972</v>
      </c>
      <c r="D22046">
        <v>-599.28</v>
      </c>
    </row>
    <row r="22047" spans="1:4" hidden="1" x14ac:dyDescent="0.3">
      <c r="A22047" t="s">
        <v>1207</v>
      </c>
      <c r="B22047" t="s">
        <v>90</v>
      </c>
      <c r="C22047" s="1">
        <f>HYPERLINK("https://cao.dolgi.msk.ru/account/1011448948/", 1011448948)</f>
        <v>1011448948</v>
      </c>
      <c r="D22047">
        <v>0</v>
      </c>
    </row>
    <row r="22048" spans="1:4" hidden="1" x14ac:dyDescent="0.3">
      <c r="A22048" t="s">
        <v>1207</v>
      </c>
      <c r="B22048" t="s">
        <v>96</v>
      </c>
      <c r="C22048" s="1">
        <f>HYPERLINK("https://cao.dolgi.msk.ru/account/1011448729/", 1011448729)</f>
        <v>1011448729</v>
      </c>
      <c r="D22048">
        <v>0</v>
      </c>
    </row>
    <row r="22049" spans="1:4" hidden="1" x14ac:dyDescent="0.3">
      <c r="A22049" t="s">
        <v>1207</v>
      </c>
      <c r="B22049" t="s">
        <v>97</v>
      </c>
      <c r="C22049" s="1">
        <f>HYPERLINK("https://cao.dolgi.msk.ru/account/1011448446/", 1011448446)</f>
        <v>1011448446</v>
      </c>
      <c r="D22049">
        <v>-5749.48</v>
      </c>
    </row>
    <row r="22050" spans="1:4" hidden="1" x14ac:dyDescent="0.3">
      <c r="A22050" t="s">
        <v>1207</v>
      </c>
      <c r="B22050" t="s">
        <v>98</v>
      </c>
      <c r="C22050" s="1">
        <f>HYPERLINK("https://cao.dolgi.msk.ru/account/1011448358/", 1011448358)</f>
        <v>1011448358</v>
      </c>
      <c r="D22050">
        <v>0</v>
      </c>
    </row>
    <row r="22051" spans="1:4" hidden="1" x14ac:dyDescent="0.3">
      <c r="A22051" t="s">
        <v>1207</v>
      </c>
      <c r="B22051" t="s">
        <v>98</v>
      </c>
      <c r="C22051" s="1">
        <f>HYPERLINK("https://cao.dolgi.msk.ru/account/1011448737/", 1011448737)</f>
        <v>1011448737</v>
      </c>
      <c r="D22051">
        <v>-2466.96</v>
      </c>
    </row>
    <row r="22052" spans="1:4" x14ac:dyDescent="0.3">
      <c r="A22052" t="s">
        <v>1207</v>
      </c>
      <c r="B22052" t="s">
        <v>58</v>
      </c>
      <c r="C22052" s="1">
        <f>HYPERLINK("https://cao.dolgi.msk.ru/account/1011448526/", 1011448526)</f>
        <v>1011448526</v>
      </c>
      <c r="D22052">
        <v>79441.259999999995</v>
      </c>
    </row>
    <row r="22053" spans="1:4" x14ac:dyDescent="0.3">
      <c r="A22053" t="s">
        <v>1207</v>
      </c>
      <c r="B22053" t="s">
        <v>58</v>
      </c>
      <c r="C22053" s="1">
        <f>HYPERLINK("https://cao.dolgi.msk.ru/account/1011449203/", 1011449203)</f>
        <v>1011449203</v>
      </c>
      <c r="D22053">
        <v>20809.04</v>
      </c>
    </row>
    <row r="22054" spans="1:4" hidden="1" x14ac:dyDescent="0.3">
      <c r="A22054" t="s">
        <v>1207</v>
      </c>
      <c r="B22054" t="s">
        <v>59</v>
      </c>
      <c r="C22054" s="1">
        <f>HYPERLINK("https://cao.dolgi.msk.ru/account/1011449262/", 1011449262)</f>
        <v>1011449262</v>
      </c>
      <c r="D22054">
        <v>-7263.05</v>
      </c>
    </row>
    <row r="22055" spans="1:4" x14ac:dyDescent="0.3">
      <c r="A22055" t="s">
        <v>1207</v>
      </c>
      <c r="B22055" t="s">
        <v>60</v>
      </c>
      <c r="C22055" s="1">
        <f>HYPERLINK("https://cao.dolgi.msk.ru/account/1011448999/", 1011448999)</f>
        <v>1011448999</v>
      </c>
      <c r="D22055">
        <v>31437.57</v>
      </c>
    </row>
    <row r="22056" spans="1:4" x14ac:dyDescent="0.3">
      <c r="A22056" t="s">
        <v>1207</v>
      </c>
      <c r="B22056" t="s">
        <v>61</v>
      </c>
      <c r="C22056" s="1">
        <f>HYPERLINK("https://cao.dolgi.msk.ru/account/1011449158/", 1011449158)</f>
        <v>1011449158</v>
      </c>
      <c r="D22056">
        <v>6163.78</v>
      </c>
    </row>
    <row r="22057" spans="1:4" hidden="1" x14ac:dyDescent="0.3">
      <c r="A22057" t="s">
        <v>1207</v>
      </c>
      <c r="B22057" t="s">
        <v>62</v>
      </c>
      <c r="C22057" s="1">
        <f>HYPERLINK("https://cao.dolgi.msk.ru/account/1011448542/", 1011448542)</f>
        <v>1011448542</v>
      </c>
      <c r="D22057">
        <v>-3394.57</v>
      </c>
    </row>
    <row r="22058" spans="1:4" x14ac:dyDescent="0.3">
      <c r="A22058" t="s">
        <v>1207</v>
      </c>
      <c r="B22058" t="s">
        <v>63</v>
      </c>
      <c r="C22058" s="1">
        <f>HYPERLINK("https://cao.dolgi.msk.ru/account/1011449019/", 1011449019)</f>
        <v>1011449019</v>
      </c>
      <c r="D22058">
        <v>10132.61</v>
      </c>
    </row>
    <row r="22059" spans="1:4" hidden="1" x14ac:dyDescent="0.3">
      <c r="A22059" t="s">
        <v>1207</v>
      </c>
      <c r="B22059" t="s">
        <v>64</v>
      </c>
      <c r="C22059" s="1">
        <f>HYPERLINK("https://cao.dolgi.msk.ru/account/1011449238/", 1011449238)</f>
        <v>1011449238</v>
      </c>
      <c r="D22059">
        <v>-4271.3</v>
      </c>
    </row>
    <row r="22060" spans="1:4" x14ac:dyDescent="0.3">
      <c r="A22060" t="s">
        <v>1207</v>
      </c>
      <c r="B22060" t="s">
        <v>65</v>
      </c>
      <c r="C22060" s="1">
        <f>HYPERLINK("https://cao.dolgi.msk.ru/account/1011448454/", 1011448454)</f>
        <v>1011448454</v>
      </c>
      <c r="D22060">
        <v>12615.53</v>
      </c>
    </row>
    <row r="22061" spans="1:4" hidden="1" x14ac:dyDescent="0.3">
      <c r="A22061" t="s">
        <v>1207</v>
      </c>
      <c r="B22061" t="s">
        <v>66</v>
      </c>
      <c r="C22061" s="1">
        <f>HYPERLINK("https://cao.dolgi.msk.ru/account/1011448593/", 1011448593)</f>
        <v>1011448593</v>
      </c>
      <c r="D22061">
        <v>0</v>
      </c>
    </row>
    <row r="22062" spans="1:4" hidden="1" x14ac:dyDescent="0.3">
      <c r="A22062" t="s">
        <v>1207</v>
      </c>
      <c r="B22062" t="s">
        <v>67</v>
      </c>
      <c r="C22062" s="1">
        <f>HYPERLINK("https://cao.dolgi.msk.ru/account/1011448315/", 1011448315)</f>
        <v>1011448315</v>
      </c>
      <c r="D22062">
        <v>0</v>
      </c>
    </row>
    <row r="22063" spans="1:4" x14ac:dyDescent="0.3">
      <c r="A22063" t="s">
        <v>1207</v>
      </c>
      <c r="B22063" t="s">
        <v>68</v>
      </c>
      <c r="C22063" s="1">
        <f>HYPERLINK("https://cao.dolgi.msk.ru/account/1011448366/", 1011448366)</f>
        <v>1011448366</v>
      </c>
      <c r="D22063">
        <v>4862.79</v>
      </c>
    </row>
    <row r="22064" spans="1:4" hidden="1" x14ac:dyDescent="0.3">
      <c r="A22064" t="s">
        <v>1207</v>
      </c>
      <c r="B22064" t="s">
        <v>69</v>
      </c>
      <c r="C22064" s="1">
        <f>HYPERLINK("https://cao.dolgi.msk.ru/account/1011449051/", 1011449051)</f>
        <v>1011449051</v>
      </c>
      <c r="D22064">
        <v>0</v>
      </c>
    </row>
    <row r="22065" spans="1:4" hidden="1" x14ac:dyDescent="0.3">
      <c r="A22065" t="s">
        <v>1207</v>
      </c>
      <c r="B22065" t="s">
        <v>70</v>
      </c>
      <c r="C22065" s="1">
        <f>HYPERLINK("https://cao.dolgi.msk.ru/account/1011448657/", 1011448657)</f>
        <v>1011448657</v>
      </c>
      <c r="D22065">
        <v>0</v>
      </c>
    </row>
    <row r="22066" spans="1:4" hidden="1" x14ac:dyDescent="0.3">
      <c r="A22066" t="s">
        <v>1207</v>
      </c>
      <c r="B22066" t="s">
        <v>259</v>
      </c>
      <c r="C22066" s="1">
        <f>HYPERLINK("https://cao.dolgi.msk.ru/account/1011448788/", 1011448788)</f>
        <v>1011448788</v>
      </c>
      <c r="D22066">
        <v>-641.42999999999995</v>
      </c>
    </row>
    <row r="22067" spans="1:4" x14ac:dyDescent="0.3">
      <c r="A22067" t="s">
        <v>1207</v>
      </c>
      <c r="B22067" t="s">
        <v>100</v>
      </c>
      <c r="C22067" s="1">
        <f>HYPERLINK("https://cao.dolgi.msk.ru/account/1011448825/", 1011448825)</f>
        <v>1011448825</v>
      </c>
      <c r="D22067">
        <v>60204.57</v>
      </c>
    </row>
    <row r="22068" spans="1:4" hidden="1" x14ac:dyDescent="0.3">
      <c r="A22068" t="s">
        <v>1207</v>
      </c>
      <c r="B22068" t="s">
        <v>100</v>
      </c>
      <c r="C22068" s="1">
        <f>HYPERLINK("https://cao.dolgi.msk.ru/account/1011449086/", 1011449086)</f>
        <v>1011449086</v>
      </c>
      <c r="D22068">
        <v>-11064.64</v>
      </c>
    </row>
    <row r="22069" spans="1:4" x14ac:dyDescent="0.3">
      <c r="A22069" t="s">
        <v>1207</v>
      </c>
      <c r="B22069" t="s">
        <v>100</v>
      </c>
      <c r="C22069" s="1">
        <f>HYPERLINK("https://cao.dolgi.msk.ru/account/1011510633/", 1011510633)</f>
        <v>1011510633</v>
      </c>
      <c r="D22069">
        <v>47673.14</v>
      </c>
    </row>
    <row r="22070" spans="1:4" hidden="1" x14ac:dyDescent="0.3">
      <c r="A22070" t="s">
        <v>1207</v>
      </c>
      <c r="B22070" t="s">
        <v>72</v>
      </c>
      <c r="C22070" s="1">
        <f>HYPERLINK("https://cao.dolgi.msk.ru/account/1011448913/", 1011448913)</f>
        <v>1011448913</v>
      </c>
      <c r="D22070">
        <v>0</v>
      </c>
    </row>
    <row r="22071" spans="1:4" hidden="1" x14ac:dyDescent="0.3">
      <c r="A22071" t="s">
        <v>1207</v>
      </c>
      <c r="B22071" t="s">
        <v>73</v>
      </c>
      <c r="C22071" s="1">
        <f>HYPERLINK("https://cao.dolgi.msk.ru/account/1011448462/", 1011448462)</f>
        <v>1011448462</v>
      </c>
      <c r="D22071">
        <v>0</v>
      </c>
    </row>
    <row r="22072" spans="1:4" hidden="1" x14ac:dyDescent="0.3">
      <c r="A22072" t="s">
        <v>1207</v>
      </c>
      <c r="B22072" t="s">
        <v>74</v>
      </c>
      <c r="C22072" s="1">
        <f>HYPERLINK("https://cao.dolgi.msk.ru/account/1011448892/", 1011448892)</f>
        <v>1011448892</v>
      </c>
      <c r="D22072">
        <v>0</v>
      </c>
    </row>
    <row r="22073" spans="1:4" x14ac:dyDescent="0.3">
      <c r="A22073" t="s">
        <v>1207</v>
      </c>
      <c r="B22073" t="s">
        <v>75</v>
      </c>
      <c r="C22073" s="1">
        <f>HYPERLINK("https://cao.dolgi.msk.ru/account/1011448833/", 1011448833)</f>
        <v>1011448833</v>
      </c>
      <c r="D22073">
        <v>4594.54</v>
      </c>
    </row>
    <row r="22074" spans="1:4" hidden="1" x14ac:dyDescent="0.3">
      <c r="A22074" t="s">
        <v>1207</v>
      </c>
      <c r="B22074" t="s">
        <v>76</v>
      </c>
      <c r="C22074" s="1">
        <f>HYPERLINK("https://cao.dolgi.msk.ru/account/1011448649/", 1011448649)</f>
        <v>1011448649</v>
      </c>
      <c r="D22074">
        <v>0</v>
      </c>
    </row>
    <row r="22075" spans="1:4" hidden="1" x14ac:dyDescent="0.3">
      <c r="A22075" t="s">
        <v>1207</v>
      </c>
      <c r="B22075" t="s">
        <v>76</v>
      </c>
      <c r="C22075" s="1">
        <f>HYPERLINK("https://cao.dolgi.msk.ru/account/1011449027/", 1011449027)</f>
        <v>1011449027</v>
      </c>
      <c r="D22075">
        <v>0</v>
      </c>
    </row>
    <row r="22076" spans="1:4" hidden="1" x14ac:dyDescent="0.3">
      <c r="A22076" t="s">
        <v>1207</v>
      </c>
      <c r="B22076" t="s">
        <v>76</v>
      </c>
      <c r="C22076" s="1">
        <f>HYPERLINK("https://cao.dolgi.msk.ru/account/1011449166/", 1011449166)</f>
        <v>1011449166</v>
      </c>
      <c r="D22076">
        <v>-5396.61</v>
      </c>
    </row>
    <row r="22077" spans="1:4" hidden="1" x14ac:dyDescent="0.3">
      <c r="A22077" t="s">
        <v>1207</v>
      </c>
      <c r="B22077" t="s">
        <v>77</v>
      </c>
      <c r="C22077" s="1">
        <f>HYPERLINK("https://cao.dolgi.msk.ru/account/1011448606/", 1011448606)</f>
        <v>1011448606</v>
      </c>
      <c r="D22077">
        <v>-1959</v>
      </c>
    </row>
    <row r="22078" spans="1:4" hidden="1" x14ac:dyDescent="0.3">
      <c r="A22078" t="s">
        <v>1207</v>
      </c>
      <c r="B22078" t="s">
        <v>78</v>
      </c>
      <c r="C22078" s="1">
        <f>HYPERLINK("https://cao.dolgi.msk.ru/account/1011448796/", 1011448796)</f>
        <v>1011448796</v>
      </c>
      <c r="D22078">
        <v>0</v>
      </c>
    </row>
    <row r="22079" spans="1:4" hidden="1" x14ac:dyDescent="0.3">
      <c r="A22079" t="s">
        <v>1207</v>
      </c>
      <c r="B22079" t="s">
        <v>79</v>
      </c>
      <c r="C22079" s="1">
        <f>HYPERLINK("https://cao.dolgi.msk.ru/account/1011448665/", 1011448665)</f>
        <v>1011448665</v>
      </c>
      <c r="D22079">
        <v>-9349.8700000000008</v>
      </c>
    </row>
    <row r="22080" spans="1:4" hidden="1" x14ac:dyDescent="0.3">
      <c r="A22080" t="s">
        <v>1207</v>
      </c>
      <c r="B22080" t="s">
        <v>80</v>
      </c>
      <c r="C22080" s="1">
        <f>HYPERLINK("https://cao.dolgi.msk.ru/account/1011449035/", 1011449035)</f>
        <v>1011449035</v>
      </c>
      <c r="D22080">
        <v>-3926.73</v>
      </c>
    </row>
    <row r="22081" spans="1:4" hidden="1" x14ac:dyDescent="0.3">
      <c r="A22081" t="s">
        <v>1207</v>
      </c>
      <c r="B22081" t="s">
        <v>81</v>
      </c>
      <c r="C22081" s="1">
        <f>HYPERLINK("https://cao.dolgi.msk.ru/account/1011449369/", 1011449369)</f>
        <v>1011449369</v>
      </c>
      <c r="D22081">
        <v>0</v>
      </c>
    </row>
    <row r="22082" spans="1:4" x14ac:dyDescent="0.3">
      <c r="A22082" t="s">
        <v>1207</v>
      </c>
      <c r="B22082" t="s">
        <v>101</v>
      </c>
      <c r="C22082" s="1">
        <f>HYPERLINK("https://cao.dolgi.msk.ru/account/1011448331/", 1011448331)</f>
        <v>1011448331</v>
      </c>
      <c r="D22082">
        <v>10133.709999999999</v>
      </c>
    </row>
    <row r="22083" spans="1:4" x14ac:dyDescent="0.3">
      <c r="A22083" t="s">
        <v>1207</v>
      </c>
      <c r="B22083" t="s">
        <v>82</v>
      </c>
      <c r="C22083" s="1">
        <f>HYPERLINK("https://cao.dolgi.msk.ru/account/1011448745/", 1011448745)</f>
        <v>1011448745</v>
      </c>
      <c r="D22083">
        <v>6248.36</v>
      </c>
    </row>
    <row r="22084" spans="1:4" x14ac:dyDescent="0.3">
      <c r="A22084" t="s">
        <v>1207</v>
      </c>
      <c r="B22084" t="s">
        <v>83</v>
      </c>
      <c r="C22084" s="1">
        <f>HYPERLINK("https://cao.dolgi.msk.ru/account/1011449078/", 1011449078)</f>
        <v>1011449078</v>
      </c>
      <c r="D22084">
        <v>5600.24</v>
      </c>
    </row>
    <row r="22085" spans="1:4" x14ac:dyDescent="0.3">
      <c r="A22085" t="s">
        <v>1207</v>
      </c>
      <c r="B22085" t="s">
        <v>84</v>
      </c>
      <c r="C22085" s="1">
        <f>HYPERLINK("https://cao.dolgi.msk.ru/account/1011449123/", 1011449123)</f>
        <v>1011449123</v>
      </c>
      <c r="D22085">
        <v>16753.95</v>
      </c>
    </row>
    <row r="22086" spans="1:4" hidden="1" x14ac:dyDescent="0.3">
      <c r="A22086" t="s">
        <v>1207</v>
      </c>
      <c r="B22086" t="s">
        <v>85</v>
      </c>
      <c r="C22086" s="1">
        <f>HYPERLINK("https://cao.dolgi.msk.ru/account/1011448403/", 1011448403)</f>
        <v>1011448403</v>
      </c>
      <c r="D22086">
        <v>0</v>
      </c>
    </row>
    <row r="22087" spans="1:4" x14ac:dyDescent="0.3">
      <c r="A22087" t="s">
        <v>1207</v>
      </c>
      <c r="B22087" t="s">
        <v>102</v>
      </c>
      <c r="C22087" s="1">
        <f>HYPERLINK("https://cao.dolgi.msk.ru/account/1011449094/", 1011449094)</f>
        <v>1011449094</v>
      </c>
      <c r="D22087">
        <v>3219.87</v>
      </c>
    </row>
    <row r="22088" spans="1:4" hidden="1" x14ac:dyDescent="0.3">
      <c r="A22088" t="s">
        <v>1207</v>
      </c>
      <c r="B22088" t="s">
        <v>103</v>
      </c>
      <c r="C22088" s="1">
        <f>HYPERLINK("https://cao.dolgi.msk.ru/account/1011448841/", 1011448841)</f>
        <v>1011448841</v>
      </c>
      <c r="D22088">
        <v>0</v>
      </c>
    </row>
    <row r="22089" spans="1:4" hidden="1" x14ac:dyDescent="0.3">
      <c r="A22089" t="s">
        <v>1208</v>
      </c>
      <c r="B22089" t="s">
        <v>104</v>
      </c>
      <c r="C22089" s="1">
        <f>HYPERLINK("https://cao.dolgi.msk.ru/account/1011490783/", 1011490783)</f>
        <v>1011490783</v>
      </c>
      <c r="D22089">
        <v>-3252.66</v>
      </c>
    </row>
    <row r="22090" spans="1:4" hidden="1" x14ac:dyDescent="0.3">
      <c r="A22090" t="s">
        <v>1208</v>
      </c>
      <c r="B22090" t="s">
        <v>104</v>
      </c>
      <c r="C22090" s="1">
        <f>HYPERLINK("https://cao.dolgi.msk.ru/account/1011490871/", 1011490871)</f>
        <v>1011490871</v>
      </c>
      <c r="D22090">
        <v>-6302.11</v>
      </c>
    </row>
    <row r="22091" spans="1:4" hidden="1" x14ac:dyDescent="0.3">
      <c r="A22091" t="s">
        <v>1208</v>
      </c>
      <c r="B22091" t="s">
        <v>104</v>
      </c>
      <c r="C22091" s="1">
        <f>HYPERLINK("https://cao.dolgi.msk.ru/account/1011491145/", 1011491145)</f>
        <v>1011491145</v>
      </c>
      <c r="D22091">
        <v>-1721.36</v>
      </c>
    </row>
    <row r="22092" spans="1:4" hidden="1" x14ac:dyDescent="0.3">
      <c r="A22092" t="s">
        <v>1208</v>
      </c>
      <c r="B22092" t="s">
        <v>104</v>
      </c>
      <c r="C22092" s="1">
        <f>HYPERLINK("https://cao.dolgi.msk.ru/account/1011491831/", 1011491831)</f>
        <v>1011491831</v>
      </c>
      <c r="D22092">
        <v>-1461.36</v>
      </c>
    </row>
    <row r="22093" spans="1:4" hidden="1" x14ac:dyDescent="0.3">
      <c r="A22093" t="s">
        <v>1208</v>
      </c>
      <c r="B22093" t="s">
        <v>105</v>
      </c>
      <c r="C22093" s="1">
        <f>HYPERLINK("https://cao.dolgi.msk.ru/account/1011491153/", 1011491153)</f>
        <v>1011491153</v>
      </c>
      <c r="D22093">
        <v>0</v>
      </c>
    </row>
    <row r="22094" spans="1:4" x14ac:dyDescent="0.3">
      <c r="A22094" t="s">
        <v>1208</v>
      </c>
      <c r="B22094" t="s">
        <v>106</v>
      </c>
      <c r="C22094" s="1">
        <f>HYPERLINK("https://cao.dolgi.msk.ru/account/1011491292/", 1011491292)</f>
        <v>1011491292</v>
      </c>
      <c r="D22094">
        <v>72177.240000000005</v>
      </c>
    </row>
    <row r="22095" spans="1:4" hidden="1" x14ac:dyDescent="0.3">
      <c r="A22095" t="s">
        <v>1208</v>
      </c>
      <c r="B22095" t="s">
        <v>107</v>
      </c>
      <c r="C22095" s="1">
        <f>HYPERLINK("https://cao.dolgi.msk.ru/account/1011490898/", 1011490898)</f>
        <v>1011490898</v>
      </c>
      <c r="D22095">
        <v>0</v>
      </c>
    </row>
    <row r="22096" spans="1:4" hidden="1" x14ac:dyDescent="0.3">
      <c r="A22096" t="s">
        <v>1208</v>
      </c>
      <c r="B22096" t="s">
        <v>107</v>
      </c>
      <c r="C22096" s="1">
        <f>HYPERLINK("https://cao.dolgi.msk.ru/account/1011491305/", 1011491305)</f>
        <v>1011491305</v>
      </c>
      <c r="D22096">
        <v>0</v>
      </c>
    </row>
    <row r="22097" spans="1:4" hidden="1" x14ac:dyDescent="0.3">
      <c r="A22097" t="s">
        <v>1208</v>
      </c>
      <c r="B22097" t="s">
        <v>107</v>
      </c>
      <c r="C22097" s="1">
        <f>HYPERLINK("https://cao.dolgi.msk.ru/account/1011491583/", 1011491583)</f>
        <v>1011491583</v>
      </c>
      <c r="D22097">
        <v>0</v>
      </c>
    </row>
    <row r="22098" spans="1:4" hidden="1" x14ac:dyDescent="0.3">
      <c r="A22098" t="s">
        <v>1208</v>
      </c>
      <c r="B22098" t="s">
        <v>108</v>
      </c>
      <c r="C22098" s="1">
        <f>HYPERLINK("https://cao.dolgi.msk.ru/account/1011491161/", 1011491161)</f>
        <v>1011491161</v>
      </c>
      <c r="D22098">
        <v>-5750.79</v>
      </c>
    </row>
    <row r="22099" spans="1:4" hidden="1" x14ac:dyDescent="0.3">
      <c r="A22099" t="s">
        <v>1208</v>
      </c>
      <c r="B22099" t="s">
        <v>109</v>
      </c>
      <c r="C22099" s="1">
        <f>HYPERLINK("https://cao.dolgi.msk.ru/account/1011491591/", 1011491591)</f>
        <v>1011491591</v>
      </c>
      <c r="D22099">
        <v>0</v>
      </c>
    </row>
    <row r="22100" spans="1:4" hidden="1" x14ac:dyDescent="0.3">
      <c r="A22100" t="s">
        <v>1208</v>
      </c>
      <c r="B22100" t="s">
        <v>110</v>
      </c>
      <c r="C22100" s="1">
        <f>HYPERLINK("https://cao.dolgi.msk.ru/account/1011490919/", 1011490919)</f>
        <v>1011490919</v>
      </c>
      <c r="D22100">
        <v>0</v>
      </c>
    </row>
    <row r="22101" spans="1:4" hidden="1" x14ac:dyDescent="0.3">
      <c r="A22101" t="s">
        <v>1208</v>
      </c>
      <c r="B22101" t="s">
        <v>110</v>
      </c>
      <c r="C22101" s="1">
        <f>HYPERLINK("https://cao.dolgi.msk.ru/account/1011491479/", 1011491479)</f>
        <v>1011491479</v>
      </c>
      <c r="D22101">
        <v>0</v>
      </c>
    </row>
    <row r="22102" spans="1:4" hidden="1" x14ac:dyDescent="0.3">
      <c r="A22102" t="s">
        <v>1208</v>
      </c>
      <c r="B22102" t="s">
        <v>111</v>
      </c>
      <c r="C22102" s="1">
        <f>HYPERLINK("https://cao.dolgi.msk.ru/account/1011491188/", 1011491188)</f>
        <v>1011491188</v>
      </c>
      <c r="D22102">
        <v>-6280.14</v>
      </c>
    </row>
    <row r="22103" spans="1:4" hidden="1" x14ac:dyDescent="0.3">
      <c r="A22103" t="s">
        <v>1208</v>
      </c>
      <c r="B22103" t="s">
        <v>112</v>
      </c>
      <c r="C22103" s="1">
        <f>HYPERLINK("https://cao.dolgi.msk.ru/account/1011491313/", 1011491313)</f>
        <v>1011491313</v>
      </c>
      <c r="D22103">
        <v>-5888.33</v>
      </c>
    </row>
    <row r="22104" spans="1:4" hidden="1" x14ac:dyDescent="0.3">
      <c r="A22104" t="s">
        <v>1208</v>
      </c>
      <c r="B22104" t="s">
        <v>113</v>
      </c>
      <c r="C22104" s="1">
        <f>HYPERLINK("https://cao.dolgi.msk.ru/account/1011491743/", 1011491743)</f>
        <v>1011491743</v>
      </c>
      <c r="D22104">
        <v>-8890.48</v>
      </c>
    </row>
    <row r="22105" spans="1:4" hidden="1" x14ac:dyDescent="0.3">
      <c r="A22105" t="s">
        <v>1208</v>
      </c>
      <c r="B22105" t="s">
        <v>114</v>
      </c>
      <c r="C22105" s="1">
        <f>HYPERLINK("https://cao.dolgi.msk.ru/account/1011491321/", 1011491321)</f>
        <v>1011491321</v>
      </c>
      <c r="D22105">
        <v>0</v>
      </c>
    </row>
    <row r="22106" spans="1:4" x14ac:dyDescent="0.3">
      <c r="A22106" t="s">
        <v>1208</v>
      </c>
      <c r="B22106" t="s">
        <v>115</v>
      </c>
      <c r="C22106" s="1">
        <f>HYPERLINK("https://cao.dolgi.msk.ru/account/1011491751/", 1011491751)</f>
        <v>1011491751</v>
      </c>
      <c r="D22106">
        <v>13931.35</v>
      </c>
    </row>
    <row r="22107" spans="1:4" hidden="1" x14ac:dyDescent="0.3">
      <c r="A22107" t="s">
        <v>1208</v>
      </c>
      <c r="B22107" t="s">
        <v>116</v>
      </c>
      <c r="C22107" s="1">
        <f>HYPERLINK("https://cao.dolgi.msk.ru/account/1011491196/", 1011491196)</f>
        <v>1011491196</v>
      </c>
      <c r="D22107">
        <v>0</v>
      </c>
    </row>
    <row r="22108" spans="1:4" x14ac:dyDescent="0.3">
      <c r="A22108" t="s">
        <v>1208</v>
      </c>
      <c r="B22108" t="s">
        <v>266</v>
      </c>
      <c r="C22108" s="1">
        <f>HYPERLINK("https://cao.dolgi.msk.ru/account/1011491604/", 1011491604)</f>
        <v>1011491604</v>
      </c>
      <c r="D22108">
        <v>6643.77</v>
      </c>
    </row>
    <row r="22109" spans="1:4" hidden="1" x14ac:dyDescent="0.3">
      <c r="A22109" t="s">
        <v>1208</v>
      </c>
      <c r="B22109" t="s">
        <v>117</v>
      </c>
      <c r="C22109" s="1">
        <f>HYPERLINK("https://cao.dolgi.msk.ru/account/1011491778/", 1011491778)</f>
        <v>1011491778</v>
      </c>
      <c r="D22109">
        <v>0</v>
      </c>
    </row>
    <row r="22110" spans="1:4" x14ac:dyDescent="0.3">
      <c r="A22110" t="s">
        <v>1208</v>
      </c>
      <c r="B22110" t="s">
        <v>118</v>
      </c>
      <c r="C22110" s="1">
        <f>HYPERLINK("https://cao.dolgi.msk.ru/account/1011491348/", 1011491348)</f>
        <v>1011491348</v>
      </c>
      <c r="D22110">
        <v>13010.46</v>
      </c>
    </row>
    <row r="22111" spans="1:4" hidden="1" x14ac:dyDescent="0.3">
      <c r="A22111" t="s">
        <v>1208</v>
      </c>
      <c r="B22111" t="s">
        <v>119</v>
      </c>
      <c r="C22111" s="1">
        <f>HYPERLINK("https://cao.dolgi.msk.ru/account/1011491209/", 1011491209)</f>
        <v>1011491209</v>
      </c>
      <c r="D22111">
        <v>-4387.13</v>
      </c>
    </row>
    <row r="22112" spans="1:4" hidden="1" x14ac:dyDescent="0.3">
      <c r="A22112" t="s">
        <v>1208</v>
      </c>
      <c r="B22112" t="s">
        <v>120</v>
      </c>
      <c r="C22112" s="1">
        <f>HYPERLINK("https://cao.dolgi.msk.ru/account/1011491014/", 1011491014)</f>
        <v>1011491014</v>
      </c>
      <c r="D22112">
        <v>-787.08</v>
      </c>
    </row>
    <row r="22113" spans="1:4" hidden="1" x14ac:dyDescent="0.3">
      <c r="A22113" t="s">
        <v>1208</v>
      </c>
      <c r="B22113" t="s">
        <v>121</v>
      </c>
      <c r="C22113" s="1">
        <f>HYPERLINK("https://cao.dolgi.msk.ru/account/1011491786/", 1011491786)</f>
        <v>1011491786</v>
      </c>
      <c r="D22113">
        <v>0</v>
      </c>
    </row>
    <row r="22114" spans="1:4" hidden="1" x14ac:dyDescent="0.3">
      <c r="A22114" t="s">
        <v>1208</v>
      </c>
      <c r="B22114" t="s">
        <v>122</v>
      </c>
      <c r="C22114" s="1">
        <f>HYPERLINK("https://cao.dolgi.msk.ru/account/1011491356/", 1011491356)</f>
        <v>1011491356</v>
      </c>
      <c r="D22114">
        <v>0</v>
      </c>
    </row>
    <row r="22115" spans="1:4" hidden="1" x14ac:dyDescent="0.3">
      <c r="A22115" t="s">
        <v>1208</v>
      </c>
      <c r="B22115" t="s">
        <v>123</v>
      </c>
      <c r="C22115" s="1">
        <f>HYPERLINK("https://cao.dolgi.msk.ru/account/1011491217/", 1011491217)</f>
        <v>1011491217</v>
      </c>
      <c r="D22115">
        <v>0</v>
      </c>
    </row>
    <row r="22116" spans="1:4" hidden="1" x14ac:dyDescent="0.3">
      <c r="A22116" t="s">
        <v>1208</v>
      </c>
      <c r="B22116" t="s">
        <v>124</v>
      </c>
      <c r="C22116" s="1">
        <f>HYPERLINK("https://cao.dolgi.msk.ru/account/1011491487/", 1011491487)</f>
        <v>1011491487</v>
      </c>
      <c r="D22116">
        <v>0</v>
      </c>
    </row>
    <row r="22117" spans="1:4" hidden="1" x14ac:dyDescent="0.3">
      <c r="A22117" t="s">
        <v>1208</v>
      </c>
      <c r="B22117" t="s">
        <v>125</v>
      </c>
      <c r="C22117" s="1">
        <f>HYPERLINK("https://cao.dolgi.msk.ru/account/1011490863/", 1011490863)</f>
        <v>1011490863</v>
      </c>
      <c r="D22117">
        <v>0</v>
      </c>
    </row>
    <row r="22118" spans="1:4" hidden="1" x14ac:dyDescent="0.3">
      <c r="A22118" t="s">
        <v>1208</v>
      </c>
      <c r="B22118" t="s">
        <v>126</v>
      </c>
      <c r="C22118" s="1">
        <f>HYPERLINK("https://cao.dolgi.msk.ru/account/1011491794/", 1011491794)</f>
        <v>1011491794</v>
      </c>
      <c r="D22118">
        <v>0</v>
      </c>
    </row>
    <row r="22119" spans="1:4" hidden="1" x14ac:dyDescent="0.3">
      <c r="A22119" t="s">
        <v>1208</v>
      </c>
      <c r="B22119" t="s">
        <v>127</v>
      </c>
      <c r="C22119" s="1">
        <f>HYPERLINK("https://cao.dolgi.msk.ru/account/1011491022/", 1011491022)</f>
        <v>1011491022</v>
      </c>
      <c r="D22119">
        <v>0</v>
      </c>
    </row>
    <row r="22120" spans="1:4" hidden="1" x14ac:dyDescent="0.3">
      <c r="A22120" t="s">
        <v>1208</v>
      </c>
      <c r="B22120" t="s">
        <v>262</v>
      </c>
      <c r="C22120" s="1">
        <f>HYPERLINK("https://cao.dolgi.msk.ru/account/1011490927/", 1011490927)</f>
        <v>1011490927</v>
      </c>
      <c r="D22120">
        <v>-121.59</v>
      </c>
    </row>
    <row r="22121" spans="1:4" hidden="1" x14ac:dyDescent="0.3">
      <c r="A22121" t="s">
        <v>1208</v>
      </c>
      <c r="B22121" t="s">
        <v>128</v>
      </c>
      <c r="C22121" s="1">
        <f>HYPERLINK("https://cao.dolgi.msk.ru/account/1011491049/", 1011491049)</f>
        <v>1011491049</v>
      </c>
      <c r="D22121">
        <v>-62.84</v>
      </c>
    </row>
    <row r="22122" spans="1:4" hidden="1" x14ac:dyDescent="0.3">
      <c r="A22122" t="s">
        <v>1208</v>
      </c>
      <c r="B22122" t="s">
        <v>128</v>
      </c>
      <c r="C22122" s="1">
        <f>HYPERLINK("https://cao.dolgi.msk.ru/account/1011491057/", 1011491057)</f>
        <v>1011491057</v>
      </c>
      <c r="D22122">
        <v>0</v>
      </c>
    </row>
    <row r="22123" spans="1:4" hidden="1" x14ac:dyDescent="0.3">
      <c r="A22123" t="s">
        <v>1208</v>
      </c>
      <c r="B22123" t="s">
        <v>128</v>
      </c>
      <c r="C22123" s="1">
        <f>HYPERLINK("https://cao.dolgi.msk.ru/account/1011491727/", 1011491727)</f>
        <v>1011491727</v>
      </c>
      <c r="D22123">
        <v>0</v>
      </c>
    </row>
    <row r="22124" spans="1:4" hidden="1" x14ac:dyDescent="0.3">
      <c r="A22124" t="s">
        <v>1208</v>
      </c>
      <c r="B22124" t="s">
        <v>129</v>
      </c>
      <c r="C22124" s="1">
        <f>HYPERLINK("https://cao.dolgi.msk.ru/account/1011491364/", 1011491364)</f>
        <v>1011491364</v>
      </c>
      <c r="D22124">
        <v>0</v>
      </c>
    </row>
    <row r="22125" spans="1:4" hidden="1" x14ac:dyDescent="0.3">
      <c r="A22125" t="s">
        <v>1208</v>
      </c>
      <c r="B22125" t="s">
        <v>130</v>
      </c>
      <c r="C22125" s="1">
        <f>HYPERLINK("https://cao.dolgi.msk.ru/account/1011491065/", 1011491065)</f>
        <v>1011491065</v>
      </c>
      <c r="D22125">
        <v>0</v>
      </c>
    </row>
    <row r="22126" spans="1:4" hidden="1" x14ac:dyDescent="0.3">
      <c r="A22126" t="s">
        <v>1208</v>
      </c>
      <c r="B22126" t="s">
        <v>131</v>
      </c>
      <c r="C22126" s="1">
        <f>HYPERLINK("https://cao.dolgi.msk.ru/account/1011491807/", 1011491807)</f>
        <v>1011491807</v>
      </c>
      <c r="D22126">
        <v>0</v>
      </c>
    </row>
    <row r="22127" spans="1:4" hidden="1" x14ac:dyDescent="0.3">
      <c r="A22127" t="s">
        <v>1208</v>
      </c>
      <c r="B22127" t="s">
        <v>132</v>
      </c>
      <c r="C22127" s="1">
        <f>HYPERLINK("https://cao.dolgi.msk.ru/account/1011491225/", 1011491225)</f>
        <v>1011491225</v>
      </c>
      <c r="D22127">
        <v>0</v>
      </c>
    </row>
    <row r="22128" spans="1:4" x14ac:dyDescent="0.3">
      <c r="A22128" t="s">
        <v>1208</v>
      </c>
      <c r="B22128" t="s">
        <v>133</v>
      </c>
      <c r="C22128" s="1">
        <f>HYPERLINK("https://cao.dolgi.msk.ru/account/1011491372/", 1011491372)</f>
        <v>1011491372</v>
      </c>
      <c r="D22128">
        <v>18090.29</v>
      </c>
    </row>
    <row r="22129" spans="1:4" hidden="1" x14ac:dyDescent="0.3">
      <c r="A22129" t="s">
        <v>1208</v>
      </c>
      <c r="B22129" t="s">
        <v>134</v>
      </c>
      <c r="C22129" s="1">
        <f>HYPERLINK("https://cao.dolgi.msk.ru/account/1011491495/", 1011491495)</f>
        <v>1011491495</v>
      </c>
      <c r="D22129">
        <v>-7507.13</v>
      </c>
    </row>
    <row r="22130" spans="1:4" x14ac:dyDescent="0.3">
      <c r="A22130" t="s">
        <v>1208</v>
      </c>
      <c r="B22130" t="s">
        <v>135</v>
      </c>
      <c r="C22130" s="1">
        <f>HYPERLINK("https://cao.dolgi.msk.ru/account/1011491399/", 1011491399)</f>
        <v>1011491399</v>
      </c>
      <c r="D22130">
        <v>9795.34</v>
      </c>
    </row>
    <row r="22131" spans="1:4" hidden="1" x14ac:dyDescent="0.3">
      <c r="A22131" t="s">
        <v>1208</v>
      </c>
      <c r="B22131" t="s">
        <v>264</v>
      </c>
      <c r="C22131" s="1">
        <f>HYPERLINK("https://cao.dolgi.msk.ru/account/1011491612/", 1011491612)</f>
        <v>1011491612</v>
      </c>
      <c r="D22131">
        <v>0</v>
      </c>
    </row>
    <row r="22132" spans="1:4" x14ac:dyDescent="0.3">
      <c r="A22132" t="s">
        <v>1208</v>
      </c>
      <c r="B22132" t="s">
        <v>136</v>
      </c>
      <c r="C22132" s="1">
        <f>HYPERLINK("https://cao.dolgi.msk.ru/account/1011491401/", 1011491401)</f>
        <v>1011491401</v>
      </c>
      <c r="D22132">
        <v>171.24</v>
      </c>
    </row>
    <row r="22133" spans="1:4" x14ac:dyDescent="0.3">
      <c r="A22133" t="s">
        <v>1208</v>
      </c>
      <c r="B22133" t="s">
        <v>137</v>
      </c>
      <c r="C22133" s="1">
        <f>HYPERLINK("https://cao.dolgi.msk.ru/account/1011491428/", 1011491428)</f>
        <v>1011491428</v>
      </c>
      <c r="D22133">
        <v>8234.85</v>
      </c>
    </row>
    <row r="22134" spans="1:4" hidden="1" x14ac:dyDescent="0.3">
      <c r="A22134" t="s">
        <v>1208</v>
      </c>
      <c r="B22134" t="s">
        <v>138</v>
      </c>
      <c r="C22134" s="1">
        <f>HYPERLINK("https://cao.dolgi.msk.ru/account/1011491508/", 1011491508)</f>
        <v>1011491508</v>
      </c>
      <c r="D22134">
        <v>0</v>
      </c>
    </row>
    <row r="22135" spans="1:4" hidden="1" x14ac:dyDescent="0.3">
      <c r="A22135" t="s">
        <v>1208</v>
      </c>
      <c r="B22135" t="s">
        <v>139</v>
      </c>
      <c r="C22135" s="1">
        <f>HYPERLINK("https://cao.dolgi.msk.ru/account/1011491516/", 1011491516)</f>
        <v>1011491516</v>
      </c>
      <c r="D22135">
        <v>0</v>
      </c>
    </row>
    <row r="22136" spans="1:4" x14ac:dyDescent="0.3">
      <c r="A22136" t="s">
        <v>1208</v>
      </c>
      <c r="B22136" t="s">
        <v>140</v>
      </c>
      <c r="C22136" s="1">
        <f>HYPERLINK("https://cao.dolgi.msk.ru/account/1011491233/", 1011491233)</f>
        <v>1011491233</v>
      </c>
      <c r="D22136">
        <v>5848.25</v>
      </c>
    </row>
    <row r="22137" spans="1:4" hidden="1" x14ac:dyDescent="0.3">
      <c r="A22137" t="s">
        <v>1208</v>
      </c>
      <c r="B22137" t="s">
        <v>141</v>
      </c>
      <c r="C22137" s="1">
        <f>HYPERLINK("https://cao.dolgi.msk.ru/account/1011491735/", 1011491735)</f>
        <v>1011491735</v>
      </c>
      <c r="D22137">
        <v>-898.4</v>
      </c>
    </row>
    <row r="22138" spans="1:4" hidden="1" x14ac:dyDescent="0.3">
      <c r="A22138" t="s">
        <v>1208</v>
      </c>
      <c r="B22138" t="s">
        <v>142</v>
      </c>
      <c r="C22138" s="1">
        <f>HYPERLINK("https://cao.dolgi.msk.ru/account/1011491639/", 1011491639)</f>
        <v>1011491639</v>
      </c>
      <c r="D22138">
        <v>0</v>
      </c>
    </row>
    <row r="22139" spans="1:4" x14ac:dyDescent="0.3">
      <c r="A22139" t="s">
        <v>1208</v>
      </c>
      <c r="B22139" t="s">
        <v>143</v>
      </c>
      <c r="C22139" s="1">
        <f>HYPERLINK("https://cao.dolgi.msk.ru/account/1011490935/", 1011490935)</f>
        <v>1011490935</v>
      </c>
      <c r="D22139">
        <v>5366.97</v>
      </c>
    </row>
    <row r="22140" spans="1:4" x14ac:dyDescent="0.3">
      <c r="A22140" t="s">
        <v>1208</v>
      </c>
      <c r="B22140" t="s">
        <v>143</v>
      </c>
      <c r="C22140" s="1">
        <f>HYPERLINK("https://cao.dolgi.msk.ru/account/1011491073/", 1011491073)</f>
        <v>1011491073</v>
      </c>
      <c r="D22140">
        <v>4012.54</v>
      </c>
    </row>
    <row r="22141" spans="1:4" x14ac:dyDescent="0.3">
      <c r="A22141" t="s">
        <v>1208</v>
      </c>
      <c r="B22141" t="s">
        <v>143</v>
      </c>
      <c r="C22141" s="1">
        <f>HYPERLINK("https://cao.dolgi.msk.ru/account/1011491524/", 1011491524)</f>
        <v>1011491524</v>
      </c>
      <c r="D22141">
        <v>67373.679999999993</v>
      </c>
    </row>
    <row r="22142" spans="1:4" hidden="1" x14ac:dyDescent="0.3">
      <c r="A22142" t="s">
        <v>1208</v>
      </c>
      <c r="B22142" t="s">
        <v>144</v>
      </c>
      <c r="C22142" s="1">
        <f>HYPERLINK("https://cao.dolgi.msk.ru/account/1011491647/", 1011491647)</f>
        <v>1011491647</v>
      </c>
      <c r="D22142">
        <v>0</v>
      </c>
    </row>
    <row r="22143" spans="1:4" hidden="1" x14ac:dyDescent="0.3">
      <c r="A22143" t="s">
        <v>1208</v>
      </c>
      <c r="B22143" t="s">
        <v>145</v>
      </c>
      <c r="C22143" s="1">
        <f>HYPERLINK("https://cao.dolgi.msk.ru/account/1011490943/", 1011490943)</f>
        <v>1011490943</v>
      </c>
      <c r="D22143">
        <v>0</v>
      </c>
    </row>
    <row r="22144" spans="1:4" hidden="1" x14ac:dyDescent="0.3">
      <c r="A22144" t="s">
        <v>1208</v>
      </c>
      <c r="B22144" t="s">
        <v>146</v>
      </c>
      <c r="C22144" s="1">
        <f>HYPERLINK("https://cao.dolgi.msk.ru/account/1011491532/", 1011491532)</f>
        <v>1011491532</v>
      </c>
      <c r="D22144">
        <v>-17433.84</v>
      </c>
    </row>
    <row r="22145" spans="1:4" hidden="1" x14ac:dyDescent="0.3">
      <c r="A22145" t="s">
        <v>1208</v>
      </c>
      <c r="B22145" t="s">
        <v>147</v>
      </c>
      <c r="C22145" s="1">
        <f>HYPERLINK("https://cao.dolgi.msk.ru/account/1011490791/", 1011490791)</f>
        <v>1011490791</v>
      </c>
      <c r="D22145">
        <v>0</v>
      </c>
    </row>
    <row r="22146" spans="1:4" x14ac:dyDescent="0.3">
      <c r="A22146" t="s">
        <v>1208</v>
      </c>
      <c r="B22146" t="s">
        <v>148</v>
      </c>
      <c r="C22146" s="1">
        <f>HYPERLINK("https://cao.dolgi.msk.ru/account/1011490804/", 1011490804)</f>
        <v>1011490804</v>
      </c>
      <c r="D22146">
        <v>4539.59</v>
      </c>
    </row>
    <row r="22147" spans="1:4" hidden="1" x14ac:dyDescent="0.3">
      <c r="A22147" t="s">
        <v>1208</v>
      </c>
      <c r="B22147" t="s">
        <v>148</v>
      </c>
      <c r="C22147" s="1">
        <f>HYPERLINK("https://cao.dolgi.msk.ru/account/1011491006/", 1011491006)</f>
        <v>1011491006</v>
      </c>
      <c r="D22147">
        <v>-2715.15</v>
      </c>
    </row>
    <row r="22148" spans="1:4" x14ac:dyDescent="0.3">
      <c r="A22148" t="s">
        <v>1208</v>
      </c>
      <c r="B22148" t="s">
        <v>148</v>
      </c>
      <c r="C22148" s="1">
        <f>HYPERLINK("https://cao.dolgi.msk.ru/account/1011491559/", 1011491559)</f>
        <v>1011491559</v>
      </c>
      <c r="D22148">
        <v>31800.03</v>
      </c>
    </row>
    <row r="22149" spans="1:4" hidden="1" x14ac:dyDescent="0.3">
      <c r="A22149" t="s">
        <v>1208</v>
      </c>
      <c r="B22149" t="s">
        <v>149</v>
      </c>
      <c r="C22149" s="1">
        <f>HYPERLINK("https://cao.dolgi.msk.ru/account/1011491081/", 1011491081)</f>
        <v>1011491081</v>
      </c>
      <c r="D22149">
        <v>0</v>
      </c>
    </row>
    <row r="22150" spans="1:4" x14ac:dyDescent="0.3">
      <c r="A22150" t="s">
        <v>1208</v>
      </c>
      <c r="B22150" t="s">
        <v>150</v>
      </c>
      <c r="C22150" s="1">
        <f>HYPERLINK("https://cao.dolgi.msk.ru/account/1011491102/", 1011491102)</f>
        <v>1011491102</v>
      </c>
      <c r="D22150">
        <v>14539.14</v>
      </c>
    </row>
    <row r="22151" spans="1:4" x14ac:dyDescent="0.3">
      <c r="A22151" t="s">
        <v>1208</v>
      </c>
      <c r="B22151" t="s">
        <v>151</v>
      </c>
      <c r="C22151" s="1">
        <f>HYPERLINK("https://cao.dolgi.msk.ru/account/1011490951/", 1011490951)</f>
        <v>1011490951</v>
      </c>
      <c r="D22151">
        <v>9328.4699999999993</v>
      </c>
    </row>
    <row r="22152" spans="1:4" hidden="1" x14ac:dyDescent="0.3">
      <c r="A22152" t="s">
        <v>1208</v>
      </c>
      <c r="B22152" t="s">
        <v>152</v>
      </c>
      <c r="C22152" s="1">
        <f>HYPERLINK("https://cao.dolgi.msk.ru/account/1011490978/", 1011490978)</f>
        <v>1011490978</v>
      </c>
      <c r="D22152">
        <v>0</v>
      </c>
    </row>
    <row r="22153" spans="1:4" hidden="1" x14ac:dyDescent="0.3">
      <c r="A22153" t="s">
        <v>1208</v>
      </c>
      <c r="B22153" t="s">
        <v>153</v>
      </c>
      <c r="C22153" s="1">
        <f>HYPERLINK("https://cao.dolgi.msk.ru/account/1011490812/", 1011490812)</f>
        <v>1011490812</v>
      </c>
      <c r="D22153">
        <v>-5419.93</v>
      </c>
    </row>
    <row r="22154" spans="1:4" hidden="1" x14ac:dyDescent="0.3">
      <c r="A22154" t="s">
        <v>1208</v>
      </c>
      <c r="B22154" t="s">
        <v>154</v>
      </c>
      <c r="C22154" s="1">
        <f>HYPERLINK("https://cao.dolgi.msk.ru/account/1011491655/", 1011491655)</f>
        <v>1011491655</v>
      </c>
      <c r="D22154">
        <v>-16.78</v>
      </c>
    </row>
    <row r="22155" spans="1:4" hidden="1" x14ac:dyDescent="0.3">
      <c r="A22155" t="s">
        <v>1208</v>
      </c>
      <c r="B22155" t="s">
        <v>155</v>
      </c>
      <c r="C22155" s="1">
        <f>HYPERLINK("https://cao.dolgi.msk.ru/account/1011491268/", 1011491268)</f>
        <v>1011491268</v>
      </c>
      <c r="D22155">
        <v>0</v>
      </c>
    </row>
    <row r="22156" spans="1:4" hidden="1" x14ac:dyDescent="0.3">
      <c r="A22156" t="s">
        <v>1208</v>
      </c>
      <c r="B22156" t="s">
        <v>156</v>
      </c>
      <c r="C22156" s="1">
        <f>HYPERLINK("https://cao.dolgi.msk.ru/account/1011491129/", 1011491129)</f>
        <v>1011491129</v>
      </c>
      <c r="D22156">
        <v>-4728.67</v>
      </c>
    </row>
    <row r="22157" spans="1:4" hidden="1" x14ac:dyDescent="0.3">
      <c r="A22157" t="s">
        <v>1208</v>
      </c>
      <c r="B22157" t="s">
        <v>157</v>
      </c>
      <c r="C22157" s="1">
        <f>HYPERLINK("https://cao.dolgi.msk.ru/account/1011491436/", 1011491436)</f>
        <v>1011491436</v>
      </c>
      <c r="D22157">
        <v>-486.32</v>
      </c>
    </row>
    <row r="22158" spans="1:4" hidden="1" x14ac:dyDescent="0.3">
      <c r="A22158" t="s">
        <v>1208</v>
      </c>
      <c r="B22158" t="s">
        <v>158</v>
      </c>
      <c r="C22158" s="1">
        <f>HYPERLINK("https://cao.dolgi.msk.ru/account/1011490839/", 1011490839)</f>
        <v>1011490839</v>
      </c>
      <c r="D22158">
        <v>-6352.11</v>
      </c>
    </row>
    <row r="22159" spans="1:4" x14ac:dyDescent="0.3">
      <c r="A22159" t="s">
        <v>1208</v>
      </c>
      <c r="B22159" t="s">
        <v>159</v>
      </c>
      <c r="C22159" s="1">
        <f>HYPERLINK("https://cao.dolgi.msk.ru/account/1011490986/", 1011490986)</f>
        <v>1011490986</v>
      </c>
      <c r="D22159">
        <v>9701.4</v>
      </c>
    </row>
    <row r="22160" spans="1:4" hidden="1" x14ac:dyDescent="0.3">
      <c r="A22160" t="s">
        <v>1208</v>
      </c>
      <c r="B22160" t="s">
        <v>160</v>
      </c>
      <c r="C22160" s="1">
        <f>HYPERLINK("https://cao.dolgi.msk.ru/account/1011491444/", 1011491444)</f>
        <v>1011491444</v>
      </c>
      <c r="D22160">
        <v>0</v>
      </c>
    </row>
    <row r="22161" spans="1:4" hidden="1" x14ac:dyDescent="0.3">
      <c r="A22161" t="s">
        <v>1208</v>
      </c>
      <c r="B22161" t="s">
        <v>161</v>
      </c>
      <c r="C22161" s="1">
        <f>HYPERLINK("https://cao.dolgi.msk.ru/account/1011491452/", 1011491452)</f>
        <v>1011491452</v>
      </c>
      <c r="D22161">
        <v>0</v>
      </c>
    </row>
    <row r="22162" spans="1:4" hidden="1" x14ac:dyDescent="0.3">
      <c r="A22162" t="s">
        <v>1208</v>
      </c>
      <c r="B22162" t="s">
        <v>162</v>
      </c>
      <c r="C22162" s="1">
        <f>HYPERLINK("https://cao.dolgi.msk.ru/account/1011491567/", 1011491567)</f>
        <v>1011491567</v>
      </c>
      <c r="D22162">
        <v>-305.5</v>
      </c>
    </row>
    <row r="22163" spans="1:4" hidden="1" x14ac:dyDescent="0.3">
      <c r="A22163" t="s">
        <v>1208</v>
      </c>
      <c r="B22163" t="s">
        <v>163</v>
      </c>
      <c r="C22163" s="1">
        <f>HYPERLINK("https://cao.dolgi.msk.ru/account/1011491815/", 1011491815)</f>
        <v>1011491815</v>
      </c>
      <c r="D22163">
        <v>-7244.06</v>
      </c>
    </row>
    <row r="22164" spans="1:4" x14ac:dyDescent="0.3">
      <c r="A22164" t="s">
        <v>1208</v>
      </c>
      <c r="B22164" t="s">
        <v>164</v>
      </c>
      <c r="C22164" s="1">
        <f>HYPERLINK("https://cao.dolgi.msk.ru/account/1011491663/", 1011491663)</f>
        <v>1011491663</v>
      </c>
      <c r="D22164">
        <v>34561.730000000003</v>
      </c>
    </row>
    <row r="22165" spans="1:4" hidden="1" x14ac:dyDescent="0.3">
      <c r="A22165" t="s">
        <v>1208</v>
      </c>
      <c r="B22165" t="s">
        <v>165</v>
      </c>
      <c r="C22165" s="1">
        <f>HYPERLINK("https://cao.dolgi.msk.ru/account/1011490847/", 1011490847)</f>
        <v>1011490847</v>
      </c>
      <c r="D22165">
        <v>0</v>
      </c>
    </row>
    <row r="22166" spans="1:4" hidden="1" x14ac:dyDescent="0.3">
      <c r="A22166" t="s">
        <v>1208</v>
      </c>
      <c r="B22166" t="s">
        <v>166</v>
      </c>
      <c r="C22166" s="1">
        <f>HYPERLINK("https://cao.dolgi.msk.ru/account/1011491671/", 1011491671)</f>
        <v>1011491671</v>
      </c>
      <c r="D22166">
        <v>0</v>
      </c>
    </row>
    <row r="22167" spans="1:4" hidden="1" x14ac:dyDescent="0.3">
      <c r="A22167" t="s">
        <v>1208</v>
      </c>
      <c r="B22167" t="s">
        <v>167</v>
      </c>
      <c r="C22167" s="1">
        <f>HYPERLINK("https://cao.dolgi.msk.ru/account/1011491698/", 1011491698)</f>
        <v>1011491698</v>
      </c>
      <c r="D22167">
        <v>-9092.7099999999991</v>
      </c>
    </row>
    <row r="22168" spans="1:4" hidden="1" x14ac:dyDescent="0.3">
      <c r="A22168" t="s">
        <v>1208</v>
      </c>
      <c r="B22168" t="s">
        <v>168</v>
      </c>
      <c r="C22168" s="1">
        <f>HYPERLINK("https://cao.dolgi.msk.ru/account/1011491823/", 1011491823)</f>
        <v>1011491823</v>
      </c>
      <c r="D22168">
        <v>0</v>
      </c>
    </row>
    <row r="22169" spans="1:4" hidden="1" x14ac:dyDescent="0.3">
      <c r="A22169" t="s">
        <v>1208</v>
      </c>
      <c r="B22169" t="s">
        <v>169</v>
      </c>
      <c r="C22169" s="1">
        <f>HYPERLINK("https://cao.dolgi.msk.ru/account/1011491276/", 1011491276)</f>
        <v>1011491276</v>
      </c>
      <c r="D22169">
        <v>0</v>
      </c>
    </row>
    <row r="22170" spans="1:4" hidden="1" x14ac:dyDescent="0.3">
      <c r="A22170" t="s">
        <v>1208</v>
      </c>
      <c r="B22170" t="s">
        <v>170</v>
      </c>
      <c r="C22170" s="1">
        <f>HYPERLINK("https://cao.dolgi.msk.ru/account/1011490855/", 1011490855)</f>
        <v>1011490855</v>
      </c>
      <c r="D22170">
        <v>0</v>
      </c>
    </row>
    <row r="22171" spans="1:4" hidden="1" x14ac:dyDescent="0.3">
      <c r="A22171" t="s">
        <v>1208</v>
      </c>
      <c r="B22171" t="s">
        <v>171</v>
      </c>
      <c r="C22171" s="1">
        <f>HYPERLINK("https://cao.dolgi.msk.ru/account/1011491137/", 1011491137)</f>
        <v>1011491137</v>
      </c>
      <c r="D22171">
        <v>-2496.2199999999998</v>
      </c>
    </row>
    <row r="22172" spans="1:4" hidden="1" x14ac:dyDescent="0.3">
      <c r="A22172" t="s">
        <v>1208</v>
      </c>
      <c r="B22172" t="s">
        <v>172</v>
      </c>
      <c r="C22172" s="1">
        <f>HYPERLINK("https://cao.dolgi.msk.ru/account/1011491575/", 1011491575)</f>
        <v>1011491575</v>
      </c>
      <c r="D22172">
        <v>0</v>
      </c>
    </row>
    <row r="22173" spans="1:4" hidden="1" x14ac:dyDescent="0.3">
      <c r="A22173" t="s">
        <v>1208</v>
      </c>
      <c r="B22173" t="s">
        <v>173</v>
      </c>
      <c r="C22173" s="1">
        <f>HYPERLINK("https://cao.dolgi.msk.ru/account/1011491719/", 1011491719)</f>
        <v>1011491719</v>
      </c>
      <c r="D22173">
        <v>0</v>
      </c>
    </row>
    <row r="22174" spans="1:4" hidden="1" x14ac:dyDescent="0.3">
      <c r="A22174" t="s">
        <v>1208</v>
      </c>
      <c r="B22174" t="s">
        <v>174</v>
      </c>
      <c r="C22174" s="1">
        <f>HYPERLINK("https://cao.dolgi.msk.ru/account/1011491284/", 1011491284)</f>
        <v>1011491284</v>
      </c>
      <c r="D22174">
        <v>-5544.44</v>
      </c>
    </row>
    <row r="22175" spans="1:4" hidden="1" x14ac:dyDescent="0.3">
      <c r="A22175" t="s">
        <v>1208</v>
      </c>
      <c r="B22175" t="s">
        <v>175</v>
      </c>
      <c r="C22175" s="1">
        <f>HYPERLINK("https://cao.dolgi.msk.ru/account/1011490994/", 1011490994)</f>
        <v>1011490994</v>
      </c>
      <c r="D22175">
        <v>0</v>
      </c>
    </row>
    <row r="22176" spans="1:4" hidden="1" x14ac:dyDescent="0.3">
      <c r="A22176" t="s">
        <v>1209</v>
      </c>
      <c r="B22176" t="s">
        <v>739</v>
      </c>
      <c r="C22176" s="1">
        <f>HYPERLINK("https://cao.dolgi.msk.ru/account/1011431994/", 1011431994)</f>
        <v>1011431994</v>
      </c>
      <c r="D22176">
        <v>0</v>
      </c>
    </row>
    <row r="22177" spans="1:4" x14ac:dyDescent="0.3">
      <c r="A22177" t="s">
        <v>1209</v>
      </c>
      <c r="B22177" t="s">
        <v>5</v>
      </c>
      <c r="C22177" s="1">
        <f>HYPERLINK("https://cao.dolgi.msk.ru/account/1011431927/", 1011431927)</f>
        <v>1011431927</v>
      </c>
      <c r="D22177">
        <v>11862.59</v>
      </c>
    </row>
    <row r="22178" spans="1:4" x14ac:dyDescent="0.3">
      <c r="A22178" t="s">
        <v>1209</v>
      </c>
      <c r="B22178" t="s">
        <v>5</v>
      </c>
      <c r="C22178" s="1">
        <f>HYPERLINK("https://cao.dolgi.msk.ru/account/1011431986/", 1011431986)</f>
        <v>1011431986</v>
      </c>
      <c r="D22178">
        <v>17921.68</v>
      </c>
    </row>
    <row r="22179" spans="1:4" x14ac:dyDescent="0.3">
      <c r="A22179" t="s">
        <v>1209</v>
      </c>
      <c r="B22179" t="s">
        <v>5</v>
      </c>
      <c r="C22179" s="1">
        <f>HYPERLINK("https://cao.dolgi.msk.ru/account/1011432073/", 1011432073)</f>
        <v>1011432073</v>
      </c>
      <c r="D22179">
        <v>10697.82</v>
      </c>
    </row>
    <row r="22180" spans="1:4" x14ac:dyDescent="0.3">
      <c r="A22180" t="s">
        <v>1209</v>
      </c>
      <c r="B22180" t="s">
        <v>5</v>
      </c>
      <c r="C22180" s="1">
        <f>HYPERLINK("https://cao.dolgi.msk.ru/account/1011432081/", 1011432081)</f>
        <v>1011432081</v>
      </c>
      <c r="D22180">
        <v>3540.49</v>
      </c>
    </row>
    <row r="22181" spans="1:4" x14ac:dyDescent="0.3">
      <c r="A22181" t="s">
        <v>1209</v>
      </c>
      <c r="B22181" t="s">
        <v>7</v>
      </c>
      <c r="C22181" s="1">
        <f>HYPERLINK("https://cao.dolgi.msk.ru/account/1011431847/", 1011431847)</f>
        <v>1011431847</v>
      </c>
      <c r="D22181">
        <v>5714.9</v>
      </c>
    </row>
    <row r="22182" spans="1:4" hidden="1" x14ac:dyDescent="0.3">
      <c r="A22182" t="s">
        <v>1209</v>
      </c>
      <c r="B22182" t="s">
        <v>8</v>
      </c>
      <c r="C22182" s="1">
        <f>HYPERLINK("https://cao.dolgi.msk.ru/account/1011431812/", 1011431812)</f>
        <v>1011431812</v>
      </c>
      <c r="D22182">
        <v>0</v>
      </c>
    </row>
    <row r="22183" spans="1:4" hidden="1" x14ac:dyDescent="0.3">
      <c r="A22183" t="s">
        <v>1209</v>
      </c>
      <c r="B22183" t="s">
        <v>31</v>
      </c>
      <c r="C22183" s="1">
        <f>HYPERLINK("https://cao.dolgi.msk.ru/account/1011431951/", 1011431951)</f>
        <v>1011431951</v>
      </c>
      <c r="D22183">
        <v>-962.31</v>
      </c>
    </row>
    <row r="22184" spans="1:4" hidden="1" x14ac:dyDescent="0.3">
      <c r="A22184" t="s">
        <v>1209</v>
      </c>
      <c r="B22184" t="s">
        <v>9</v>
      </c>
      <c r="C22184" s="1">
        <f>HYPERLINK("https://cao.dolgi.msk.ru/account/1011431943/", 1011431943)</f>
        <v>1011431943</v>
      </c>
      <c r="D22184">
        <v>0</v>
      </c>
    </row>
    <row r="22185" spans="1:4" hidden="1" x14ac:dyDescent="0.3">
      <c r="A22185" t="s">
        <v>1209</v>
      </c>
      <c r="B22185" t="s">
        <v>10</v>
      </c>
      <c r="C22185" s="1">
        <f>HYPERLINK("https://cao.dolgi.msk.ru/account/1011431919/", 1011431919)</f>
        <v>1011431919</v>
      </c>
      <c r="D22185">
        <v>-5192.1499999999996</v>
      </c>
    </row>
    <row r="22186" spans="1:4" x14ac:dyDescent="0.3">
      <c r="A22186" t="s">
        <v>1209</v>
      </c>
      <c r="B22186" t="s">
        <v>11</v>
      </c>
      <c r="C22186" s="1">
        <f>HYPERLINK("https://cao.dolgi.msk.ru/account/1011432065/", 1011432065)</f>
        <v>1011432065</v>
      </c>
      <c r="D22186">
        <v>18820.14</v>
      </c>
    </row>
    <row r="22187" spans="1:4" hidden="1" x14ac:dyDescent="0.3">
      <c r="A22187" t="s">
        <v>1209</v>
      </c>
      <c r="B22187" t="s">
        <v>12</v>
      </c>
      <c r="C22187" s="1">
        <f>HYPERLINK("https://cao.dolgi.msk.ru/account/1011431898/", 1011431898)</f>
        <v>1011431898</v>
      </c>
      <c r="D22187">
        <v>-5509.31</v>
      </c>
    </row>
    <row r="22188" spans="1:4" hidden="1" x14ac:dyDescent="0.3">
      <c r="A22188" t="s">
        <v>1209</v>
      </c>
      <c r="B22188" t="s">
        <v>23</v>
      </c>
      <c r="C22188" s="1">
        <f>HYPERLINK("https://cao.dolgi.msk.ru/account/1011432049/", 1011432049)</f>
        <v>1011432049</v>
      </c>
      <c r="D22188">
        <v>-9928.86</v>
      </c>
    </row>
    <row r="22189" spans="1:4" hidden="1" x14ac:dyDescent="0.3">
      <c r="A22189" t="s">
        <v>1209</v>
      </c>
      <c r="B22189" t="s">
        <v>16</v>
      </c>
      <c r="C22189" s="1">
        <f>HYPERLINK("https://cao.dolgi.msk.ru/account/1011431855/", 1011431855)</f>
        <v>1011431855</v>
      </c>
      <c r="D22189">
        <v>0</v>
      </c>
    </row>
    <row r="22190" spans="1:4" hidden="1" x14ac:dyDescent="0.3">
      <c r="A22190" t="s">
        <v>1209</v>
      </c>
      <c r="B22190" t="s">
        <v>919</v>
      </c>
      <c r="C22190" s="1">
        <f>HYPERLINK("https://cao.dolgi.msk.ru/account/1011432057/", 1011432057)</f>
        <v>1011432057</v>
      </c>
      <c r="D22190">
        <v>0</v>
      </c>
    </row>
    <row r="22191" spans="1:4" x14ac:dyDescent="0.3">
      <c r="A22191" t="s">
        <v>1209</v>
      </c>
      <c r="B22191" t="s">
        <v>17</v>
      </c>
      <c r="C22191" s="1">
        <f>HYPERLINK("https://cao.dolgi.msk.ru/account/1011431871/", 1011431871)</f>
        <v>1011431871</v>
      </c>
      <c r="D22191">
        <v>13047.47</v>
      </c>
    </row>
    <row r="22192" spans="1:4" x14ac:dyDescent="0.3">
      <c r="A22192" t="s">
        <v>1209</v>
      </c>
      <c r="B22192" t="s">
        <v>18</v>
      </c>
      <c r="C22192" s="1">
        <f>HYPERLINK("https://cao.dolgi.msk.ru/account/1011431863/", 1011431863)</f>
        <v>1011431863</v>
      </c>
      <c r="D22192">
        <v>14124.15</v>
      </c>
    </row>
    <row r="22193" spans="1:4" hidden="1" x14ac:dyDescent="0.3">
      <c r="A22193" t="s">
        <v>1209</v>
      </c>
      <c r="B22193" t="s">
        <v>19</v>
      </c>
      <c r="C22193" s="1">
        <f>HYPERLINK("https://cao.dolgi.msk.ru/account/1011432006/", 1011432006)</f>
        <v>1011432006</v>
      </c>
      <c r="D22193">
        <v>0</v>
      </c>
    </row>
    <row r="22194" spans="1:4" hidden="1" x14ac:dyDescent="0.3">
      <c r="A22194" t="s">
        <v>1209</v>
      </c>
      <c r="B22194" t="s">
        <v>20</v>
      </c>
      <c r="C22194" s="1">
        <f>HYPERLINK("https://cao.dolgi.msk.ru/account/1011432022/", 1011432022)</f>
        <v>1011432022</v>
      </c>
      <c r="D22194">
        <v>-3885.43</v>
      </c>
    </row>
    <row r="22195" spans="1:4" x14ac:dyDescent="0.3">
      <c r="A22195" t="s">
        <v>1209</v>
      </c>
      <c r="B22195" t="s">
        <v>21</v>
      </c>
      <c r="C22195" s="1">
        <f>HYPERLINK("https://cao.dolgi.msk.ru/account/1011431935/", 1011431935)</f>
        <v>1011431935</v>
      </c>
      <c r="D22195">
        <v>4240.95</v>
      </c>
    </row>
    <row r="22196" spans="1:4" hidden="1" x14ac:dyDescent="0.3">
      <c r="A22196" t="s">
        <v>1209</v>
      </c>
      <c r="B22196" t="s">
        <v>22</v>
      </c>
      <c r="C22196" s="1">
        <f>HYPERLINK("https://cao.dolgi.msk.ru/account/1011432014/", 1011432014)</f>
        <v>1011432014</v>
      </c>
      <c r="D22196">
        <v>0</v>
      </c>
    </row>
    <row r="22197" spans="1:4" hidden="1" x14ac:dyDescent="0.3">
      <c r="A22197" t="s">
        <v>1209</v>
      </c>
      <c r="B22197" t="s">
        <v>24</v>
      </c>
      <c r="C22197" s="1">
        <f>HYPERLINK("https://cao.dolgi.msk.ru/account/1011431839/", 1011431839)</f>
        <v>1011431839</v>
      </c>
      <c r="D22197">
        <v>-3450.6</v>
      </c>
    </row>
    <row r="22198" spans="1:4" x14ac:dyDescent="0.3">
      <c r="A22198" t="s">
        <v>1209</v>
      </c>
      <c r="B22198" t="s">
        <v>25</v>
      </c>
      <c r="C22198" s="1">
        <f>HYPERLINK("https://cao.dolgi.msk.ru/account/1011510975/", 1011510975)</f>
        <v>1011510975</v>
      </c>
      <c r="D22198">
        <v>4310.7</v>
      </c>
    </row>
    <row r="22199" spans="1:4" hidden="1" x14ac:dyDescent="0.3">
      <c r="A22199" t="s">
        <v>1210</v>
      </c>
      <c r="B22199" t="s">
        <v>6</v>
      </c>
      <c r="C22199" s="1">
        <f>HYPERLINK("https://cao.dolgi.msk.ru/account/1011220046/", 1011220046)</f>
        <v>1011220046</v>
      </c>
      <c r="D22199">
        <v>-125.66</v>
      </c>
    </row>
    <row r="22200" spans="1:4" hidden="1" x14ac:dyDescent="0.3">
      <c r="A22200" t="s">
        <v>1210</v>
      </c>
      <c r="B22200" t="s">
        <v>28</v>
      </c>
      <c r="C22200" s="1">
        <f>HYPERLINK("https://cao.dolgi.msk.ru/account/1011218608/", 1011218608)</f>
        <v>1011218608</v>
      </c>
      <c r="D22200">
        <v>-3751.91</v>
      </c>
    </row>
    <row r="22201" spans="1:4" x14ac:dyDescent="0.3">
      <c r="A22201" t="s">
        <v>1210</v>
      </c>
      <c r="B22201" t="s">
        <v>35</v>
      </c>
      <c r="C22201" s="1">
        <f>HYPERLINK("https://cao.dolgi.msk.ru/account/1011219475/", 1011219475)</f>
        <v>1011219475</v>
      </c>
      <c r="D22201">
        <v>280.45</v>
      </c>
    </row>
    <row r="22202" spans="1:4" x14ac:dyDescent="0.3">
      <c r="A22202" t="s">
        <v>1210</v>
      </c>
      <c r="B22202" t="s">
        <v>7</v>
      </c>
      <c r="C22202" s="1">
        <f>HYPERLINK("https://cao.dolgi.msk.ru/account/1011219483/", 1011219483)</f>
        <v>1011219483</v>
      </c>
      <c r="D22202">
        <v>3787.37</v>
      </c>
    </row>
    <row r="22203" spans="1:4" x14ac:dyDescent="0.3">
      <c r="A22203" t="s">
        <v>1210</v>
      </c>
      <c r="B22203" t="s">
        <v>8</v>
      </c>
      <c r="C22203" s="1">
        <f>HYPERLINK("https://cao.dolgi.msk.ru/account/1011218763/", 1011218763)</f>
        <v>1011218763</v>
      </c>
      <c r="D22203">
        <v>4284.3</v>
      </c>
    </row>
    <row r="22204" spans="1:4" hidden="1" x14ac:dyDescent="0.3">
      <c r="A22204" t="s">
        <v>1210</v>
      </c>
      <c r="B22204" t="s">
        <v>31</v>
      </c>
      <c r="C22204" s="1">
        <f>HYPERLINK("https://cao.dolgi.msk.ru/account/1011218464/", 1011218464)</f>
        <v>1011218464</v>
      </c>
      <c r="D22204">
        <v>-4170.8999999999996</v>
      </c>
    </row>
    <row r="22205" spans="1:4" hidden="1" x14ac:dyDescent="0.3">
      <c r="A22205" t="s">
        <v>1210</v>
      </c>
      <c r="B22205" t="s">
        <v>9</v>
      </c>
      <c r="C22205" s="1">
        <f>HYPERLINK("https://cao.dolgi.msk.ru/account/1011219221/", 1011219221)</f>
        <v>1011219221</v>
      </c>
      <c r="D22205">
        <v>-1359.14</v>
      </c>
    </row>
    <row r="22206" spans="1:4" hidden="1" x14ac:dyDescent="0.3">
      <c r="A22206" t="s">
        <v>1210</v>
      </c>
      <c r="B22206" t="s">
        <v>10</v>
      </c>
      <c r="C22206" s="1">
        <f>HYPERLINK("https://cao.dolgi.msk.ru/account/1011220054/", 1011220054)</f>
        <v>1011220054</v>
      </c>
      <c r="D22206">
        <v>-3417.13</v>
      </c>
    </row>
    <row r="22207" spans="1:4" x14ac:dyDescent="0.3">
      <c r="A22207" t="s">
        <v>1210</v>
      </c>
      <c r="B22207" t="s">
        <v>11</v>
      </c>
      <c r="C22207" s="1">
        <f>HYPERLINK("https://cao.dolgi.msk.ru/account/1011218771/", 1011218771)</f>
        <v>1011218771</v>
      </c>
      <c r="D22207">
        <v>5838</v>
      </c>
    </row>
    <row r="22208" spans="1:4" hidden="1" x14ac:dyDescent="0.3">
      <c r="A22208" t="s">
        <v>1210</v>
      </c>
      <c r="B22208" t="s">
        <v>12</v>
      </c>
      <c r="C22208" s="1">
        <f>HYPERLINK("https://cao.dolgi.msk.ru/account/1011219491/", 1011219491)</f>
        <v>1011219491</v>
      </c>
      <c r="D22208">
        <v>-4904.01</v>
      </c>
    </row>
    <row r="22209" spans="1:4" hidden="1" x14ac:dyDescent="0.3">
      <c r="A22209" t="s">
        <v>1210</v>
      </c>
      <c r="B22209" t="s">
        <v>23</v>
      </c>
      <c r="C22209" s="1">
        <f>HYPERLINK("https://cao.dolgi.msk.ru/account/1011219504/", 1011219504)</f>
        <v>1011219504</v>
      </c>
      <c r="D22209">
        <v>-51.37</v>
      </c>
    </row>
    <row r="22210" spans="1:4" hidden="1" x14ac:dyDescent="0.3">
      <c r="A22210" t="s">
        <v>1210</v>
      </c>
      <c r="B22210" t="s">
        <v>13</v>
      </c>
      <c r="C22210" s="1">
        <f>HYPERLINK("https://cao.dolgi.msk.ru/account/1011219766/", 1011219766)</f>
        <v>1011219766</v>
      </c>
      <c r="D22210">
        <v>0</v>
      </c>
    </row>
    <row r="22211" spans="1:4" hidden="1" x14ac:dyDescent="0.3">
      <c r="A22211" t="s">
        <v>1210</v>
      </c>
      <c r="B22211" t="s">
        <v>14</v>
      </c>
      <c r="C22211" s="1">
        <f>HYPERLINK("https://cao.dolgi.msk.ru/account/1011218472/", 1011218472)</f>
        <v>1011218472</v>
      </c>
      <c r="D22211">
        <v>0</v>
      </c>
    </row>
    <row r="22212" spans="1:4" x14ac:dyDescent="0.3">
      <c r="A22212" t="s">
        <v>1210</v>
      </c>
      <c r="B22212" t="s">
        <v>16</v>
      </c>
      <c r="C22212" s="1">
        <f>HYPERLINK("https://cao.dolgi.msk.ru/account/1011218798/", 1011218798)</f>
        <v>1011218798</v>
      </c>
      <c r="D22212">
        <v>21419.89</v>
      </c>
    </row>
    <row r="22213" spans="1:4" hidden="1" x14ac:dyDescent="0.3">
      <c r="A22213" t="s">
        <v>1210</v>
      </c>
      <c r="B22213" t="s">
        <v>17</v>
      </c>
      <c r="C22213" s="1">
        <f>HYPERLINK("https://cao.dolgi.msk.ru/account/1011218819/", 1011218819)</f>
        <v>1011218819</v>
      </c>
      <c r="D22213">
        <v>-5221.08</v>
      </c>
    </row>
    <row r="22214" spans="1:4" hidden="1" x14ac:dyDescent="0.3">
      <c r="A22214" t="s">
        <v>1210</v>
      </c>
      <c r="B22214" t="s">
        <v>18</v>
      </c>
      <c r="C22214" s="1">
        <f>HYPERLINK("https://cao.dolgi.msk.ru/account/1011219512/", 1011219512)</f>
        <v>1011219512</v>
      </c>
      <c r="D22214">
        <v>-43.55</v>
      </c>
    </row>
    <row r="22215" spans="1:4" hidden="1" x14ac:dyDescent="0.3">
      <c r="A22215" t="s">
        <v>1210</v>
      </c>
      <c r="B22215" t="s">
        <v>19</v>
      </c>
      <c r="C22215" s="1">
        <f>HYPERLINK("https://cao.dolgi.msk.ru/account/1011220062/", 1011220062)</f>
        <v>1011220062</v>
      </c>
      <c r="D22215">
        <v>0</v>
      </c>
    </row>
    <row r="22216" spans="1:4" hidden="1" x14ac:dyDescent="0.3">
      <c r="A22216" t="s">
        <v>1210</v>
      </c>
      <c r="B22216" t="s">
        <v>20</v>
      </c>
      <c r="C22216" s="1">
        <f>HYPERLINK("https://cao.dolgi.msk.ru/account/1011219539/", 1011219539)</f>
        <v>1011219539</v>
      </c>
      <c r="D22216">
        <v>-8136.2</v>
      </c>
    </row>
    <row r="22217" spans="1:4" hidden="1" x14ac:dyDescent="0.3">
      <c r="A22217" t="s">
        <v>1210</v>
      </c>
      <c r="B22217" t="s">
        <v>21</v>
      </c>
      <c r="C22217" s="1">
        <f>HYPERLINK("https://cao.dolgi.msk.ru/account/1011218616/", 1011218616)</f>
        <v>1011218616</v>
      </c>
      <c r="D22217">
        <v>0</v>
      </c>
    </row>
    <row r="22218" spans="1:4" x14ac:dyDescent="0.3">
      <c r="A22218" t="s">
        <v>1210</v>
      </c>
      <c r="B22218" t="s">
        <v>22</v>
      </c>
      <c r="C22218" s="1">
        <f>HYPERLINK("https://cao.dolgi.msk.ru/account/1011218624/", 1011218624)</f>
        <v>1011218624</v>
      </c>
      <c r="D22218">
        <v>5652.31</v>
      </c>
    </row>
    <row r="22219" spans="1:4" hidden="1" x14ac:dyDescent="0.3">
      <c r="A22219" t="s">
        <v>1210</v>
      </c>
      <c r="B22219" t="s">
        <v>24</v>
      </c>
      <c r="C22219" s="1">
        <f>HYPERLINK("https://cao.dolgi.msk.ru/account/1011219096/", 1011219096)</f>
        <v>1011219096</v>
      </c>
      <c r="D22219">
        <v>0</v>
      </c>
    </row>
    <row r="22220" spans="1:4" hidden="1" x14ac:dyDescent="0.3">
      <c r="A22220" t="s">
        <v>1210</v>
      </c>
      <c r="B22220" t="s">
        <v>25</v>
      </c>
      <c r="C22220" s="1">
        <f>HYPERLINK("https://cao.dolgi.msk.ru/account/1011220089/", 1011220089)</f>
        <v>1011220089</v>
      </c>
      <c r="D22220">
        <v>0</v>
      </c>
    </row>
    <row r="22221" spans="1:4" x14ac:dyDescent="0.3">
      <c r="A22221" t="s">
        <v>1210</v>
      </c>
      <c r="B22221" t="s">
        <v>26</v>
      </c>
      <c r="C22221" s="1">
        <f>HYPERLINK("https://cao.dolgi.msk.ru/account/1011218499/", 1011218499)</f>
        <v>1011218499</v>
      </c>
      <c r="D22221">
        <v>11659.11</v>
      </c>
    </row>
    <row r="22222" spans="1:4" hidden="1" x14ac:dyDescent="0.3">
      <c r="A22222" t="s">
        <v>1210</v>
      </c>
      <c r="B22222" t="s">
        <v>27</v>
      </c>
      <c r="C22222" s="1">
        <f>HYPERLINK("https://cao.dolgi.msk.ru/account/1011219248/", 1011219248)</f>
        <v>1011219248</v>
      </c>
      <c r="D22222">
        <v>-2468.65</v>
      </c>
    </row>
    <row r="22223" spans="1:4" hidden="1" x14ac:dyDescent="0.3">
      <c r="A22223" t="s">
        <v>1210</v>
      </c>
      <c r="B22223" t="s">
        <v>29</v>
      </c>
      <c r="C22223" s="1">
        <f>HYPERLINK("https://cao.dolgi.msk.ru/account/1011218632/", 1011218632)</f>
        <v>1011218632</v>
      </c>
      <c r="D22223">
        <v>-4079.09</v>
      </c>
    </row>
    <row r="22224" spans="1:4" hidden="1" x14ac:dyDescent="0.3">
      <c r="A22224" t="s">
        <v>1210</v>
      </c>
      <c r="B22224" t="s">
        <v>38</v>
      </c>
      <c r="C22224" s="1">
        <f>HYPERLINK("https://cao.dolgi.msk.ru/account/1011219256/", 1011219256)</f>
        <v>1011219256</v>
      </c>
      <c r="D22224">
        <v>0</v>
      </c>
    </row>
    <row r="22225" spans="1:4" hidden="1" x14ac:dyDescent="0.3">
      <c r="A22225" t="s">
        <v>1210</v>
      </c>
      <c r="B22225" t="s">
        <v>39</v>
      </c>
      <c r="C22225" s="1">
        <f>HYPERLINK("https://cao.dolgi.msk.ru/account/1011218827/", 1011218827)</f>
        <v>1011218827</v>
      </c>
      <c r="D22225">
        <v>-7020.95</v>
      </c>
    </row>
    <row r="22226" spans="1:4" hidden="1" x14ac:dyDescent="0.3">
      <c r="A22226" t="s">
        <v>1210</v>
      </c>
      <c r="B22226" t="s">
        <v>40</v>
      </c>
      <c r="C22226" s="1">
        <f>HYPERLINK("https://cao.dolgi.msk.ru/account/1011219547/", 1011219547)</f>
        <v>1011219547</v>
      </c>
      <c r="D22226">
        <v>-3724.63</v>
      </c>
    </row>
    <row r="22227" spans="1:4" hidden="1" x14ac:dyDescent="0.3">
      <c r="A22227" t="s">
        <v>1210</v>
      </c>
      <c r="B22227" t="s">
        <v>41</v>
      </c>
      <c r="C22227" s="1">
        <f>HYPERLINK("https://cao.dolgi.msk.ru/account/1011219555/", 1011219555)</f>
        <v>1011219555</v>
      </c>
      <c r="D22227">
        <v>0</v>
      </c>
    </row>
    <row r="22228" spans="1:4" x14ac:dyDescent="0.3">
      <c r="A22228" t="s">
        <v>1210</v>
      </c>
      <c r="B22228" t="s">
        <v>51</v>
      </c>
      <c r="C22228" s="1">
        <f>HYPERLINK("https://cao.dolgi.msk.ru/account/1011219109/", 1011219109)</f>
        <v>1011219109</v>
      </c>
      <c r="D22228">
        <v>5028.21</v>
      </c>
    </row>
    <row r="22229" spans="1:4" hidden="1" x14ac:dyDescent="0.3">
      <c r="A22229" t="s">
        <v>1210</v>
      </c>
      <c r="B22229" t="s">
        <v>52</v>
      </c>
      <c r="C22229" s="1">
        <f>HYPERLINK("https://cao.dolgi.msk.ru/account/1011219264/", 1011219264)</f>
        <v>1011219264</v>
      </c>
      <c r="D22229">
        <v>-52.81</v>
      </c>
    </row>
    <row r="22230" spans="1:4" hidden="1" x14ac:dyDescent="0.3">
      <c r="A22230" t="s">
        <v>1210</v>
      </c>
      <c r="B22230" t="s">
        <v>53</v>
      </c>
      <c r="C22230" s="1">
        <f>HYPERLINK("https://cao.dolgi.msk.ru/account/1011219272/", 1011219272)</f>
        <v>1011219272</v>
      </c>
      <c r="D22230">
        <v>-3746.18</v>
      </c>
    </row>
    <row r="22231" spans="1:4" hidden="1" x14ac:dyDescent="0.3">
      <c r="A22231" t="s">
        <v>1210</v>
      </c>
      <c r="B22231" t="s">
        <v>54</v>
      </c>
      <c r="C22231" s="1">
        <f>HYPERLINK("https://cao.dolgi.msk.ru/account/1011219774/", 1011219774)</f>
        <v>1011219774</v>
      </c>
      <c r="D22231">
        <v>-7954.33</v>
      </c>
    </row>
    <row r="22232" spans="1:4" x14ac:dyDescent="0.3">
      <c r="A22232" t="s">
        <v>1210</v>
      </c>
      <c r="B22232" t="s">
        <v>55</v>
      </c>
      <c r="C22232" s="1">
        <f>HYPERLINK("https://cao.dolgi.msk.ru/account/1011219782/", 1011219782)</f>
        <v>1011219782</v>
      </c>
      <c r="D22232">
        <v>378309.6</v>
      </c>
    </row>
    <row r="22233" spans="1:4" hidden="1" x14ac:dyDescent="0.3">
      <c r="A22233" t="s">
        <v>1210</v>
      </c>
      <c r="B22233" t="s">
        <v>56</v>
      </c>
      <c r="C22233" s="1">
        <f>HYPERLINK("https://cao.dolgi.msk.ru/account/1011218835/", 1011218835)</f>
        <v>1011218835</v>
      </c>
      <c r="D22233">
        <v>-4535.29</v>
      </c>
    </row>
    <row r="22234" spans="1:4" hidden="1" x14ac:dyDescent="0.3">
      <c r="A22234" t="s">
        <v>1210</v>
      </c>
      <c r="B22234" t="s">
        <v>88</v>
      </c>
      <c r="C22234" s="1">
        <f>HYPERLINK("https://cao.dolgi.msk.ru/account/1011218843/", 1011218843)</f>
        <v>1011218843</v>
      </c>
      <c r="D22234">
        <v>-44.76</v>
      </c>
    </row>
    <row r="22235" spans="1:4" x14ac:dyDescent="0.3">
      <c r="A22235" t="s">
        <v>1210</v>
      </c>
      <c r="B22235" t="s">
        <v>89</v>
      </c>
      <c r="C22235" s="1">
        <f>HYPERLINK("https://cao.dolgi.msk.ru/account/1011218851/", 1011218851)</f>
        <v>1011218851</v>
      </c>
      <c r="D22235">
        <v>40626.65</v>
      </c>
    </row>
    <row r="22236" spans="1:4" hidden="1" x14ac:dyDescent="0.3">
      <c r="A22236" t="s">
        <v>1210</v>
      </c>
      <c r="B22236" t="s">
        <v>90</v>
      </c>
      <c r="C22236" s="1">
        <f>HYPERLINK("https://cao.dolgi.msk.ru/account/1011218878/", 1011218878)</f>
        <v>1011218878</v>
      </c>
      <c r="D22236">
        <v>-1215.47</v>
      </c>
    </row>
    <row r="22237" spans="1:4" hidden="1" x14ac:dyDescent="0.3">
      <c r="A22237" t="s">
        <v>1210</v>
      </c>
      <c r="B22237" t="s">
        <v>96</v>
      </c>
      <c r="C22237" s="1">
        <f>HYPERLINK("https://cao.dolgi.msk.ru/account/1011508015/", 1011508015)</f>
        <v>1011508015</v>
      </c>
      <c r="D22237">
        <v>-1161.93</v>
      </c>
    </row>
    <row r="22238" spans="1:4" hidden="1" x14ac:dyDescent="0.3">
      <c r="A22238" t="s">
        <v>1210</v>
      </c>
      <c r="B22238" t="s">
        <v>97</v>
      </c>
      <c r="C22238" s="1">
        <f>HYPERLINK("https://cao.dolgi.msk.ru/account/1011219803/", 1011219803)</f>
        <v>1011219803</v>
      </c>
      <c r="D22238">
        <v>0</v>
      </c>
    </row>
    <row r="22239" spans="1:4" x14ac:dyDescent="0.3">
      <c r="A22239" t="s">
        <v>1210</v>
      </c>
      <c r="B22239" t="s">
        <v>98</v>
      </c>
      <c r="C22239" s="1">
        <f>HYPERLINK("https://cao.dolgi.msk.ru/account/1011219299/", 1011219299)</f>
        <v>1011219299</v>
      </c>
      <c r="D22239">
        <v>1055.7</v>
      </c>
    </row>
    <row r="22240" spans="1:4" hidden="1" x14ac:dyDescent="0.3">
      <c r="A22240" t="s">
        <v>1210</v>
      </c>
      <c r="B22240" t="s">
        <v>58</v>
      </c>
      <c r="C22240" s="1">
        <f>HYPERLINK("https://cao.dolgi.msk.ru/account/1011219301/", 1011219301)</f>
        <v>1011219301</v>
      </c>
      <c r="D22240">
        <v>0</v>
      </c>
    </row>
    <row r="22241" spans="1:4" hidden="1" x14ac:dyDescent="0.3">
      <c r="A22241" t="s">
        <v>1210</v>
      </c>
      <c r="B22241" t="s">
        <v>59</v>
      </c>
      <c r="C22241" s="1">
        <f>HYPERLINK("https://cao.dolgi.msk.ru/account/1011219811/", 1011219811)</f>
        <v>1011219811</v>
      </c>
      <c r="D22241">
        <v>0</v>
      </c>
    </row>
    <row r="22242" spans="1:4" hidden="1" x14ac:dyDescent="0.3">
      <c r="A22242" t="s">
        <v>1210</v>
      </c>
      <c r="B22242" t="s">
        <v>60</v>
      </c>
      <c r="C22242" s="1">
        <f>HYPERLINK("https://cao.dolgi.msk.ru/account/1011505121/", 1011505121)</f>
        <v>1011505121</v>
      </c>
      <c r="D22242">
        <v>0</v>
      </c>
    </row>
    <row r="22243" spans="1:4" hidden="1" x14ac:dyDescent="0.3">
      <c r="A22243" t="s">
        <v>1210</v>
      </c>
      <c r="B22243" t="s">
        <v>61</v>
      </c>
      <c r="C22243" s="1">
        <f>HYPERLINK("https://cao.dolgi.msk.ru/account/1011219125/", 1011219125)</f>
        <v>1011219125</v>
      </c>
      <c r="D22243">
        <v>0</v>
      </c>
    </row>
    <row r="22244" spans="1:4" x14ac:dyDescent="0.3">
      <c r="A22244" t="s">
        <v>1210</v>
      </c>
      <c r="B22244" t="s">
        <v>62</v>
      </c>
      <c r="C22244" s="1">
        <f>HYPERLINK("https://cao.dolgi.msk.ru/account/1011219328/", 1011219328)</f>
        <v>1011219328</v>
      </c>
      <c r="D22244">
        <v>32209.67</v>
      </c>
    </row>
    <row r="22245" spans="1:4" hidden="1" x14ac:dyDescent="0.3">
      <c r="A22245" t="s">
        <v>1210</v>
      </c>
      <c r="B22245" t="s">
        <v>63</v>
      </c>
      <c r="C22245" s="1">
        <f>HYPERLINK("https://cao.dolgi.msk.ru/account/1011219838/", 1011219838)</f>
        <v>1011219838</v>
      </c>
      <c r="D22245">
        <v>-7708.39</v>
      </c>
    </row>
    <row r="22246" spans="1:4" hidden="1" x14ac:dyDescent="0.3">
      <c r="A22246" t="s">
        <v>1210</v>
      </c>
      <c r="B22246" t="s">
        <v>64</v>
      </c>
      <c r="C22246" s="1">
        <f>HYPERLINK("https://cao.dolgi.msk.ru/account/1011218894/", 1011218894)</f>
        <v>1011218894</v>
      </c>
      <c r="D22246">
        <v>0</v>
      </c>
    </row>
    <row r="22247" spans="1:4" hidden="1" x14ac:dyDescent="0.3">
      <c r="A22247" t="s">
        <v>1210</v>
      </c>
      <c r="B22247" t="s">
        <v>65</v>
      </c>
      <c r="C22247" s="1">
        <f>HYPERLINK("https://cao.dolgi.msk.ru/account/1011218907/", 1011218907)</f>
        <v>1011218907</v>
      </c>
      <c r="D22247">
        <v>-109.74</v>
      </c>
    </row>
    <row r="22248" spans="1:4" hidden="1" x14ac:dyDescent="0.3">
      <c r="A22248" t="s">
        <v>1210</v>
      </c>
      <c r="B22248" t="s">
        <v>66</v>
      </c>
      <c r="C22248" s="1">
        <f>HYPERLINK("https://cao.dolgi.msk.ru/account/1011220097/", 1011220097)</f>
        <v>1011220097</v>
      </c>
      <c r="D22248">
        <v>-4435.76</v>
      </c>
    </row>
    <row r="22249" spans="1:4" hidden="1" x14ac:dyDescent="0.3">
      <c r="A22249" t="s">
        <v>1210</v>
      </c>
      <c r="B22249" t="s">
        <v>67</v>
      </c>
      <c r="C22249" s="1">
        <f>HYPERLINK("https://cao.dolgi.msk.ru/account/1011218659/", 1011218659)</f>
        <v>1011218659</v>
      </c>
      <c r="D22249">
        <v>0</v>
      </c>
    </row>
    <row r="22250" spans="1:4" hidden="1" x14ac:dyDescent="0.3">
      <c r="A22250" t="s">
        <v>1210</v>
      </c>
      <c r="B22250" t="s">
        <v>68</v>
      </c>
      <c r="C22250" s="1">
        <f>HYPERLINK("https://cao.dolgi.msk.ru/account/1011219846/", 1011219846)</f>
        <v>1011219846</v>
      </c>
      <c r="D22250">
        <v>-73.3</v>
      </c>
    </row>
    <row r="22251" spans="1:4" hidden="1" x14ac:dyDescent="0.3">
      <c r="A22251" t="s">
        <v>1210</v>
      </c>
      <c r="B22251" t="s">
        <v>69</v>
      </c>
      <c r="C22251" s="1">
        <f>HYPERLINK("https://cao.dolgi.msk.ru/account/1011219336/", 1011219336)</f>
        <v>1011219336</v>
      </c>
      <c r="D22251">
        <v>0</v>
      </c>
    </row>
    <row r="22252" spans="1:4" hidden="1" x14ac:dyDescent="0.3">
      <c r="A22252" t="s">
        <v>1210</v>
      </c>
      <c r="B22252" t="s">
        <v>70</v>
      </c>
      <c r="C22252" s="1">
        <f>HYPERLINK("https://cao.dolgi.msk.ru/account/1011218915/", 1011218915)</f>
        <v>1011218915</v>
      </c>
      <c r="D22252">
        <v>0</v>
      </c>
    </row>
    <row r="22253" spans="1:4" x14ac:dyDescent="0.3">
      <c r="A22253" t="s">
        <v>1210</v>
      </c>
      <c r="B22253" t="s">
        <v>259</v>
      </c>
      <c r="C22253" s="1">
        <f>HYPERLINK("https://cao.dolgi.msk.ru/account/1011219854/", 1011219854)</f>
        <v>1011219854</v>
      </c>
      <c r="D22253">
        <v>2874.12</v>
      </c>
    </row>
    <row r="22254" spans="1:4" hidden="1" x14ac:dyDescent="0.3">
      <c r="A22254" t="s">
        <v>1210</v>
      </c>
      <c r="B22254" t="s">
        <v>100</v>
      </c>
      <c r="C22254" s="1">
        <f>HYPERLINK("https://cao.dolgi.msk.ru/account/1011219344/", 1011219344)</f>
        <v>1011219344</v>
      </c>
      <c r="D22254">
        <v>-5687.08</v>
      </c>
    </row>
    <row r="22255" spans="1:4" hidden="1" x14ac:dyDescent="0.3">
      <c r="A22255" t="s">
        <v>1210</v>
      </c>
      <c r="B22255" t="s">
        <v>72</v>
      </c>
      <c r="C22255" s="1">
        <f>HYPERLINK("https://cao.dolgi.msk.ru/account/1011218501/", 1011218501)</f>
        <v>1011218501</v>
      </c>
      <c r="D22255">
        <v>-54.52</v>
      </c>
    </row>
    <row r="22256" spans="1:4" x14ac:dyDescent="0.3">
      <c r="A22256" t="s">
        <v>1210</v>
      </c>
      <c r="B22256" t="s">
        <v>73</v>
      </c>
      <c r="C22256" s="1">
        <f>HYPERLINK("https://cao.dolgi.msk.ru/account/1011218667/", 1011218667)</f>
        <v>1011218667</v>
      </c>
      <c r="D22256">
        <v>8448.52</v>
      </c>
    </row>
    <row r="22257" spans="1:4" hidden="1" x14ac:dyDescent="0.3">
      <c r="A22257" t="s">
        <v>1210</v>
      </c>
      <c r="B22257" t="s">
        <v>74</v>
      </c>
      <c r="C22257" s="1">
        <f>HYPERLINK("https://cao.dolgi.msk.ru/account/1011219563/", 1011219563)</f>
        <v>1011219563</v>
      </c>
      <c r="D22257">
        <v>0</v>
      </c>
    </row>
    <row r="22258" spans="1:4" hidden="1" x14ac:dyDescent="0.3">
      <c r="A22258" t="s">
        <v>1210</v>
      </c>
      <c r="B22258" t="s">
        <v>75</v>
      </c>
      <c r="C22258" s="1">
        <f>HYPERLINK("https://cao.dolgi.msk.ru/account/1011219571/", 1011219571)</f>
        <v>1011219571</v>
      </c>
      <c r="D22258">
        <v>-3487.03</v>
      </c>
    </row>
    <row r="22259" spans="1:4" hidden="1" x14ac:dyDescent="0.3">
      <c r="A22259" t="s">
        <v>1210</v>
      </c>
      <c r="B22259" t="s">
        <v>76</v>
      </c>
      <c r="C22259" s="1">
        <f>HYPERLINK("https://cao.dolgi.msk.ru/account/1011219598/", 1011219598)</f>
        <v>1011219598</v>
      </c>
      <c r="D22259">
        <v>-23609.48</v>
      </c>
    </row>
    <row r="22260" spans="1:4" x14ac:dyDescent="0.3">
      <c r="A22260" t="s">
        <v>1210</v>
      </c>
      <c r="B22260" t="s">
        <v>77</v>
      </c>
      <c r="C22260" s="1">
        <f>HYPERLINK("https://cao.dolgi.msk.ru/account/1011219133/", 1011219133)</f>
        <v>1011219133</v>
      </c>
      <c r="D22260">
        <v>6783.33</v>
      </c>
    </row>
    <row r="22261" spans="1:4" hidden="1" x14ac:dyDescent="0.3">
      <c r="A22261" t="s">
        <v>1210</v>
      </c>
      <c r="B22261" t="s">
        <v>78</v>
      </c>
      <c r="C22261" s="1">
        <f>HYPERLINK("https://cao.dolgi.msk.ru/account/1011218923/", 1011218923)</f>
        <v>1011218923</v>
      </c>
      <c r="D22261">
        <v>-7956.94</v>
      </c>
    </row>
    <row r="22262" spans="1:4" hidden="1" x14ac:dyDescent="0.3">
      <c r="A22262" t="s">
        <v>1210</v>
      </c>
      <c r="B22262" t="s">
        <v>78</v>
      </c>
      <c r="C22262" s="1">
        <f>HYPERLINK("https://cao.dolgi.msk.ru/account/1011219467/", 1011219467)</f>
        <v>1011219467</v>
      </c>
      <c r="D22262">
        <v>-40380.22</v>
      </c>
    </row>
    <row r="22263" spans="1:4" hidden="1" x14ac:dyDescent="0.3">
      <c r="A22263" t="s">
        <v>1210</v>
      </c>
      <c r="B22263" t="s">
        <v>79</v>
      </c>
      <c r="C22263" s="1">
        <f>HYPERLINK("https://cao.dolgi.msk.ru/account/1011218675/", 1011218675)</f>
        <v>1011218675</v>
      </c>
      <c r="D22263">
        <v>0</v>
      </c>
    </row>
    <row r="22264" spans="1:4" hidden="1" x14ac:dyDescent="0.3">
      <c r="A22264" t="s">
        <v>1210</v>
      </c>
      <c r="B22264" t="s">
        <v>80</v>
      </c>
      <c r="C22264" s="1">
        <f>HYPERLINK("https://cao.dolgi.msk.ru/account/1011218528/", 1011218528)</f>
        <v>1011218528</v>
      </c>
      <c r="D22264">
        <v>0</v>
      </c>
    </row>
    <row r="22265" spans="1:4" hidden="1" x14ac:dyDescent="0.3">
      <c r="A22265" t="s">
        <v>1210</v>
      </c>
      <c r="B22265" t="s">
        <v>81</v>
      </c>
      <c r="C22265" s="1">
        <f>HYPERLINK("https://cao.dolgi.msk.ru/account/1011219352/", 1011219352)</f>
        <v>1011219352</v>
      </c>
      <c r="D22265">
        <v>0</v>
      </c>
    </row>
    <row r="22266" spans="1:4" x14ac:dyDescent="0.3">
      <c r="A22266" t="s">
        <v>1210</v>
      </c>
      <c r="B22266" t="s">
        <v>101</v>
      </c>
      <c r="C22266" s="1">
        <f>HYPERLINK("https://cao.dolgi.msk.ru/account/1011219862/", 1011219862)</f>
        <v>1011219862</v>
      </c>
      <c r="D22266">
        <v>26817.23</v>
      </c>
    </row>
    <row r="22267" spans="1:4" x14ac:dyDescent="0.3">
      <c r="A22267" t="s">
        <v>1210</v>
      </c>
      <c r="B22267" t="s">
        <v>82</v>
      </c>
      <c r="C22267" s="1">
        <f>HYPERLINK("https://cao.dolgi.msk.ru/account/1011218931/", 1011218931)</f>
        <v>1011218931</v>
      </c>
      <c r="D22267">
        <v>16249.53</v>
      </c>
    </row>
    <row r="22268" spans="1:4" hidden="1" x14ac:dyDescent="0.3">
      <c r="A22268" t="s">
        <v>1210</v>
      </c>
      <c r="B22268" t="s">
        <v>83</v>
      </c>
      <c r="C22268" s="1">
        <f>HYPERLINK("https://cao.dolgi.msk.ru/account/1011219619/", 1011219619)</f>
        <v>1011219619</v>
      </c>
      <c r="D22268">
        <v>-109.38</v>
      </c>
    </row>
    <row r="22269" spans="1:4" hidden="1" x14ac:dyDescent="0.3">
      <c r="A22269" t="s">
        <v>1210</v>
      </c>
      <c r="B22269" t="s">
        <v>84</v>
      </c>
      <c r="C22269" s="1">
        <f>HYPERLINK("https://cao.dolgi.msk.ru/account/1011219889/", 1011219889)</f>
        <v>1011219889</v>
      </c>
      <c r="D22269">
        <v>0</v>
      </c>
    </row>
    <row r="22270" spans="1:4" hidden="1" x14ac:dyDescent="0.3">
      <c r="A22270" t="s">
        <v>1210</v>
      </c>
      <c r="B22270" t="s">
        <v>85</v>
      </c>
      <c r="C22270" s="1">
        <f>HYPERLINK("https://cao.dolgi.msk.ru/account/1011219379/", 1011219379)</f>
        <v>1011219379</v>
      </c>
      <c r="D22270">
        <v>-126.62</v>
      </c>
    </row>
    <row r="22271" spans="1:4" hidden="1" x14ac:dyDescent="0.3">
      <c r="A22271" t="s">
        <v>1210</v>
      </c>
      <c r="B22271" t="s">
        <v>102</v>
      </c>
      <c r="C22271" s="1">
        <f>HYPERLINK("https://cao.dolgi.msk.ru/account/1011219627/", 1011219627)</f>
        <v>1011219627</v>
      </c>
      <c r="D22271">
        <v>-121097.27</v>
      </c>
    </row>
    <row r="22272" spans="1:4" hidden="1" x14ac:dyDescent="0.3">
      <c r="A22272" t="s">
        <v>1210</v>
      </c>
      <c r="B22272" t="s">
        <v>103</v>
      </c>
      <c r="C22272" s="1">
        <f>HYPERLINK("https://cao.dolgi.msk.ru/account/1011219387/", 1011219387)</f>
        <v>1011219387</v>
      </c>
      <c r="D22272">
        <v>0</v>
      </c>
    </row>
    <row r="22273" spans="1:4" hidden="1" x14ac:dyDescent="0.3">
      <c r="A22273" t="s">
        <v>1210</v>
      </c>
      <c r="B22273" t="s">
        <v>104</v>
      </c>
      <c r="C22273" s="1">
        <f>HYPERLINK("https://cao.dolgi.msk.ru/account/1011220118/", 1011220118)</f>
        <v>1011220118</v>
      </c>
      <c r="D22273">
        <v>-253.72</v>
      </c>
    </row>
    <row r="22274" spans="1:4" hidden="1" x14ac:dyDescent="0.3">
      <c r="A22274" t="s">
        <v>1210</v>
      </c>
      <c r="B22274" t="s">
        <v>105</v>
      </c>
      <c r="C22274" s="1">
        <f>HYPERLINK("https://cao.dolgi.msk.ru/account/1011219897/", 1011219897)</f>
        <v>1011219897</v>
      </c>
      <c r="D22274">
        <v>0</v>
      </c>
    </row>
    <row r="22275" spans="1:4" hidden="1" x14ac:dyDescent="0.3">
      <c r="A22275" t="s">
        <v>1210</v>
      </c>
      <c r="B22275" t="s">
        <v>106</v>
      </c>
      <c r="C22275" s="1">
        <f>HYPERLINK("https://cao.dolgi.msk.ru/account/1011218958/", 1011218958)</f>
        <v>1011218958</v>
      </c>
      <c r="D22275">
        <v>0</v>
      </c>
    </row>
    <row r="22276" spans="1:4" hidden="1" x14ac:dyDescent="0.3">
      <c r="A22276" t="s">
        <v>1210</v>
      </c>
      <c r="B22276" t="s">
        <v>107</v>
      </c>
      <c r="C22276" s="1">
        <f>HYPERLINK("https://cao.dolgi.msk.ru/account/1011219635/", 1011219635)</f>
        <v>1011219635</v>
      </c>
      <c r="D22276">
        <v>-17719.16</v>
      </c>
    </row>
    <row r="22277" spans="1:4" hidden="1" x14ac:dyDescent="0.3">
      <c r="A22277" t="s">
        <v>1210</v>
      </c>
      <c r="B22277" t="s">
        <v>108</v>
      </c>
      <c r="C22277" s="1">
        <f>HYPERLINK("https://cao.dolgi.msk.ru/account/1011218966/", 1011218966)</f>
        <v>1011218966</v>
      </c>
      <c r="D22277">
        <v>0</v>
      </c>
    </row>
    <row r="22278" spans="1:4" hidden="1" x14ac:dyDescent="0.3">
      <c r="A22278" t="s">
        <v>1210</v>
      </c>
      <c r="B22278" t="s">
        <v>109</v>
      </c>
      <c r="C22278" s="1">
        <f>HYPERLINK("https://cao.dolgi.msk.ru/account/1011220126/", 1011220126)</f>
        <v>1011220126</v>
      </c>
      <c r="D22278">
        <v>0</v>
      </c>
    </row>
    <row r="22279" spans="1:4" hidden="1" x14ac:dyDescent="0.3">
      <c r="A22279" t="s">
        <v>1210</v>
      </c>
      <c r="B22279" t="s">
        <v>110</v>
      </c>
      <c r="C22279" s="1">
        <f>HYPERLINK("https://cao.dolgi.msk.ru/account/1011219758/", 1011219758)</f>
        <v>1011219758</v>
      </c>
      <c r="D22279">
        <v>0</v>
      </c>
    </row>
    <row r="22280" spans="1:4" hidden="1" x14ac:dyDescent="0.3">
      <c r="A22280" t="s">
        <v>1210</v>
      </c>
      <c r="B22280" t="s">
        <v>111</v>
      </c>
      <c r="C22280" s="1">
        <f>HYPERLINK("https://cao.dolgi.msk.ru/account/1011219643/", 1011219643)</f>
        <v>1011219643</v>
      </c>
      <c r="D22280">
        <v>0</v>
      </c>
    </row>
    <row r="22281" spans="1:4" hidden="1" x14ac:dyDescent="0.3">
      <c r="A22281" t="s">
        <v>1210</v>
      </c>
      <c r="B22281" t="s">
        <v>112</v>
      </c>
      <c r="C22281" s="1">
        <f>HYPERLINK("https://cao.dolgi.msk.ru/account/1011219141/", 1011219141)</f>
        <v>1011219141</v>
      </c>
      <c r="D22281">
        <v>0</v>
      </c>
    </row>
    <row r="22282" spans="1:4" x14ac:dyDescent="0.3">
      <c r="A22282" t="s">
        <v>1210</v>
      </c>
      <c r="B22282" t="s">
        <v>113</v>
      </c>
      <c r="C22282" s="1">
        <f>HYPERLINK("https://cao.dolgi.msk.ru/account/1011219651/", 1011219651)</f>
        <v>1011219651</v>
      </c>
      <c r="D22282">
        <v>179841.12</v>
      </c>
    </row>
    <row r="22283" spans="1:4" x14ac:dyDescent="0.3">
      <c r="A22283" t="s">
        <v>1210</v>
      </c>
      <c r="B22283" t="s">
        <v>114</v>
      </c>
      <c r="C22283" s="1">
        <f>HYPERLINK("https://cao.dolgi.msk.ru/account/1011219918/", 1011219918)</f>
        <v>1011219918</v>
      </c>
      <c r="D22283">
        <v>30343.14</v>
      </c>
    </row>
    <row r="22284" spans="1:4" hidden="1" x14ac:dyDescent="0.3">
      <c r="A22284" t="s">
        <v>1210</v>
      </c>
      <c r="B22284" t="s">
        <v>115</v>
      </c>
      <c r="C22284" s="1">
        <f>HYPERLINK("https://cao.dolgi.msk.ru/account/1011219168/", 1011219168)</f>
        <v>1011219168</v>
      </c>
      <c r="D22284">
        <v>-4746.76</v>
      </c>
    </row>
    <row r="22285" spans="1:4" hidden="1" x14ac:dyDescent="0.3">
      <c r="A22285" t="s">
        <v>1210</v>
      </c>
      <c r="B22285" t="s">
        <v>116</v>
      </c>
      <c r="C22285" s="1">
        <f>HYPERLINK("https://cao.dolgi.msk.ru/account/1011218974/", 1011218974)</f>
        <v>1011218974</v>
      </c>
      <c r="D22285">
        <v>-507.85</v>
      </c>
    </row>
    <row r="22286" spans="1:4" hidden="1" x14ac:dyDescent="0.3">
      <c r="A22286" t="s">
        <v>1210</v>
      </c>
      <c r="B22286" t="s">
        <v>266</v>
      </c>
      <c r="C22286" s="1">
        <f>HYPERLINK("https://cao.dolgi.msk.ru/account/1011218683/", 1011218683)</f>
        <v>1011218683</v>
      </c>
      <c r="D22286">
        <v>0</v>
      </c>
    </row>
    <row r="22287" spans="1:4" hidden="1" x14ac:dyDescent="0.3">
      <c r="A22287" t="s">
        <v>1210</v>
      </c>
      <c r="B22287" t="s">
        <v>117</v>
      </c>
      <c r="C22287" s="1">
        <f>HYPERLINK("https://cao.dolgi.msk.ru/account/1011219678/", 1011219678)</f>
        <v>1011219678</v>
      </c>
      <c r="D22287">
        <v>-311.3</v>
      </c>
    </row>
    <row r="22288" spans="1:4" hidden="1" x14ac:dyDescent="0.3">
      <c r="A22288" t="s">
        <v>1210</v>
      </c>
      <c r="B22288" t="s">
        <v>118</v>
      </c>
      <c r="C22288" s="1">
        <f>HYPERLINK("https://cao.dolgi.msk.ru/account/1011219395/", 1011219395)</f>
        <v>1011219395</v>
      </c>
      <c r="D22288">
        <v>-6868.91</v>
      </c>
    </row>
    <row r="22289" spans="1:4" hidden="1" x14ac:dyDescent="0.3">
      <c r="A22289" t="s">
        <v>1210</v>
      </c>
      <c r="B22289" t="s">
        <v>119</v>
      </c>
      <c r="C22289" s="1">
        <f>HYPERLINK("https://cao.dolgi.msk.ru/account/1011219176/", 1011219176)</f>
        <v>1011219176</v>
      </c>
      <c r="D22289">
        <v>0</v>
      </c>
    </row>
    <row r="22290" spans="1:4" x14ac:dyDescent="0.3">
      <c r="A22290" t="s">
        <v>1210</v>
      </c>
      <c r="B22290" t="s">
        <v>120</v>
      </c>
      <c r="C22290" s="1">
        <f>HYPERLINK("https://cao.dolgi.msk.ru/account/1011220134/", 1011220134)</f>
        <v>1011220134</v>
      </c>
      <c r="D22290">
        <v>7865.62</v>
      </c>
    </row>
    <row r="22291" spans="1:4" hidden="1" x14ac:dyDescent="0.3">
      <c r="A22291" t="s">
        <v>1210</v>
      </c>
      <c r="B22291" t="s">
        <v>121</v>
      </c>
      <c r="C22291" s="1">
        <f>HYPERLINK("https://cao.dolgi.msk.ru/account/1011219926/", 1011219926)</f>
        <v>1011219926</v>
      </c>
      <c r="D22291">
        <v>-1092.76</v>
      </c>
    </row>
    <row r="22292" spans="1:4" x14ac:dyDescent="0.3">
      <c r="A22292" t="s">
        <v>1210</v>
      </c>
      <c r="B22292" t="s">
        <v>121</v>
      </c>
      <c r="C22292" s="1">
        <f>HYPERLINK("https://cao.dolgi.msk.ru/account/1011220038/", 1011220038)</f>
        <v>1011220038</v>
      </c>
      <c r="D22292">
        <v>50.96</v>
      </c>
    </row>
    <row r="22293" spans="1:4" hidden="1" x14ac:dyDescent="0.3">
      <c r="A22293" t="s">
        <v>1210</v>
      </c>
      <c r="B22293" t="s">
        <v>122</v>
      </c>
      <c r="C22293" s="1">
        <f>HYPERLINK("https://cao.dolgi.msk.ru/account/1011219184/", 1011219184)</f>
        <v>1011219184</v>
      </c>
      <c r="D22293">
        <v>0</v>
      </c>
    </row>
    <row r="22294" spans="1:4" hidden="1" x14ac:dyDescent="0.3">
      <c r="A22294" t="s">
        <v>1210</v>
      </c>
      <c r="B22294" t="s">
        <v>123</v>
      </c>
      <c r="C22294" s="1">
        <f>HYPERLINK("https://cao.dolgi.msk.ru/account/1011220142/", 1011220142)</f>
        <v>1011220142</v>
      </c>
      <c r="D22294">
        <v>-9164.61</v>
      </c>
    </row>
    <row r="22295" spans="1:4" hidden="1" x14ac:dyDescent="0.3">
      <c r="A22295" t="s">
        <v>1210</v>
      </c>
      <c r="B22295" t="s">
        <v>124</v>
      </c>
      <c r="C22295" s="1">
        <f>HYPERLINK("https://cao.dolgi.msk.ru/account/1011219934/", 1011219934)</f>
        <v>1011219934</v>
      </c>
      <c r="D22295">
        <v>0</v>
      </c>
    </row>
    <row r="22296" spans="1:4" hidden="1" x14ac:dyDescent="0.3">
      <c r="A22296" t="s">
        <v>1210</v>
      </c>
      <c r="B22296" t="s">
        <v>125</v>
      </c>
      <c r="C22296" s="1">
        <f>HYPERLINK("https://cao.dolgi.msk.ru/account/1011219942/", 1011219942)</f>
        <v>1011219942</v>
      </c>
      <c r="D22296">
        <v>-23325.08</v>
      </c>
    </row>
    <row r="22297" spans="1:4" x14ac:dyDescent="0.3">
      <c r="A22297" t="s">
        <v>1210</v>
      </c>
      <c r="B22297" t="s">
        <v>126</v>
      </c>
      <c r="C22297" s="1">
        <f>HYPERLINK("https://cao.dolgi.msk.ru/account/1011219192/", 1011219192)</f>
        <v>1011219192</v>
      </c>
      <c r="D22297">
        <v>13976.81</v>
      </c>
    </row>
    <row r="22298" spans="1:4" hidden="1" x14ac:dyDescent="0.3">
      <c r="A22298" t="s">
        <v>1210</v>
      </c>
      <c r="B22298" t="s">
        <v>127</v>
      </c>
      <c r="C22298" s="1">
        <f>HYPERLINK("https://cao.dolgi.msk.ru/account/1011219686/", 1011219686)</f>
        <v>1011219686</v>
      </c>
      <c r="D22298">
        <v>-8926.58</v>
      </c>
    </row>
    <row r="22299" spans="1:4" hidden="1" x14ac:dyDescent="0.3">
      <c r="A22299" t="s">
        <v>1210</v>
      </c>
      <c r="B22299" t="s">
        <v>262</v>
      </c>
      <c r="C22299" s="1">
        <f>HYPERLINK("https://cao.dolgi.msk.ru/account/1011219969/", 1011219969)</f>
        <v>1011219969</v>
      </c>
      <c r="D22299">
        <v>0</v>
      </c>
    </row>
    <row r="22300" spans="1:4" hidden="1" x14ac:dyDescent="0.3">
      <c r="A22300" t="s">
        <v>1210</v>
      </c>
      <c r="B22300" t="s">
        <v>128</v>
      </c>
      <c r="C22300" s="1">
        <f>HYPERLINK("https://cao.dolgi.msk.ru/account/1011219694/", 1011219694)</f>
        <v>1011219694</v>
      </c>
      <c r="D22300">
        <v>-5262.56</v>
      </c>
    </row>
    <row r="22301" spans="1:4" hidden="1" x14ac:dyDescent="0.3">
      <c r="A22301" t="s">
        <v>1210</v>
      </c>
      <c r="B22301" t="s">
        <v>129</v>
      </c>
      <c r="C22301" s="1">
        <f>HYPERLINK("https://cao.dolgi.msk.ru/account/1011219707/", 1011219707)</f>
        <v>1011219707</v>
      </c>
      <c r="D22301">
        <v>0</v>
      </c>
    </row>
    <row r="22302" spans="1:4" hidden="1" x14ac:dyDescent="0.3">
      <c r="A22302" t="s">
        <v>1210</v>
      </c>
      <c r="B22302" t="s">
        <v>130</v>
      </c>
      <c r="C22302" s="1">
        <f>HYPERLINK("https://cao.dolgi.msk.ru/account/1011219977/", 1011219977)</f>
        <v>1011219977</v>
      </c>
      <c r="D22302">
        <v>0</v>
      </c>
    </row>
    <row r="22303" spans="1:4" hidden="1" x14ac:dyDescent="0.3">
      <c r="A22303" t="s">
        <v>1210</v>
      </c>
      <c r="B22303" t="s">
        <v>131</v>
      </c>
      <c r="C22303" s="1">
        <f>HYPERLINK("https://cao.dolgi.msk.ru/account/1011218691/", 1011218691)</f>
        <v>1011218691</v>
      </c>
      <c r="D22303">
        <v>-102.17</v>
      </c>
    </row>
    <row r="22304" spans="1:4" hidden="1" x14ac:dyDescent="0.3">
      <c r="A22304" t="s">
        <v>1210</v>
      </c>
      <c r="B22304" t="s">
        <v>132</v>
      </c>
      <c r="C22304" s="1">
        <f>HYPERLINK("https://cao.dolgi.msk.ru/account/1011218982/", 1011218982)</f>
        <v>1011218982</v>
      </c>
      <c r="D22304">
        <v>0</v>
      </c>
    </row>
    <row r="22305" spans="1:4" x14ac:dyDescent="0.3">
      <c r="A22305" t="s">
        <v>1210</v>
      </c>
      <c r="B22305" t="s">
        <v>133</v>
      </c>
      <c r="C22305" s="1">
        <f>HYPERLINK("https://cao.dolgi.msk.ru/account/1011220169/", 1011220169)</f>
        <v>1011220169</v>
      </c>
      <c r="D22305">
        <v>5035.1899999999996</v>
      </c>
    </row>
    <row r="22306" spans="1:4" hidden="1" x14ac:dyDescent="0.3">
      <c r="A22306" t="s">
        <v>1210</v>
      </c>
      <c r="B22306" t="s">
        <v>134</v>
      </c>
      <c r="C22306" s="1">
        <f>HYPERLINK("https://cao.dolgi.msk.ru/account/1011218704/", 1011218704)</f>
        <v>1011218704</v>
      </c>
      <c r="D22306">
        <v>-8239.19</v>
      </c>
    </row>
    <row r="22307" spans="1:4" hidden="1" x14ac:dyDescent="0.3">
      <c r="A22307" t="s">
        <v>1210</v>
      </c>
      <c r="B22307" t="s">
        <v>135</v>
      </c>
      <c r="C22307" s="1">
        <f>HYPERLINK("https://cao.dolgi.msk.ru/account/1011219715/", 1011219715)</f>
        <v>1011219715</v>
      </c>
      <c r="D22307">
        <v>-11943.25</v>
      </c>
    </row>
    <row r="22308" spans="1:4" hidden="1" x14ac:dyDescent="0.3">
      <c r="A22308" t="s">
        <v>1210</v>
      </c>
      <c r="B22308" t="s">
        <v>264</v>
      </c>
      <c r="C22308" s="1">
        <f>HYPERLINK("https://cao.dolgi.msk.ru/account/1011218536/", 1011218536)</f>
        <v>1011218536</v>
      </c>
      <c r="D22308">
        <v>0</v>
      </c>
    </row>
    <row r="22309" spans="1:4" x14ac:dyDescent="0.3">
      <c r="A22309" t="s">
        <v>1210</v>
      </c>
      <c r="B22309" t="s">
        <v>136</v>
      </c>
      <c r="C22309" s="1">
        <f>HYPERLINK("https://cao.dolgi.msk.ru/account/1011219002/", 1011219002)</f>
        <v>1011219002</v>
      </c>
      <c r="D22309">
        <v>15527.29</v>
      </c>
    </row>
    <row r="22310" spans="1:4" x14ac:dyDescent="0.3">
      <c r="A22310" t="s">
        <v>1210</v>
      </c>
      <c r="B22310" t="s">
        <v>137</v>
      </c>
      <c r="C22310" s="1">
        <f>HYPERLINK("https://cao.dolgi.msk.ru/account/1011219088/", 1011219088)</f>
        <v>1011219088</v>
      </c>
      <c r="D22310">
        <v>29.92</v>
      </c>
    </row>
    <row r="22311" spans="1:4" hidden="1" x14ac:dyDescent="0.3">
      <c r="A22311" t="s">
        <v>1210</v>
      </c>
      <c r="B22311" t="s">
        <v>138</v>
      </c>
      <c r="C22311" s="1">
        <f>HYPERLINK("https://cao.dolgi.msk.ru/account/1011219985/", 1011219985)</f>
        <v>1011219985</v>
      </c>
      <c r="D22311">
        <v>-784.95</v>
      </c>
    </row>
    <row r="22312" spans="1:4" hidden="1" x14ac:dyDescent="0.3">
      <c r="A22312" t="s">
        <v>1210</v>
      </c>
      <c r="B22312" t="s">
        <v>139</v>
      </c>
      <c r="C22312" s="1">
        <f>HYPERLINK("https://cao.dolgi.msk.ru/account/1011219029/", 1011219029)</f>
        <v>1011219029</v>
      </c>
      <c r="D22312">
        <v>0</v>
      </c>
    </row>
    <row r="22313" spans="1:4" hidden="1" x14ac:dyDescent="0.3">
      <c r="A22313" t="s">
        <v>1210</v>
      </c>
      <c r="B22313" t="s">
        <v>140</v>
      </c>
      <c r="C22313" s="1">
        <f>HYPERLINK("https://cao.dolgi.msk.ru/account/1011218712/", 1011218712)</f>
        <v>1011218712</v>
      </c>
      <c r="D22313">
        <v>0</v>
      </c>
    </row>
    <row r="22314" spans="1:4" hidden="1" x14ac:dyDescent="0.3">
      <c r="A22314" t="s">
        <v>1210</v>
      </c>
      <c r="B22314" t="s">
        <v>141</v>
      </c>
      <c r="C22314" s="1">
        <f>HYPERLINK("https://cao.dolgi.msk.ru/account/1011220177/", 1011220177)</f>
        <v>1011220177</v>
      </c>
      <c r="D22314">
        <v>0</v>
      </c>
    </row>
    <row r="22315" spans="1:4" hidden="1" x14ac:dyDescent="0.3">
      <c r="A22315" t="s">
        <v>1210</v>
      </c>
      <c r="B22315" t="s">
        <v>142</v>
      </c>
      <c r="C22315" s="1">
        <f>HYPERLINK("https://cao.dolgi.msk.ru/account/1011219416/", 1011219416)</f>
        <v>1011219416</v>
      </c>
      <c r="D22315">
        <v>0</v>
      </c>
    </row>
    <row r="22316" spans="1:4" hidden="1" x14ac:dyDescent="0.3">
      <c r="A22316" t="s">
        <v>1210</v>
      </c>
      <c r="B22316" t="s">
        <v>143</v>
      </c>
      <c r="C22316" s="1">
        <f>HYPERLINK("https://cao.dolgi.msk.ru/account/1011218739/", 1011218739)</f>
        <v>1011218739</v>
      </c>
      <c r="D22316">
        <v>0</v>
      </c>
    </row>
    <row r="22317" spans="1:4" x14ac:dyDescent="0.3">
      <c r="A22317" t="s">
        <v>1210</v>
      </c>
      <c r="B22317" t="s">
        <v>144</v>
      </c>
      <c r="C22317" s="1">
        <f>HYPERLINK("https://cao.dolgi.msk.ru/account/1011220185/", 1011220185)</f>
        <v>1011220185</v>
      </c>
      <c r="D22317">
        <v>26147.4</v>
      </c>
    </row>
    <row r="22318" spans="1:4" hidden="1" x14ac:dyDescent="0.3">
      <c r="A22318" t="s">
        <v>1210</v>
      </c>
      <c r="B22318" t="s">
        <v>145</v>
      </c>
      <c r="C22318" s="1">
        <f>HYPERLINK("https://cao.dolgi.msk.ru/account/1011220193/", 1011220193)</f>
        <v>1011220193</v>
      </c>
      <c r="D22318">
        <v>-123.84</v>
      </c>
    </row>
    <row r="22319" spans="1:4" hidden="1" x14ac:dyDescent="0.3">
      <c r="A22319" t="s">
        <v>1210</v>
      </c>
      <c r="B22319" t="s">
        <v>146</v>
      </c>
      <c r="C22319" s="1">
        <f>HYPERLINK("https://cao.dolgi.msk.ru/account/1011219205/", 1011219205)</f>
        <v>1011219205</v>
      </c>
      <c r="D22319">
        <v>0</v>
      </c>
    </row>
    <row r="22320" spans="1:4" hidden="1" x14ac:dyDescent="0.3">
      <c r="A22320" t="s">
        <v>1210</v>
      </c>
      <c r="B22320" t="s">
        <v>147</v>
      </c>
      <c r="C22320" s="1">
        <f>HYPERLINK("https://cao.dolgi.msk.ru/account/1011219993/", 1011219993)</f>
        <v>1011219993</v>
      </c>
      <c r="D22320">
        <v>-309.26</v>
      </c>
    </row>
    <row r="22321" spans="1:4" hidden="1" x14ac:dyDescent="0.3">
      <c r="A22321" t="s">
        <v>1210</v>
      </c>
      <c r="B22321" t="s">
        <v>148</v>
      </c>
      <c r="C22321" s="1">
        <f>HYPERLINK("https://cao.dolgi.msk.ru/account/1011219037/", 1011219037)</f>
        <v>1011219037</v>
      </c>
      <c r="D22321">
        <v>0</v>
      </c>
    </row>
    <row r="22322" spans="1:4" x14ac:dyDescent="0.3">
      <c r="A22322" t="s">
        <v>1210</v>
      </c>
      <c r="B22322" t="s">
        <v>149</v>
      </c>
      <c r="C22322" s="1">
        <f>HYPERLINK("https://cao.dolgi.msk.ru/account/1011218544/", 1011218544)</f>
        <v>1011218544</v>
      </c>
      <c r="D22322">
        <v>1479.89</v>
      </c>
    </row>
    <row r="22323" spans="1:4" hidden="1" x14ac:dyDescent="0.3">
      <c r="A22323" t="s">
        <v>1210</v>
      </c>
      <c r="B22323" t="s">
        <v>150</v>
      </c>
      <c r="C22323" s="1">
        <f>HYPERLINK("https://cao.dolgi.msk.ru/account/1011219723/", 1011219723)</f>
        <v>1011219723</v>
      </c>
      <c r="D22323">
        <v>0</v>
      </c>
    </row>
    <row r="22324" spans="1:4" hidden="1" x14ac:dyDescent="0.3">
      <c r="A22324" t="s">
        <v>1210</v>
      </c>
      <c r="B22324" t="s">
        <v>151</v>
      </c>
      <c r="C22324" s="1">
        <f>HYPERLINK("https://cao.dolgi.msk.ru/account/1011220003/", 1011220003)</f>
        <v>1011220003</v>
      </c>
      <c r="D22324">
        <v>-4587.92</v>
      </c>
    </row>
    <row r="22325" spans="1:4" hidden="1" x14ac:dyDescent="0.3">
      <c r="A22325" t="s">
        <v>1210</v>
      </c>
      <c r="B22325" t="s">
        <v>152</v>
      </c>
      <c r="C22325" s="1">
        <f>HYPERLINK("https://cao.dolgi.msk.ru/account/1011220206/", 1011220206)</f>
        <v>1011220206</v>
      </c>
      <c r="D22325">
        <v>-6107.96</v>
      </c>
    </row>
    <row r="22326" spans="1:4" hidden="1" x14ac:dyDescent="0.3">
      <c r="A22326" t="s">
        <v>1210</v>
      </c>
      <c r="B22326" t="s">
        <v>153</v>
      </c>
      <c r="C22326" s="1">
        <f>HYPERLINK("https://cao.dolgi.msk.ru/account/1011219424/", 1011219424)</f>
        <v>1011219424</v>
      </c>
      <c r="D22326">
        <v>0</v>
      </c>
    </row>
    <row r="22327" spans="1:4" hidden="1" x14ac:dyDescent="0.3">
      <c r="A22327" t="s">
        <v>1210</v>
      </c>
      <c r="B22327" t="s">
        <v>154</v>
      </c>
      <c r="C22327" s="1">
        <f>HYPERLINK("https://cao.dolgi.msk.ru/account/1011220011/", 1011220011)</f>
        <v>1011220011</v>
      </c>
      <c r="D22327">
        <v>0</v>
      </c>
    </row>
    <row r="22328" spans="1:4" x14ac:dyDescent="0.3">
      <c r="A22328" t="s">
        <v>1210</v>
      </c>
      <c r="B22328" t="s">
        <v>155</v>
      </c>
      <c r="C22328" s="1">
        <f>HYPERLINK("https://cao.dolgi.msk.ru/account/1011220214/", 1011220214)</f>
        <v>1011220214</v>
      </c>
      <c r="D22328">
        <v>6153.63</v>
      </c>
    </row>
    <row r="22329" spans="1:4" hidden="1" x14ac:dyDescent="0.3">
      <c r="A22329" t="s">
        <v>1210</v>
      </c>
      <c r="B22329" t="s">
        <v>156</v>
      </c>
      <c r="C22329" s="1">
        <f>HYPERLINK("https://cao.dolgi.msk.ru/account/1011218747/", 1011218747)</f>
        <v>1011218747</v>
      </c>
      <c r="D22329">
        <v>-5974.57</v>
      </c>
    </row>
    <row r="22330" spans="1:4" hidden="1" x14ac:dyDescent="0.3">
      <c r="A22330" t="s">
        <v>1210</v>
      </c>
      <c r="B22330" t="s">
        <v>157</v>
      </c>
      <c r="C22330" s="1">
        <f>HYPERLINK("https://cao.dolgi.msk.ru/account/1011218552/", 1011218552)</f>
        <v>1011218552</v>
      </c>
      <c r="D22330">
        <v>-7472.5</v>
      </c>
    </row>
    <row r="22331" spans="1:4" x14ac:dyDescent="0.3">
      <c r="A22331" t="s">
        <v>1210</v>
      </c>
      <c r="B22331" t="s">
        <v>158</v>
      </c>
      <c r="C22331" s="1">
        <f>HYPERLINK("https://cao.dolgi.msk.ru/account/1011219432/", 1011219432)</f>
        <v>1011219432</v>
      </c>
      <c r="D22331">
        <v>6552.92</v>
      </c>
    </row>
    <row r="22332" spans="1:4" x14ac:dyDescent="0.3">
      <c r="A22332" t="s">
        <v>1210</v>
      </c>
      <c r="B22332" t="s">
        <v>159</v>
      </c>
      <c r="C22332" s="1">
        <f>HYPERLINK("https://cao.dolgi.msk.ru/account/1011218579/", 1011218579)</f>
        <v>1011218579</v>
      </c>
      <c r="D22332">
        <v>3731.07</v>
      </c>
    </row>
    <row r="22333" spans="1:4" hidden="1" x14ac:dyDescent="0.3">
      <c r="A22333" t="s">
        <v>1210</v>
      </c>
      <c r="B22333" t="s">
        <v>160</v>
      </c>
      <c r="C22333" s="1">
        <f>HYPERLINK("https://cao.dolgi.msk.ru/account/1011219731/", 1011219731)</f>
        <v>1011219731</v>
      </c>
      <c r="D22333">
        <v>0</v>
      </c>
    </row>
    <row r="22334" spans="1:4" hidden="1" x14ac:dyDescent="0.3">
      <c r="A22334" t="s">
        <v>1210</v>
      </c>
      <c r="B22334" t="s">
        <v>161</v>
      </c>
      <c r="C22334" s="1">
        <f>HYPERLINK("https://cao.dolgi.msk.ru/account/1011219213/", 1011219213)</f>
        <v>1011219213</v>
      </c>
      <c r="D22334">
        <v>-50916.45</v>
      </c>
    </row>
    <row r="22335" spans="1:4" hidden="1" x14ac:dyDescent="0.3">
      <c r="A22335" t="s">
        <v>1210</v>
      </c>
      <c r="B22335" t="s">
        <v>162</v>
      </c>
      <c r="C22335" s="1">
        <f>HYPERLINK("https://cao.dolgi.msk.ru/account/1011534328/", 1011534328)</f>
        <v>1011534328</v>
      </c>
      <c r="D22335">
        <v>-198.44</v>
      </c>
    </row>
    <row r="22336" spans="1:4" hidden="1" x14ac:dyDescent="0.3">
      <c r="A22336" t="s">
        <v>1210</v>
      </c>
      <c r="B22336" t="s">
        <v>163</v>
      </c>
      <c r="C22336" s="1">
        <f>HYPERLINK("https://cao.dolgi.msk.ru/account/1011219045/", 1011219045)</f>
        <v>1011219045</v>
      </c>
      <c r="D22336">
        <v>0</v>
      </c>
    </row>
    <row r="22337" spans="1:4" hidden="1" x14ac:dyDescent="0.3">
      <c r="A22337" t="s">
        <v>1210</v>
      </c>
      <c r="B22337" t="s">
        <v>164</v>
      </c>
      <c r="C22337" s="1">
        <f>HYPERLINK("https://cao.dolgi.msk.ru/account/1011219053/", 1011219053)</f>
        <v>1011219053</v>
      </c>
      <c r="D22337">
        <v>-68.42</v>
      </c>
    </row>
    <row r="22338" spans="1:4" hidden="1" x14ac:dyDescent="0.3">
      <c r="A22338" t="s">
        <v>1210</v>
      </c>
      <c r="B22338" t="s">
        <v>165</v>
      </c>
      <c r="C22338" s="1">
        <f>HYPERLINK("https://cao.dolgi.msk.ru/account/1011220222/", 1011220222)</f>
        <v>1011220222</v>
      </c>
      <c r="D22338">
        <v>-6840.8</v>
      </c>
    </row>
    <row r="22339" spans="1:4" x14ac:dyDescent="0.3">
      <c r="A22339" t="s">
        <v>1210</v>
      </c>
      <c r="B22339" t="s">
        <v>166</v>
      </c>
      <c r="C22339" s="1">
        <f>HYPERLINK("https://cao.dolgi.msk.ru/account/1011219061/", 1011219061)</f>
        <v>1011219061</v>
      </c>
      <c r="D22339">
        <v>286728.46000000002</v>
      </c>
    </row>
    <row r="22340" spans="1:4" x14ac:dyDescent="0.3">
      <c r="A22340" t="s">
        <v>1210</v>
      </c>
      <c r="B22340" t="s">
        <v>167</v>
      </c>
      <c r="C22340" s="1">
        <f>HYPERLINK("https://cao.dolgi.msk.ru/account/1011218595/", 1011218595)</f>
        <v>1011218595</v>
      </c>
      <c r="D22340">
        <v>14315.56</v>
      </c>
    </row>
    <row r="22341" spans="1:4" x14ac:dyDescent="0.3">
      <c r="A22341" t="s">
        <v>1210</v>
      </c>
      <c r="B22341" t="s">
        <v>168</v>
      </c>
      <c r="C22341" s="1">
        <f>HYPERLINK("https://cao.dolgi.msk.ru/account/1011220249/", 1011220249)</f>
        <v>1011220249</v>
      </c>
      <c r="D22341">
        <v>6240.1</v>
      </c>
    </row>
    <row r="22342" spans="1:4" hidden="1" x14ac:dyDescent="0.3">
      <c r="A22342" t="s">
        <v>1210</v>
      </c>
      <c r="B22342" t="s">
        <v>169</v>
      </c>
      <c r="C22342" s="1">
        <f>HYPERLINK("https://cao.dolgi.msk.ru/account/1011218755/", 1011218755)</f>
        <v>1011218755</v>
      </c>
      <c r="D22342">
        <v>0</v>
      </c>
    </row>
    <row r="22343" spans="1:4" hidden="1" x14ac:dyDescent="0.3">
      <c r="A22343" t="s">
        <v>1211</v>
      </c>
      <c r="B22343" t="s">
        <v>28</v>
      </c>
      <c r="C22343" s="1">
        <f>HYPERLINK("https://cao.dolgi.msk.ru/account/1011367865/", 1011367865)</f>
        <v>1011367865</v>
      </c>
      <c r="D22343">
        <v>0</v>
      </c>
    </row>
    <row r="22344" spans="1:4" hidden="1" x14ac:dyDescent="0.3">
      <c r="A22344" t="s">
        <v>1211</v>
      </c>
      <c r="B22344" t="s">
        <v>35</v>
      </c>
      <c r="C22344" s="1">
        <f>HYPERLINK("https://cao.dolgi.msk.ru/account/1011367988/", 1011367988)</f>
        <v>1011367988</v>
      </c>
      <c r="D22344">
        <v>-58570.81</v>
      </c>
    </row>
    <row r="22345" spans="1:4" x14ac:dyDescent="0.3">
      <c r="A22345" t="s">
        <v>1211</v>
      </c>
      <c r="B22345" t="s">
        <v>5</v>
      </c>
      <c r="C22345" s="1">
        <f>HYPERLINK("https://cao.dolgi.msk.ru/account/1011368008/", 1011368008)</f>
        <v>1011368008</v>
      </c>
      <c r="D22345">
        <v>5201.75</v>
      </c>
    </row>
    <row r="22346" spans="1:4" hidden="1" x14ac:dyDescent="0.3">
      <c r="A22346" t="s">
        <v>1211</v>
      </c>
      <c r="B22346" t="s">
        <v>7</v>
      </c>
      <c r="C22346" s="1">
        <f>HYPERLINK("https://cao.dolgi.msk.ru/account/1011367494/", 1011367494)</f>
        <v>1011367494</v>
      </c>
      <c r="D22346">
        <v>0</v>
      </c>
    </row>
    <row r="22347" spans="1:4" hidden="1" x14ac:dyDescent="0.3">
      <c r="A22347" t="s">
        <v>1211</v>
      </c>
      <c r="B22347" t="s">
        <v>7</v>
      </c>
      <c r="C22347" s="1">
        <f>HYPERLINK("https://cao.dolgi.msk.ru/account/1011367574/", 1011367574)</f>
        <v>1011367574</v>
      </c>
      <c r="D22347">
        <v>0</v>
      </c>
    </row>
    <row r="22348" spans="1:4" hidden="1" x14ac:dyDescent="0.3">
      <c r="A22348" t="s">
        <v>1211</v>
      </c>
      <c r="B22348" t="s">
        <v>8</v>
      </c>
      <c r="C22348" s="1">
        <f>HYPERLINK("https://cao.dolgi.msk.ru/account/1011367638/", 1011367638)</f>
        <v>1011367638</v>
      </c>
      <c r="D22348">
        <v>0</v>
      </c>
    </row>
    <row r="22349" spans="1:4" hidden="1" x14ac:dyDescent="0.3">
      <c r="A22349" t="s">
        <v>1211</v>
      </c>
      <c r="B22349" t="s">
        <v>31</v>
      </c>
      <c r="C22349" s="1">
        <f>HYPERLINK("https://cao.dolgi.msk.ru/account/1011367689/", 1011367689)</f>
        <v>1011367689</v>
      </c>
      <c r="D22349">
        <v>0</v>
      </c>
    </row>
    <row r="22350" spans="1:4" hidden="1" x14ac:dyDescent="0.3">
      <c r="A22350" t="s">
        <v>1211</v>
      </c>
      <c r="B22350" t="s">
        <v>9</v>
      </c>
      <c r="C22350" s="1">
        <f>HYPERLINK("https://cao.dolgi.msk.ru/account/1011367945/", 1011367945)</f>
        <v>1011367945</v>
      </c>
      <c r="D22350">
        <v>0</v>
      </c>
    </row>
    <row r="22351" spans="1:4" x14ac:dyDescent="0.3">
      <c r="A22351" t="s">
        <v>1211</v>
      </c>
      <c r="B22351" t="s">
        <v>10</v>
      </c>
      <c r="C22351" s="1">
        <f>HYPERLINK("https://cao.dolgi.msk.ru/account/1011367953/", 1011367953)</f>
        <v>1011367953</v>
      </c>
      <c r="D22351">
        <v>37663.39</v>
      </c>
    </row>
    <row r="22352" spans="1:4" hidden="1" x14ac:dyDescent="0.3">
      <c r="A22352" t="s">
        <v>1211</v>
      </c>
      <c r="B22352" t="s">
        <v>11</v>
      </c>
      <c r="C22352" s="1">
        <f>HYPERLINK("https://cao.dolgi.msk.ru/account/1011367611/", 1011367611)</f>
        <v>1011367611</v>
      </c>
      <c r="D22352">
        <v>0</v>
      </c>
    </row>
    <row r="22353" spans="1:4" hidden="1" x14ac:dyDescent="0.3">
      <c r="A22353" t="s">
        <v>1211</v>
      </c>
      <c r="B22353" t="s">
        <v>12</v>
      </c>
      <c r="C22353" s="1">
        <f>HYPERLINK("https://cao.dolgi.msk.ru/account/1011367769/", 1011367769)</f>
        <v>1011367769</v>
      </c>
      <c r="D22353">
        <v>0</v>
      </c>
    </row>
    <row r="22354" spans="1:4" hidden="1" x14ac:dyDescent="0.3">
      <c r="A22354" t="s">
        <v>1211</v>
      </c>
      <c r="B22354" t="s">
        <v>23</v>
      </c>
      <c r="C22354" s="1">
        <f>HYPERLINK("https://cao.dolgi.msk.ru/account/1011367814/", 1011367814)</f>
        <v>1011367814</v>
      </c>
      <c r="D22354">
        <v>0</v>
      </c>
    </row>
    <row r="22355" spans="1:4" hidden="1" x14ac:dyDescent="0.3">
      <c r="A22355" t="s">
        <v>1211</v>
      </c>
      <c r="B22355" t="s">
        <v>13</v>
      </c>
      <c r="C22355" s="1">
        <f>HYPERLINK("https://cao.dolgi.msk.ru/account/1011367558/", 1011367558)</f>
        <v>1011367558</v>
      </c>
      <c r="D22355">
        <v>0</v>
      </c>
    </row>
    <row r="22356" spans="1:4" hidden="1" x14ac:dyDescent="0.3">
      <c r="A22356" t="s">
        <v>1211</v>
      </c>
      <c r="B22356" t="s">
        <v>14</v>
      </c>
      <c r="C22356" s="1">
        <f>HYPERLINK("https://cao.dolgi.msk.ru/account/1011367849/", 1011367849)</f>
        <v>1011367849</v>
      </c>
      <c r="D22356">
        <v>-12702.74</v>
      </c>
    </row>
    <row r="22357" spans="1:4" hidden="1" x14ac:dyDescent="0.3">
      <c r="A22357" t="s">
        <v>1211</v>
      </c>
      <c r="B22357" t="s">
        <v>16</v>
      </c>
      <c r="C22357" s="1">
        <f>HYPERLINK("https://cao.dolgi.msk.ru/account/1011367822/", 1011367822)</f>
        <v>1011367822</v>
      </c>
      <c r="D22357">
        <v>-2473.64</v>
      </c>
    </row>
    <row r="22358" spans="1:4" hidden="1" x14ac:dyDescent="0.3">
      <c r="A22358" t="s">
        <v>1211</v>
      </c>
      <c r="B22358" t="s">
        <v>16</v>
      </c>
      <c r="C22358" s="1">
        <f>HYPERLINK("https://cao.dolgi.msk.ru/account/1011367937/", 1011367937)</f>
        <v>1011367937</v>
      </c>
      <c r="D22358">
        <v>-7420.9</v>
      </c>
    </row>
    <row r="22359" spans="1:4" hidden="1" x14ac:dyDescent="0.3">
      <c r="A22359" t="s">
        <v>1211</v>
      </c>
      <c r="B22359" t="s">
        <v>17</v>
      </c>
      <c r="C22359" s="1">
        <f>HYPERLINK("https://cao.dolgi.msk.ru/account/1011368016/", 1011368016)</f>
        <v>1011368016</v>
      </c>
      <c r="D22359">
        <v>-8502.56</v>
      </c>
    </row>
    <row r="22360" spans="1:4" hidden="1" x14ac:dyDescent="0.3">
      <c r="A22360" t="s">
        <v>1211</v>
      </c>
      <c r="B22360" t="s">
        <v>18</v>
      </c>
      <c r="C22360" s="1">
        <f>HYPERLINK("https://cao.dolgi.msk.ru/account/1011367873/", 1011367873)</f>
        <v>1011367873</v>
      </c>
      <c r="D22360">
        <v>-13456.03</v>
      </c>
    </row>
    <row r="22361" spans="1:4" hidden="1" x14ac:dyDescent="0.3">
      <c r="A22361" t="s">
        <v>1211</v>
      </c>
      <c r="B22361" t="s">
        <v>19</v>
      </c>
      <c r="C22361" s="1">
        <f>HYPERLINK("https://cao.dolgi.msk.ru/account/1011367603/", 1011367603)</f>
        <v>1011367603</v>
      </c>
      <c r="D22361">
        <v>-32490</v>
      </c>
    </row>
    <row r="22362" spans="1:4" hidden="1" x14ac:dyDescent="0.3">
      <c r="A22362" t="s">
        <v>1211</v>
      </c>
      <c r="B22362" t="s">
        <v>22</v>
      </c>
      <c r="C22362" s="1">
        <f>HYPERLINK("https://cao.dolgi.msk.ru/account/1011367777/", 1011367777)</f>
        <v>1011367777</v>
      </c>
      <c r="D22362">
        <v>-5916.52</v>
      </c>
    </row>
    <row r="22363" spans="1:4" hidden="1" x14ac:dyDescent="0.3">
      <c r="A22363" t="s">
        <v>1211</v>
      </c>
      <c r="B22363" t="s">
        <v>22</v>
      </c>
      <c r="C22363" s="1">
        <f>HYPERLINK("https://cao.dolgi.msk.ru/account/1011367929/", 1011367929)</f>
        <v>1011367929</v>
      </c>
      <c r="D22363">
        <v>0</v>
      </c>
    </row>
    <row r="22364" spans="1:4" x14ac:dyDescent="0.3">
      <c r="A22364" t="s">
        <v>1211</v>
      </c>
      <c r="B22364" t="s">
        <v>22</v>
      </c>
      <c r="C22364" s="1">
        <f>HYPERLINK("https://cao.dolgi.msk.ru/account/1011367961/", 1011367961)</f>
        <v>1011367961</v>
      </c>
      <c r="D22364">
        <v>1648.35</v>
      </c>
    </row>
    <row r="22365" spans="1:4" x14ac:dyDescent="0.3">
      <c r="A22365" t="s">
        <v>1211</v>
      </c>
      <c r="B22365" t="s">
        <v>24</v>
      </c>
      <c r="C22365" s="1">
        <f>HYPERLINK("https://cao.dolgi.msk.ru/account/1011367902/", 1011367902)</f>
        <v>1011367902</v>
      </c>
      <c r="D22365">
        <v>104542.9</v>
      </c>
    </row>
    <row r="22366" spans="1:4" hidden="1" x14ac:dyDescent="0.3">
      <c r="A22366" t="s">
        <v>1211</v>
      </c>
      <c r="B22366" t="s">
        <v>25</v>
      </c>
      <c r="C22366" s="1">
        <f>HYPERLINK("https://cao.dolgi.msk.ru/account/1011367996/", 1011367996)</f>
        <v>1011367996</v>
      </c>
      <c r="D22366">
        <v>0</v>
      </c>
    </row>
    <row r="22367" spans="1:4" x14ac:dyDescent="0.3">
      <c r="A22367" t="s">
        <v>1211</v>
      </c>
      <c r="B22367" t="s">
        <v>26</v>
      </c>
      <c r="C22367" s="1">
        <f>HYPERLINK("https://cao.dolgi.msk.ru/account/1011367523/", 1011367523)</f>
        <v>1011367523</v>
      </c>
      <c r="D22367">
        <v>8885.17</v>
      </c>
    </row>
    <row r="22368" spans="1:4" x14ac:dyDescent="0.3">
      <c r="A22368" t="s">
        <v>1211</v>
      </c>
      <c r="B22368" t="s">
        <v>27</v>
      </c>
      <c r="C22368" s="1">
        <f>HYPERLINK("https://cao.dolgi.msk.ru/account/1011367531/", 1011367531)</f>
        <v>1011367531</v>
      </c>
      <c r="D22368">
        <v>1856.15</v>
      </c>
    </row>
    <row r="22369" spans="1:4" hidden="1" x14ac:dyDescent="0.3">
      <c r="A22369" t="s">
        <v>1211</v>
      </c>
      <c r="B22369" t="s">
        <v>27</v>
      </c>
      <c r="C22369" s="1">
        <f>HYPERLINK("https://cao.dolgi.msk.ru/account/1011367582/", 1011367582)</f>
        <v>1011367582</v>
      </c>
      <c r="D22369">
        <v>-1234.04</v>
      </c>
    </row>
    <row r="22370" spans="1:4" hidden="1" x14ac:dyDescent="0.3">
      <c r="A22370" t="s">
        <v>1211</v>
      </c>
      <c r="B22370" t="s">
        <v>27</v>
      </c>
      <c r="C22370" s="1">
        <f>HYPERLINK("https://cao.dolgi.msk.ru/account/1011367734/", 1011367734)</f>
        <v>1011367734</v>
      </c>
      <c r="D22370">
        <v>-1355.05</v>
      </c>
    </row>
    <row r="22371" spans="1:4" hidden="1" x14ac:dyDescent="0.3">
      <c r="A22371" t="s">
        <v>1211</v>
      </c>
      <c r="B22371" t="s">
        <v>29</v>
      </c>
      <c r="C22371" s="1">
        <f>HYPERLINK("https://cao.dolgi.msk.ru/account/1011367654/", 1011367654)</f>
        <v>1011367654</v>
      </c>
      <c r="D22371">
        <v>-482.56</v>
      </c>
    </row>
    <row r="22372" spans="1:4" hidden="1" x14ac:dyDescent="0.3">
      <c r="A22372" t="s">
        <v>1211</v>
      </c>
      <c r="B22372" t="s">
        <v>38</v>
      </c>
      <c r="C22372" s="1">
        <f>HYPERLINK("https://cao.dolgi.msk.ru/account/1011367507/", 1011367507)</f>
        <v>1011367507</v>
      </c>
      <c r="D22372">
        <v>0</v>
      </c>
    </row>
    <row r="22373" spans="1:4" hidden="1" x14ac:dyDescent="0.3">
      <c r="A22373" t="s">
        <v>1211</v>
      </c>
      <c r="B22373" t="s">
        <v>39</v>
      </c>
      <c r="C22373" s="1">
        <f>HYPERLINK("https://cao.dolgi.msk.ru/account/1011367857/", 1011367857)</f>
        <v>1011367857</v>
      </c>
      <c r="D22373">
        <v>0</v>
      </c>
    </row>
    <row r="22374" spans="1:4" hidden="1" x14ac:dyDescent="0.3">
      <c r="A22374" t="s">
        <v>1211</v>
      </c>
      <c r="B22374" t="s">
        <v>40</v>
      </c>
      <c r="C22374" s="1">
        <f>HYPERLINK("https://cao.dolgi.msk.ru/account/1011367697/", 1011367697)</f>
        <v>1011367697</v>
      </c>
      <c r="D22374">
        <v>0</v>
      </c>
    </row>
    <row r="22375" spans="1:4" hidden="1" x14ac:dyDescent="0.3">
      <c r="A22375" t="s">
        <v>1211</v>
      </c>
      <c r="B22375" t="s">
        <v>41</v>
      </c>
      <c r="C22375" s="1">
        <f>HYPERLINK("https://cao.dolgi.msk.ru/account/1011367662/", 1011367662)</f>
        <v>1011367662</v>
      </c>
      <c r="D22375">
        <v>-2425.2199999999998</v>
      </c>
    </row>
    <row r="22376" spans="1:4" hidden="1" x14ac:dyDescent="0.3">
      <c r="A22376" t="s">
        <v>1211</v>
      </c>
      <c r="B22376" t="s">
        <v>41</v>
      </c>
      <c r="C22376" s="1">
        <f>HYPERLINK("https://cao.dolgi.msk.ru/account/1011367718/", 1011367718)</f>
        <v>1011367718</v>
      </c>
      <c r="D22376">
        <v>-6169.47</v>
      </c>
    </row>
    <row r="22377" spans="1:4" hidden="1" x14ac:dyDescent="0.3">
      <c r="A22377" t="s">
        <v>1211</v>
      </c>
      <c r="B22377" t="s">
        <v>41</v>
      </c>
      <c r="C22377" s="1">
        <f>HYPERLINK("https://cao.dolgi.msk.ru/account/1011367793/", 1011367793)</f>
        <v>1011367793</v>
      </c>
      <c r="D22377">
        <v>0</v>
      </c>
    </row>
    <row r="22378" spans="1:4" hidden="1" x14ac:dyDescent="0.3">
      <c r="A22378" t="s">
        <v>1211</v>
      </c>
      <c r="B22378" t="s">
        <v>53</v>
      </c>
      <c r="C22378" s="1">
        <f>HYPERLINK("https://cao.dolgi.msk.ru/account/1011368024/", 1011368024)</f>
        <v>1011368024</v>
      </c>
      <c r="D22378">
        <v>0</v>
      </c>
    </row>
    <row r="22379" spans="1:4" hidden="1" x14ac:dyDescent="0.3">
      <c r="A22379" t="s">
        <v>1211</v>
      </c>
      <c r="B22379" t="s">
        <v>54</v>
      </c>
      <c r="C22379" s="1">
        <f>HYPERLINK("https://cao.dolgi.msk.ru/account/1011367742/", 1011367742)</f>
        <v>1011367742</v>
      </c>
      <c r="D22379">
        <v>0</v>
      </c>
    </row>
    <row r="22380" spans="1:4" hidden="1" x14ac:dyDescent="0.3">
      <c r="A22380" t="s">
        <v>1211</v>
      </c>
      <c r="B22380" t="s">
        <v>55</v>
      </c>
      <c r="C22380" s="1">
        <f>HYPERLINK("https://cao.dolgi.msk.ru/account/1011367785/", 1011367785)</f>
        <v>1011367785</v>
      </c>
      <c r="D22380">
        <v>0</v>
      </c>
    </row>
    <row r="22381" spans="1:4" hidden="1" x14ac:dyDescent="0.3">
      <c r="A22381" t="s">
        <v>1211</v>
      </c>
      <c r="B22381" t="s">
        <v>56</v>
      </c>
      <c r="C22381" s="1">
        <f>HYPERLINK("https://cao.dolgi.msk.ru/account/1011367515/", 1011367515)</f>
        <v>1011367515</v>
      </c>
      <c r="D22381">
        <v>-135.52000000000001</v>
      </c>
    </row>
    <row r="22382" spans="1:4" x14ac:dyDescent="0.3">
      <c r="A22382" t="s">
        <v>1211</v>
      </c>
      <c r="B22382" t="s">
        <v>87</v>
      </c>
      <c r="C22382" s="1">
        <f>HYPERLINK("https://cao.dolgi.msk.ru/account/1011367646/", 1011367646)</f>
        <v>1011367646</v>
      </c>
      <c r="D22382">
        <v>12161.25</v>
      </c>
    </row>
    <row r="22383" spans="1:4" x14ac:dyDescent="0.3">
      <c r="A22383" t="s">
        <v>1211</v>
      </c>
      <c r="B22383" t="s">
        <v>88</v>
      </c>
      <c r="C22383" s="1">
        <f>HYPERLINK("https://cao.dolgi.msk.ru/account/1011367566/", 1011367566)</f>
        <v>1011367566</v>
      </c>
      <c r="D22383">
        <v>3591.03</v>
      </c>
    </row>
    <row r="22384" spans="1:4" hidden="1" x14ac:dyDescent="0.3">
      <c r="A22384" t="s">
        <v>1211</v>
      </c>
      <c r="B22384" t="s">
        <v>89</v>
      </c>
      <c r="C22384" s="1">
        <f>HYPERLINK("https://cao.dolgi.msk.ru/account/1011367806/", 1011367806)</f>
        <v>1011367806</v>
      </c>
      <c r="D22384">
        <v>0</v>
      </c>
    </row>
    <row r="22385" spans="1:4" hidden="1" x14ac:dyDescent="0.3">
      <c r="A22385" t="s">
        <v>1211</v>
      </c>
      <c r="B22385" t="s">
        <v>90</v>
      </c>
      <c r="C22385" s="1">
        <f>HYPERLINK("https://cao.dolgi.msk.ru/account/1011367726/", 1011367726)</f>
        <v>1011367726</v>
      </c>
      <c r="D22385">
        <v>0</v>
      </c>
    </row>
    <row r="22386" spans="1:4" hidden="1" x14ac:dyDescent="0.3">
      <c r="A22386" t="s">
        <v>1211</v>
      </c>
      <c r="B22386" t="s">
        <v>96</v>
      </c>
      <c r="C22386" s="1">
        <f>HYPERLINK("https://cao.dolgi.msk.ru/account/1011368032/", 1011368032)</f>
        <v>1011368032</v>
      </c>
      <c r="D22386">
        <v>0</v>
      </c>
    </row>
    <row r="22387" spans="1:4" x14ac:dyDescent="0.3">
      <c r="A22387" t="s">
        <v>1211</v>
      </c>
      <c r="B22387" t="s">
        <v>97</v>
      </c>
      <c r="C22387" s="1">
        <f>HYPERLINK("https://cao.dolgi.msk.ru/account/1011367881/", 1011367881)</f>
        <v>1011367881</v>
      </c>
      <c r="D22387">
        <v>8005.24</v>
      </c>
    </row>
    <row r="22388" spans="1:4" hidden="1" x14ac:dyDescent="0.3">
      <c r="A22388" t="s">
        <v>1211</v>
      </c>
      <c r="B22388" t="s">
        <v>97</v>
      </c>
      <c r="C22388" s="1">
        <f>HYPERLINK("https://cao.dolgi.msk.ru/account/1011368059/", 1011368059)</f>
        <v>1011368059</v>
      </c>
      <c r="D22388">
        <v>0</v>
      </c>
    </row>
    <row r="22389" spans="1:4" hidden="1" x14ac:dyDescent="0.3">
      <c r="A22389" t="s">
        <v>1212</v>
      </c>
      <c r="B22389" t="s">
        <v>6</v>
      </c>
      <c r="C22389" s="1">
        <f>HYPERLINK("https://cao.dolgi.msk.ru/account/1011432145/", 1011432145)</f>
        <v>1011432145</v>
      </c>
      <c r="D22389">
        <v>0</v>
      </c>
    </row>
    <row r="22390" spans="1:4" hidden="1" x14ac:dyDescent="0.3">
      <c r="A22390" t="s">
        <v>1212</v>
      </c>
      <c r="B22390" t="s">
        <v>28</v>
      </c>
      <c r="C22390" s="1">
        <f>HYPERLINK("https://cao.dolgi.msk.ru/account/1011432196/", 1011432196)</f>
        <v>1011432196</v>
      </c>
      <c r="D22390">
        <v>0</v>
      </c>
    </row>
    <row r="22391" spans="1:4" hidden="1" x14ac:dyDescent="0.3">
      <c r="A22391" t="s">
        <v>1212</v>
      </c>
      <c r="B22391" t="s">
        <v>35</v>
      </c>
      <c r="C22391" s="1">
        <f>HYPERLINK("https://cao.dolgi.msk.ru/account/1011432129/", 1011432129)</f>
        <v>1011432129</v>
      </c>
      <c r="D22391">
        <v>-812.74</v>
      </c>
    </row>
    <row r="22392" spans="1:4" hidden="1" x14ac:dyDescent="0.3">
      <c r="A22392" t="s">
        <v>1212</v>
      </c>
      <c r="B22392" t="s">
        <v>35</v>
      </c>
      <c r="C22392" s="1">
        <f>HYPERLINK("https://cao.dolgi.msk.ru/account/1011432161/", 1011432161)</f>
        <v>1011432161</v>
      </c>
      <c r="D22392">
        <v>0</v>
      </c>
    </row>
    <row r="22393" spans="1:4" hidden="1" x14ac:dyDescent="0.3">
      <c r="A22393" t="s">
        <v>1212</v>
      </c>
      <c r="B22393" t="s">
        <v>5</v>
      </c>
      <c r="C22393" s="1">
        <f>HYPERLINK("https://cao.dolgi.msk.ru/account/1011432188/", 1011432188)</f>
        <v>1011432188</v>
      </c>
      <c r="D22393">
        <v>-629.41999999999996</v>
      </c>
    </row>
    <row r="22394" spans="1:4" x14ac:dyDescent="0.3">
      <c r="A22394" t="s">
        <v>1212</v>
      </c>
      <c r="B22394" t="s">
        <v>7</v>
      </c>
      <c r="C22394" s="1">
        <f>HYPERLINK("https://cao.dolgi.msk.ru/account/1011432137/", 1011432137)</f>
        <v>1011432137</v>
      </c>
      <c r="D22394">
        <v>314.10000000000002</v>
      </c>
    </row>
    <row r="22395" spans="1:4" hidden="1" x14ac:dyDescent="0.3">
      <c r="A22395" t="s">
        <v>1212</v>
      </c>
      <c r="B22395" t="s">
        <v>7</v>
      </c>
      <c r="C22395" s="1">
        <f>HYPERLINK("https://cao.dolgi.msk.ru/account/1011432153/", 1011432153)</f>
        <v>1011432153</v>
      </c>
      <c r="D22395">
        <v>0</v>
      </c>
    </row>
    <row r="22396" spans="1:4" hidden="1" x14ac:dyDescent="0.3">
      <c r="A22396" t="s">
        <v>1212</v>
      </c>
      <c r="B22396" t="s">
        <v>7</v>
      </c>
      <c r="C22396" s="1">
        <f>HYPERLINK("https://cao.dolgi.msk.ru/account/1011432209/", 1011432209)</f>
        <v>1011432209</v>
      </c>
      <c r="D22396">
        <v>-2571.63</v>
      </c>
    </row>
    <row r="22397" spans="1:4" x14ac:dyDescent="0.3">
      <c r="A22397" t="s">
        <v>1212</v>
      </c>
      <c r="B22397" t="s">
        <v>8</v>
      </c>
      <c r="C22397" s="1">
        <f>HYPERLINK("https://cao.dolgi.msk.ru/account/1011432102/", 1011432102)</f>
        <v>1011432102</v>
      </c>
      <c r="D22397">
        <v>21693.96</v>
      </c>
    </row>
    <row r="22398" spans="1:4" x14ac:dyDescent="0.3">
      <c r="A22398" t="s">
        <v>1213</v>
      </c>
      <c r="B22398" t="s">
        <v>6</v>
      </c>
      <c r="C22398" s="1">
        <f>HYPERLINK("https://cao.dolgi.msk.ru/account/1011501083/", 1011501083)</f>
        <v>1011501083</v>
      </c>
      <c r="D22398">
        <v>13669.39</v>
      </c>
    </row>
    <row r="22399" spans="1:4" hidden="1" x14ac:dyDescent="0.3">
      <c r="A22399" t="s">
        <v>1213</v>
      </c>
      <c r="B22399" t="s">
        <v>28</v>
      </c>
      <c r="C22399" s="1">
        <f>HYPERLINK("https://cao.dolgi.msk.ru/account/1011501091/", 1011501091)</f>
        <v>1011501091</v>
      </c>
      <c r="D22399">
        <v>-5244.82</v>
      </c>
    </row>
    <row r="22400" spans="1:4" hidden="1" x14ac:dyDescent="0.3">
      <c r="A22400" t="s">
        <v>1213</v>
      </c>
      <c r="B22400" t="s">
        <v>35</v>
      </c>
      <c r="C22400" s="1">
        <f>HYPERLINK("https://cao.dolgi.msk.ru/account/1011500793/", 1011500793)</f>
        <v>1011500793</v>
      </c>
      <c r="D22400">
        <v>0</v>
      </c>
    </row>
    <row r="22401" spans="1:4" hidden="1" x14ac:dyDescent="0.3">
      <c r="A22401" t="s">
        <v>1213</v>
      </c>
      <c r="B22401" t="s">
        <v>5</v>
      </c>
      <c r="C22401" s="1">
        <f>HYPERLINK("https://cao.dolgi.msk.ru/account/1011500574/", 1011500574)</f>
        <v>1011500574</v>
      </c>
      <c r="D22401">
        <v>-5871.84</v>
      </c>
    </row>
    <row r="22402" spans="1:4" hidden="1" x14ac:dyDescent="0.3">
      <c r="A22402" t="s">
        <v>1213</v>
      </c>
      <c r="B22402" t="s">
        <v>7</v>
      </c>
      <c r="C22402" s="1">
        <f>HYPERLINK("https://cao.dolgi.msk.ru/account/1011500996/", 1011500996)</f>
        <v>1011500996</v>
      </c>
      <c r="D22402">
        <v>-1544.82</v>
      </c>
    </row>
    <row r="22403" spans="1:4" hidden="1" x14ac:dyDescent="0.3">
      <c r="A22403" t="s">
        <v>1213</v>
      </c>
      <c r="B22403" t="s">
        <v>8</v>
      </c>
      <c r="C22403" s="1">
        <f>HYPERLINK("https://cao.dolgi.msk.ru/account/1011500662/", 1011500662)</f>
        <v>1011500662</v>
      </c>
      <c r="D22403">
        <v>-85.7</v>
      </c>
    </row>
    <row r="22404" spans="1:4" hidden="1" x14ac:dyDescent="0.3">
      <c r="A22404" t="s">
        <v>1213</v>
      </c>
      <c r="B22404" t="s">
        <v>31</v>
      </c>
      <c r="C22404" s="1">
        <f>HYPERLINK("https://cao.dolgi.msk.ru/account/1011500689/", 1011500689)</f>
        <v>1011500689</v>
      </c>
      <c r="D22404">
        <v>-3064.06</v>
      </c>
    </row>
    <row r="22405" spans="1:4" hidden="1" x14ac:dyDescent="0.3">
      <c r="A22405" t="s">
        <v>1213</v>
      </c>
      <c r="B22405" t="s">
        <v>31</v>
      </c>
      <c r="C22405" s="1">
        <f>HYPERLINK("https://cao.dolgi.msk.ru/account/1011500873/", 1011500873)</f>
        <v>1011500873</v>
      </c>
      <c r="D22405">
        <v>-3185.1</v>
      </c>
    </row>
    <row r="22406" spans="1:4" hidden="1" x14ac:dyDescent="0.3">
      <c r="A22406" t="s">
        <v>1213</v>
      </c>
      <c r="B22406" t="s">
        <v>9</v>
      </c>
      <c r="C22406" s="1">
        <f>HYPERLINK("https://cao.dolgi.msk.ru/account/1011500697/", 1011500697)</f>
        <v>1011500697</v>
      </c>
      <c r="D22406">
        <v>0</v>
      </c>
    </row>
    <row r="22407" spans="1:4" hidden="1" x14ac:dyDescent="0.3">
      <c r="A22407" t="s">
        <v>1213</v>
      </c>
      <c r="B22407" t="s">
        <v>10</v>
      </c>
      <c r="C22407" s="1">
        <f>HYPERLINK("https://cao.dolgi.msk.ru/account/1011500881/", 1011500881)</f>
        <v>1011500881</v>
      </c>
      <c r="D22407">
        <v>-5872.51</v>
      </c>
    </row>
    <row r="22408" spans="1:4" hidden="1" x14ac:dyDescent="0.3">
      <c r="A22408" t="s">
        <v>1213</v>
      </c>
      <c r="B22408" t="s">
        <v>11</v>
      </c>
      <c r="C22408" s="1">
        <f>HYPERLINK("https://cao.dolgi.msk.ru/account/1011501104/", 1011501104)</f>
        <v>1011501104</v>
      </c>
      <c r="D22408">
        <v>0</v>
      </c>
    </row>
    <row r="22409" spans="1:4" hidden="1" x14ac:dyDescent="0.3">
      <c r="A22409" t="s">
        <v>1213</v>
      </c>
      <c r="B22409" t="s">
        <v>12</v>
      </c>
      <c r="C22409" s="1">
        <f>HYPERLINK("https://cao.dolgi.msk.ru/account/1011500953/", 1011500953)</f>
        <v>1011500953</v>
      </c>
      <c r="D22409">
        <v>0</v>
      </c>
    </row>
    <row r="22410" spans="1:4" hidden="1" x14ac:dyDescent="0.3">
      <c r="A22410" t="s">
        <v>1213</v>
      </c>
      <c r="B22410" t="s">
        <v>23</v>
      </c>
      <c r="C22410" s="1">
        <f>HYPERLINK("https://cao.dolgi.msk.ru/account/1011500582/", 1011500582)</f>
        <v>1011500582</v>
      </c>
      <c r="D22410">
        <v>0</v>
      </c>
    </row>
    <row r="22411" spans="1:4" hidden="1" x14ac:dyDescent="0.3">
      <c r="A22411" t="s">
        <v>1213</v>
      </c>
      <c r="B22411" t="s">
        <v>13</v>
      </c>
      <c r="C22411" s="1">
        <f>HYPERLINK("https://cao.dolgi.msk.ru/account/1011501008/", 1011501008)</f>
        <v>1011501008</v>
      </c>
      <c r="D22411">
        <v>-1307.6600000000001</v>
      </c>
    </row>
    <row r="22412" spans="1:4" hidden="1" x14ac:dyDescent="0.3">
      <c r="A22412" t="s">
        <v>1213</v>
      </c>
      <c r="B22412" t="s">
        <v>14</v>
      </c>
      <c r="C22412" s="1">
        <f>HYPERLINK("https://cao.dolgi.msk.ru/account/1011501112/", 1011501112)</f>
        <v>1011501112</v>
      </c>
      <c r="D22412">
        <v>0</v>
      </c>
    </row>
    <row r="22413" spans="1:4" x14ac:dyDescent="0.3">
      <c r="A22413" t="s">
        <v>1213</v>
      </c>
      <c r="B22413" t="s">
        <v>16</v>
      </c>
      <c r="C22413" s="1">
        <f>HYPERLINK("https://cao.dolgi.msk.ru/account/1011501016/", 1011501016)</f>
        <v>1011501016</v>
      </c>
      <c r="D22413">
        <v>8829.23</v>
      </c>
    </row>
    <row r="22414" spans="1:4" hidden="1" x14ac:dyDescent="0.3">
      <c r="A22414" t="s">
        <v>1213</v>
      </c>
      <c r="B22414" t="s">
        <v>17</v>
      </c>
      <c r="C22414" s="1">
        <f>HYPERLINK("https://cao.dolgi.msk.ru/account/1011500902/", 1011500902)</f>
        <v>1011500902</v>
      </c>
      <c r="D22414">
        <v>-307.66000000000003</v>
      </c>
    </row>
    <row r="22415" spans="1:4" x14ac:dyDescent="0.3">
      <c r="A22415" t="s">
        <v>1213</v>
      </c>
      <c r="B22415" t="s">
        <v>19</v>
      </c>
      <c r="C22415" s="1">
        <f>HYPERLINK("https://cao.dolgi.msk.ru/account/1011500718/", 1011500718)</f>
        <v>1011500718</v>
      </c>
      <c r="D22415">
        <v>8445.92</v>
      </c>
    </row>
    <row r="22416" spans="1:4" hidden="1" x14ac:dyDescent="0.3">
      <c r="A22416" t="s">
        <v>1213</v>
      </c>
      <c r="B22416" t="s">
        <v>20</v>
      </c>
      <c r="C22416" s="1">
        <f>HYPERLINK("https://cao.dolgi.msk.ru/account/1011500929/", 1011500929)</f>
        <v>1011500929</v>
      </c>
      <c r="D22416">
        <v>0</v>
      </c>
    </row>
    <row r="22417" spans="1:4" x14ac:dyDescent="0.3">
      <c r="A22417" t="s">
        <v>1213</v>
      </c>
      <c r="B22417" t="s">
        <v>21</v>
      </c>
      <c r="C22417" s="1">
        <f>HYPERLINK("https://cao.dolgi.msk.ru/account/1011500726/", 1011500726)</f>
        <v>1011500726</v>
      </c>
      <c r="D22417">
        <v>42189.22</v>
      </c>
    </row>
    <row r="22418" spans="1:4" hidden="1" x14ac:dyDescent="0.3">
      <c r="A22418" t="s">
        <v>1213</v>
      </c>
      <c r="B22418" t="s">
        <v>22</v>
      </c>
      <c r="C22418" s="1">
        <f>HYPERLINK("https://cao.dolgi.msk.ru/account/1011500814/", 1011500814)</f>
        <v>1011500814</v>
      </c>
      <c r="D22418">
        <v>-7464.29</v>
      </c>
    </row>
    <row r="22419" spans="1:4" hidden="1" x14ac:dyDescent="0.3">
      <c r="A22419" t="s">
        <v>1213</v>
      </c>
      <c r="B22419" t="s">
        <v>24</v>
      </c>
      <c r="C22419" s="1">
        <f>HYPERLINK("https://cao.dolgi.msk.ru/account/1011500603/", 1011500603)</f>
        <v>1011500603</v>
      </c>
      <c r="D22419">
        <v>0</v>
      </c>
    </row>
    <row r="22420" spans="1:4" hidden="1" x14ac:dyDescent="0.3">
      <c r="A22420" t="s">
        <v>1213</v>
      </c>
      <c r="B22420" t="s">
        <v>25</v>
      </c>
      <c r="C22420" s="1">
        <f>HYPERLINK("https://cao.dolgi.msk.ru/account/1011501139/", 1011501139)</f>
        <v>1011501139</v>
      </c>
      <c r="D22420">
        <v>0</v>
      </c>
    </row>
    <row r="22421" spans="1:4" hidden="1" x14ac:dyDescent="0.3">
      <c r="A22421" t="s">
        <v>1213</v>
      </c>
      <c r="B22421" t="s">
        <v>26</v>
      </c>
      <c r="C22421" s="1">
        <f>HYPERLINK("https://cao.dolgi.msk.ru/account/1011501024/", 1011501024)</f>
        <v>1011501024</v>
      </c>
      <c r="D22421">
        <v>-6491.48</v>
      </c>
    </row>
    <row r="22422" spans="1:4" hidden="1" x14ac:dyDescent="0.3">
      <c r="A22422" t="s">
        <v>1213</v>
      </c>
      <c r="B22422" t="s">
        <v>27</v>
      </c>
      <c r="C22422" s="1">
        <f>HYPERLINK("https://cao.dolgi.msk.ru/account/1011501147/", 1011501147)</f>
        <v>1011501147</v>
      </c>
      <c r="D22422">
        <v>0</v>
      </c>
    </row>
    <row r="22423" spans="1:4" hidden="1" x14ac:dyDescent="0.3">
      <c r="A22423" t="s">
        <v>1213</v>
      </c>
      <c r="B22423" t="s">
        <v>29</v>
      </c>
      <c r="C22423" s="1">
        <f>HYPERLINK("https://cao.dolgi.msk.ru/account/1011500734/", 1011500734)</f>
        <v>1011500734</v>
      </c>
      <c r="D22423">
        <v>-8423.56</v>
      </c>
    </row>
    <row r="22424" spans="1:4" hidden="1" x14ac:dyDescent="0.3">
      <c r="A22424" t="s">
        <v>1213</v>
      </c>
      <c r="B22424" t="s">
        <v>38</v>
      </c>
      <c r="C22424" s="1">
        <f>HYPERLINK("https://cao.dolgi.msk.ru/account/1011500611/", 1011500611)</f>
        <v>1011500611</v>
      </c>
      <c r="D22424">
        <v>0</v>
      </c>
    </row>
    <row r="22425" spans="1:4" hidden="1" x14ac:dyDescent="0.3">
      <c r="A22425" t="s">
        <v>1213</v>
      </c>
      <c r="B22425" t="s">
        <v>38</v>
      </c>
      <c r="C22425" s="1">
        <f>HYPERLINK("https://cao.dolgi.msk.ru/account/1011500654/", 1011500654)</f>
        <v>1011500654</v>
      </c>
      <c r="D22425">
        <v>0</v>
      </c>
    </row>
    <row r="22426" spans="1:4" hidden="1" x14ac:dyDescent="0.3">
      <c r="A22426" t="s">
        <v>1213</v>
      </c>
      <c r="B22426" t="s">
        <v>39</v>
      </c>
      <c r="C22426" s="1">
        <f>HYPERLINK("https://cao.dolgi.msk.ru/account/1011500822/", 1011500822)</f>
        <v>1011500822</v>
      </c>
      <c r="D22426">
        <v>0</v>
      </c>
    </row>
    <row r="22427" spans="1:4" hidden="1" x14ac:dyDescent="0.3">
      <c r="A22427" t="s">
        <v>1213</v>
      </c>
      <c r="B22427" t="s">
        <v>40</v>
      </c>
      <c r="C22427" s="1">
        <f>HYPERLINK("https://cao.dolgi.msk.ru/account/1011501032/", 1011501032)</f>
        <v>1011501032</v>
      </c>
      <c r="D22427">
        <v>-8915.19</v>
      </c>
    </row>
    <row r="22428" spans="1:4" x14ac:dyDescent="0.3">
      <c r="A22428" t="s">
        <v>1213</v>
      </c>
      <c r="B22428" t="s">
        <v>41</v>
      </c>
      <c r="C22428" s="1">
        <f>HYPERLINK("https://cao.dolgi.msk.ru/account/1011500638/", 1011500638)</f>
        <v>1011500638</v>
      </c>
      <c r="D22428">
        <v>13802.72</v>
      </c>
    </row>
    <row r="22429" spans="1:4" hidden="1" x14ac:dyDescent="0.3">
      <c r="A22429" t="s">
        <v>1213</v>
      </c>
      <c r="B22429" t="s">
        <v>41</v>
      </c>
      <c r="C22429" s="1">
        <f>HYPERLINK("https://cao.dolgi.msk.ru/account/1011531581/", 1011531581)</f>
        <v>1011531581</v>
      </c>
      <c r="D22429">
        <v>-2500.69</v>
      </c>
    </row>
    <row r="22430" spans="1:4" hidden="1" x14ac:dyDescent="0.3">
      <c r="A22430" t="s">
        <v>1213</v>
      </c>
      <c r="B22430" t="s">
        <v>51</v>
      </c>
      <c r="C22430" s="1">
        <f>HYPERLINK("https://cao.dolgi.msk.ru/account/1011500849/", 1011500849)</f>
        <v>1011500849</v>
      </c>
      <c r="D22430">
        <v>0</v>
      </c>
    </row>
    <row r="22431" spans="1:4" x14ac:dyDescent="0.3">
      <c r="A22431" t="s">
        <v>1213</v>
      </c>
      <c r="B22431" t="s">
        <v>52</v>
      </c>
      <c r="C22431" s="1">
        <f>HYPERLINK("https://cao.dolgi.msk.ru/account/1011500742/", 1011500742)</f>
        <v>1011500742</v>
      </c>
      <c r="D22431">
        <v>7972.46</v>
      </c>
    </row>
    <row r="22432" spans="1:4" hidden="1" x14ac:dyDescent="0.3">
      <c r="A22432" t="s">
        <v>1213</v>
      </c>
      <c r="B22432" t="s">
        <v>53</v>
      </c>
      <c r="C22432" s="1">
        <f>HYPERLINK("https://cao.dolgi.msk.ru/account/1011500857/", 1011500857)</f>
        <v>1011500857</v>
      </c>
      <c r="D22432">
        <v>-709.68</v>
      </c>
    </row>
    <row r="22433" spans="1:4" hidden="1" x14ac:dyDescent="0.3">
      <c r="A22433" t="s">
        <v>1213</v>
      </c>
      <c r="B22433" t="s">
        <v>54</v>
      </c>
      <c r="C22433" s="1">
        <f>HYPERLINK("https://cao.dolgi.msk.ru/account/1011500646/", 1011500646)</f>
        <v>1011500646</v>
      </c>
      <c r="D22433">
        <v>-10789.48</v>
      </c>
    </row>
    <row r="22434" spans="1:4" hidden="1" x14ac:dyDescent="0.3">
      <c r="A22434" t="s">
        <v>1213</v>
      </c>
      <c r="B22434" t="s">
        <v>55</v>
      </c>
      <c r="C22434" s="1">
        <f>HYPERLINK("https://cao.dolgi.msk.ru/account/1011500769/", 1011500769)</f>
        <v>1011500769</v>
      </c>
      <c r="D22434">
        <v>-12044.24</v>
      </c>
    </row>
    <row r="22435" spans="1:4" hidden="1" x14ac:dyDescent="0.3">
      <c r="A22435" t="s">
        <v>1213</v>
      </c>
      <c r="B22435" t="s">
        <v>56</v>
      </c>
      <c r="C22435" s="1">
        <f>HYPERLINK("https://cao.dolgi.msk.ru/account/1011501059/", 1011501059)</f>
        <v>1011501059</v>
      </c>
      <c r="D22435">
        <v>0</v>
      </c>
    </row>
    <row r="22436" spans="1:4" hidden="1" x14ac:dyDescent="0.3">
      <c r="A22436" t="s">
        <v>1213</v>
      </c>
      <c r="B22436" t="s">
        <v>87</v>
      </c>
      <c r="C22436" s="1">
        <f>HYPERLINK("https://cao.dolgi.msk.ru/account/1011500777/", 1011500777)</f>
        <v>1011500777</v>
      </c>
      <c r="D22436">
        <v>-15944.49</v>
      </c>
    </row>
    <row r="22437" spans="1:4" x14ac:dyDescent="0.3">
      <c r="A22437" t="s">
        <v>1213</v>
      </c>
      <c r="B22437" t="s">
        <v>87</v>
      </c>
      <c r="C22437" s="1">
        <f>HYPERLINK("https://cao.dolgi.msk.ru/account/1011500988/", 1011500988)</f>
        <v>1011500988</v>
      </c>
      <c r="D22437">
        <v>5314.83</v>
      </c>
    </row>
    <row r="22438" spans="1:4" hidden="1" x14ac:dyDescent="0.3">
      <c r="A22438" t="s">
        <v>1213</v>
      </c>
      <c r="B22438" t="s">
        <v>88</v>
      </c>
      <c r="C22438" s="1">
        <f>HYPERLINK("https://cao.dolgi.msk.ru/account/1011501067/", 1011501067)</f>
        <v>1011501067</v>
      </c>
      <c r="D22438">
        <v>0</v>
      </c>
    </row>
    <row r="22439" spans="1:4" hidden="1" x14ac:dyDescent="0.3">
      <c r="A22439" t="s">
        <v>1213</v>
      </c>
      <c r="B22439" t="s">
        <v>89</v>
      </c>
      <c r="C22439" s="1">
        <f>HYPERLINK("https://cao.dolgi.msk.ru/account/1011500945/", 1011500945)</f>
        <v>1011500945</v>
      </c>
      <c r="D22439">
        <v>0</v>
      </c>
    </row>
    <row r="22440" spans="1:4" x14ac:dyDescent="0.3">
      <c r="A22440" t="s">
        <v>1213</v>
      </c>
      <c r="B22440" t="s">
        <v>90</v>
      </c>
      <c r="C22440" s="1">
        <f>HYPERLINK("https://cao.dolgi.msk.ru/account/1011501155/", 1011501155)</f>
        <v>1011501155</v>
      </c>
      <c r="D22440">
        <v>5879.87</v>
      </c>
    </row>
    <row r="22441" spans="1:4" hidden="1" x14ac:dyDescent="0.3">
      <c r="A22441" t="s">
        <v>1213</v>
      </c>
      <c r="B22441" t="s">
        <v>96</v>
      </c>
      <c r="C22441" s="1">
        <f>HYPERLINK("https://cao.dolgi.msk.ru/account/1011500865/", 1011500865)</f>
        <v>1011500865</v>
      </c>
      <c r="D22441">
        <v>-22186.91</v>
      </c>
    </row>
    <row r="22442" spans="1:4" x14ac:dyDescent="0.3">
      <c r="A22442" t="s">
        <v>1213</v>
      </c>
      <c r="B22442" t="s">
        <v>97</v>
      </c>
      <c r="C22442" s="1">
        <f>HYPERLINK("https://cao.dolgi.msk.ru/account/1011500961/", 1011500961)</f>
        <v>1011500961</v>
      </c>
      <c r="D22442">
        <v>19656.16</v>
      </c>
    </row>
    <row r="22443" spans="1:4" hidden="1" x14ac:dyDescent="0.3">
      <c r="A22443" t="s">
        <v>1213</v>
      </c>
      <c r="B22443" t="s">
        <v>98</v>
      </c>
      <c r="C22443" s="1">
        <f>HYPERLINK("https://cao.dolgi.msk.ru/account/1011500937/", 1011500937)</f>
        <v>1011500937</v>
      </c>
      <c r="D22443">
        <v>0</v>
      </c>
    </row>
    <row r="22444" spans="1:4" hidden="1" x14ac:dyDescent="0.3">
      <c r="A22444" t="s">
        <v>1213</v>
      </c>
      <c r="B22444" t="s">
        <v>58</v>
      </c>
      <c r="C22444" s="1">
        <f>HYPERLINK("https://cao.dolgi.msk.ru/account/1011501075/", 1011501075)</f>
        <v>1011501075</v>
      </c>
      <c r="D22444">
        <v>0</v>
      </c>
    </row>
    <row r="22445" spans="1:4" hidden="1" x14ac:dyDescent="0.3">
      <c r="A22445" t="s">
        <v>1213</v>
      </c>
      <c r="B22445" t="s">
        <v>59</v>
      </c>
      <c r="C22445" s="1">
        <f>HYPERLINK("https://cao.dolgi.msk.ru/account/1011500785/", 1011500785)</f>
        <v>1011500785</v>
      </c>
      <c r="D22445">
        <v>-17.47</v>
      </c>
    </row>
    <row r="22446" spans="1:4" hidden="1" x14ac:dyDescent="0.3">
      <c r="A22446" t="s">
        <v>1214</v>
      </c>
      <c r="B22446" t="s">
        <v>8</v>
      </c>
      <c r="C22446" s="1">
        <f>HYPERLINK("https://cao.dolgi.msk.ru/account/1011501518/", 1011501518)</f>
        <v>1011501518</v>
      </c>
      <c r="D22446">
        <v>-18330.63</v>
      </c>
    </row>
    <row r="22447" spans="1:4" hidden="1" x14ac:dyDescent="0.3">
      <c r="A22447" t="s">
        <v>1214</v>
      </c>
      <c r="B22447" t="s">
        <v>31</v>
      </c>
      <c r="C22447" s="1">
        <f>HYPERLINK("https://cao.dolgi.msk.ru/account/1011501526/", 1011501526)</f>
        <v>1011501526</v>
      </c>
      <c r="D22447">
        <v>0</v>
      </c>
    </row>
    <row r="22448" spans="1:4" hidden="1" x14ac:dyDescent="0.3">
      <c r="A22448" t="s">
        <v>1214</v>
      </c>
      <c r="B22448" t="s">
        <v>9</v>
      </c>
      <c r="C22448" s="1">
        <f>HYPERLINK("https://cao.dolgi.msk.ru/account/1011501227/", 1011501227)</f>
        <v>1011501227</v>
      </c>
      <c r="D22448">
        <v>0</v>
      </c>
    </row>
    <row r="22449" spans="1:4" x14ac:dyDescent="0.3">
      <c r="A22449" t="s">
        <v>1214</v>
      </c>
      <c r="B22449" t="s">
        <v>10</v>
      </c>
      <c r="C22449" s="1">
        <f>HYPERLINK("https://cao.dolgi.msk.ru/account/1011501294/", 1011501294)</f>
        <v>1011501294</v>
      </c>
      <c r="D22449">
        <v>48705.5</v>
      </c>
    </row>
    <row r="22450" spans="1:4" hidden="1" x14ac:dyDescent="0.3">
      <c r="A22450" t="s">
        <v>1214</v>
      </c>
      <c r="B22450" t="s">
        <v>11</v>
      </c>
      <c r="C22450" s="1">
        <f>HYPERLINK("https://cao.dolgi.msk.ru/account/1011501307/", 1011501307)</f>
        <v>1011501307</v>
      </c>
      <c r="D22450">
        <v>0</v>
      </c>
    </row>
    <row r="22451" spans="1:4" hidden="1" x14ac:dyDescent="0.3">
      <c r="A22451" t="s">
        <v>1214</v>
      </c>
      <c r="B22451" t="s">
        <v>12</v>
      </c>
      <c r="C22451" s="1">
        <f>HYPERLINK("https://cao.dolgi.msk.ru/account/1011501569/", 1011501569)</f>
        <v>1011501569</v>
      </c>
      <c r="D22451">
        <v>-21370.03</v>
      </c>
    </row>
    <row r="22452" spans="1:4" hidden="1" x14ac:dyDescent="0.3">
      <c r="A22452" t="s">
        <v>1214</v>
      </c>
      <c r="B22452" t="s">
        <v>23</v>
      </c>
      <c r="C22452" s="1">
        <f>HYPERLINK("https://cao.dolgi.msk.ru/account/1011501462/", 1011501462)</f>
        <v>1011501462</v>
      </c>
      <c r="D22452">
        <v>0</v>
      </c>
    </row>
    <row r="22453" spans="1:4" hidden="1" x14ac:dyDescent="0.3">
      <c r="A22453" t="s">
        <v>1214</v>
      </c>
      <c r="B22453" t="s">
        <v>13</v>
      </c>
      <c r="C22453" s="1">
        <f>HYPERLINK("https://cao.dolgi.msk.ru/account/1011501315/", 1011501315)</f>
        <v>1011501315</v>
      </c>
      <c r="D22453">
        <v>-23310.18</v>
      </c>
    </row>
    <row r="22454" spans="1:4" hidden="1" x14ac:dyDescent="0.3">
      <c r="A22454" t="s">
        <v>1214</v>
      </c>
      <c r="B22454" t="s">
        <v>14</v>
      </c>
      <c r="C22454" s="1">
        <f>HYPERLINK("https://cao.dolgi.msk.ru/account/1011501235/", 1011501235)</f>
        <v>1011501235</v>
      </c>
      <c r="D22454">
        <v>-356.06</v>
      </c>
    </row>
    <row r="22455" spans="1:4" hidden="1" x14ac:dyDescent="0.3">
      <c r="A22455" t="s">
        <v>1214</v>
      </c>
      <c r="B22455" t="s">
        <v>16</v>
      </c>
      <c r="C22455" s="1">
        <f>HYPERLINK("https://cao.dolgi.msk.ru/account/1011501489/", 1011501489)</f>
        <v>1011501489</v>
      </c>
      <c r="D22455">
        <v>-22017.73</v>
      </c>
    </row>
    <row r="22456" spans="1:4" hidden="1" x14ac:dyDescent="0.3">
      <c r="A22456" t="s">
        <v>1214</v>
      </c>
      <c r="B22456" t="s">
        <v>17</v>
      </c>
      <c r="C22456" s="1">
        <f>HYPERLINK("https://cao.dolgi.msk.ru/account/1011501323/", 1011501323)</f>
        <v>1011501323</v>
      </c>
      <c r="D22456">
        <v>0</v>
      </c>
    </row>
    <row r="22457" spans="1:4" hidden="1" x14ac:dyDescent="0.3">
      <c r="A22457" t="s">
        <v>1214</v>
      </c>
      <c r="B22457" t="s">
        <v>18</v>
      </c>
      <c r="C22457" s="1">
        <f>HYPERLINK("https://cao.dolgi.msk.ru/account/1011501163/", 1011501163)</f>
        <v>1011501163</v>
      </c>
      <c r="D22457">
        <v>-43630.86</v>
      </c>
    </row>
    <row r="22458" spans="1:4" hidden="1" x14ac:dyDescent="0.3">
      <c r="A22458" t="s">
        <v>1214</v>
      </c>
      <c r="B22458" t="s">
        <v>19</v>
      </c>
      <c r="C22458" s="1">
        <f>HYPERLINK("https://cao.dolgi.msk.ru/account/1011501243/", 1011501243)</f>
        <v>1011501243</v>
      </c>
      <c r="D22458">
        <v>-19115.990000000002</v>
      </c>
    </row>
    <row r="22459" spans="1:4" hidden="1" x14ac:dyDescent="0.3">
      <c r="A22459" t="s">
        <v>1214</v>
      </c>
      <c r="B22459" t="s">
        <v>20</v>
      </c>
      <c r="C22459" s="1">
        <f>HYPERLINK("https://cao.dolgi.msk.ru/account/1011501606/", 1011501606)</f>
        <v>1011501606</v>
      </c>
      <c r="D22459">
        <v>0</v>
      </c>
    </row>
    <row r="22460" spans="1:4" hidden="1" x14ac:dyDescent="0.3">
      <c r="A22460" t="s">
        <v>1214</v>
      </c>
      <c r="B22460" t="s">
        <v>21</v>
      </c>
      <c r="C22460" s="1">
        <f>HYPERLINK("https://cao.dolgi.msk.ru/account/1011501331/", 1011501331)</f>
        <v>1011501331</v>
      </c>
      <c r="D22460">
        <v>-19845.41</v>
      </c>
    </row>
    <row r="22461" spans="1:4" hidden="1" x14ac:dyDescent="0.3">
      <c r="A22461" t="s">
        <v>1214</v>
      </c>
      <c r="B22461" t="s">
        <v>22</v>
      </c>
      <c r="C22461" s="1">
        <f>HYPERLINK("https://cao.dolgi.msk.ru/account/1011501614/", 1011501614)</f>
        <v>1011501614</v>
      </c>
      <c r="D22461">
        <v>-2368.61</v>
      </c>
    </row>
    <row r="22462" spans="1:4" hidden="1" x14ac:dyDescent="0.3">
      <c r="A22462" t="s">
        <v>1214</v>
      </c>
      <c r="B22462" t="s">
        <v>24</v>
      </c>
      <c r="C22462" s="1">
        <f>HYPERLINK("https://cao.dolgi.msk.ru/account/1011501403/", 1011501403)</f>
        <v>1011501403</v>
      </c>
      <c r="D22462">
        <v>-19865.59</v>
      </c>
    </row>
    <row r="22463" spans="1:4" x14ac:dyDescent="0.3">
      <c r="A22463" t="s">
        <v>1214</v>
      </c>
      <c r="B22463" t="s">
        <v>25</v>
      </c>
      <c r="C22463" s="1">
        <f>HYPERLINK("https://cao.dolgi.msk.ru/account/1011501577/", 1011501577)</f>
        <v>1011501577</v>
      </c>
      <c r="D22463">
        <v>43080.959999999999</v>
      </c>
    </row>
    <row r="22464" spans="1:4" x14ac:dyDescent="0.3">
      <c r="A22464" t="s">
        <v>1214</v>
      </c>
      <c r="B22464" t="s">
        <v>26</v>
      </c>
      <c r="C22464" s="1">
        <f>HYPERLINK("https://cao.dolgi.msk.ru/account/1011501251/", 1011501251)</f>
        <v>1011501251</v>
      </c>
      <c r="D22464">
        <v>56124.7</v>
      </c>
    </row>
    <row r="22465" spans="1:4" hidden="1" x14ac:dyDescent="0.3">
      <c r="A22465" t="s">
        <v>1214</v>
      </c>
      <c r="B22465" t="s">
        <v>27</v>
      </c>
      <c r="C22465" s="1">
        <f>HYPERLINK("https://cao.dolgi.msk.ru/account/1011501358/", 1011501358)</f>
        <v>1011501358</v>
      </c>
      <c r="D22465">
        <v>0</v>
      </c>
    </row>
    <row r="22466" spans="1:4" x14ac:dyDescent="0.3">
      <c r="A22466" t="s">
        <v>1214</v>
      </c>
      <c r="B22466" t="s">
        <v>39</v>
      </c>
      <c r="C22466" s="1">
        <f>HYPERLINK("https://cao.dolgi.msk.ru/account/1011501278/", 1011501278)</f>
        <v>1011501278</v>
      </c>
      <c r="D22466">
        <v>35526.81</v>
      </c>
    </row>
    <row r="22467" spans="1:4" x14ac:dyDescent="0.3">
      <c r="A22467" t="s">
        <v>1214</v>
      </c>
      <c r="B22467" t="s">
        <v>51</v>
      </c>
      <c r="C22467" s="1">
        <f>HYPERLINK("https://cao.dolgi.msk.ru/account/1011501585/", 1011501585)</f>
        <v>1011501585</v>
      </c>
      <c r="D22467">
        <v>9290.98</v>
      </c>
    </row>
    <row r="22468" spans="1:4" hidden="1" x14ac:dyDescent="0.3">
      <c r="A22468" t="s">
        <v>1214</v>
      </c>
      <c r="B22468" t="s">
        <v>52</v>
      </c>
      <c r="C22468" s="1">
        <f>HYPERLINK("https://cao.dolgi.msk.ru/account/1011501534/", 1011501534)</f>
        <v>1011501534</v>
      </c>
      <c r="D22468">
        <v>-17961.439999999999</v>
      </c>
    </row>
    <row r="22469" spans="1:4" hidden="1" x14ac:dyDescent="0.3">
      <c r="A22469" t="s">
        <v>1214</v>
      </c>
      <c r="B22469" t="s">
        <v>53</v>
      </c>
      <c r="C22469" s="1">
        <f>HYPERLINK("https://cao.dolgi.msk.ru/account/1011501438/", 1011501438)</f>
        <v>1011501438</v>
      </c>
      <c r="D22469">
        <v>0</v>
      </c>
    </row>
    <row r="22470" spans="1:4" hidden="1" x14ac:dyDescent="0.3">
      <c r="A22470" t="s">
        <v>1214</v>
      </c>
      <c r="B22470" t="s">
        <v>55</v>
      </c>
      <c r="C22470" s="1">
        <f>HYPERLINK("https://cao.dolgi.msk.ru/account/1011501446/", 1011501446)</f>
        <v>1011501446</v>
      </c>
      <c r="D22470">
        <v>0</v>
      </c>
    </row>
    <row r="22471" spans="1:4" hidden="1" x14ac:dyDescent="0.3">
      <c r="A22471" t="s">
        <v>1214</v>
      </c>
      <c r="B22471" t="s">
        <v>56</v>
      </c>
      <c r="C22471" s="1">
        <f>HYPERLINK("https://cao.dolgi.msk.ru/account/1011501198/", 1011501198)</f>
        <v>1011501198</v>
      </c>
      <c r="D22471">
        <v>0</v>
      </c>
    </row>
    <row r="22472" spans="1:4" hidden="1" x14ac:dyDescent="0.3">
      <c r="A22472" t="s">
        <v>1214</v>
      </c>
      <c r="B22472" t="s">
        <v>89</v>
      </c>
      <c r="C22472" s="1">
        <f>HYPERLINK("https://cao.dolgi.msk.ru/account/1011501593/", 1011501593)</f>
        <v>1011501593</v>
      </c>
      <c r="D22472">
        <v>0</v>
      </c>
    </row>
    <row r="22473" spans="1:4" hidden="1" x14ac:dyDescent="0.3">
      <c r="A22473" t="s">
        <v>1214</v>
      </c>
      <c r="B22473" t="s">
        <v>90</v>
      </c>
      <c r="C22473" s="1">
        <f>HYPERLINK("https://cao.dolgi.msk.ru/account/1011501219/", 1011501219)</f>
        <v>1011501219</v>
      </c>
      <c r="D22473">
        <v>0</v>
      </c>
    </row>
    <row r="22474" spans="1:4" x14ac:dyDescent="0.3">
      <c r="A22474" t="s">
        <v>1214</v>
      </c>
      <c r="B22474" t="s">
        <v>96</v>
      </c>
      <c r="C22474" s="1">
        <f>HYPERLINK("https://cao.dolgi.msk.ru/account/1011501286/", 1011501286)</f>
        <v>1011501286</v>
      </c>
      <c r="D22474">
        <v>35294.300000000003</v>
      </c>
    </row>
    <row r="22475" spans="1:4" hidden="1" x14ac:dyDescent="0.3">
      <c r="A22475" t="s">
        <v>1214</v>
      </c>
      <c r="B22475" t="s">
        <v>98</v>
      </c>
      <c r="C22475" s="1">
        <f>HYPERLINK("https://cao.dolgi.msk.ru/account/1011501622/", 1011501622)</f>
        <v>1011501622</v>
      </c>
      <c r="D22475">
        <v>0</v>
      </c>
    </row>
    <row r="22476" spans="1:4" hidden="1" x14ac:dyDescent="0.3">
      <c r="A22476" t="s">
        <v>1214</v>
      </c>
      <c r="B22476" t="s">
        <v>58</v>
      </c>
      <c r="C22476" s="1">
        <f>HYPERLINK("https://cao.dolgi.msk.ru/account/1011501542/", 1011501542)</f>
        <v>1011501542</v>
      </c>
      <c r="D22476">
        <v>-8436.89</v>
      </c>
    </row>
    <row r="22477" spans="1:4" x14ac:dyDescent="0.3">
      <c r="A22477" t="s">
        <v>1214</v>
      </c>
      <c r="B22477" t="s">
        <v>59</v>
      </c>
      <c r="C22477" s="1">
        <f>HYPERLINK("https://cao.dolgi.msk.ru/account/1011501497/", 1011501497)</f>
        <v>1011501497</v>
      </c>
      <c r="D22477">
        <v>5113.46</v>
      </c>
    </row>
    <row r="22478" spans="1:4" hidden="1" x14ac:dyDescent="0.3">
      <c r="A22478" t="s">
        <v>1214</v>
      </c>
      <c r="B22478" t="s">
        <v>61</v>
      </c>
      <c r="C22478" s="1">
        <f>HYPERLINK("https://cao.dolgi.msk.ru/account/1011501454/", 1011501454)</f>
        <v>1011501454</v>
      </c>
      <c r="D22478">
        <v>0</v>
      </c>
    </row>
    <row r="22479" spans="1:4" x14ac:dyDescent="0.3">
      <c r="A22479" t="s">
        <v>1214</v>
      </c>
      <c r="B22479" t="s">
        <v>62</v>
      </c>
      <c r="C22479" s="1">
        <f>HYPERLINK("https://cao.dolgi.msk.ru/account/1011501366/", 1011501366)</f>
        <v>1011501366</v>
      </c>
      <c r="D22479">
        <v>24151.78</v>
      </c>
    </row>
    <row r="22480" spans="1:4" hidden="1" x14ac:dyDescent="0.3">
      <c r="A22480" t="s">
        <v>1214</v>
      </c>
      <c r="B22480" t="s">
        <v>63</v>
      </c>
      <c r="C22480" s="1">
        <f>HYPERLINK("https://cao.dolgi.msk.ru/account/1011501374/", 1011501374)</f>
        <v>1011501374</v>
      </c>
      <c r="D22480">
        <v>0</v>
      </c>
    </row>
    <row r="22481" spans="1:4" hidden="1" x14ac:dyDescent="0.3">
      <c r="A22481" t="s">
        <v>1215</v>
      </c>
      <c r="B22481" t="s">
        <v>35</v>
      </c>
      <c r="C22481" s="1">
        <f>HYPERLINK("https://cao.dolgi.msk.ru/account/1011483815/", 1011483815)</f>
        <v>1011483815</v>
      </c>
      <c r="D22481">
        <v>-8243.85</v>
      </c>
    </row>
    <row r="22482" spans="1:4" hidden="1" x14ac:dyDescent="0.3">
      <c r="A22482" t="s">
        <v>1215</v>
      </c>
      <c r="B22482" t="s">
        <v>5</v>
      </c>
      <c r="C22482" s="1">
        <f>HYPERLINK("https://cao.dolgi.msk.ru/account/1011483786/", 1011483786)</f>
        <v>1011483786</v>
      </c>
      <c r="D22482">
        <v>0</v>
      </c>
    </row>
    <row r="22483" spans="1:4" hidden="1" x14ac:dyDescent="0.3">
      <c r="A22483" t="s">
        <v>1215</v>
      </c>
      <c r="B22483" t="s">
        <v>7</v>
      </c>
      <c r="C22483" s="1">
        <f>HYPERLINK("https://cao.dolgi.msk.ru/account/1011483903/", 1011483903)</f>
        <v>1011483903</v>
      </c>
      <c r="D22483">
        <v>-5860.35</v>
      </c>
    </row>
    <row r="22484" spans="1:4" hidden="1" x14ac:dyDescent="0.3">
      <c r="A22484" t="s">
        <v>1215</v>
      </c>
      <c r="B22484" t="s">
        <v>8</v>
      </c>
      <c r="C22484" s="1">
        <f>HYPERLINK("https://cao.dolgi.msk.ru/account/1011483794/", 1011483794)</f>
        <v>1011483794</v>
      </c>
      <c r="D22484">
        <v>0</v>
      </c>
    </row>
    <row r="22485" spans="1:4" x14ac:dyDescent="0.3">
      <c r="A22485" t="s">
        <v>1215</v>
      </c>
      <c r="B22485" t="s">
        <v>31</v>
      </c>
      <c r="C22485" s="1">
        <f>HYPERLINK("https://cao.dolgi.msk.ru/account/1011483735/", 1011483735)</f>
        <v>1011483735</v>
      </c>
      <c r="D22485">
        <v>301439.94</v>
      </c>
    </row>
    <row r="22486" spans="1:4" hidden="1" x14ac:dyDescent="0.3">
      <c r="A22486" t="s">
        <v>1215</v>
      </c>
      <c r="B22486" t="s">
        <v>9</v>
      </c>
      <c r="C22486" s="1">
        <f>HYPERLINK("https://cao.dolgi.msk.ru/account/1011483743/", 1011483743)</f>
        <v>1011483743</v>
      </c>
      <c r="D22486">
        <v>0</v>
      </c>
    </row>
    <row r="22487" spans="1:4" x14ac:dyDescent="0.3">
      <c r="A22487" t="s">
        <v>1215</v>
      </c>
      <c r="B22487" t="s">
        <v>10</v>
      </c>
      <c r="C22487" s="1">
        <f>HYPERLINK("https://cao.dolgi.msk.ru/account/1011483858/", 1011483858)</f>
        <v>1011483858</v>
      </c>
      <c r="D22487">
        <v>9318.2800000000007</v>
      </c>
    </row>
    <row r="22488" spans="1:4" hidden="1" x14ac:dyDescent="0.3">
      <c r="A22488" t="s">
        <v>1215</v>
      </c>
      <c r="B22488" t="s">
        <v>11</v>
      </c>
      <c r="C22488" s="1">
        <f>HYPERLINK("https://cao.dolgi.msk.ru/account/1011483823/", 1011483823)</f>
        <v>1011483823</v>
      </c>
      <c r="D22488">
        <v>0</v>
      </c>
    </row>
    <row r="22489" spans="1:4" x14ac:dyDescent="0.3">
      <c r="A22489" t="s">
        <v>1215</v>
      </c>
      <c r="B22489" t="s">
        <v>13</v>
      </c>
      <c r="C22489" s="1">
        <f>HYPERLINK("https://cao.dolgi.msk.ru/account/1011483807/", 1011483807)</f>
        <v>1011483807</v>
      </c>
      <c r="D22489">
        <v>76414.17</v>
      </c>
    </row>
    <row r="22490" spans="1:4" hidden="1" x14ac:dyDescent="0.3">
      <c r="A22490" t="s">
        <v>1215</v>
      </c>
      <c r="B22490" t="s">
        <v>14</v>
      </c>
      <c r="C22490" s="1">
        <f>HYPERLINK("https://cao.dolgi.msk.ru/account/1011483866/", 1011483866)</f>
        <v>1011483866</v>
      </c>
      <c r="D22490">
        <v>0</v>
      </c>
    </row>
    <row r="22491" spans="1:4" hidden="1" x14ac:dyDescent="0.3">
      <c r="A22491" t="s">
        <v>1215</v>
      </c>
      <c r="B22491" t="s">
        <v>16</v>
      </c>
      <c r="C22491" s="1">
        <f>HYPERLINK("https://cao.dolgi.msk.ru/account/1011483911/", 1011483911)</f>
        <v>1011483911</v>
      </c>
      <c r="D22491">
        <v>0</v>
      </c>
    </row>
    <row r="22492" spans="1:4" hidden="1" x14ac:dyDescent="0.3">
      <c r="A22492" t="s">
        <v>1215</v>
      </c>
      <c r="B22492" t="s">
        <v>17</v>
      </c>
      <c r="C22492" s="1">
        <f>HYPERLINK("https://cao.dolgi.msk.ru/account/1011483719/", 1011483719)</f>
        <v>1011483719</v>
      </c>
      <c r="D22492">
        <v>-5353.72</v>
      </c>
    </row>
    <row r="22493" spans="1:4" x14ac:dyDescent="0.3">
      <c r="A22493" t="s">
        <v>1215</v>
      </c>
      <c r="B22493" t="s">
        <v>18</v>
      </c>
      <c r="C22493" s="1">
        <f>HYPERLINK("https://cao.dolgi.msk.ru/account/1011483727/", 1011483727)</f>
        <v>1011483727</v>
      </c>
      <c r="D22493">
        <v>10261.33</v>
      </c>
    </row>
    <row r="22494" spans="1:4" x14ac:dyDescent="0.3">
      <c r="A22494" t="s">
        <v>1215</v>
      </c>
      <c r="B22494" t="s">
        <v>19</v>
      </c>
      <c r="C22494" s="1">
        <f>HYPERLINK("https://cao.dolgi.msk.ru/account/1011483831/", 1011483831)</f>
        <v>1011483831</v>
      </c>
      <c r="D22494">
        <v>5001.93</v>
      </c>
    </row>
    <row r="22495" spans="1:4" hidden="1" x14ac:dyDescent="0.3">
      <c r="A22495" t="s">
        <v>1215</v>
      </c>
      <c r="B22495" t="s">
        <v>19</v>
      </c>
      <c r="C22495" s="1">
        <f>HYPERLINK("https://cao.dolgi.msk.ru/account/1011483874/", 1011483874)</f>
        <v>1011483874</v>
      </c>
      <c r="D22495">
        <v>-10427.120000000001</v>
      </c>
    </row>
    <row r="22496" spans="1:4" hidden="1" x14ac:dyDescent="0.3">
      <c r="A22496" t="s">
        <v>1215</v>
      </c>
      <c r="B22496" t="s">
        <v>20</v>
      </c>
      <c r="C22496" s="1">
        <f>HYPERLINK("https://cao.dolgi.msk.ru/account/1011483751/", 1011483751)</f>
        <v>1011483751</v>
      </c>
      <c r="D22496">
        <v>-19393.25</v>
      </c>
    </row>
    <row r="22497" spans="1:4" hidden="1" x14ac:dyDescent="0.3">
      <c r="A22497" t="s">
        <v>1215</v>
      </c>
      <c r="B22497" t="s">
        <v>21</v>
      </c>
      <c r="C22497" s="1">
        <f>HYPERLINK("https://cao.dolgi.msk.ru/account/1011483778/", 1011483778)</f>
        <v>1011483778</v>
      </c>
      <c r="D22497">
        <v>0</v>
      </c>
    </row>
    <row r="22498" spans="1:4" hidden="1" x14ac:dyDescent="0.3">
      <c r="A22498" t="s">
        <v>1215</v>
      </c>
      <c r="B22498" t="s">
        <v>22</v>
      </c>
      <c r="C22498" s="1">
        <f>HYPERLINK("https://cao.dolgi.msk.ru/account/1011483882/", 1011483882)</f>
        <v>1011483882</v>
      </c>
      <c r="D22498">
        <v>0</v>
      </c>
    </row>
    <row r="22499" spans="1:4" hidden="1" x14ac:dyDescent="0.3">
      <c r="A22499" t="s">
        <v>1216</v>
      </c>
      <c r="B22499" t="s">
        <v>24</v>
      </c>
      <c r="C22499" s="1">
        <f>HYPERLINK("https://cao.dolgi.msk.ru/account/1010144344/", 1010144344)</f>
        <v>1010144344</v>
      </c>
      <c r="D22499">
        <v>-2332.0700000000002</v>
      </c>
    </row>
    <row r="22500" spans="1:4" x14ac:dyDescent="0.3">
      <c r="A22500" t="s">
        <v>1216</v>
      </c>
      <c r="B22500" t="s">
        <v>25</v>
      </c>
      <c r="C22500" s="1">
        <f>HYPERLINK("https://cao.dolgi.msk.ru/account/1010144416/", 1010144416)</f>
        <v>1010144416</v>
      </c>
      <c r="D22500">
        <v>148322.82999999999</v>
      </c>
    </row>
    <row r="22501" spans="1:4" x14ac:dyDescent="0.3">
      <c r="A22501" t="s">
        <v>1216</v>
      </c>
      <c r="B22501" t="s">
        <v>27</v>
      </c>
      <c r="C22501" s="1">
        <f>HYPERLINK("https://cao.dolgi.msk.ru/account/1010144432/", 1010144432)</f>
        <v>1010144432</v>
      </c>
      <c r="D22501">
        <v>5004.3599999999997</v>
      </c>
    </row>
    <row r="22502" spans="1:4" x14ac:dyDescent="0.3">
      <c r="A22502" t="s">
        <v>1216</v>
      </c>
      <c r="B22502" t="s">
        <v>29</v>
      </c>
      <c r="C22502" s="1">
        <f>HYPERLINK("https://cao.dolgi.msk.ru/account/1010144467/", 1010144467)</f>
        <v>1010144467</v>
      </c>
      <c r="D22502">
        <v>178422.18</v>
      </c>
    </row>
    <row r="22503" spans="1:4" x14ac:dyDescent="0.3">
      <c r="A22503" t="s">
        <v>1216</v>
      </c>
      <c r="B22503" t="s">
        <v>29</v>
      </c>
      <c r="C22503" s="1">
        <f>HYPERLINK("https://cao.dolgi.msk.ru/account/1019020452/", 1019020452)</f>
        <v>1019020452</v>
      </c>
      <c r="D22503">
        <v>182234.4</v>
      </c>
    </row>
    <row r="22504" spans="1:4" hidden="1" x14ac:dyDescent="0.3">
      <c r="A22504" t="s">
        <v>1216</v>
      </c>
      <c r="B22504" t="s">
        <v>38</v>
      </c>
      <c r="C22504" s="1">
        <f>HYPERLINK("https://cao.dolgi.msk.ru/account/1010144483/", 1010144483)</f>
        <v>1010144483</v>
      </c>
      <c r="D22504">
        <v>-3509.18</v>
      </c>
    </row>
    <row r="22505" spans="1:4" hidden="1" x14ac:dyDescent="0.3">
      <c r="A22505" t="s">
        <v>1216</v>
      </c>
      <c r="B22505" t="s">
        <v>39</v>
      </c>
      <c r="C22505" s="1">
        <f>HYPERLINK("https://cao.dolgi.msk.ru/account/1010144491/", 1010144491)</f>
        <v>1010144491</v>
      </c>
      <c r="D22505">
        <v>-33304.519999999997</v>
      </c>
    </row>
    <row r="22506" spans="1:4" x14ac:dyDescent="0.3">
      <c r="A22506" t="s">
        <v>1216</v>
      </c>
      <c r="B22506" t="s">
        <v>40</v>
      </c>
      <c r="C22506" s="1">
        <f>HYPERLINK("https://cao.dolgi.msk.ru/account/1011130534/", 1011130534)</f>
        <v>1011130534</v>
      </c>
      <c r="D22506">
        <v>4758.58</v>
      </c>
    </row>
    <row r="22507" spans="1:4" hidden="1" x14ac:dyDescent="0.3">
      <c r="A22507" t="s">
        <v>1216</v>
      </c>
      <c r="B22507" t="s">
        <v>41</v>
      </c>
      <c r="C22507" s="1">
        <f>HYPERLINK("https://cao.dolgi.msk.ru/account/1010144571/", 1010144571)</f>
        <v>1010144571</v>
      </c>
      <c r="D22507">
        <v>-6804.02</v>
      </c>
    </row>
    <row r="22508" spans="1:4" hidden="1" x14ac:dyDescent="0.3">
      <c r="A22508" t="s">
        <v>1216</v>
      </c>
      <c r="B22508" t="s">
        <v>611</v>
      </c>
      <c r="C22508" s="1">
        <f>HYPERLINK("https://cao.dolgi.msk.ru/account/1010144598/", 1010144598)</f>
        <v>1010144598</v>
      </c>
      <c r="D22508">
        <v>0</v>
      </c>
    </row>
    <row r="22509" spans="1:4" x14ac:dyDescent="0.3">
      <c r="A22509" t="s">
        <v>1216</v>
      </c>
      <c r="B22509" t="s">
        <v>51</v>
      </c>
      <c r="C22509" s="1">
        <f>HYPERLINK("https://cao.dolgi.msk.ru/account/1010144512/", 1010144512)</f>
        <v>1010144512</v>
      </c>
      <c r="D22509">
        <v>9178.99</v>
      </c>
    </row>
    <row r="22510" spans="1:4" x14ac:dyDescent="0.3">
      <c r="A22510" t="s">
        <v>1216</v>
      </c>
      <c r="B22510" t="s">
        <v>52</v>
      </c>
      <c r="C22510" s="1">
        <f>HYPERLINK("https://cao.dolgi.msk.ru/account/1010144539/", 1010144539)</f>
        <v>1010144539</v>
      </c>
      <c r="D22510">
        <v>30333.29</v>
      </c>
    </row>
    <row r="22511" spans="1:4" hidden="1" x14ac:dyDescent="0.3">
      <c r="A22511" t="s">
        <v>1216</v>
      </c>
      <c r="B22511" t="s">
        <v>53</v>
      </c>
      <c r="C22511" s="1">
        <f>HYPERLINK("https://cao.dolgi.msk.ru/account/1010144547/", 1010144547)</f>
        <v>1010144547</v>
      </c>
      <c r="D22511">
        <v>0</v>
      </c>
    </row>
    <row r="22512" spans="1:4" x14ac:dyDescent="0.3">
      <c r="A22512" t="s">
        <v>1216</v>
      </c>
      <c r="B22512" t="s">
        <v>54</v>
      </c>
      <c r="C22512" s="1">
        <f>HYPERLINK("https://cao.dolgi.msk.ru/account/1010144555/", 1010144555)</f>
        <v>1010144555</v>
      </c>
      <c r="D22512">
        <v>7732.25</v>
      </c>
    </row>
    <row r="22513" spans="1:4" hidden="1" x14ac:dyDescent="0.3">
      <c r="A22513" t="s">
        <v>1216</v>
      </c>
      <c r="B22513" t="s">
        <v>55</v>
      </c>
      <c r="C22513" s="1">
        <f>HYPERLINK("https://cao.dolgi.msk.ru/account/1010144563/", 1010144563)</f>
        <v>1010144563</v>
      </c>
      <c r="D22513">
        <v>0</v>
      </c>
    </row>
    <row r="22514" spans="1:4" x14ac:dyDescent="0.3">
      <c r="A22514" t="s">
        <v>1217</v>
      </c>
      <c r="B22514" t="s">
        <v>6</v>
      </c>
      <c r="C22514" s="1">
        <f>HYPERLINK("https://cao.dolgi.msk.ru/account/1011385086/", 1011385086)</f>
        <v>1011385086</v>
      </c>
      <c r="D22514">
        <v>5994.54</v>
      </c>
    </row>
    <row r="22515" spans="1:4" hidden="1" x14ac:dyDescent="0.3">
      <c r="A22515" t="s">
        <v>1217</v>
      </c>
      <c r="B22515" t="s">
        <v>35</v>
      </c>
      <c r="C22515" s="1">
        <f>HYPERLINK("https://cao.dolgi.msk.ru/account/1011385094/", 1011385094)</f>
        <v>1011385094</v>
      </c>
      <c r="D22515">
        <v>0</v>
      </c>
    </row>
    <row r="22516" spans="1:4" hidden="1" x14ac:dyDescent="0.3">
      <c r="A22516" t="s">
        <v>1217</v>
      </c>
      <c r="B22516" t="s">
        <v>739</v>
      </c>
      <c r="C22516" s="1">
        <f>HYPERLINK("https://cao.dolgi.msk.ru/account/1011385182/", 1011385182)</f>
        <v>1011385182</v>
      </c>
      <c r="D22516">
        <v>0</v>
      </c>
    </row>
    <row r="22517" spans="1:4" hidden="1" x14ac:dyDescent="0.3">
      <c r="A22517" t="s">
        <v>1217</v>
      </c>
      <c r="B22517" t="s">
        <v>5</v>
      </c>
      <c r="C22517" s="1">
        <f>HYPERLINK("https://cao.dolgi.msk.ru/account/1011385246/", 1011385246)</f>
        <v>1011385246</v>
      </c>
      <c r="D22517">
        <v>0</v>
      </c>
    </row>
    <row r="22518" spans="1:4" hidden="1" x14ac:dyDescent="0.3">
      <c r="A22518" t="s">
        <v>1217</v>
      </c>
      <c r="B22518" t="s">
        <v>7</v>
      </c>
      <c r="C22518" s="1">
        <f>HYPERLINK("https://cao.dolgi.msk.ru/account/1011385203/", 1011385203)</f>
        <v>1011385203</v>
      </c>
      <c r="D22518">
        <v>-15021.61</v>
      </c>
    </row>
    <row r="22519" spans="1:4" hidden="1" x14ac:dyDescent="0.3">
      <c r="A22519" t="s">
        <v>1217</v>
      </c>
      <c r="B22519" t="s">
        <v>8</v>
      </c>
      <c r="C22519" s="1">
        <f>HYPERLINK("https://cao.dolgi.msk.ru/account/1011385254/", 1011385254)</f>
        <v>1011385254</v>
      </c>
      <c r="D22519">
        <v>-8296.66</v>
      </c>
    </row>
    <row r="22520" spans="1:4" hidden="1" x14ac:dyDescent="0.3">
      <c r="A22520" t="s">
        <v>1217</v>
      </c>
      <c r="B22520" t="s">
        <v>31</v>
      </c>
      <c r="C22520" s="1">
        <f>HYPERLINK("https://cao.dolgi.msk.ru/account/1011385422/", 1011385422)</f>
        <v>1011385422</v>
      </c>
      <c r="D22520">
        <v>0</v>
      </c>
    </row>
    <row r="22521" spans="1:4" hidden="1" x14ac:dyDescent="0.3">
      <c r="A22521" t="s">
        <v>1217</v>
      </c>
      <c r="B22521" t="s">
        <v>9</v>
      </c>
      <c r="C22521" s="1">
        <f>HYPERLINK("https://cao.dolgi.msk.ru/account/1011385449/", 1011385449)</f>
        <v>1011385449</v>
      </c>
      <c r="D22521">
        <v>-12291.17</v>
      </c>
    </row>
    <row r="22522" spans="1:4" hidden="1" x14ac:dyDescent="0.3">
      <c r="A22522" t="s">
        <v>1217</v>
      </c>
      <c r="B22522" t="s">
        <v>10</v>
      </c>
      <c r="C22522" s="1">
        <f>HYPERLINK("https://cao.dolgi.msk.ru/account/1011385262/", 1011385262)</f>
        <v>1011385262</v>
      </c>
      <c r="D22522">
        <v>0</v>
      </c>
    </row>
    <row r="22523" spans="1:4" x14ac:dyDescent="0.3">
      <c r="A22523" t="s">
        <v>1217</v>
      </c>
      <c r="B22523" t="s">
        <v>11</v>
      </c>
      <c r="C22523" s="1">
        <f>HYPERLINK("https://cao.dolgi.msk.ru/account/1011385043/", 1011385043)</f>
        <v>1011385043</v>
      </c>
      <c r="D22523">
        <v>43778.3</v>
      </c>
    </row>
    <row r="22524" spans="1:4" x14ac:dyDescent="0.3">
      <c r="A22524" t="s">
        <v>1217</v>
      </c>
      <c r="B22524" t="s">
        <v>12</v>
      </c>
      <c r="C22524" s="1">
        <f>HYPERLINK("https://cao.dolgi.msk.ru/account/1011385377/", 1011385377)</f>
        <v>1011385377</v>
      </c>
      <c r="D22524">
        <v>3917.92</v>
      </c>
    </row>
    <row r="22525" spans="1:4" x14ac:dyDescent="0.3">
      <c r="A22525" t="s">
        <v>1217</v>
      </c>
      <c r="B22525" t="s">
        <v>23</v>
      </c>
      <c r="C22525" s="1">
        <f>HYPERLINK("https://cao.dolgi.msk.ru/account/1011385107/", 1011385107)</f>
        <v>1011385107</v>
      </c>
      <c r="D22525">
        <v>217720.86</v>
      </c>
    </row>
    <row r="22526" spans="1:4" hidden="1" x14ac:dyDescent="0.3">
      <c r="A22526" t="s">
        <v>1217</v>
      </c>
      <c r="B22526" t="s">
        <v>23</v>
      </c>
      <c r="C22526" s="1">
        <f>HYPERLINK("https://cao.dolgi.msk.ru/account/1011385174/", 1011385174)</f>
        <v>1011385174</v>
      </c>
      <c r="D22526">
        <v>0</v>
      </c>
    </row>
    <row r="22527" spans="1:4" x14ac:dyDescent="0.3">
      <c r="A22527" t="s">
        <v>1217</v>
      </c>
      <c r="B22527" t="s">
        <v>13</v>
      </c>
      <c r="C22527" s="1">
        <f>HYPERLINK("https://cao.dolgi.msk.ru/account/1011534096/", 1011534096)</f>
        <v>1011534096</v>
      </c>
      <c r="D22527">
        <v>122541.19</v>
      </c>
    </row>
    <row r="22528" spans="1:4" hidden="1" x14ac:dyDescent="0.3">
      <c r="A22528" t="s">
        <v>1217</v>
      </c>
      <c r="B22528" t="s">
        <v>14</v>
      </c>
      <c r="C22528" s="1">
        <f>HYPERLINK("https://cao.dolgi.msk.ru/account/1011385457/", 1011385457)</f>
        <v>1011385457</v>
      </c>
      <c r="D22528">
        <v>0</v>
      </c>
    </row>
    <row r="22529" spans="1:4" hidden="1" x14ac:dyDescent="0.3">
      <c r="A22529" t="s">
        <v>1217</v>
      </c>
      <c r="B22529" t="s">
        <v>17</v>
      </c>
      <c r="C22529" s="1">
        <f>HYPERLINK("https://cao.dolgi.msk.ru/account/1011385211/", 1011385211)</f>
        <v>1011385211</v>
      </c>
      <c r="D22529">
        <v>-13886.14</v>
      </c>
    </row>
    <row r="22530" spans="1:4" x14ac:dyDescent="0.3">
      <c r="A22530" t="s">
        <v>1217</v>
      </c>
      <c r="B22530" t="s">
        <v>18</v>
      </c>
      <c r="C22530" s="1">
        <f>HYPERLINK("https://cao.dolgi.msk.ru/account/1011385289/", 1011385289)</f>
        <v>1011385289</v>
      </c>
      <c r="D22530">
        <v>1188.1099999999999</v>
      </c>
    </row>
    <row r="22531" spans="1:4" hidden="1" x14ac:dyDescent="0.3">
      <c r="A22531" t="s">
        <v>1217</v>
      </c>
      <c r="B22531" t="s">
        <v>19</v>
      </c>
      <c r="C22531" s="1">
        <f>HYPERLINK("https://cao.dolgi.msk.ru/account/1011385297/", 1011385297)</f>
        <v>1011385297</v>
      </c>
      <c r="D22531">
        <v>-8640.34</v>
      </c>
    </row>
    <row r="22532" spans="1:4" hidden="1" x14ac:dyDescent="0.3">
      <c r="A22532" t="s">
        <v>1217</v>
      </c>
      <c r="B22532" t="s">
        <v>20</v>
      </c>
      <c r="C22532" s="1">
        <f>HYPERLINK("https://cao.dolgi.msk.ru/account/1011525966/", 1011525966)</f>
        <v>1011525966</v>
      </c>
      <c r="D22532">
        <v>0</v>
      </c>
    </row>
    <row r="22533" spans="1:4" hidden="1" x14ac:dyDescent="0.3">
      <c r="A22533" t="s">
        <v>1217</v>
      </c>
      <c r="B22533" t="s">
        <v>21</v>
      </c>
      <c r="C22533" s="1">
        <f>HYPERLINK("https://cao.dolgi.msk.ru/account/1011385318/", 1011385318)</f>
        <v>1011385318</v>
      </c>
      <c r="D22533">
        <v>-8837.11</v>
      </c>
    </row>
    <row r="22534" spans="1:4" x14ac:dyDescent="0.3">
      <c r="A22534" t="s">
        <v>1217</v>
      </c>
      <c r="B22534" t="s">
        <v>22</v>
      </c>
      <c r="C22534" s="1">
        <f>HYPERLINK("https://cao.dolgi.msk.ru/account/1011385078/", 1011385078)</f>
        <v>1011385078</v>
      </c>
      <c r="D22534">
        <v>21619.72</v>
      </c>
    </row>
    <row r="22535" spans="1:4" hidden="1" x14ac:dyDescent="0.3">
      <c r="A22535" t="s">
        <v>1217</v>
      </c>
      <c r="B22535" t="s">
        <v>24</v>
      </c>
      <c r="C22535" s="1">
        <f>HYPERLINK("https://cao.dolgi.msk.ru/account/1011385385/", 1011385385)</f>
        <v>1011385385</v>
      </c>
      <c r="D22535">
        <v>-126.17</v>
      </c>
    </row>
    <row r="22536" spans="1:4" hidden="1" x14ac:dyDescent="0.3">
      <c r="A22536" t="s">
        <v>1217</v>
      </c>
      <c r="B22536" t="s">
        <v>25</v>
      </c>
      <c r="C22536" s="1">
        <f>HYPERLINK("https://cao.dolgi.msk.ru/account/1011385326/", 1011385326)</f>
        <v>1011385326</v>
      </c>
      <c r="D22536">
        <v>0</v>
      </c>
    </row>
    <row r="22537" spans="1:4" hidden="1" x14ac:dyDescent="0.3">
      <c r="A22537" t="s">
        <v>1217</v>
      </c>
      <c r="B22537" t="s">
        <v>26</v>
      </c>
      <c r="C22537" s="1">
        <f>HYPERLINK("https://cao.dolgi.msk.ru/account/1011385115/", 1011385115)</f>
        <v>1011385115</v>
      </c>
      <c r="D22537">
        <v>0</v>
      </c>
    </row>
    <row r="22538" spans="1:4" hidden="1" x14ac:dyDescent="0.3">
      <c r="A22538" t="s">
        <v>1217</v>
      </c>
      <c r="B22538" t="s">
        <v>38</v>
      </c>
      <c r="C22538" s="1">
        <f>HYPERLINK("https://cao.dolgi.msk.ru/account/1011385369/", 1011385369)</f>
        <v>1011385369</v>
      </c>
      <c r="D22538">
        <v>0</v>
      </c>
    </row>
    <row r="22539" spans="1:4" x14ac:dyDescent="0.3">
      <c r="A22539" t="s">
        <v>1217</v>
      </c>
      <c r="B22539" t="s">
        <v>39</v>
      </c>
      <c r="C22539" s="1">
        <f>HYPERLINK("https://cao.dolgi.msk.ru/account/1011385465/", 1011385465)</f>
        <v>1011385465</v>
      </c>
      <c r="D22539">
        <v>87155.9</v>
      </c>
    </row>
    <row r="22540" spans="1:4" hidden="1" x14ac:dyDescent="0.3">
      <c r="A22540" t="s">
        <v>1217</v>
      </c>
      <c r="B22540" t="s">
        <v>40</v>
      </c>
      <c r="C22540" s="1">
        <f>HYPERLINK("https://cao.dolgi.msk.ru/account/1011385238/", 1011385238)</f>
        <v>1011385238</v>
      </c>
      <c r="D22540">
        <v>0</v>
      </c>
    </row>
    <row r="22541" spans="1:4" hidden="1" x14ac:dyDescent="0.3">
      <c r="A22541" t="s">
        <v>1217</v>
      </c>
      <c r="B22541" t="s">
        <v>41</v>
      </c>
      <c r="C22541" s="1">
        <f>HYPERLINK("https://cao.dolgi.msk.ru/account/1011385334/", 1011385334)</f>
        <v>1011385334</v>
      </c>
      <c r="D22541">
        <v>0</v>
      </c>
    </row>
    <row r="22542" spans="1:4" hidden="1" x14ac:dyDescent="0.3">
      <c r="A22542" t="s">
        <v>1217</v>
      </c>
      <c r="B22542" t="s">
        <v>51</v>
      </c>
      <c r="C22542" s="1">
        <f>HYPERLINK("https://cao.dolgi.msk.ru/account/1011385123/", 1011385123)</f>
        <v>1011385123</v>
      </c>
      <c r="D22542">
        <v>-46.19</v>
      </c>
    </row>
    <row r="22543" spans="1:4" hidden="1" x14ac:dyDescent="0.3">
      <c r="A22543" t="s">
        <v>1217</v>
      </c>
      <c r="B22543" t="s">
        <v>52</v>
      </c>
      <c r="C22543" s="1">
        <f>HYPERLINK("https://cao.dolgi.msk.ru/account/1011385131/", 1011385131)</f>
        <v>1011385131</v>
      </c>
      <c r="D22543">
        <v>-11734.46</v>
      </c>
    </row>
    <row r="22544" spans="1:4" x14ac:dyDescent="0.3">
      <c r="A22544" t="s">
        <v>1217</v>
      </c>
      <c r="B22544" t="s">
        <v>53</v>
      </c>
      <c r="C22544" s="1">
        <f>HYPERLINK("https://cao.dolgi.msk.ru/account/1011385158/", 1011385158)</f>
        <v>1011385158</v>
      </c>
      <c r="D22544">
        <v>6641.96</v>
      </c>
    </row>
    <row r="22545" spans="1:4" x14ac:dyDescent="0.3">
      <c r="A22545" t="s">
        <v>1217</v>
      </c>
      <c r="B22545" t="s">
        <v>54</v>
      </c>
      <c r="C22545" s="1">
        <f>HYPERLINK("https://cao.dolgi.msk.ru/account/1011385406/", 1011385406)</f>
        <v>1011385406</v>
      </c>
      <c r="D22545">
        <v>48662.34</v>
      </c>
    </row>
    <row r="22546" spans="1:4" hidden="1" x14ac:dyDescent="0.3">
      <c r="A22546" t="s">
        <v>1217</v>
      </c>
      <c r="B22546" t="s">
        <v>55</v>
      </c>
      <c r="C22546" s="1">
        <f>HYPERLINK("https://cao.dolgi.msk.ru/account/1011385393/", 1011385393)</f>
        <v>1011385393</v>
      </c>
      <c r="D22546">
        <v>-1192.04</v>
      </c>
    </row>
    <row r="22547" spans="1:4" x14ac:dyDescent="0.3">
      <c r="A22547" t="s">
        <v>1217</v>
      </c>
      <c r="B22547" t="s">
        <v>56</v>
      </c>
      <c r="C22547" s="1">
        <f>HYPERLINK("https://cao.dolgi.msk.ru/account/1011385342/", 1011385342)</f>
        <v>1011385342</v>
      </c>
      <c r="D22547">
        <v>16767.53</v>
      </c>
    </row>
    <row r="22548" spans="1:4" x14ac:dyDescent="0.3">
      <c r="A22548" t="s">
        <v>1218</v>
      </c>
      <c r="B22548" t="s">
        <v>35</v>
      </c>
      <c r="C22548" s="1">
        <f>HYPERLINK("https://cao.dolgi.msk.ru/account/1011337973/", 1011337973)</f>
        <v>1011337973</v>
      </c>
      <c r="D22548">
        <v>10495.17</v>
      </c>
    </row>
    <row r="22549" spans="1:4" hidden="1" x14ac:dyDescent="0.3">
      <c r="A22549" t="s">
        <v>1218</v>
      </c>
      <c r="B22549" t="s">
        <v>5</v>
      </c>
      <c r="C22549" s="1">
        <f>HYPERLINK("https://cao.dolgi.msk.ru/account/1011338095/", 1011338095)</f>
        <v>1011338095</v>
      </c>
      <c r="D22549">
        <v>0</v>
      </c>
    </row>
    <row r="22550" spans="1:4" hidden="1" x14ac:dyDescent="0.3">
      <c r="A22550" t="s">
        <v>1218</v>
      </c>
      <c r="B22550" t="s">
        <v>7</v>
      </c>
      <c r="C22550" s="1">
        <f>HYPERLINK("https://cao.dolgi.msk.ru/account/1011337981/", 1011337981)</f>
        <v>1011337981</v>
      </c>
      <c r="D22550">
        <v>0</v>
      </c>
    </row>
    <row r="22551" spans="1:4" hidden="1" x14ac:dyDescent="0.3">
      <c r="A22551" t="s">
        <v>1218</v>
      </c>
      <c r="B22551" t="s">
        <v>8</v>
      </c>
      <c r="C22551" s="1">
        <f>HYPERLINK("https://cao.dolgi.msk.ru/account/1011338001/", 1011338001)</f>
        <v>1011338001</v>
      </c>
      <c r="D22551">
        <v>-114.05</v>
      </c>
    </row>
    <row r="22552" spans="1:4" x14ac:dyDescent="0.3">
      <c r="A22552" t="s">
        <v>1218</v>
      </c>
      <c r="B22552" t="s">
        <v>8</v>
      </c>
      <c r="C22552" s="1">
        <f>HYPERLINK("https://cao.dolgi.msk.ru/account/1011338132/", 1011338132)</f>
        <v>1011338132</v>
      </c>
      <c r="D22552">
        <v>6299.11</v>
      </c>
    </row>
    <row r="22553" spans="1:4" hidden="1" x14ac:dyDescent="0.3">
      <c r="A22553" t="s">
        <v>1218</v>
      </c>
      <c r="B22553" t="s">
        <v>8</v>
      </c>
      <c r="C22553" s="1">
        <f>HYPERLINK("https://cao.dolgi.msk.ru/account/1011502342/", 1011502342)</f>
        <v>1011502342</v>
      </c>
      <c r="D22553">
        <v>0</v>
      </c>
    </row>
    <row r="22554" spans="1:4" hidden="1" x14ac:dyDescent="0.3">
      <c r="A22554" t="s">
        <v>1218</v>
      </c>
      <c r="B22554" t="s">
        <v>31</v>
      </c>
      <c r="C22554" s="1">
        <f>HYPERLINK("https://cao.dolgi.msk.ru/account/1011338044/", 1011338044)</f>
        <v>1011338044</v>
      </c>
      <c r="D22554">
        <v>-22292</v>
      </c>
    </row>
    <row r="22555" spans="1:4" hidden="1" x14ac:dyDescent="0.3">
      <c r="A22555" t="s">
        <v>1218</v>
      </c>
      <c r="B22555" t="s">
        <v>9</v>
      </c>
      <c r="C22555" s="1">
        <f>HYPERLINK("https://cao.dolgi.msk.ru/account/1011337965/", 1011337965)</f>
        <v>1011337965</v>
      </c>
      <c r="D22555">
        <v>0</v>
      </c>
    </row>
    <row r="22556" spans="1:4" hidden="1" x14ac:dyDescent="0.3">
      <c r="A22556" t="s">
        <v>1218</v>
      </c>
      <c r="B22556" t="s">
        <v>12</v>
      </c>
      <c r="C22556" s="1">
        <f>HYPERLINK("https://cao.dolgi.msk.ru/account/1011338116/", 1011338116)</f>
        <v>1011338116</v>
      </c>
      <c r="D22556">
        <v>-336</v>
      </c>
    </row>
    <row r="22557" spans="1:4" hidden="1" x14ac:dyDescent="0.3">
      <c r="A22557" t="s">
        <v>1218</v>
      </c>
      <c r="B22557" t="s">
        <v>23</v>
      </c>
      <c r="C22557" s="1">
        <f>HYPERLINK("https://cao.dolgi.msk.ru/account/1011338036/", 1011338036)</f>
        <v>1011338036</v>
      </c>
      <c r="D22557">
        <v>-384</v>
      </c>
    </row>
    <row r="22558" spans="1:4" x14ac:dyDescent="0.3">
      <c r="A22558" t="s">
        <v>1218</v>
      </c>
      <c r="B22558" t="s">
        <v>13</v>
      </c>
      <c r="C22558" s="1">
        <f>HYPERLINK("https://cao.dolgi.msk.ru/account/1011337949/", 1011337949)</f>
        <v>1011337949</v>
      </c>
      <c r="D22558">
        <v>22869.01</v>
      </c>
    </row>
    <row r="22559" spans="1:4" x14ac:dyDescent="0.3">
      <c r="A22559" t="s">
        <v>1218</v>
      </c>
      <c r="B22559" t="s">
        <v>13</v>
      </c>
      <c r="C22559" s="1">
        <f>HYPERLINK("https://cao.dolgi.msk.ru/account/1011338052/", 1011338052)</f>
        <v>1011338052</v>
      </c>
      <c r="D22559">
        <v>8979.3700000000008</v>
      </c>
    </row>
    <row r="22560" spans="1:4" hidden="1" x14ac:dyDescent="0.3">
      <c r="A22560" t="s">
        <v>1218</v>
      </c>
      <c r="B22560" t="s">
        <v>13</v>
      </c>
      <c r="C22560" s="1">
        <f>HYPERLINK("https://cao.dolgi.msk.ru/account/1011338087/", 1011338087)</f>
        <v>1011338087</v>
      </c>
      <c r="D22560">
        <v>-2850.16</v>
      </c>
    </row>
    <row r="22561" spans="1:4" x14ac:dyDescent="0.3">
      <c r="A22561" t="s">
        <v>1218</v>
      </c>
      <c r="B22561" t="s">
        <v>13</v>
      </c>
      <c r="C22561" s="1">
        <f>HYPERLINK("https://cao.dolgi.msk.ru/account/1011338108/", 1011338108)</f>
        <v>1011338108</v>
      </c>
      <c r="D22561">
        <v>5728.12</v>
      </c>
    </row>
    <row r="22562" spans="1:4" hidden="1" x14ac:dyDescent="0.3">
      <c r="A22562" t="s">
        <v>1218</v>
      </c>
      <c r="B22562" t="s">
        <v>14</v>
      </c>
      <c r="C22562" s="1">
        <f>HYPERLINK("https://cao.dolgi.msk.ru/account/1011338079/", 1011338079)</f>
        <v>1011338079</v>
      </c>
      <c r="D22562">
        <v>-13005.83</v>
      </c>
    </row>
    <row r="22563" spans="1:4" hidden="1" x14ac:dyDescent="0.3">
      <c r="A22563" t="s">
        <v>1218</v>
      </c>
      <c r="B22563" t="s">
        <v>16</v>
      </c>
      <c r="C22563" s="1">
        <f>HYPERLINK("https://cao.dolgi.msk.ru/account/1011338124/", 1011338124)</f>
        <v>1011338124</v>
      </c>
      <c r="D22563">
        <v>-19034.77</v>
      </c>
    </row>
    <row r="22564" spans="1:4" hidden="1" x14ac:dyDescent="0.3">
      <c r="A22564" t="s">
        <v>1218</v>
      </c>
      <c r="B22564" t="s">
        <v>17</v>
      </c>
      <c r="C22564" s="1">
        <f>HYPERLINK("https://cao.dolgi.msk.ru/account/1011338028/", 1011338028)</f>
        <v>1011338028</v>
      </c>
      <c r="D22564">
        <v>-12406.7</v>
      </c>
    </row>
    <row r="22565" spans="1:4" x14ac:dyDescent="0.3">
      <c r="A22565" t="s">
        <v>1219</v>
      </c>
      <c r="B22565" t="s">
        <v>129</v>
      </c>
      <c r="C22565" s="1">
        <f>HYPERLINK("https://cao.dolgi.msk.ru/account/1011492148/", 1011492148)</f>
        <v>1011492148</v>
      </c>
      <c r="D22565">
        <v>31787.21</v>
      </c>
    </row>
    <row r="22566" spans="1:4" hidden="1" x14ac:dyDescent="0.3">
      <c r="A22566" t="s">
        <v>1219</v>
      </c>
      <c r="B22566" t="s">
        <v>130</v>
      </c>
      <c r="C22566" s="1">
        <f>HYPERLINK("https://cao.dolgi.msk.ru/account/1011492279/", 1011492279)</f>
        <v>1011492279</v>
      </c>
      <c r="D22566">
        <v>0</v>
      </c>
    </row>
    <row r="22567" spans="1:4" hidden="1" x14ac:dyDescent="0.3">
      <c r="A22567" t="s">
        <v>1219</v>
      </c>
      <c r="B22567" t="s">
        <v>131</v>
      </c>
      <c r="C22567" s="1">
        <f>HYPERLINK("https://cao.dolgi.msk.ru/account/1011492156/", 1011492156)</f>
        <v>1011492156</v>
      </c>
      <c r="D22567">
        <v>-54.34</v>
      </c>
    </row>
    <row r="22568" spans="1:4" hidden="1" x14ac:dyDescent="0.3">
      <c r="A22568" t="s">
        <v>1219</v>
      </c>
      <c r="B22568" t="s">
        <v>132</v>
      </c>
      <c r="C22568" s="1">
        <f>HYPERLINK("https://cao.dolgi.msk.ru/account/1011491954/", 1011491954)</f>
        <v>1011491954</v>
      </c>
      <c r="D22568">
        <v>-847.02</v>
      </c>
    </row>
    <row r="22569" spans="1:4" x14ac:dyDescent="0.3">
      <c r="A22569" t="s">
        <v>1219</v>
      </c>
      <c r="B22569" t="s">
        <v>133</v>
      </c>
      <c r="C22569" s="1">
        <f>HYPERLINK("https://cao.dolgi.msk.ru/account/1011492471/", 1011492471)</f>
        <v>1011492471</v>
      </c>
      <c r="D22569">
        <v>51320.35</v>
      </c>
    </row>
    <row r="22570" spans="1:4" x14ac:dyDescent="0.3">
      <c r="A22570" t="s">
        <v>1219</v>
      </c>
      <c r="B22570" t="s">
        <v>134</v>
      </c>
      <c r="C22570" s="1">
        <f>HYPERLINK("https://cao.dolgi.msk.ru/account/1011491858/", 1011491858)</f>
        <v>1011491858</v>
      </c>
      <c r="D22570">
        <v>15300.73</v>
      </c>
    </row>
    <row r="22571" spans="1:4" hidden="1" x14ac:dyDescent="0.3">
      <c r="A22571" t="s">
        <v>1219</v>
      </c>
      <c r="B22571" t="s">
        <v>135</v>
      </c>
      <c r="C22571" s="1">
        <f>HYPERLINK("https://cao.dolgi.msk.ru/account/1011492498/", 1011492498)</f>
        <v>1011492498</v>
      </c>
      <c r="D22571">
        <v>0</v>
      </c>
    </row>
    <row r="22572" spans="1:4" hidden="1" x14ac:dyDescent="0.3">
      <c r="A22572" t="s">
        <v>1219</v>
      </c>
      <c r="B22572" t="s">
        <v>264</v>
      </c>
      <c r="C22572" s="1">
        <f>HYPERLINK("https://cao.dolgi.msk.ru/account/1011491962/", 1011491962)</f>
        <v>1011491962</v>
      </c>
      <c r="D22572">
        <v>-10.49</v>
      </c>
    </row>
    <row r="22573" spans="1:4" hidden="1" x14ac:dyDescent="0.3">
      <c r="A22573" t="s">
        <v>1219</v>
      </c>
      <c r="B22573" t="s">
        <v>136</v>
      </c>
      <c r="C22573" s="1">
        <f>HYPERLINK("https://cao.dolgi.msk.ru/account/1011492578/", 1011492578)</f>
        <v>1011492578</v>
      </c>
      <c r="D22573">
        <v>0</v>
      </c>
    </row>
    <row r="22574" spans="1:4" hidden="1" x14ac:dyDescent="0.3">
      <c r="A22574" t="s">
        <v>1219</v>
      </c>
      <c r="B22574" t="s">
        <v>137</v>
      </c>
      <c r="C22574" s="1">
        <f>HYPERLINK("https://cao.dolgi.msk.ru/account/1011491866/", 1011491866)</f>
        <v>1011491866</v>
      </c>
      <c r="D22574">
        <v>-4623.91</v>
      </c>
    </row>
    <row r="22575" spans="1:4" hidden="1" x14ac:dyDescent="0.3">
      <c r="A22575" t="s">
        <v>1219</v>
      </c>
      <c r="B22575" t="s">
        <v>138</v>
      </c>
      <c r="C22575" s="1">
        <f>HYPERLINK("https://cao.dolgi.msk.ru/account/1011492025/", 1011492025)</f>
        <v>1011492025</v>
      </c>
      <c r="D22575">
        <v>-17.600000000000001</v>
      </c>
    </row>
    <row r="22576" spans="1:4" hidden="1" x14ac:dyDescent="0.3">
      <c r="A22576" t="s">
        <v>1219</v>
      </c>
      <c r="B22576" t="s">
        <v>139</v>
      </c>
      <c r="C22576" s="1">
        <f>HYPERLINK("https://cao.dolgi.msk.ru/account/1011492287/", 1011492287)</f>
        <v>1011492287</v>
      </c>
      <c r="D22576">
        <v>-5963.64</v>
      </c>
    </row>
    <row r="22577" spans="1:4" hidden="1" x14ac:dyDescent="0.3">
      <c r="A22577" t="s">
        <v>1219</v>
      </c>
      <c r="B22577" t="s">
        <v>140</v>
      </c>
      <c r="C22577" s="1">
        <f>HYPERLINK("https://cao.dolgi.msk.ru/account/1011492164/", 1011492164)</f>
        <v>1011492164</v>
      </c>
      <c r="D22577">
        <v>0</v>
      </c>
    </row>
    <row r="22578" spans="1:4" hidden="1" x14ac:dyDescent="0.3">
      <c r="A22578" t="s">
        <v>1219</v>
      </c>
      <c r="B22578" t="s">
        <v>141</v>
      </c>
      <c r="C22578" s="1">
        <f>HYPERLINK("https://cao.dolgi.msk.ru/account/1011492033/", 1011492033)</f>
        <v>1011492033</v>
      </c>
      <c r="D22578">
        <v>-2465.8000000000002</v>
      </c>
    </row>
    <row r="22579" spans="1:4" hidden="1" x14ac:dyDescent="0.3">
      <c r="A22579" t="s">
        <v>1219</v>
      </c>
      <c r="B22579" t="s">
        <v>142</v>
      </c>
      <c r="C22579" s="1">
        <f>HYPERLINK("https://cao.dolgi.msk.ru/account/1011510801/", 1011510801)</f>
        <v>1011510801</v>
      </c>
      <c r="D22579">
        <v>-5390.7</v>
      </c>
    </row>
    <row r="22580" spans="1:4" x14ac:dyDescent="0.3">
      <c r="A22580" t="s">
        <v>1219</v>
      </c>
      <c r="B22580" t="s">
        <v>145</v>
      </c>
      <c r="C22580" s="1">
        <f>HYPERLINK("https://cao.dolgi.msk.ru/account/1011492295/", 1011492295)</f>
        <v>1011492295</v>
      </c>
      <c r="D22580">
        <v>16581.919999999998</v>
      </c>
    </row>
    <row r="22581" spans="1:4" hidden="1" x14ac:dyDescent="0.3">
      <c r="A22581" t="s">
        <v>1219</v>
      </c>
      <c r="B22581" t="s">
        <v>146</v>
      </c>
      <c r="C22581" s="1">
        <f>HYPERLINK("https://cao.dolgi.msk.ru/account/1011491989/", 1011491989)</f>
        <v>1011491989</v>
      </c>
      <c r="D22581">
        <v>-4139.3900000000003</v>
      </c>
    </row>
    <row r="22582" spans="1:4" hidden="1" x14ac:dyDescent="0.3">
      <c r="A22582" t="s">
        <v>1219</v>
      </c>
      <c r="B22582" t="s">
        <v>147</v>
      </c>
      <c r="C22582" s="1">
        <f>HYPERLINK("https://cao.dolgi.msk.ru/account/1011491882/", 1011491882)</f>
        <v>1011491882</v>
      </c>
      <c r="D22582">
        <v>0</v>
      </c>
    </row>
    <row r="22583" spans="1:4" hidden="1" x14ac:dyDescent="0.3">
      <c r="A22583" t="s">
        <v>1219</v>
      </c>
      <c r="B22583" t="s">
        <v>148</v>
      </c>
      <c r="C22583" s="1">
        <f>HYPERLINK("https://cao.dolgi.msk.ru/account/1011492172/", 1011492172)</f>
        <v>1011492172</v>
      </c>
      <c r="D22583">
        <v>0</v>
      </c>
    </row>
    <row r="22584" spans="1:4" hidden="1" x14ac:dyDescent="0.3">
      <c r="A22584" t="s">
        <v>1219</v>
      </c>
      <c r="B22584" t="s">
        <v>149</v>
      </c>
      <c r="C22584" s="1">
        <f>HYPERLINK("https://cao.dolgi.msk.ru/account/1011491997/", 1011491997)</f>
        <v>1011491997</v>
      </c>
      <c r="D22584">
        <v>0</v>
      </c>
    </row>
    <row r="22585" spans="1:4" hidden="1" x14ac:dyDescent="0.3">
      <c r="A22585" t="s">
        <v>1219</v>
      </c>
      <c r="B22585" t="s">
        <v>150</v>
      </c>
      <c r="C22585" s="1">
        <f>HYPERLINK("https://cao.dolgi.msk.ru/account/1011492519/", 1011492519)</f>
        <v>1011492519</v>
      </c>
      <c r="D22585">
        <v>0</v>
      </c>
    </row>
    <row r="22586" spans="1:4" hidden="1" x14ac:dyDescent="0.3">
      <c r="A22586" t="s">
        <v>1219</v>
      </c>
      <c r="B22586" t="s">
        <v>151</v>
      </c>
      <c r="C22586" s="1">
        <f>HYPERLINK("https://cao.dolgi.msk.ru/account/1011492391/", 1011492391)</f>
        <v>1011492391</v>
      </c>
      <c r="D22586">
        <v>-4319.1099999999997</v>
      </c>
    </row>
    <row r="22587" spans="1:4" x14ac:dyDescent="0.3">
      <c r="A22587" t="s">
        <v>1219</v>
      </c>
      <c r="B22587" t="s">
        <v>152</v>
      </c>
      <c r="C22587" s="1">
        <f>HYPERLINK("https://cao.dolgi.msk.ru/account/1011492308/", 1011492308)</f>
        <v>1011492308</v>
      </c>
      <c r="D22587">
        <v>5453.04</v>
      </c>
    </row>
    <row r="22588" spans="1:4" hidden="1" x14ac:dyDescent="0.3">
      <c r="A22588" t="s">
        <v>1219</v>
      </c>
      <c r="B22588" t="s">
        <v>153</v>
      </c>
      <c r="C22588" s="1">
        <f>HYPERLINK("https://cao.dolgi.msk.ru/account/1011492316/", 1011492316)</f>
        <v>1011492316</v>
      </c>
      <c r="D22588">
        <v>-27.17</v>
      </c>
    </row>
    <row r="22589" spans="1:4" hidden="1" x14ac:dyDescent="0.3">
      <c r="A22589" t="s">
        <v>1219</v>
      </c>
      <c r="B22589" t="s">
        <v>154</v>
      </c>
      <c r="C22589" s="1">
        <f>HYPERLINK("https://cao.dolgi.msk.ru/account/1011492041/", 1011492041)</f>
        <v>1011492041</v>
      </c>
      <c r="D22589">
        <v>0</v>
      </c>
    </row>
    <row r="22590" spans="1:4" hidden="1" x14ac:dyDescent="0.3">
      <c r="A22590" t="s">
        <v>1219</v>
      </c>
      <c r="B22590" t="s">
        <v>155</v>
      </c>
      <c r="C22590" s="1">
        <f>HYPERLINK("https://cao.dolgi.msk.ru/account/1011492404/", 1011492404)</f>
        <v>1011492404</v>
      </c>
      <c r="D22590">
        <v>-5695.68</v>
      </c>
    </row>
    <row r="22591" spans="1:4" hidden="1" x14ac:dyDescent="0.3">
      <c r="A22591" t="s">
        <v>1219</v>
      </c>
      <c r="B22591" t="s">
        <v>156</v>
      </c>
      <c r="C22591" s="1">
        <f>HYPERLINK("https://cao.dolgi.msk.ru/account/1011491903/", 1011491903)</f>
        <v>1011491903</v>
      </c>
      <c r="D22591">
        <v>-6544.08</v>
      </c>
    </row>
    <row r="22592" spans="1:4" hidden="1" x14ac:dyDescent="0.3">
      <c r="A22592" t="s">
        <v>1219</v>
      </c>
      <c r="B22592" t="s">
        <v>157</v>
      </c>
      <c r="C22592" s="1">
        <f>HYPERLINK("https://cao.dolgi.msk.ru/account/1011492199/", 1011492199)</f>
        <v>1011492199</v>
      </c>
      <c r="D22592">
        <v>-1770.77</v>
      </c>
    </row>
    <row r="22593" spans="1:4" hidden="1" x14ac:dyDescent="0.3">
      <c r="A22593" t="s">
        <v>1219</v>
      </c>
      <c r="B22593" t="s">
        <v>158</v>
      </c>
      <c r="C22593" s="1">
        <f>HYPERLINK("https://cao.dolgi.msk.ru/account/1011492201/", 1011492201)</f>
        <v>1011492201</v>
      </c>
      <c r="D22593">
        <v>0</v>
      </c>
    </row>
    <row r="22594" spans="1:4" hidden="1" x14ac:dyDescent="0.3">
      <c r="A22594" t="s">
        <v>1219</v>
      </c>
      <c r="B22594" t="s">
        <v>159</v>
      </c>
      <c r="C22594" s="1">
        <f>HYPERLINK("https://cao.dolgi.msk.ru/account/1011492412/", 1011492412)</f>
        <v>1011492412</v>
      </c>
      <c r="D22594">
        <v>-6190.05</v>
      </c>
    </row>
    <row r="22595" spans="1:4" hidden="1" x14ac:dyDescent="0.3">
      <c r="A22595" t="s">
        <v>1219</v>
      </c>
      <c r="B22595" t="s">
        <v>160</v>
      </c>
      <c r="C22595" s="1">
        <f>HYPERLINK("https://cao.dolgi.msk.ru/account/1011492586/", 1011492586)</f>
        <v>1011492586</v>
      </c>
      <c r="D22595">
        <v>-17170.77</v>
      </c>
    </row>
    <row r="22596" spans="1:4" x14ac:dyDescent="0.3">
      <c r="A22596" t="s">
        <v>1219</v>
      </c>
      <c r="B22596" t="s">
        <v>161</v>
      </c>
      <c r="C22596" s="1">
        <f>HYPERLINK("https://cao.dolgi.msk.ru/account/1011492228/", 1011492228)</f>
        <v>1011492228</v>
      </c>
      <c r="D22596">
        <v>46643.79</v>
      </c>
    </row>
    <row r="22597" spans="1:4" hidden="1" x14ac:dyDescent="0.3">
      <c r="A22597" t="s">
        <v>1219</v>
      </c>
      <c r="B22597" t="s">
        <v>162</v>
      </c>
      <c r="C22597" s="1">
        <f>HYPERLINK("https://cao.dolgi.msk.ru/account/1011492439/", 1011492439)</f>
        <v>1011492439</v>
      </c>
      <c r="D22597">
        <v>-1043.6099999999999</v>
      </c>
    </row>
    <row r="22598" spans="1:4" hidden="1" x14ac:dyDescent="0.3">
      <c r="A22598" t="s">
        <v>1219</v>
      </c>
      <c r="B22598" t="s">
        <v>163</v>
      </c>
      <c r="C22598" s="1">
        <f>HYPERLINK("https://cao.dolgi.msk.ru/account/1011492236/", 1011492236)</f>
        <v>1011492236</v>
      </c>
      <c r="D22598">
        <v>0</v>
      </c>
    </row>
    <row r="22599" spans="1:4" hidden="1" x14ac:dyDescent="0.3">
      <c r="A22599" t="s">
        <v>1219</v>
      </c>
      <c r="B22599" t="s">
        <v>164</v>
      </c>
      <c r="C22599" s="1">
        <f>HYPERLINK("https://cao.dolgi.msk.ru/account/1011492068/", 1011492068)</f>
        <v>1011492068</v>
      </c>
      <c r="D22599">
        <v>-7561.11</v>
      </c>
    </row>
    <row r="22600" spans="1:4" hidden="1" x14ac:dyDescent="0.3">
      <c r="A22600" t="s">
        <v>1219</v>
      </c>
      <c r="B22600" t="s">
        <v>165</v>
      </c>
      <c r="C22600" s="1">
        <f>HYPERLINK("https://cao.dolgi.msk.ru/account/1011492076/", 1011492076)</f>
        <v>1011492076</v>
      </c>
      <c r="D22600">
        <v>0</v>
      </c>
    </row>
    <row r="22601" spans="1:4" x14ac:dyDescent="0.3">
      <c r="A22601" t="s">
        <v>1219</v>
      </c>
      <c r="B22601" t="s">
        <v>166</v>
      </c>
      <c r="C22601" s="1">
        <f>HYPERLINK("https://cao.dolgi.msk.ru/account/1011492009/", 1011492009)</f>
        <v>1011492009</v>
      </c>
      <c r="D22601">
        <v>13430.61</v>
      </c>
    </row>
    <row r="22602" spans="1:4" x14ac:dyDescent="0.3">
      <c r="A22602" t="s">
        <v>1219</v>
      </c>
      <c r="B22602" t="s">
        <v>167</v>
      </c>
      <c r="C22602" s="1">
        <f>HYPERLINK("https://cao.dolgi.msk.ru/account/1011492447/", 1011492447)</f>
        <v>1011492447</v>
      </c>
      <c r="D22602">
        <v>7981.56</v>
      </c>
    </row>
    <row r="22603" spans="1:4" x14ac:dyDescent="0.3">
      <c r="A22603" t="s">
        <v>1219</v>
      </c>
      <c r="B22603" t="s">
        <v>168</v>
      </c>
      <c r="C22603" s="1">
        <f>HYPERLINK("https://cao.dolgi.msk.ru/account/1011492594/", 1011492594)</f>
        <v>1011492594</v>
      </c>
      <c r="D22603">
        <v>7416.24</v>
      </c>
    </row>
    <row r="22604" spans="1:4" hidden="1" x14ac:dyDescent="0.3">
      <c r="A22604" t="s">
        <v>1219</v>
      </c>
      <c r="B22604" t="s">
        <v>169</v>
      </c>
      <c r="C22604" s="1">
        <f>HYPERLINK("https://cao.dolgi.msk.ru/account/1011491911/", 1011491911)</f>
        <v>1011491911</v>
      </c>
      <c r="D22604">
        <v>0</v>
      </c>
    </row>
    <row r="22605" spans="1:4" x14ac:dyDescent="0.3">
      <c r="A22605" t="s">
        <v>1219</v>
      </c>
      <c r="B22605" t="s">
        <v>170</v>
      </c>
      <c r="C22605" s="1">
        <f>HYPERLINK("https://cao.dolgi.msk.ru/account/1011491938/", 1011491938)</f>
        <v>1011491938</v>
      </c>
      <c r="D22605">
        <v>147580.51</v>
      </c>
    </row>
    <row r="22606" spans="1:4" hidden="1" x14ac:dyDescent="0.3">
      <c r="A22606" t="s">
        <v>1219</v>
      </c>
      <c r="B22606" t="s">
        <v>171</v>
      </c>
      <c r="C22606" s="1">
        <f>HYPERLINK("https://cao.dolgi.msk.ru/account/1011492017/", 1011492017)</f>
        <v>1011492017</v>
      </c>
      <c r="D22606">
        <v>0</v>
      </c>
    </row>
    <row r="22607" spans="1:4" hidden="1" x14ac:dyDescent="0.3">
      <c r="A22607" t="s">
        <v>1219</v>
      </c>
      <c r="B22607" t="s">
        <v>172</v>
      </c>
      <c r="C22607" s="1">
        <f>HYPERLINK("https://cao.dolgi.msk.ru/account/1011492607/", 1011492607)</f>
        <v>1011492607</v>
      </c>
      <c r="D22607">
        <v>0</v>
      </c>
    </row>
    <row r="22608" spans="1:4" hidden="1" x14ac:dyDescent="0.3">
      <c r="A22608" t="s">
        <v>1219</v>
      </c>
      <c r="B22608" t="s">
        <v>173</v>
      </c>
      <c r="C22608" s="1">
        <f>HYPERLINK("https://cao.dolgi.msk.ru/account/1011492527/", 1011492527)</f>
        <v>1011492527</v>
      </c>
      <c r="D22608">
        <v>0</v>
      </c>
    </row>
    <row r="22609" spans="1:4" hidden="1" x14ac:dyDescent="0.3">
      <c r="A22609" t="s">
        <v>1219</v>
      </c>
      <c r="B22609" t="s">
        <v>174</v>
      </c>
      <c r="C22609" s="1">
        <f>HYPERLINK("https://cao.dolgi.msk.ru/account/1011492535/", 1011492535)</f>
        <v>1011492535</v>
      </c>
      <c r="D22609">
        <v>-33450.589999999997</v>
      </c>
    </row>
    <row r="22610" spans="1:4" hidden="1" x14ac:dyDescent="0.3">
      <c r="A22610" t="s">
        <v>1219</v>
      </c>
      <c r="B22610" t="s">
        <v>175</v>
      </c>
      <c r="C22610" s="1">
        <f>HYPERLINK("https://cao.dolgi.msk.ru/account/1011492324/", 1011492324)</f>
        <v>1011492324</v>
      </c>
      <c r="D22610">
        <v>-4234.8100000000004</v>
      </c>
    </row>
    <row r="22611" spans="1:4" hidden="1" x14ac:dyDescent="0.3">
      <c r="A22611" t="s">
        <v>1219</v>
      </c>
      <c r="B22611" t="s">
        <v>176</v>
      </c>
      <c r="C22611" s="1">
        <f>HYPERLINK("https://cao.dolgi.msk.ru/account/1011492332/", 1011492332)</f>
        <v>1011492332</v>
      </c>
      <c r="D22611">
        <v>0</v>
      </c>
    </row>
    <row r="22612" spans="1:4" hidden="1" x14ac:dyDescent="0.3">
      <c r="A22612" t="s">
        <v>1219</v>
      </c>
      <c r="B22612" t="s">
        <v>177</v>
      </c>
      <c r="C22612" s="1">
        <f>HYPERLINK("https://cao.dolgi.msk.ru/account/1011492359/", 1011492359)</f>
        <v>1011492359</v>
      </c>
      <c r="D22612">
        <v>-5167.03</v>
      </c>
    </row>
    <row r="22613" spans="1:4" hidden="1" x14ac:dyDescent="0.3">
      <c r="A22613" t="s">
        <v>1219</v>
      </c>
      <c r="B22613" t="s">
        <v>178</v>
      </c>
      <c r="C22613" s="1">
        <f>HYPERLINK("https://cao.dolgi.msk.ru/account/1011492367/", 1011492367)</f>
        <v>1011492367</v>
      </c>
      <c r="D22613">
        <v>0</v>
      </c>
    </row>
    <row r="22614" spans="1:4" hidden="1" x14ac:dyDescent="0.3">
      <c r="A22614" t="s">
        <v>1219</v>
      </c>
      <c r="B22614" t="s">
        <v>179</v>
      </c>
      <c r="C22614" s="1">
        <f>HYPERLINK("https://cao.dolgi.msk.ru/account/1011492244/", 1011492244)</f>
        <v>1011492244</v>
      </c>
      <c r="D22614">
        <v>0</v>
      </c>
    </row>
    <row r="22615" spans="1:4" hidden="1" x14ac:dyDescent="0.3">
      <c r="A22615" t="s">
        <v>1219</v>
      </c>
      <c r="B22615" t="s">
        <v>273</v>
      </c>
      <c r="C22615" s="1">
        <f>HYPERLINK("https://cao.dolgi.msk.ru/account/1011492615/", 1011492615)</f>
        <v>1011492615</v>
      </c>
      <c r="D22615">
        <v>0</v>
      </c>
    </row>
    <row r="22616" spans="1:4" hidden="1" x14ac:dyDescent="0.3">
      <c r="A22616" t="s">
        <v>1219</v>
      </c>
      <c r="B22616" t="s">
        <v>180</v>
      </c>
      <c r="C22616" s="1">
        <f>HYPERLINK("https://cao.dolgi.msk.ru/account/1011492084/", 1011492084)</f>
        <v>1011492084</v>
      </c>
      <c r="D22616">
        <v>0</v>
      </c>
    </row>
    <row r="22617" spans="1:4" hidden="1" x14ac:dyDescent="0.3">
      <c r="A22617" t="s">
        <v>1219</v>
      </c>
      <c r="B22617" t="s">
        <v>181</v>
      </c>
      <c r="C22617" s="1">
        <f>HYPERLINK("https://cao.dolgi.msk.ru/account/1011492455/", 1011492455)</f>
        <v>1011492455</v>
      </c>
      <c r="D22617">
        <v>-7368.02</v>
      </c>
    </row>
    <row r="22618" spans="1:4" hidden="1" x14ac:dyDescent="0.3">
      <c r="A22618" t="s">
        <v>1219</v>
      </c>
      <c r="B22618" t="s">
        <v>182</v>
      </c>
      <c r="C22618" s="1">
        <f>HYPERLINK("https://cao.dolgi.msk.ru/account/1011492551/", 1011492551)</f>
        <v>1011492551</v>
      </c>
      <c r="D22618">
        <v>0</v>
      </c>
    </row>
    <row r="22619" spans="1:4" hidden="1" x14ac:dyDescent="0.3">
      <c r="A22619" t="s">
        <v>1219</v>
      </c>
      <c r="B22619" t="s">
        <v>183</v>
      </c>
      <c r="C22619" s="1">
        <f>HYPERLINK("https://cao.dolgi.msk.ru/account/1011492092/", 1011492092)</f>
        <v>1011492092</v>
      </c>
      <c r="D22619">
        <v>0</v>
      </c>
    </row>
    <row r="22620" spans="1:4" hidden="1" x14ac:dyDescent="0.3">
      <c r="A22620" t="s">
        <v>1219</v>
      </c>
      <c r="B22620" t="s">
        <v>184</v>
      </c>
      <c r="C22620" s="1">
        <f>HYPERLINK("https://cao.dolgi.msk.ru/account/1011492375/", 1011492375)</f>
        <v>1011492375</v>
      </c>
      <c r="D22620">
        <v>0</v>
      </c>
    </row>
    <row r="22621" spans="1:4" hidden="1" x14ac:dyDescent="0.3">
      <c r="A22621" t="s">
        <v>1219</v>
      </c>
      <c r="B22621" t="s">
        <v>185</v>
      </c>
      <c r="C22621" s="1">
        <f>HYPERLINK("https://cao.dolgi.msk.ru/account/1011492252/", 1011492252)</f>
        <v>1011492252</v>
      </c>
      <c r="D22621">
        <v>0</v>
      </c>
    </row>
    <row r="22622" spans="1:4" hidden="1" x14ac:dyDescent="0.3">
      <c r="A22622" t="s">
        <v>1219</v>
      </c>
      <c r="B22622" t="s">
        <v>274</v>
      </c>
      <c r="C22622" s="1">
        <f>HYPERLINK("https://cao.dolgi.msk.ru/account/1011492623/", 1011492623)</f>
        <v>1011492623</v>
      </c>
      <c r="D22622">
        <v>-16090.67</v>
      </c>
    </row>
    <row r="22623" spans="1:4" hidden="1" x14ac:dyDescent="0.3">
      <c r="A22623" t="s">
        <v>1219</v>
      </c>
      <c r="B22623" t="s">
        <v>186</v>
      </c>
      <c r="C22623" s="1">
        <f>HYPERLINK("https://cao.dolgi.msk.ru/account/1011492631/", 1011492631)</f>
        <v>1011492631</v>
      </c>
      <c r="D22623">
        <v>-10021.700000000001</v>
      </c>
    </row>
    <row r="22624" spans="1:4" hidden="1" x14ac:dyDescent="0.3">
      <c r="A22624" t="s">
        <v>1219</v>
      </c>
      <c r="B22624" t="s">
        <v>187</v>
      </c>
      <c r="C22624" s="1">
        <f>HYPERLINK("https://cao.dolgi.msk.ru/account/1011492105/", 1011492105)</f>
        <v>1011492105</v>
      </c>
      <c r="D22624">
        <v>0</v>
      </c>
    </row>
    <row r="22625" spans="1:4" hidden="1" x14ac:dyDescent="0.3">
      <c r="A22625" t="s">
        <v>1219</v>
      </c>
      <c r="B22625" t="s">
        <v>188</v>
      </c>
      <c r="C22625" s="1">
        <f>HYPERLINK("https://cao.dolgi.msk.ru/account/1011491946/", 1011491946)</f>
        <v>1011491946</v>
      </c>
      <c r="D22625">
        <v>0</v>
      </c>
    </row>
    <row r="22626" spans="1:4" hidden="1" x14ac:dyDescent="0.3">
      <c r="A22626" t="s">
        <v>1219</v>
      </c>
      <c r="B22626" t="s">
        <v>189</v>
      </c>
      <c r="C22626" s="1">
        <f>HYPERLINK("https://cao.dolgi.msk.ru/account/1011492658/", 1011492658)</f>
        <v>1011492658</v>
      </c>
      <c r="D22626">
        <v>0</v>
      </c>
    </row>
    <row r="22627" spans="1:4" hidden="1" x14ac:dyDescent="0.3">
      <c r="A22627" t="s">
        <v>1219</v>
      </c>
      <c r="B22627" t="s">
        <v>190</v>
      </c>
      <c r="C22627" s="1">
        <f>HYPERLINK("https://cao.dolgi.msk.ru/account/1011492113/", 1011492113)</f>
        <v>1011492113</v>
      </c>
      <c r="D22627">
        <v>-25088.69</v>
      </c>
    </row>
    <row r="22628" spans="1:4" hidden="1" x14ac:dyDescent="0.3">
      <c r="A22628" t="s">
        <v>1219</v>
      </c>
      <c r="B22628" t="s">
        <v>191</v>
      </c>
      <c r="C22628" s="1">
        <f>HYPERLINK("https://cao.dolgi.msk.ru/account/1011492383/", 1011492383)</f>
        <v>1011492383</v>
      </c>
      <c r="D22628">
        <v>0</v>
      </c>
    </row>
    <row r="22629" spans="1:4" x14ac:dyDescent="0.3">
      <c r="A22629" t="s">
        <v>1219</v>
      </c>
      <c r="B22629" t="s">
        <v>192</v>
      </c>
      <c r="C22629" s="1">
        <f>HYPERLINK("https://cao.dolgi.msk.ru/account/1011492121/", 1011492121)</f>
        <v>1011492121</v>
      </c>
      <c r="D22629">
        <v>12489.04</v>
      </c>
    </row>
    <row r="22630" spans="1:4" hidden="1" x14ac:dyDescent="0.3">
      <c r="A22630" t="s">
        <v>1219</v>
      </c>
      <c r="B22630" t="s">
        <v>325</v>
      </c>
      <c r="C22630" s="1">
        <f>HYPERLINK("https://cao.dolgi.msk.ru/account/1011492666/", 1011492666)</f>
        <v>1011492666</v>
      </c>
      <c r="D22630">
        <v>0</v>
      </c>
    </row>
    <row r="22631" spans="1:4" hidden="1" x14ac:dyDescent="0.3">
      <c r="A22631" t="s">
        <v>1219</v>
      </c>
      <c r="B22631" t="s">
        <v>193</v>
      </c>
      <c r="C22631" s="1">
        <f>HYPERLINK("https://cao.dolgi.msk.ru/account/1011492463/", 1011492463)</f>
        <v>1011492463</v>
      </c>
      <c r="D22631">
        <v>-6734.85</v>
      </c>
    </row>
    <row r="22632" spans="1:4" hidden="1" x14ac:dyDescent="0.3">
      <c r="A22632" t="s">
        <v>1219</v>
      </c>
      <c r="B22632" t="s">
        <v>194</v>
      </c>
      <c r="C22632" s="1">
        <f>HYPERLINK("https://cao.dolgi.msk.ru/account/1011492543/", 1011492543)</f>
        <v>1011492543</v>
      </c>
      <c r="D22632">
        <v>0</v>
      </c>
    </row>
    <row r="22633" spans="1:4" hidden="1" x14ac:dyDescent="0.3">
      <c r="A22633" t="s">
        <v>1219</v>
      </c>
      <c r="B22633" t="s">
        <v>195</v>
      </c>
      <c r="C22633" s="1">
        <f>HYPERLINK("https://cao.dolgi.msk.ru/account/1011492674/", 1011492674)</f>
        <v>1011492674</v>
      </c>
      <c r="D22633">
        <v>-82.3</v>
      </c>
    </row>
    <row r="22634" spans="1:4" hidden="1" x14ac:dyDescent="0.3">
      <c r="A22634" t="s">
        <v>1220</v>
      </c>
      <c r="B22634" t="s">
        <v>6</v>
      </c>
      <c r="C22634" s="1">
        <f>HYPERLINK("https://cao.dolgi.msk.ru/account/1011377895/", 1011377895)</f>
        <v>1011377895</v>
      </c>
      <c r="D22634">
        <v>0</v>
      </c>
    </row>
    <row r="22635" spans="1:4" hidden="1" x14ac:dyDescent="0.3">
      <c r="A22635" t="s">
        <v>1220</v>
      </c>
      <c r="B22635" t="s">
        <v>35</v>
      </c>
      <c r="C22635" s="1">
        <f>HYPERLINK("https://cao.dolgi.msk.ru/account/1011377908/", 1011377908)</f>
        <v>1011377908</v>
      </c>
      <c r="D22635">
        <v>-2483.66</v>
      </c>
    </row>
    <row r="22636" spans="1:4" hidden="1" x14ac:dyDescent="0.3">
      <c r="A22636" t="s">
        <v>1220</v>
      </c>
      <c r="B22636" t="s">
        <v>35</v>
      </c>
      <c r="C22636" s="1">
        <f>HYPERLINK("https://cao.dolgi.msk.ru/account/1011378003/", 1011378003)</f>
        <v>1011378003</v>
      </c>
      <c r="D22636">
        <v>0</v>
      </c>
    </row>
    <row r="22637" spans="1:4" hidden="1" x14ac:dyDescent="0.3">
      <c r="A22637" t="s">
        <v>1220</v>
      </c>
      <c r="B22637" t="s">
        <v>5</v>
      </c>
      <c r="C22637" s="1">
        <f>HYPERLINK("https://cao.dolgi.msk.ru/account/1011377932/", 1011377932)</f>
        <v>1011377932</v>
      </c>
      <c r="D22637">
        <v>0</v>
      </c>
    </row>
    <row r="22638" spans="1:4" hidden="1" x14ac:dyDescent="0.3">
      <c r="A22638" t="s">
        <v>1220</v>
      </c>
      <c r="B22638" t="s">
        <v>7</v>
      </c>
      <c r="C22638" s="1">
        <f>HYPERLINK("https://cao.dolgi.msk.ru/account/1011378011/", 1011378011)</f>
        <v>1011378011</v>
      </c>
      <c r="D22638">
        <v>0</v>
      </c>
    </row>
    <row r="22639" spans="1:4" hidden="1" x14ac:dyDescent="0.3">
      <c r="A22639" t="s">
        <v>1220</v>
      </c>
      <c r="B22639" t="s">
        <v>8</v>
      </c>
      <c r="C22639" s="1">
        <f>HYPERLINK("https://cao.dolgi.msk.ru/account/1011377852/", 1011377852)</f>
        <v>1011377852</v>
      </c>
      <c r="D22639">
        <v>0</v>
      </c>
    </row>
    <row r="22640" spans="1:4" hidden="1" x14ac:dyDescent="0.3">
      <c r="A22640" t="s">
        <v>1220</v>
      </c>
      <c r="B22640" t="s">
        <v>31</v>
      </c>
      <c r="C22640" s="1">
        <f>HYPERLINK("https://cao.dolgi.msk.ru/account/1011377959/", 1011377959)</f>
        <v>1011377959</v>
      </c>
      <c r="D22640">
        <v>-8199.51</v>
      </c>
    </row>
    <row r="22641" spans="1:4" hidden="1" x14ac:dyDescent="0.3">
      <c r="A22641" t="s">
        <v>1220</v>
      </c>
      <c r="B22641" t="s">
        <v>9</v>
      </c>
      <c r="C22641" s="1">
        <f>HYPERLINK("https://cao.dolgi.msk.ru/account/1011378038/", 1011378038)</f>
        <v>1011378038</v>
      </c>
      <c r="D22641">
        <v>0</v>
      </c>
    </row>
    <row r="22642" spans="1:4" hidden="1" x14ac:dyDescent="0.3">
      <c r="A22642" t="s">
        <v>1220</v>
      </c>
      <c r="B22642" t="s">
        <v>10</v>
      </c>
      <c r="C22642" s="1">
        <f>HYPERLINK("https://cao.dolgi.msk.ru/account/1011377967/", 1011377967)</f>
        <v>1011377967</v>
      </c>
      <c r="D22642">
        <v>0</v>
      </c>
    </row>
    <row r="22643" spans="1:4" x14ac:dyDescent="0.3">
      <c r="A22643" t="s">
        <v>1220</v>
      </c>
      <c r="B22643" t="s">
        <v>11</v>
      </c>
      <c r="C22643" s="1">
        <f>HYPERLINK("https://cao.dolgi.msk.ru/account/1011377916/", 1011377916)</f>
        <v>1011377916</v>
      </c>
      <c r="D22643">
        <v>8502.1</v>
      </c>
    </row>
    <row r="22644" spans="1:4" hidden="1" x14ac:dyDescent="0.3">
      <c r="A22644" t="s">
        <v>1220</v>
      </c>
      <c r="B22644" t="s">
        <v>13</v>
      </c>
      <c r="C22644" s="1">
        <f>HYPERLINK("https://cao.dolgi.msk.ru/account/1011377983/", 1011377983)</f>
        <v>1011377983</v>
      </c>
      <c r="D22644">
        <v>-6126.93</v>
      </c>
    </row>
    <row r="22645" spans="1:4" hidden="1" x14ac:dyDescent="0.3">
      <c r="A22645" t="s">
        <v>1220</v>
      </c>
      <c r="B22645" t="s">
        <v>14</v>
      </c>
      <c r="C22645" s="1">
        <f>HYPERLINK("https://cao.dolgi.msk.ru/account/1011378046/", 1011378046)</f>
        <v>1011378046</v>
      </c>
      <c r="D22645">
        <v>-9946.0499999999993</v>
      </c>
    </row>
    <row r="22646" spans="1:4" hidden="1" x14ac:dyDescent="0.3">
      <c r="A22646" t="s">
        <v>1220</v>
      </c>
      <c r="B22646" t="s">
        <v>16</v>
      </c>
      <c r="C22646" s="1">
        <f>HYPERLINK("https://cao.dolgi.msk.ru/account/1011377991/", 1011377991)</f>
        <v>1011377991</v>
      </c>
      <c r="D22646">
        <v>-492.36</v>
      </c>
    </row>
    <row r="22647" spans="1:4" hidden="1" x14ac:dyDescent="0.3">
      <c r="A22647" t="s">
        <v>1220</v>
      </c>
      <c r="B22647" t="s">
        <v>17</v>
      </c>
      <c r="C22647" s="1">
        <f>HYPERLINK("https://cao.dolgi.msk.ru/account/1011377975/", 1011377975)</f>
        <v>1011377975</v>
      </c>
      <c r="D22647">
        <v>0</v>
      </c>
    </row>
    <row r="22648" spans="1:4" hidden="1" x14ac:dyDescent="0.3">
      <c r="A22648" t="s">
        <v>1220</v>
      </c>
      <c r="B22648" t="s">
        <v>18</v>
      </c>
      <c r="C22648" s="1">
        <f>HYPERLINK("https://cao.dolgi.msk.ru/account/1011378054/", 1011378054)</f>
        <v>1011378054</v>
      </c>
      <c r="D22648">
        <v>-7524.74</v>
      </c>
    </row>
    <row r="22649" spans="1:4" hidden="1" x14ac:dyDescent="0.3">
      <c r="A22649" t="s">
        <v>1220</v>
      </c>
      <c r="B22649" t="s">
        <v>19</v>
      </c>
      <c r="C22649" s="1">
        <f>HYPERLINK("https://cao.dolgi.msk.ru/account/1011377887/", 1011377887)</f>
        <v>1011377887</v>
      </c>
      <c r="D22649">
        <v>-2800.38</v>
      </c>
    </row>
    <row r="22650" spans="1:4" hidden="1" x14ac:dyDescent="0.3">
      <c r="A22650" t="s">
        <v>1220</v>
      </c>
      <c r="B22650" t="s">
        <v>20</v>
      </c>
      <c r="C22650" s="1">
        <f>HYPERLINK("https://cao.dolgi.msk.ru/account/1011377924/", 1011377924)</f>
        <v>1011377924</v>
      </c>
      <c r="D22650">
        <v>-9502.31</v>
      </c>
    </row>
    <row r="22651" spans="1:4" hidden="1" x14ac:dyDescent="0.3">
      <c r="A22651" t="s">
        <v>1220</v>
      </c>
      <c r="B22651" t="s">
        <v>21</v>
      </c>
      <c r="C22651" s="1">
        <f>HYPERLINK("https://cao.dolgi.msk.ru/account/1011377879/", 1011377879)</f>
        <v>1011377879</v>
      </c>
      <c r="D22651">
        <v>0</v>
      </c>
    </row>
    <row r="22652" spans="1:4" hidden="1" x14ac:dyDescent="0.3">
      <c r="A22652" t="s">
        <v>1221</v>
      </c>
      <c r="B22652" t="s">
        <v>28</v>
      </c>
      <c r="C22652" s="1">
        <f>HYPERLINK("https://cao.dolgi.msk.ru/account/1011498494/", 1011498494)</f>
        <v>1011498494</v>
      </c>
      <c r="D22652">
        <v>0</v>
      </c>
    </row>
    <row r="22653" spans="1:4" hidden="1" x14ac:dyDescent="0.3">
      <c r="A22653" t="s">
        <v>1221</v>
      </c>
      <c r="B22653" t="s">
        <v>28</v>
      </c>
      <c r="C22653" s="1">
        <f>HYPERLINK("https://cao.dolgi.msk.ru/account/1011498531/", 1011498531)</f>
        <v>1011498531</v>
      </c>
      <c r="D22653">
        <v>0</v>
      </c>
    </row>
    <row r="22654" spans="1:4" hidden="1" x14ac:dyDescent="0.3">
      <c r="A22654" t="s">
        <v>1221</v>
      </c>
      <c r="B22654" t="s">
        <v>28</v>
      </c>
      <c r="C22654" s="1">
        <f>HYPERLINK("https://cao.dolgi.msk.ru/account/1011498558/", 1011498558)</f>
        <v>1011498558</v>
      </c>
      <c r="D22654">
        <v>-2542.6999999999998</v>
      </c>
    </row>
    <row r="22655" spans="1:4" hidden="1" x14ac:dyDescent="0.3">
      <c r="A22655" t="s">
        <v>1221</v>
      </c>
      <c r="B22655" t="s">
        <v>28</v>
      </c>
      <c r="C22655" s="1">
        <f>HYPERLINK("https://cao.dolgi.msk.ru/account/1011498662/", 1011498662)</f>
        <v>1011498662</v>
      </c>
      <c r="D22655">
        <v>0</v>
      </c>
    </row>
    <row r="22656" spans="1:4" hidden="1" x14ac:dyDescent="0.3">
      <c r="A22656" t="s">
        <v>1221</v>
      </c>
      <c r="B22656" t="s">
        <v>28</v>
      </c>
      <c r="C22656" s="1">
        <f>HYPERLINK("https://cao.dolgi.msk.ru/account/1011526141/", 1011526141)</f>
        <v>1011526141</v>
      </c>
      <c r="D22656">
        <v>0</v>
      </c>
    </row>
    <row r="22657" spans="1:4" x14ac:dyDescent="0.3">
      <c r="A22657" t="s">
        <v>1221</v>
      </c>
      <c r="B22657" t="s">
        <v>35</v>
      </c>
      <c r="C22657" s="1">
        <f>HYPERLINK("https://cao.dolgi.msk.ru/account/1011498689/", 1011498689)</f>
        <v>1011498689</v>
      </c>
      <c r="D22657">
        <v>30730.55</v>
      </c>
    </row>
    <row r="22658" spans="1:4" hidden="1" x14ac:dyDescent="0.3">
      <c r="A22658" t="s">
        <v>1221</v>
      </c>
      <c r="B22658" t="s">
        <v>5</v>
      </c>
      <c r="C22658" s="1">
        <f>HYPERLINK("https://cao.dolgi.msk.ru/account/1011498451/", 1011498451)</f>
        <v>1011498451</v>
      </c>
      <c r="D22658">
        <v>-19239.98</v>
      </c>
    </row>
    <row r="22659" spans="1:4" hidden="1" x14ac:dyDescent="0.3">
      <c r="A22659" t="s">
        <v>1221</v>
      </c>
      <c r="B22659" t="s">
        <v>7</v>
      </c>
      <c r="C22659" s="1">
        <f>HYPERLINK("https://cao.dolgi.msk.ru/account/1011514423/", 1011514423)</f>
        <v>1011514423</v>
      </c>
      <c r="D22659">
        <v>0</v>
      </c>
    </row>
    <row r="22660" spans="1:4" hidden="1" x14ac:dyDescent="0.3">
      <c r="A22660" t="s">
        <v>1221</v>
      </c>
      <c r="B22660" t="s">
        <v>8</v>
      </c>
      <c r="C22660" s="1">
        <f>HYPERLINK("https://cao.dolgi.msk.ru/account/1011498611/", 1011498611)</f>
        <v>1011498611</v>
      </c>
      <c r="D22660">
        <v>0</v>
      </c>
    </row>
    <row r="22661" spans="1:4" hidden="1" x14ac:dyDescent="0.3">
      <c r="A22661" t="s">
        <v>1221</v>
      </c>
      <c r="B22661" t="s">
        <v>31</v>
      </c>
      <c r="C22661" s="1">
        <f>HYPERLINK("https://cao.dolgi.msk.ru/account/1011498398/", 1011498398)</f>
        <v>1011498398</v>
      </c>
      <c r="D22661">
        <v>0</v>
      </c>
    </row>
    <row r="22662" spans="1:4" x14ac:dyDescent="0.3">
      <c r="A22662" t="s">
        <v>1221</v>
      </c>
      <c r="B22662" t="s">
        <v>9</v>
      </c>
      <c r="C22662" s="1">
        <f>HYPERLINK("https://cao.dolgi.msk.ru/account/1011498435/", 1011498435)</f>
        <v>1011498435</v>
      </c>
      <c r="D22662">
        <v>16199.88</v>
      </c>
    </row>
    <row r="22663" spans="1:4" x14ac:dyDescent="0.3">
      <c r="A22663" t="s">
        <v>1221</v>
      </c>
      <c r="B22663" t="s">
        <v>10</v>
      </c>
      <c r="C22663" s="1">
        <f>HYPERLINK("https://cao.dolgi.msk.ru/account/1011498419/", 1011498419)</f>
        <v>1011498419</v>
      </c>
      <c r="D22663">
        <v>72825.100000000006</v>
      </c>
    </row>
    <row r="22664" spans="1:4" hidden="1" x14ac:dyDescent="0.3">
      <c r="A22664" t="s">
        <v>1221</v>
      </c>
      <c r="B22664" t="s">
        <v>11</v>
      </c>
      <c r="C22664" s="1">
        <f>HYPERLINK("https://cao.dolgi.msk.ru/account/1011498443/", 1011498443)</f>
        <v>1011498443</v>
      </c>
      <c r="D22664">
        <v>-1710.78</v>
      </c>
    </row>
    <row r="22665" spans="1:4" hidden="1" x14ac:dyDescent="0.3">
      <c r="A22665" t="s">
        <v>1221</v>
      </c>
      <c r="B22665" t="s">
        <v>12</v>
      </c>
      <c r="C22665" s="1">
        <f>HYPERLINK("https://cao.dolgi.msk.ru/account/1011498507/", 1011498507)</f>
        <v>1011498507</v>
      </c>
      <c r="D22665">
        <v>0</v>
      </c>
    </row>
    <row r="22666" spans="1:4" hidden="1" x14ac:dyDescent="0.3">
      <c r="A22666" t="s">
        <v>1221</v>
      </c>
      <c r="B22666" t="s">
        <v>23</v>
      </c>
      <c r="C22666" s="1">
        <f>HYPERLINK("https://cao.dolgi.msk.ru/account/1011498654/", 1011498654)</f>
        <v>1011498654</v>
      </c>
      <c r="D22666">
        <v>-375.78</v>
      </c>
    </row>
    <row r="22667" spans="1:4" x14ac:dyDescent="0.3">
      <c r="A22667" t="s">
        <v>1221</v>
      </c>
      <c r="B22667" t="s">
        <v>13</v>
      </c>
      <c r="C22667" s="1">
        <f>HYPERLINK("https://cao.dolgi.msk.ru/account/1011498478/", 1011498478)</f>
        <v>1011498478</v>
      </c>
      <c r="D22667">
        <v>15098.39</v>
      </c>
    </row>
    <row r="22668" spans="1:4" hidden="1" x14ac:dyDescent="0.3">
      <c r="A22668" t="s">
        <v>1221</v>
      </c>
      <c r="B22668" t="s">
        <v>14</v>
      </c>
      <c r="C22668" s="1">
        <f>HYPERLINK("https://cao.dolgi.msk.ru/account/1011498566/", 1011498566)</f>
        <v>1011498566</v>
      </c>
      <c r="D22668">
        <v>0</v>
      </c>
    </row>
    <row r="22669" spans="1:4" hidden="1" x14ac:dyDescent="0.3">
      <c r="A22669" t="s">
        <v>1221</v>
      </c>
      <c r="B22669" t="s">
        <v>16</v>
      </c>
      <c r="C22669" s="1">
        <f>HYPERLINK("https://cao.dolgi.msk.ru/account/1011498427/", 1011498427)</f>
        <v>1011498427</v>
      </c>
      <c r="D22669">
        <v>0</v>
      </c>
    </row>
    <row r="22670" spans="1:4" hidden="1" x14ac:dyDescent="0.3">
      <c r="A22670" t="s">
        <v>1221</v>
      </c>
      <c r="B22670" t="s">
        <v>17</v>
      </c>
      <c r="C22670" s="1">
        <f>HYPERLINK("https://cao.dolgi.msk.ru/account/1011498486/", 1011498486)</f>
        <v>1011498486</v>
      </c>
      <c r="D22670">
        <v>0</v>
      </c>
    </row>
    <row r="22671" spans="1:4" hidden="1" x14ac:dyDescent="0.3">
      <c r="A22671" t="s">
        <v>1221</v>
      </c>
      <c r="B22671" t="s">
        <v>54</v>
      </c>
      <c r="C22671" s="1">
        <f>HYPERLINK("https://cao.dolgi.msk.ru/account/1011498574/", 1011498574)</f>
        <v>1011498574</v>
      </c>
      <c r="D22671">
        <v>0</v>
      </c>
    </row>
    <row r="22672" spans="1:4" hidden="1" x14ac:dyDescent="0.3">
      <c r="A22672" t="s">
        <v>1221</v>
      </c>
      <c r="B22672" t="s">
        <v>55</v>
      </c>
      <c r="C22672" s="1">
        <f>HYPERLINK("https://cao.dolgi.msk.ru/account/1011498638/", 1011498638)</f>
        <v>1011498638</v>
      </c>
      <c r="D22672">
        <v>0</v>
      </c>
    </row>
    <row r="22673" spans="1:4" hidden="1" x14ac:dyDescent="0.3">
      <c r="A22673" t="s">
        <v>1221</v>
      </c>
      <c r="B22673" t="s">
        <v>56</v>
      </c>
      <c r="C22673" s="1">
        <f>HYPERLINK("https://cao.dolgi.msk.ru/account/1011498582/", 1011498582)</f>
        <v>1011498582</v>
      </c>
      <c r="D22673">
        <v>-5921.43</v>
      </c>
    </row>
    <row r="22674" spans="1:4" hidden="1" x14ac:dyDescent="0.3">
      <c r="A22674" t="s">
        <v>1221</v>
      </c>
      <c r="B22674" t="s">
        <v>56</v>
      </c>
      <c r="C22674" s="1">
        <f>HYPERLINK("https://cao.dolgi.msk.ru/account/1011498697/", 1011498697)</f>
        <v>1011498697</v>
      </c>
      <c r="D22674">
        <v>0</v>
      </c>
    </row>
    <row r="22675" spans="1:4" hidden="1" x14ac:dyDescent="0.3">
      <c r="A22675" t="s">
        <v>1221</v>
      </c>
      <c r="B22675" t="s">
        <v>87</v>
      </c>
      <c r="C22675" s="1">
        <f>HYPERLINK("https://cao.dolgi.msk.ru/account/1011498515/", 1011498515)</f>
        <v>1011498515</v>
      </c>
      <c r="D22675">
        <v>0</v>
      </c>
    </row>
    <row r="22676" spans="1:4" hidden="1" x14ac:dyDescent="0.3">
      <c r="A22676" t="s">
        <v>1221</v>
      </c>
      <c r="B22676" t="s">
        <v>88</v>
      </c>
      <c r="C22676" s="1">
        <f>HYPERLINK("https://cao.dolgi.msk.ru/account/1011498718/", 1011498718)</f>
        <v>1011498718</v>
      </c>
      <c r="D22676">
        <v>0</v>
      </c>
    </row>
    <row r="22677" spans="1:4" hidden="1" x14ac:dyDescent="0.3">
      <c r="A22677" t="s">
        <v>1221</v>
      </c>
      <c r="B22677" t="s">
        <v>89</v>
      </c>
      <c r="C22677" s="1">
        <f>HYPERLINK("https://cao.dolgi.msk.ru/account/1011498646/", 1011498646)</f>
        <v>1011498646</v>
      </c>
      <c r="D22677">
        <v>-7756.43</v>
      </c>
    </row>
    <row r="22678" spans="1:4" hidden="1" x14ac:dyDescent="0.3">
      <c r="A22678" t="s">
        <v>1221</v>
      </c>
      <c r="B22678" t="s">
        <v>90</v>
      </c>
      <c r="C22678" s="1">
        <f>HYPERLINK("https://cao.dolgi.msk.ru/account/1011498523/", 1011498523)</f>
        <v>1011498523</v>
      </c>
      <c r="D22678">
        <v>0</v>
      </c>
    </row>
    <row r="22679" spans="1:4" x14ac:dyDescent="0.3">
      <c r="A22679" t="s">
        <v>1222</v>
      </c>
      <c r="B22679" t="s">
        <v>6</v>
      </c>
      <c r="C22679" s="1">
        <f>HYPERLINK("https://cao.dolgi.msk.ru/account/1010532726/", 1010532726)</f>
        <v>1010532726</v>
      </c>
      <c r="D22679">
        <v>1451.46</v>
      </c>
    </row>
    <row r="22680" spans="1:4" hidden="1" x14ac:dyDescent="0.3">
      <c r="A22680" t="s">
        <v>1222</v>
      </c>
      <c r="B22680" t="s">
        <v>6</v>
      </c>
      <c r="C22680" s="1">
        <f>HYPERLINK("https://cao.dolgi.msk.ru/account/1010532734/", 1010532734)</f>
        <v>1010532734</v>
      </c>
      <c r="D22680">
        <v>0</v>
      </c>
    </row>
    <row r="22681" spans="1:4" x14ac:dyDescent="0.3">
      <c r="A22681" t="s">
        <v>1222</v>
      </c>
      <c r="B22681" t="s">
        <v>6</v>
      </c>
      <c r="C22681" s="1">
        <f>HYPERLINK("https://cao.dolgi.msk.ru/account/1011061735/", 1011061735)</f>
        <v>1011061735</v>
      </c>
      <c r="D22681">
        <v>3269.42</v>
      </c>
    </row>
    <row r="22682" spans="1:4" hidden="1" x14ac:dyDescent="0.3">
      <c r="A22682" t="s">
        <v>1222</v>
      </c>
      <c r="B22682" t="s">
        <v>28</v>
      </c>
      <c r="C22682" s="1">
        <f>HYPERLINK("https://cao.dolgi.msk.ru/account/1010532742/", 1010532742)</f>
        <v>1010532742</v>
      </c>
      <c r="D22682">
        <v>-7020.43</v>
      </c>
    </row>
    <row r="22683" spans="1:4" hidden="1" x14ac:dyDescent="0.3">
      <c r="A22683" t="s">
        <v>1222</v>
      </c>
      <c r="B22683" t="s">
        <v>28</v>
      </c>
      <c r="C22683" s="1">
        <f>HYPERLINK("https://cao.dolgi.msk.ru/account/1010532769/", 1010532769)</f>
        <v>1010532769</v>
      </c>
      <c r="D22683">
        <v>-135.29</v>
      </c>
    </row>
    <row r="22684" spans="1:4" hidden="1" x14ac:dyDescent="0.3">
      <c r="A22684" t="s">
        <v>1222</v>
      </c>
      <c r="B22684" t="s">
        <v>35</v>
      </c>
      <c r="C22684" s="1">
        <f>HYPERLINK("https://cao.dolgi.msk.ru/account/1010532777/", 1010532777)</f>
        <v>1010532777</v>
      </c>
      <c r="D22684">
        <v>-2895.29</v>
      </c>
    </row>
    <row r="22685" spans="1:4" hidden="1" x14ac:dyDescent="0.3">
      <c r="A22685" t="s">
        <v>1222</v>
      </c>
      <c r="B22685" t="s">
        <v>35</v>
      </c>
      <c r="C22685" s="1">
        <f>HYPERLINK("https://cao.dolgi.msk.ru/account/1010532785/", 1010532785)</f>
        <v>1010532785</v>
      </c>
      <c r="D22685">
        <v>0</v>
      </c>
    </row>
    <row r="22686" spans="1:4" hidden="1" x14ac:dyDescent="0.3">
      <c r="A22686" t="s">
        <v>1222</v>
      </c>
      <c r="B22686" t="s">
        <v>5</v>
      </c>
      <c r="C22686" s="1">
        <f>HYPERLINK("https://cao.dolgi.msk.ru/account/1010532793/", 1010532793)</f>
        <v>1010532793</v>
      </c>
      <c r="D22686">
        <v>-2.2000000000000002</v>
      </c>
    </row>
    <row r="22687" spans="1:4" x14ac:dyDescent="0.3">
      <c r="A22687" t="s">
        <v>1222</v>
      </c>
      <c r="B22687" t="s">
        <v>5</v>
      </c>
      <c r="C22687" s="1">
        <f>HYPERLINK("https://cao.dolgi.msk.ru/account/1010532806/", 1010532806)</f>
        <v>1010532806</v>
      </c>
      <c r="D22687">
        <v>330.4</v>
      </c>
    </row>
    <row r="22688" spans="1:4" x14ac:dyDescent="0.3">
      <c r="A22688" t="s">
        <v>1222</v>
      </c>
      <c r="B22688" t="s">
        <v>7</v>
      </c>
      <c r="C22688" s="1">
        <f>HYPERLINK("https://cao.dolgi.msk.ru/account/1010532849/", 1010532849)</f>
        <v>1010532849</v>
      </c>
      <c r="D22688">
        <v>34997.160000000003</v>
      </c>
    </row>
    <row r="22689" spans="1:4" x14ac:dyDescent="0.3">
      <c r="A22689" t="s">
        <v>1222</v>
      </c>
      <c r="B22689" t="s">
        <v>8</v>
      </c>
      <c r="C22689" s="1">
        <f>HYPERLINK("https://cao.dolgi.msk.ru/account/1010532814/", 1010532814)</f>
        <v>1010532814</v>
      </c>
      <c r="D22689">
        <v>27817.9</v>
      </c>
    </row>
    <row r="22690" spans="1:4" x14ac:dyDescent="0.3">
      <c r="A22690" t="s">
        <v>1222</v>
      </c>
      <c r="B22690" t="s">
        <v>8</v>
      </c>
      <c r="C22690" s="1">
        <f>HYPERLINK("https://cao.dolgi.msk.ru/account/1010532822/", 1010532822)</f>
        <v>1010532822</v>
      </c>
      <c r="D22690">
        <v>14904.75</v>
      </c>
    </row>
    <row r="22691" spans="1:4" hidden="1" x14ac:dyDescent="0.3">
      <c r="A22691" t="s">
        <v>1222</v>
      </c>
      <c r="B22691" t="s">
        <v>31</v>
      </c>
      <c r="C22691" s="1">
        <f>HYPERLINK("https://cao.dolgi.msk.ru/account/1010532873/", 1010532873)</f>
        <v>1010532873</v>
      </c>
      <c r="D22691">
        <v>0</v>
      </c>
    </row>
    <row r="22692" spans="1:4" hidden="1" x14ac:dyDescent="0.3">
      <c r="A22692" t="s">
        <v>1222</v>
      </c>
      <c r="B22692" t="s">
        <v>31</v>
      </c>
      <c r="C22692" s="1">
        <f>HYPERLINK("https://cao.dolgi.msk.ru/account/1010532881/", 1010532881)</f>
        <v>1010532881</v>
      </c>
      <c r="D22692">
        <v>-440.03</v>
      </c>
    </row>
    <row r="22693" spans="1:4" hidden="1" x14ac:dyDescent="0.3">
      <c r="A22693" t="s">
        <v>1222</v>
      </c>
      <c r="B22693" t="s">
        <v>9</v>
      </c>
      <c r="C22693" s="1">
        <f>HYPERLINK("https://cao.dolgi.msk.ru/account/1010532902/", 1010532902)</f>
        <v>1010532902</v>
      </c>
      <c r="D22693">
        <v>0</v>
      </c>
    </row>
    <row r="22694" spans="1:4" hidden="1" x14ac:dyDescent="0.3">
      <c r="A22694" t="s">
        <v>1222</v>
      </c>
      <c r="B22694" t="s">
        <v>9</v>
      </c>
      <c r="C22694" s="1">
        <f>HYPERLINK("https://cao.dolgi.msk.ru/account/1010532929/", 1010532929)</f>
        <v>1010532929</v>
      </c>
      <c r="D22694">
        <v>-0.01</v>
      </c>
    </row>
    <row r="22695" spans="1:4" x14ac:dyDescent="0.3">
      <c r="A22695" t="s">
        <v>1222</v>
      </c>
      <c r="B22695" t="s">
        <v>10</v>
      </c>
      <c r="C22695" s="1">
        <f>HYPERLINK("https://cao.dolgi.msk.ru/account/1010532937/", 1010532937)</f>
        <v>1010532937</v>
      </c>
      <c r="D22695">
        <v>3244.45</v>
      </c>
    </row>
    <row r="22696" spans="1:4" x14ac:dyDescent="0.3">
      <c r="A22696" t="s">
        <v>1222</v>
      </c>
      <c r="B22696" t="s">
        <v>10</v>
      </c>
      <c r="C22696" s="1">
        <f>HYPERLINK("https://cao.dolgi.msk.ru/account/1010532945/", 1010532945)</f>
        <v>1010532945</v>
      </c>
      <c r="D22696">
        <v>12788.73</v>
      </c>
    </row>
    <row r="22697" spans="1:4" x14ac:dyDescent="0.3">
      <c r="A22697" t="s">
        <v>1222</v>
      </c>
      <c r="B22697" t="s">
        <v>10</v>
      </c>
      <c r="C22697" s="1">
        <f>HYPERLINK("https://cao.dolgi.msk.ru/account/1010532953/", 1010532953)</f>
        <v>1010532953</v>
      </c>
      <c r="D22697">
        <v>16677.93</v>
      </c>
    </row>
    <row r="22698" spans="1:4" hidden="1" x14ac:dyDescent="0.3">
      <c r="A22698" t="s">
        <v>1222</v>
      </c>
      <c r="B22698" t="s">
        <v>11</v>
      </c>
      <c r="C22698" s="1">
        <f>HYPERLINK("https://cao.dolgi.msk.ru/account/1010532961/", 1010532961)</f>
        <v>1010532961</v>
      </c>
      <c r="D22698">
        <v>0</v>
      </c>
    </row>
    <row r="22699" spans="1:4" hidden="1" x14ac:dyDescent="0.3">
      <c r="A22699" t="s">
        <v>1222</v>
      </c>
      <c r="B22699" t="s">
        <v>11</v>
      </c>
      <c r="C22699" s="1">
        <f>HYPERLINK("https://cao.dolgi.msk.ru/account/1010532988/", 1010532988)</f>
        <v>1010532988</v>
      </c>
      <c r="D22699">
        <v>0</v>
      </c>
    </row>
    <row r="22700" spans="1:4" x14ac:dyDescent="0.3">
      <c r="A22700" t="s">
        <v>1222</v>
      </c>
      <c r="B22700" t="s">
        <v>12</v>
      </c>
      <c r="C22700" s="1">
        <f>HYPERLINK("https://cao.dolgi.msk.ru/account/1010532996/", 1010532996)</f>
        <v>1010532996</v>
      </c>
      <c r="D22700">
        <v>104.58</v>
      </c>
    </row>
    <row r="22701" spans="1:4" hidden="1" x14ac:dyDescent="0.3">
      <c r="A22701" t="s">
        <v>1222</v>
      </c>
      <c r="B22701" t="s">
        <v>12</v>
      </c>
      <c r="C22701" s="1">
        <f>HYPERLINK("https://cao.dolgi.msk.ru/account/1010533008/", 1010533008)</f>
        <v>1010533008</v>
      </c>
      <c r="D22701">
        <v>0</v>
      </c>
    </row>
    <row r="22702" spans="1:4" hidden="1" x14ac:dyDescent="0.3">
      <c r="A22702" t="s">
        <v>1222</v>
      </c>
      <c r="B22702" t="s">
        <v>23</v>
      </c>
      <c r="C22702" s="1">
        <f>HYPERLINK("https://cao.dolgi.msk.ru/account/1010533016/", 1010533016)</f>
        <v>1010533016</v>
      </c>
      <c r="D22702">
        <v>-3.32</v>
      </c>
    </row>
    <row r="22703" spans="1:4" x14ac:dyDescent="0.3">
      <c r="A22703" t="s">
        <v>1222</v>
      </c>
      <c r="B22703" t="s">
        <v>23</v>
      </c>
      <c r="C22703" s="1">
        <f>HYPERLINK("https://cao.dolgi.msk.ru/account/1010533024/", 1010533024)</f>
        <v>1010533024</v>
      </c>
      <c r="D22703">
        <v>532.95000000000005</v>
      </c>
    </row>
    <row r="22704" spans="1:4" hidden="1" x14ac:dyDescent="0.3">
      <c r="A22704" t="s">
        <v>1222</v>
      </c>
      <c r="B22704" t="s">
        <v>13</v>
      </c>
      <c r="C22704" s="1">
        <f>HYPERLINK("https://cao.dolgi.msk.ru/account/1010533032/", 1010533032)</f>
        <v>1010533032</v>
      </c>
      <c r="D22704">
        <v>-44.84</v>
      </c>
    </row>
    <row r="22705" spans="1:4" x14ac:dyDescent="0.3">
      <c r="A22705" t="s">
        <v>1222</v>
      </c>
      <c r="B22705" t="s">
        <v>14</v>
      </c>
      <c r="C22705" s="1">
        <f>HYPERLINK("https://cao.dolgi.msk.ru/account/1010533083/", 1010533083)</f>
        <v>1010533083</v>
      </c>
      <c r="D22705">
        <v>5150.37</v>
      </c>
    </row>
    <row r="22706" spans="1:4" x14ac:dyDescent="0.3">
      <c r="A22706" t="s">
        <v>1222</v>
      </c>
      <c r="B22706" t="s">
        <v>16</v>
      </c>
      <c r="C22706" s="1">
        <f>HYPERLINK("https://cao.dolgi.msk.ru/account/1010533104/", 1010533104)</f>
        <v>1010533104</v>
      </c>
      <c r="D22706">
        <v>884</v>
      </c>
    </row>
    <row r="22707" spans="1:4" x14ac:dyDescent="0.3">
      <c r="A22707" t="s">
        <v>1222</v>
      </c>
      <c r="B22707" t="s">
        <v>17</v>
      </c>
      <c r="C22707" s="1">
        <f>HYPERLINK("https://cao.dolgi.msk.ru/account/1010533112/", 1010533112)</f>
        <v>1010533112</v>
      </c>
      <c r="D22707">
        <v>3431.89</v>
      </c>
    </row>
    <row r="22708" spans="1:4" x14ac:dyDescent="0.3">
      <c r="A22708" t="s">
        <v>1222</v>
      </c>
      <c r="B22708" t="s">
        <v>17</v>
      </c>
      <c r="C22708" s="1">
        <f>HYPERLINK("https://cao.dolgi.msk.ru/account/1010533139/", 1010533139)</f>
        <v>1010533139</v>
      </c>
      <c r="D22708">
        <v>4165.96</v>
      </c>
    </row>
    <row r="22709" spans="1:4" hidden="1" x14ac:dyDescent="0.3">
      <c r="A22709" t="s">
        <v>1222</v>
      </c>
      <c r="B22709" t="s">
        <v>18</v>
      </c>
      <c r="C22709" s="1">
        <f>HYPERLINK("https://cao.dolgi.msk.ru/account/1010533147/", 1010533147)</f>
        <v>1010533147</v>
      </c>
      <c r="D22709">
        <v>-5579.58</v>
      </c>
    </row>
    <row r="22710" spans="1:4" hidden="1" x14ac:dyDescent="0.3">
      <c r="A22710" t="s">
        <v>1222</v>
      </c>
      <c r="B22710" t="s">
        <v>19</v>
      </c>
      <c r="C22710" s="1">
        <f>HYPERLINK("https://cao.dolgi.msk.ru/account/1010533171/", 1010533171)</f>
        <v>1010533171</v>
      </c>
      <c r="D22710">
        <v>0</v>
      </c>
    </row>
    <row r="22711" spans="1:4" hidden="1" x14ac:dyDescent="0.3">
      <c r="A22711" t="s">
        <v>1222</v>
      </c>
      <c r="B22711" t="s">
        <v>19</v>
      </c>
      <c r="C22711" s="1">
        <f>HYPERLINK("https://cao.dolgi.msk.ru/account/1010533198/", 1010533198)</f>
        <v>1010533198</v>
      </c>
      <c r="D22711">
        <v>0</v>
      </c>
    </row>
    <row r="22712" spans="1:4" hidden="1" x14ac:dyDescent="0.3">
      <c r="A22712" t="s">
        <v>1222</v>
      </c>
      <c r="B22712" t="s">
        <v>20</v>
      </c>
      <c r="C22712" s="1">
        <f>HYPERLINK("https://cao.dolgi.msk.ru/account/1010533219/", 1010533219)</f>
        <v>1010533219</v>
      </c>
      <c r="D22712">
        <v>-3.05</v>
      </c>
    </row>
    <row r="22713" spans="1:4" hidden="1" x14ac:dyDescent="0.3">
      <c r="A22713" t="s">
        <v>1222</v>
      </c>
      <c r="B22713" t="s">
        <v>20</v>
      </c>
      <c r="C22713" s="1">
        <f>HYPERLINK("https://cao.dolgi.msk.ru/account/1010533227/", 1010533227)</f>
        <v>1010533227</v>
      </c>
      <c r="D22713">
        <v>0</v>
      </c>
    </row>
    <row r="22714" spans="1:4" hidden="1" x14ac:dyDescent="0.3">
      <c r="A22714" t="s">
        <v>1222</v>
      </c>
      <c r="B22714" t="s">
        <v>21</v>
      </c>
      <c r="C22714" s="1">
        <f>HYPERLINK("https://cao.dolgi.msk.ru/account/1010533243/", 1010533243)</f>
        <v>1010533243</v>
      </c>
      <c r="D22714">
        <v>0</v>
      </c>
    </row>
    <row r="22715" spans="1:4" hidden="1" x14ac:dyDescent="0.3">
      <c r="A22715" t="s">
        <v>1222</v>
      </c>
      <c r="B22715" t="s">
        <v>22</v>
      </c>
      <c r="C22715" s="1">
        <f>HYPERLINK("https://cao.dolgi.msk.ru/account/1019011871/", 1019011871)</f>
        <v>1019011871</v>
      </c>
      <c r="D22715">
        <v>0</v>
      </c>
    </row>
    <row r="22716" spans="1:4" hidden="1" x14ac:dyDescent="0.3">
      <c r="A22716" t="s">
        <v>1222</v>
      </c>
      <c r="B22716" t="s">
        <v>22</v>
      </c>
      <c r="C22716" s="1">
        <f>HYPERLINK("https://cao.dolgi.msk.ru/account/1019011898/", 1019011898)</f>
        <v>1019011898</v>
      </c>
      <c r="D22716">
        <v>-4797.9799999999996</v>
      </c>
    </row>
    <row r="22717" spans="1:4" hidden="1" x14ac:dyDescent="0.3">
      <c r="A22717" t="s">
        <v>1222</v>
      </c>
      <c r="B22717" t="s">
        <v>22</v>
      </c>
      <c r="C22717" s="1">
        <f>HYPERLINK("https://cao.dolgi.msk.ru/account/1019011919/", 1019011919)</f>
        <v>1019011919</v>
      </c>
      <c r="D22717">
        <v>-378.4</v>
      </c>
    </row>
    <row r="22718" spans="1:4" x14ac:dyDescent="0.3">
      <c r="A22718" t="s">
        <v>1222</v>
      </c>
      <c r="B22718" t="s">
        <v>24</v>
      </c>
      <c r="C22718" s="1">
        <f>HYPERLINK("https://cao.dolgi.msk.ru/account/1019011943/", 1019011943)</f>
        <v>1019011943</v>
      </c>
      <c r="D22718">
        <v>6043.36</v>
      </c>
    </row>
    <row r="22719" spans="1:4" hidden="1" x14ac:dyDescent="0.3">
      <c r="A22719" t="s">
        <v>1222</v>
      </c>
      <c r="B22719" t="s">
        <v>24</v>
      </c>
      <c r="C22719" s="1">
        <f>HYPERLINK("https://cao.dolgi.msk.ru/account/1019011951/", 1019011951)</f>
        <v>1019011951</v>
      </c>
      <c r="D22719">
        <v>-1073.25</v>
      </c>
    </row>
    <row r="22720" spans="1:4" hidden="1" x14ac:dyDescent="0.3">
      <c r="A22720" t="s">
        <v>1222</v>
      </c>
      <c r="B22720" t="s">
        <v>25</v>
      </c>
      <c r="C22720" s="1">
        <f>HYPERLINK("https://cao.dolgi.msk.ru/account/1011018964/", 1011018964)</f>
        <v>1011018964</v>
      </c>
      <c r="D22720">
        <v>-1137.29</v>
      </c>
    </row>
    <row r="22721" spans="1:4" hidden="1" x14ac:dyDescent="0.3">
      <c r="A22721" t="s">
        <v>1222</v>
      </c>
      <c r="B22721" t="s">
        <v>25</v>
      </c>
      <c r="C22721" s="1">
        <f>HYPERLINK("https://cao.dolgi.msk.ru/account/1011531602/", 1011531602)</f>
        <v>1011531602</v>
      </c>
      <c r="D22721">
        <v>-3545.29</v>
      </c>
    </row>
    <row r="22722" spans="1:4" hidden="1" x14ac:dyDescent="0.3">
      <c r="A22722" t="s">
        <v>1222</v>
      </c>
      <c r="B22722" t="s">
        <v>25</v>
      </c>
      <c r="C22722" s="1">
        <f>HYPERLINK("https://cao.dolgi.msk.ru/account/1019011986/", 1019011986)</f>
        <v>1019011986</v>
      </c>
      <c r="D22722">
        <v>0</v>
      </c>
    </row>
    <row r="22723" spans="1:4" hidden="1" x14ac:dyDescent="0.3">
      <c r="A22723" t="s">
        <v>1222</v>
      </c>
      <c r="B22723" t="s">
        <v>26</v>
      </c>
      <c r="C22723" s="1">
        <f>HYPERLINK("https://cao.dolgi.msk.ru/account/1019012006/", 1019012006)</f>
        <v>1019012006</v>
      </c>
      <c r="D22723">
        <v>-719.29</v>
      </c>
    </row>
    <row r="22724" spans="1:4" x14ac:dyDescent="0.3">
      <c r="A22724" t="s">
        <v>1222</v>
      </c>
      <c r="B22724" t="s">
        <v>26</v>
      </c>
      <c r="C22724" s="1">
        <f>HYPERLINK("https://cao.dolgi.msk.ru/account/1019012014/", 1019012014)</f>
        <v>1019012014</v>
      </c>
      <c r="D22724">
        <v>12101.22</v>
      </c>
    </row>
    <row r="22725" spans="1:4" hidden="1" x14ac:dyDescent="0.3">
      <c r="A22725" t="s">
        <v>1222</v>
      </c>
      <c r="B22725" t="s">
        <v>26</v>
      </c>
      <c r="C22725" s="1">
        <f>HYPERLINK("https://cao.dolgi.msk.ru/account/1019012022/", 1019012022)</f>
        <v>1019012022</v>
      </c>
      <c r="D22725">
        <v>-858.11</v>
      </c>
    </row>
    <row r="22726" spans="1:4" hidden="1" x14ac:dyDescent="0.3">
      <c r="A22726" t="s">
        <v>1222</v>
      </c>
      <c r="B22726" t="s">
        <v>26</v>
      </c>
      <c r="C22726" s="1">
        <f>HYPERLINK("https://cao.dolgi.msk.ru/account/1019012073/", 1019012073)</f>
        <v>1019012073</v>
      </c>
      <c r="D22726">
        <v>-932.58</v>
      </c>
    </row>
    <row r="22727" spans="1:4" hidden="1" x14ac:dyDescent="0.3">
      <c r="A22727" t="s">
        <v>1222</v>
      </c>
      <c r="B22727" t="s">
        <v>27</v>
      </c>
      <c r="C22727" s="1">
        <f>HYPERLINK("https://cao.dolgi.msk.ru/account/1019012137/", 1019012137)</f>
        <v>1019012137</v>
      </c>
      <c r="D22727">
        <v>-35.21</v>
      </c>
    </row>
    <row r="22728" spans="1:4" hidden="1" x14ac:dyDescent="0.3">
      <c r="A22728" t="s">
        <v>1222</v>
      </c>
      <c r="B22728" t="s">
        <v>27</v>
      </c>
      <c r="C22728" s="1">
        <f>HYPERLINK("https://cao.dolgi.msk.ru/account/1019012145/", 1019012145)</f>
        <v>1019012145</v>
      </c>
      <c r="D22728">
        <v>-1310.5999999999999</v>
      </c>
    </row>
    <row r="22729" spans="1:4" hidden="1" x14ac:dyDescent="0.3">
      <c r="A22729" t="s">
        <v>1222</v>
      </c>
      <c r="B22729" t="s">
        <v>29</v>
      </c>
      <c r="C22729" s="1">
        <f>HYPERLINK("https://cao.dolgi.msk.ru/account/1019012196/", 1019012196)</f>
        <v>1019012196</v>
      </c>
      <c r="D22729">
        <v>-3184.57</v>
      </c>
    </row>
    <row r="22730" spans="1:4" hidden="1" x14ac:dyDescent="0.3">
      <c r="A22730" t="s">
        <v>1222</v>
      </c>
      <c r="B22730" t="s">
        <v>29</v>
      </c>
      <c r="C22730" s="1">
        <f>HYPERLINK("https://cao.dolgi.msk.ru/account/1019012209/", 1019012209)</f>
        <v>1019012209</v>
      </c>
      <c r="D22730">
        <v>0</v>
      </c>
    </row>
    <row r="22731" spans="1:4" x14ac:dyDescent="0.3">
      <c r="A22731" t="s">
        <v>1222</v>
      </c>
      <c r="B22731" t="s">
        <v>29</v>
      </c>
      <c r="C22731" s="1">
        <f>HYPERLINK("https://cao.dolgi.msk.ru/account/1019012217/", 1019012217)</f>
        <v>1019012217</v>
      </c>
      <c r="D22731">
        <v>176.46</v>
      </c>
    </row>
    <row r="22732" spans="1:4" hidden="1" x14ac:dyDescent="0.3">
      <c r="A22732" t="s">
        <v>1222</v>
      </c>
      <c r="B22732" t="s">
        <v>29</v>
      </c>
      <c r="C22732" s="1">
        <f>HYPERLINK("https://cao.dolgi.msk.ru/account/1019012225/", 1019012225)</f>
        <v>1019012225</v>
      </c>
      <c r="D22732">
        <v>-4173.75</v>
      </c>
    </row>
    <row r="22733" spans="1:4" hidden="1" x14ac:dyDescent="0.3">
      <c r="A22733" t="s">
        <v>1222</v>
      </c>
      <c r="B22733" t="s">
        <v>38</v>
      </c>
      <c r="C22733" s="1">
        <f>HYPERLINK("https://cao.dolgi.msk.ru/account/1019012233/", 1019012233)</f>
        <v>1019012233</v>
      </c>
      <c r="D22733">
        <v>-1076.92</v>
      </c>
    </row>
    <row r="22734" spans="1:4" hidden="1" x14ac:dyDescent="0.3">
      <c r="A22734" t="s">
        <v>1222</v>
      </c>
      <c r="B22734" t="s">
        <v>38</v>
      </c>
      <c r="C22734" s="1">
        <f>HYPERLINK("https://cao.dolgi.msk.ru/account/1019012268/", 1019012268)</f>
        <v>1019012268</v>
      </c>
      <c r="D22734">
        <v>-5448.44</v>
      </c>
    </row>
    <row r="22735" spans="1:4" hidden="1" x14ac:dyDescent="0.3">
      <c r="A22735" t="s">
        <v>1222</v>
      </c>
      <c r="B22735" t="s">
        <v>39</v>
      </c>
      <c r="C22735" s="1">
        <f>HYPERLINK("https://cao.dolgi.msk.ru/account/1019012313/", 1019012313)</f>
        <v>1019012313</v>
      </c>
      <c r="D22735">
        <v>-1857.56</v>
      </c>
    </row>
    <row r="22736" spans="1:4" hidden="1" x14ac:dyDescent="0.3">
      <c r="A22736" t="s">
        <v>1222</v>
      </c>
      <c r="B22736" t="s">
        <v>39</v>
      </c>
      <c r="C22736" s="1">
        <f>HYPERLINK("https://cao.dolgi.msk.ru/account/1019012321/", 1019012321)</f>
        <v>1019012321</v>
      </c>
      <c r="D22736">
        <v>-4195.72</v>
      </c>
    </row>
    <row r="22737" spans="1:4" hidden="1" x14ac:dyDescent="0.3">
      <c r="A22737" t="s">
        <v>1222</v>
      </c>
      <c r="B22737" t="s">
        <v>39</v>
      </c>
      <c r="C22737" s="1">
        <f>HYPERLINK("https://cao.dolgi.msk.ru/account/1019012348/", 1019012348)</f>
        <v>1019012348</v>
      </c>
      <c r="D22737">
        <v>-2450.48</v>
      </c>
    </row>
    <row r="22738" spans="1:4" hidden="1" x14ac:dyDescent="0.3">
      <c r="A22738" t="s">
        <v>1222</v>
      </c>
      <c r="B22738" t="s">
        <v>39</v>
      </c>
      <c r="C22738" s="1">
        <f>HYPERLINK("https://cao.dolgi.msk.ru/account/1019012364/", 1019012364)</f>
        <v>1019012364</v>
      </c>
      <c r="D22738">
        <v>-26442.21</v>
      </c>
    </row>
    <row r="22739" spans="1:4" hidden="1" x14ac:dyDescent="0.3">
      <c r="A22739" t="s">
        <v>1222</v>
      </c>
      <c r="B22739" t="s">
        <v>40</v>
      </c>
      <c r="C22739" s="1">
        <f>HYPERLINK("https://cao.dolgi.msk.ru/account/1019012399/", 1019012399)</f>
        <v>1019012399</v>
      </c>
      <c r="D22739">
        <v>-677.11</v>
      </c>
    </row>
    <row r="22740" spans="1:4" hidden="1" x14ac:dyDescent="0.3">
      <c r="A22740" t="s">
        <v>1222</v>
      </c>
      <c r="B22740" t="s">
        <v>40</v>
      </c>
      <c r="C22740" s="1">
        <f>HYPERLINK("https://cao.dolgi.msk.ru/account/1019012401/", 1019012401)</f>
        <v>1019012401</v>
      </c>
      <c r="D22740">
        <v>-2645.98</v>
      </c>
    </row>
    <row r="22741" spans="1:4" hidden="1" x14ac:dyDescent="0.3">
      <c r="A22741" t="s">
        <v>1222</v>
      </c>
      <c r="B22741" t="s">
        <v>40</v>
      </c>
      <c r="C22741" s="1">
        <f>HYPERLINK("https://cao.dolgi.msk.ru/account/1019012428/", 1019012428)</f>
        <v>1019012428</v>
      </c>
      <c r="D22741">
        <v>-240.2</v>
      </c>
    </row>
    <row r="22742" spans="1:4" hidden="1" x14ac:dyDescent="0.3">
      <c r="A22742" t="s">
        <v>1222</v>
      </c>
      <c r="B22742" t="s">
        <v>41</v>
      </c>
      <c r="C22742" s="1">
        <f>HYPERLINK("https://cao.dolgi.msk.ru/account/1011128055/", 1011128055)</f>
        <v>1011128055</v>
      </c>
      <c r="D22742">
        <v>-1129.98</v>
      </c>
    </row>
    <row r="22743" spans="1:4" hidden="1" x14ac:dyDescent="0.3">
      <c r="A22743" t="s">
        <v>1222</v>
      </c>
      <c r="B22743" t="s">
        <v>41</v>
      </c>
      <c r="C22743" s="1">
        <f>HYPERLINK("https://cao.dolgi.msk.ru/account/1019012436/", 1019012436)</f>
        <v>1019012436</v>
      </c>
      <c r="D22743">
        <v>-1887.85</v>
      </c>
    </row>
    <row r="22744" spans="1:4" hidden="1" x14ac:dyDescent="0.3">
      <c r="A22744" t="s">
        <v>1222</v>
      </c>
      <c r="B22744" t="s">
        <v>41</v>
      </c>
      <c r="C22744" s="1">
        <f>HYPERLINK("https://cao.dolgi.msk.ru/account/1019012479/", 1019012479)</f>
        <v>1019012479</v>
      </c>
      <c r="D22744">
        <v>-1839.81</v>
      </c>
    </row>
    <row r="22745" spans="1:4" hidden="1" x14ac:dyDescent="0.3">
      <c r="A22745" t="s">
        <v>1222</v>
      </c>
      <c r="B22745" t="s">
        <v>51</v>
      </c>
      <c r="C22745" s="1">
        <f>HYPERLINK("https://cao.dolgi.msk.ru/account/1011359742/", 1011359742)</f>
        <v>1011359742</v>
      </c>
      <c r="D22745">
        <v>-444.24</v>
      </c>
    </row>
    <row r="22746" spans="1:4" hidden="1" x14ac:dyDescent="0.3">
      <c r="A22746" t="s">
        <v>1222</v>
      </c>
      <c r="B22746" t="s">
        <v>51</v>
      </c>
      <c r="C22746" s="1">
        <f>HYPERLINK("https://cao.dolgi.msk.ru/account/1011379436/", 1011379436)</f>
        <v>1011379436</v>
      </c>
      <c r="D22746">
        <v>0</v>
      </c>
    </row>
    <row r="22747" spans="1:4" hidden="1" x14ac:dyDescent="0.3">
      <c r="A22747" t="s">
        <v>1222</v>
      </c>
      <c r="B22747" t="s">
        <v>51</v>
      </c>
      <c r="C22747" s="1">
        <f>HYPERLINK("https://cao.dolgi.msk.ru/account/1011526811/", 1011526811)</f>
        <v>1011526811</v>
      </c>
      <c r="D22747">
        <v>0</v>
      </c>
    </row>
    <row r="22748" spans="1:4" hidden="1" x14ac:dyDescent="0.3">
      <c r="A22748" t="s">
        <v>1222</v>
      </c>
      <c r="B22748" t="s">
        <v>52</v>
      </c>
      <c r="C22748" s="1">
        <f>HYPERLINK("https://cao.dolgi.msk.ru/account/1019012575/", 1019012575)</f>
        <v>1019012575</v>
      </c>
      <c r="D22748">
        <v>-1177.2</v>
      </c>
    </row>
    <row r="22749" spans="1:4" hidden="1" x14ac:dyDescent="0.3">
      <c r="A22749" t="s">
        <v>1222</v>
      </c>
      <c r="B22749" t="s">
        <v>53</v>
      </c>
      <c r="C22749" s="1">
        <f>HYPERLINK("https://cao.dolgi.msk.ru/account/1019012583/", 1019012583)</f>
        <v>1019012583</v>
      </c>
      <c r="D22749">
        <v>0</v>
      </c>
    </row>
    <row r="22750" spans="1:4" x14ac:dyDescent="0.3">
      <c r="A22750" t="s">
        <v>1222</v>
      </c>
      <c r="B22750" t="s">
        <v>54</v>
      </c>
      <c r="C22750" s="1">
        <f>HYPERLINK("https://cao.dolgi.msk.ru/account/1019012612/", 1019012612)</f>
        <v>1019012612</v>
      </c>
      <c r="D22750">
        <v>2360.0300000000002</v>
      </c>
    </row>
    <row r="22751" spans="1:4" hidden="1" x14ac:dyDescent="0.3">
      <c r="A22751" t="s">
        <v>1222</v>
      </c>
      <c r="B22751" t="s">
        <v>54</v>
      </c>
      <c r="C22751" s="1">
        <f>HYPERLINK("https://cao.dolgi.msk.ru/account/1019012639/", 1019012639)</f>
        <v>1019012639</v>
      </c>
      <c r="D22751">
        <v>-1773.38</v>
      </c>
    </row>
    <row r="22752" spans="1:4" hidden="1" x14ac:dyDescent="0.3">
      <c r="A22752" t="s">
        <v>1222</v>
      </c>
      <c r="B22752" t="s">
        <v>54</v>
      </c>
      <c r="C22752" s="1">
        <f>HYPERLINK("https://cao.dolgi.msk.ru/account/1019012655/", 1019012655)</f>
        <v>1019012655</v>
      </c>
      <c r="D22752">
        <v>-1133.55</v>
      </c>
    </row>
    <row r="22753" spans="1:4" hidden="1" x14ac:dyDescent="0.3">
      <c r="A22753" t="s">
        <v>1222</v>
      </c>
      <c r="B22753" t="s">
        <v>55</v>
      </c>
      <c r="C22753" s="1">
        <f>HYPERLINK("https://cao.dolgi.msk.ru/account/1011026876/", 1011026876)</f>
        <v>1011026876</v>
      </c>
      <c r="D22753">
        <v>-66.010000000000005</v>
      </c>
    </row>
    <row r="22754" spans="1:4" hidden="1" x14ac:dyDescent="0.3">
      <c r="A22754" t="s">
        <v>1222</v>
      </c>
      <c r="B22754" t="s">
        <v>55</v>
      </c>
      <c r="C22754" s="1">
        <f>HYPERLINK("https://cao.dolgi.msk.ru/account/1011504081/", 1011504081)</f>
        <v>1011504081</v>
      </c>
      <c r="D22754">
        <v>0</v>
      </c>
    </row>
    <row r="22755" spans="1:4" hidden="1" x14ac:dyDescent="0.3">
      <c r="A22755" t="s">
        <v>1222</v>
      </c>
      <c r="B22755" t="s">
        <v>55</v>
      </c>
      <c r="C22755" s="1">
        <f>HYPERLINK("https://cao.dolgi.msk.ru/account/1019012751/", 1019012751)</f>
        <v>1019012751</v>
      </c>
      <c r="D22755">
        <v>-133.04</v>
      </c>
    </row>
    <row r="22756" spans="1:4" hidden="1" x14ac:dyDescent="0.3">
      <c r="A22756" t="s">
        <v>1222</v>
      </c>
      <c r="B22756" t="s">
        <v>55</v>
      </c>
      <c r="C22756" s="1">
        <f>HYPERLINK("https://cao.dolgi.msk.ru/account/1019012866/", 1019012866)</f>
        <v>1019012866</v>
      </c>
      <c r="D22756">
        <v>-336.44</v>
      </c>
    </row>
    <row r="22757" spans="1:4" hidden="1" x14ac:dyDescent="0.3">
      <c r="A22757" t="s">
        <v>1222</v>
      </c>
      <c r="B22757" t="s">
        <v>56</v>
      </c>
      <c r="C22757" s="1">
        <f>HYPERLINK("https://cao.dolgi.msk.ru/account/1019012786/", 1019012786)</f>
        <v>1019012786</v>
      </c>
      <c r="D22757">
        <v>-740.61</v>
      </c>
    </row>
    <row r="22758" spans="1:4" hidden="1" x14ac:dyDescent="0.3">
      <c r="A22758" t="s">
        <v>1222</v>
      </c>
      <c r="B22758" t="s">
        <v>56</v>
      </c>
      <c r="C22758" s="1">
        <f>HYPERLINK("https://cao.dolgi.msk.ru/account/1019012794/", 1019012794)</f>
        <v>1019012794</v>
      </c>
      <c r="D22758">
        <v>-1199.72</v>
      </c>
    </row>
    <row r="22759" spans="1:4" hidden="1" x14ac:dyDescent="0.3">
      <c r="A22759" t="s">
        <v>1222</v>
      </c>
      <c r="B22759" t="s">
        <v>87</v>
      </c>
      <c r="C22759" s="1">
        <f>HYPERLINK("https://cao.dolgi.msk.ru/account/1011019043/", 1011019043)</f>
        <v>1011019043</v>
      </c>
      <c r="D22759">
        <v>-889.35</v>
      </c>
    </row>
    <row r="22760" spans="1:4" hidden="1" x14ac:dyDescent="0.3">
      <c r="A22760" t="s">
        <v>1222</v>
      </c>
      <c r="B22760" t="s">
        <v>87</v>
      </c>
      <c r="C22760" s="1">
        <f>HYPERLINK("https://cao.dolgi.msk.ru/account/1019012815/", 1019012815)</f>
        <v>1019012815</v>
      </c>
      <c r="D22760">
        <v>-1252.46</v>
      </c>
    </row>
    <row r="22761" spans="1:4" hidden="1" x14ac:dyDescent="0.3">
      <c r="A22761" t="s">
        <v>1222</v>
      </c>
      <c r="B22761" t="s">
        <v>88</v>
      </c>
      <c r="C22761" s="1">
        <f>HYPERLINK("https://cao.dolgi.msk.ru/account/1019012831/", 1019012831)</f>
        <v>1019012831</v>
      </c>
      <c r="D22761">
        <v>-8666.06</v>
      </c>
    </row>
    <row r="22762" spans="1:4" hidden="1" x14ac:dyDescent="0.3">
      <c r="A22762" t="s">
        <v>1222</v>
      </c>
      <c r="B22762" t="s">
        <v>88</v>
      </c>
      <c r="C22762" s="1">
        <f>HYPERLINK("https://cao.dolgi.msk.ru/account/1019012858/", 1019012858)</f>
        <v>1019012858</v>
      </c>
      <c r="D22762">
        <v>-6503.88</v>
      </c>
    </row>
    <row r="22763" spans="1:4" hidden="1" x14ac:dyDescent="0.3">
      <c r="A22763" t="s">
        <v>1222</v>
      </c>
      <c r="B22763" t="s">
        <v>89</v>
      </c>
      <c r="C22763" s="1">
        <f>HYPERLINK("https://cao.dolgi.msk.ru/account/1011024889/", 1011024889)</f>
        <v>1011024889</v>
      </c>
      <c r="D22763">
        <v>-1379.94</v>
      </c>
    </row>
    <row r="22764" spans="1:4" hidden="1" x14ac:dyDescent="0.3">
      <c r="A22764" t="s">
        <v>1222</v>
      </c>
      <c r="B22764" t="s">
        <v>89</v>
      </c>
      <c r="C22764" s="1">
        <f>HYPERLINK("https://cao.dolgi.msk.ru/account/1011024897/", 1011024897)</f>
        <v>1011024897</v>
      </c>
      <c r="D22764">
        <v>-1664.68</v>
      </c>
    </row>
    <row r="22765" spans="1:4" hidden="1" x14ac:dyDescent="0.3">
      <c r="A22765" t="s">
        <v>1222</v>
      </c>
      <c r="B22765" t="s">
        <v>89</v>
      </c>
      <c r="C22765" s="1">
        <f>HYPERLINK("https://cao.dolgi.msk.ru/account/1019014183/", 1019014183)</f>
        <v>1019014183</v>
      </c>
      <c r="D22765">
        <v>-1603.95</v>
      </c>
    </row>
    <row r="22766" spans="1:4" x14ac:dyDescent="0.3">
      <c r="A22766" t="s">
        <v>1222</v>
      </c>
      <c r="B22766" t="s">
        <v>90</v>
      </c>
      <c r="C22766" s="1">
        <f>HYPERLINK("https://cao.dolgi.msk.ru/account/1019012049/", 1019012049)</f>
        <v>1019012049</v>
      </c>
      <c r="D22766">
        <v>2143.08</v>
      </c>
    </row>
    <row r="22767" spans="1:4" hidden="1" x14ac:dyDescent="0.3">
      <c r="A22767" t="s">
        <v>1222</v>
      </c>
      <c r="B22767" t="s">
        <v>96</v>
      </c>
      <c r="C22767" s="1">
        <f>HYPERLINK("https://cao.dolgi.msk.ru/account/1019012057/", 1019012057)</f>
        <v>1019012057</v>
      </c>
      <c r="D22767">
        <v>-444.51</v>
      </c>
    </row>
    <row r="22768" spans="1:4" hidden="1" x14ac:dyDescent="0.3">
      <c r="A22768" t="s">
        <v>1222</v>
      </c>
      <c r="B22768" t="s">
        <v>96</v>
      </c>
      <c r="C22768" s="1">
        <f>HYPERLINK("https://cao.dolgi.msk.ru/account/1019012065/", 1019012065)</f>
        <v>1019012065</v>
      </c>
      <c r="D22768">
        <v>-7075.6</v>
      </c>
    </row>
    <row r="22769" spans="1:4" hidden="1" x14ac:dyDescent="0.3">
      <c r="A22769" t="s">
        <v>1222</v>
      </c>
      <c r="B22769" t="s">
        <v>97</v>
      </c>
      <c r="C22769" s="1">
        <f>HYPERLINK("https://cao.dolgi.msk.ru/account/1019012081/", 1019012081)</f>
        <v>1019012081</v>
      </c>
      <c r="D22769">
        <v>-1256.53</v>
      </c>
    </row>
    <row r="22770" spans="1:4" hidden="1" x14ac:dyDescent="0.3">
      <c r="A22770" t="s">
        <v>1222</v>
      </c>
      <c r="B22770" t="s">
        <v>97</v>
      </c>
      <c r="C22770" s="1">
        <f>HYPERLINK("https://cao.dolgi.msk.ru/account/1019012102/", 1019012102)</f>
        <v>1019012102</v>
      </c>
      <c r="D22770">
        <v>-322.70999999999998</v>
      </c>
    </row>
    <row r="22771" spans="1:4" hidden="1" x14ac:dyDescent="0.3">
      <c r="A22771" t="s">
        <v>1222</v>
      </c>
      <c r="B22771" t="s">
        <v>97</v>
      </c>
      <c r="C22771" s="1">
        <f>HYPERLINK("https://cao.dolgi.msk.ru/account/1019012129/", 1019012129)</f>
        <v>1019012129</v>
      </c>
      <c r="D22771">
        <v>-557.48</v>
      </c>
    </row>
    <row r="22772" spans="1:4" hidden="1" x14ac:dyDescent="0.3">
      <c r="A22772" t="s">
        <v>1222</v>
      </c>
      <c r="B22772" t="s">
        <v>98</v>
      </c>
      <c r="C22772" s="1">
        <f>HYPERLINK("https://cao.dolgi.msk.ru/account/1019012671/", 1019012671)</f>
        <v>1019012671</v>
      </c>
      <c r="D22772">
        <v>-2762.36</v>
      </c>
    </row>
    <row r="22773" spans="1:4" hidden="1" x14ac:dyDescent="0.3">
      <c r="A22773" t="s">
        <v>1222</v>
      </c>
      <c r="B22773" t="s">
        <v>98</v>
      </c>
      <c r="C22773" s="1">
        <f>HYPERLINK("https://cao.dolgi.msk.ru/account/1019012698/", 1019012698)</f>
        <v>1019012698</v>
      </c>
      <c r="D22773">
        <v>-733.37</v>
      </c>
    </row>
    <row r="22774" spans="1:4" hidden="1" x14ac:dyDescent="0.3">
      <c r="A22774" t="s">
        <v>1222</v>
      </c>
      <c r="B22774" t="s">
        <v>98</v>
      </c>
      <c r="C22774" s="1">
        <f>HYPERLINK("https://cao.dolgi.msk.ru/account/1019012719/", 1019012719)</f>
        <v>1019012719</v>
      </c>
      <c r="D22774">
        <v>-6886.46</v>
      </c>
    </row>
    <row r="22775" spans="1:4" hidden="1" x14ac:dyDescent="0.3">
      <c r="A22775" t="s">
        <v>1222</v>
      </c>
      <c r="B22775" t="s">
        <v>58</v>
      </c>
      <c r="C22775" s="1">
        <f>HYPERLINK("https://cao.dolgi.msk.ru/account/1019012276/", 1019012276)</f>
        <v>1019012276</v>
      </c>
      <c r="D22775">
        <v>-1132.07</v>
      </c>
    </row>
    <row r="22776" spans="1:4" hidden="1" x14ac:dyDescent="0.3">
      <c r="A22776" t="s">
        <v>1222</v>
      </c>
      <c r="B22776" t="s">
        <v>59</v>
      </c>
      <c r="C22776" s="1">
        <f>HYPERLINK("https://cao.dolgi.msk.ru/account/1019012292/", 1019012292)</f>
        <v>1019012292</v>
      </c>
      <c r="D22776">
        <v>0</v>
      </c>
    </row>
    <row r="22777" spans="1:4" x14ac:dyDescent="0.3">
      <c r="A22777" t="s">
        <v>1222</v>
      </c>
      <c r="B22777" t="s">
        <v>60</v>
      </c>
      <c r="C22777" s="1">
        <f>HYPERLINK("https://cao.dolgi.msk.ru/account/1011067547/", 1011067547)</f>
        <v>1011067547</v>
      </c>
      <c r="D22777">
        <v>5157.6000000000004</v>
      </c>
    </row>
    <row r="22778" spans="1:4" hidden="1" x14ac:dyDescent="0.3">
      <c r="A22778" t="s">
        <v>1222</v>
      </c>
      <c r="B22778" t="s">
        <v>60</v>
      </c>
      <c r="C22778" s="1">
        <f>HYPERLINK("https://cao.dolgi.msk.ru/account/1019012305/", 1019012305)</f>
        <v>1019012305</v>
      </c>
      <c r="D22778">
        <v>-4387.82</v>
      </c>
    </row>
    <row r="22779" spans="1:4" x14ac:dyDescent="0.3">
      <c r="A22779" t="s">
        <v>1222</v>
      </c>
      <c r="B22779" t="s">
        <v>60</v>
      </c>
      <c r="C22779" s="1">
        <f>HYPERLINK("https://cao.dolgi.msk.ru/account/1019012372/", 1019012372)</f>
        <v>1019012372</v>
      </c>
      <c r="D22779">
        <v>1028.76</v>
      </c>
    </row>
    <row r="22780" spans="1:4" hidden="1" x14ac:dyDescent="0.3">
      <c r="A22780" t="s">
        <v>1222</v>
      </c>
      <c r="B22780" t="s">
        <v>61</v>
      </c>
      <c r="C22780" s="1">
        <f>HYPERLINK("https://cao.dolgi.msk.ru/account/1019012727/", 1019012727)</f>
        <v>1019012727</v>
      </c>
      <c r="D22780">
        <v>0</v>
      </c>
    </row>
    <row r="22781" spans="1:4" hidden="1" x14ac:dyDescent="0.3">
      <c r="A22781" t="s">
        <v>1222</v>
      </c>
      <c r="B22781" t="s">
        <v>61</v>
      </c>
      <c r="C22781" s="1">
        <f>HYPERLINK("https://cao.dolgi.msk.ru/account/1019012735/", 1019012735)</f>
        <v>1019012735</v>
      </c>
      <c r="D22781">
        <v>0</v>
      </c>
    </row>
    <row r="22782" spans="1:4" hidden="1" x14ac:dyDescent="0.3">
      <c r="A22782" t="s">
        <v>1222</v>
      </c>
      <c r="B22782" t="s">
        <v>61</v>
      </c>
      <c r="C22782" s="1">
        <f>HYPERLINK("https://cao.dolgi.msk.ru/account/1019012743/", 1019012743)</f>
        <v>1019012743</v>
      </c>
      <c r="D22782">
        <v>-60.89</v>
      </c>
    </row>
    <row r="22783" spans="1:4" hidden="1" x14ac:dyDescent="0.3">
      <c r="A22783" t="s">
        <v>1222</v>
      </c>
      <c r="B22783" t="s">
        <v>62</v>
      </c>
      <c r="C22783" s="1">
        <f>HYPERLINK("https://cao.dolgi.msk.ru/account/1019012516/", 1019012516)</f>
        <v>1019012516</v>
      </c>
      <c r="D22783">
        <v>0</v>
      </c>
    </row>
    <row r="22784" spans="1:4" hidden="1" x14ac:dyDescent="0.3">
      <c r="A22784" t="s">
        <v>1222</v>
      </c>
      <c r="B22784" t="s">
        <v>63</v>
      </c>
      <c r="C22784" s="1">
        <f>HYPERLINK("https://cao.dolgi.msk.ru/account/1011091467/", 1011091467)</f>
        <v>1011091467</v>
      </c>
      <c r="D22784">
        <v>0</v>
      </c>
    </row>
    <row r="22785" spans="1:4" hidden="1" x14ac:dyDescent="0.3">
      <c r="A22785" t="s">
        <v>1222</v>
      </c>
      <c r="B22785" t="s">
        <v>63</v>
      </c>
      <c r="C22785" s="1">
        <f>HYPERLINK("https://cao.dolgi.msk.ru/account/1019012559/", 1019012559)</f>
        <v>1019012559</v>
      </c>
      <c r="D22785">
        <v>-1282.49</v>
      </c>
    </row>
    <row r="22786" spans="1:4" hidden="1" x14ac:dyDescent="0.3">
      <c r="A22786" t="s">
        <v>1222</v>
      </c>
      <c r="B22786" t="s">
        <v>64</v>
      </c>
      <c r="C22786" s="1">
        <f>HYPERLINK("https://cao.dolgi.msk.ru/account/1019012604/", 1019012604)</f>
        <v>1019012604</v>
      </c>
      <c r="D22786">
        <v>-398.2</v>
      </c>
    </row>
    <row r="22787" spans="1:4" hidden="1" x14ac:dyDescent="0.3">
      <c r="A22787" t="s">
        <v>1222</v>
      </c>
      <c r="B22787" t="s">
        <v>64</v>
      </c>
      <c r="C22787" s="1">
        <f>HYPERLINK("https://cao.dolgi.msk.ru/account/1019012647/", 1019012647)</f>
        <v>1019012647</v>
      </c>
      <c r="D22787">
        <v>-881.65</v>
      </c>
    </row>
    <row r="22788" spans="1:4" hidden="1" x14ac:dyDescent="0.3">
      <c r="A22788" t="s">
        <v>1222</v>
      </c>
      <c r="B22788" t="s">
        <v>64</v>
      </c>
      <c r="C22788" s="1">
        <f>HYPERLINK("https://cao.dolgi.msk.ru/account/1019012663/", 1019012663)</f>
        <v>1019012663</v>
      </c>
      <c r="D22788">
        <v>-3785.3</v>
      </c>
    </row>
    <row r="22789" spans="1:4" hidden="1" x14ac:dyDescent="0.3">
      <c r="A22789" t="s">
        <v>1223</v>
      </c>
      <c r="B22789" t="s">
        <v>35</v>
      </c>
      <c r="C22789" s="1">
        <f>HYPERLINK("https://cao.dolgi.msk.ru/account/1011449385/", 1011449385)</f>
        <v>1011449385</v>
      </c>
      <c r="D22789">
        <v>0</v>
      </c>
    </row>
    <row r="22790" spans="1:4" hidden="1" x14ac:dyDescent="0.3">
      <c r="A22790" t="s">
        <v>1223</v>
      </c>
      <c r="B22790" t="s">
        <v>35</v>
      </c>
      <c r="C22790" s="1">
        <f>HYPERLINK("https://cao.dolgi.msk.ru/account/1011449393/", 1011449393)</f>
        <v>1011449393</v>
      </c>
      <c r="D22790">
        <v>-6954.55</v>
      </c>
    </row>
    <row r="22791" spans="1:4" hidden="1" x14ac:dyDescent="0.3">
      <c r="A22791" t="s">
        <v>1223</v>
      </c>
      <c r="B22791" t="s">
        <v>35</v>
      </c>
      <c r="C22791" s="1">
        <f>HYPERLINK("https://cao.dolgi.msk.ru/account/1011449414/", 1011449414)</f>
        <v>1011449414</v>
      </c>
      <c r="D22791">
        <v>0</v>
      </c>
    </row>
    <row r="22792" spans="1:4" hidden="1" x14ac:dyDescent="0.3">
      <c r="A22792" t="s">
        <v>1223</v>
      </c>
      <c r="B22792" t="s">
        <v>35</v>
      </c>
      <c r="C22792" s="1">
        <f>HYPERLINK("https://cao.dolgi.msk.ru/account/1011449422/", 1011449422)</f>
        <v>1011449422</v>
      </c>
      <c r="D22792">
        <v>0</v>
      </c>
    </row>
    <row r="22793" spans="1:4" hidden="1" x14ac:dyDescent="0.3">
      <c r="A22793" t="s">
        <v>1223</v>
      </c>
      <c r="B22793" t="s">
        <v>35</v>
      </c>
      <c r="C22793" s="1">
        <f>HYPERLINK("https://cao.dolgi.msk.ru/account/1011449449/", 1011449449)</f>
        <v>1011449449</v>
      </c>
      <c r="D22793">
        <v>0</v>
      </c>
    </row>
    <row r="22794" spans="1:4" hidden="1" x14ac:dyDescent="0.3">
      <c r="A22794" t="s">
        <v>1223</v>
      </c>
      <c r="B22794" t="s">
        <v>35</v>
      </c>
      <c r="C22794" s="1">
        <f>HYPERLINK("https://cao.dolgi.msk.ru/account/1011449481/", 1011449481)</f>
        <v>1011449481</v>
      </c>
      <c r="D22794">
        <v>0</v>
      </c>
    </row>
    <row r="22795" spans="1:4" hidden="1" x14ac:dyDescent="0.3">
      <c r="A22795" t="s">
        <v>1223</v>
      </c>
      <c r="B22795" t="s">
        <v>35</v>
      </c>
      <c r="C22795" s="1">
        <f>HYPERLINK("https://cao.dolgi.msk.ru/account/1011449545/", 1011449545)</f>
        <v>1011449545</v>
      </c>
      <c r="D22795">
        <v>-336.54</v>
      </c>
    </row>
    <row r="22796" spans="1:4" hidden="1" x14ac:dyDescent="0.3">
      <c r="A22796" t="s">
        <v>1223</v>
      </c>
      <c r="B22796" t="s">
        <v>35</v>
      </c>
      <c r="C22796" s="1">
        <f>HYPERLINK("https://cao.dolgi.msk.ru/account/1011449553/", 1011449553)</f>
        <v>1011449553</v>
      </c>
      <c r="D22796">
        <v>0</v>
      </c>
    </row>
    <row r="22797" spans="1:4" hidden="1" x14ac:dyDescent="0.3">
      <c r="A22797" t="s">
        <v>1223</v>
      </c>
      <c r="B22797" t="s">
        <v>35</v>
      </c>
      <c r="C22797" s="1">
        <f>HYPERLINK("https://cao.dolgi.msk.ru/account/1011449588/", 1011449588)</f>
        <v>1011449588</v>
      </c>
      <c r="D22797">
        <v>0</v>
      </c>
    </row>
    <row r="22798" spans="1:4" hidden="1" x14ac:dyDescent="0.3">
      <c r="A22798" t="s">
        <v>1223</v>
      </c>
      <c r="B22798" t="s">
        <v>5</v>
      </c>
      <c r="C22798" s="1">
        <f>HYPERLINK("https://cao.dolgi.msk.ru/account/1011449377/", 1011449377)</f>
        <v>1011449377</v>
      </c>
      <c r="D22798">
        <v>0</v>
      </c>
    </row>
    <row r="22799" spans="1:4" x14ac:dyDescent="0.3">
      <c r="A22799" t="s">
        <v>1223</v>
      </c>
      <c r="B22799" t="s">
        <v>5</v>
      </c>
      <c r="C22799" s="1">
        <f>HYPERLINK("https://cao.dolgi.msk.ru/account/1011541552/", 1011541552)</f>
        <v>1011541552</v>
      </c>
      <c r="D22799">
        <v>242250.52</v>
      </c>
    </row>
    <row r="22800" spans="1:4" hidden="1" x14ac:dyDescent="0.3">
      <c r="A22800" t="s">
        <v>1223</v>
      </c>
      <c r="B22800" t="s">
        <v>7</v>
      </c>
      <c r="C22800" s="1">
        <f>HYPERLINK("https://cao.dolgi.msk.ru/account/1011449537/", 1011449537)</f>
        <v>1011449537</v>
      </c>
      <c r="D22800">
        <v>0</v>
      </c>
    </row>
    <row r="22801" spans="1:4" hidden="1" x14ac:dyDescent="0.3">
      <c r="A22801" t="s">
        <v>1223</v>
      </c>
      <c r="B22801" t="s">
        <v>8</v>
      </c>
      <c r="C22801" s="1">
        <f>HYPERLINK("https://cao.dolgi.msk.ru/account/1011449465/", 1011449465)</f>
        <v>1011449465</v>
      </c>
      <c r="D22801">
        <v>0</v>
      </c>
    </row>
    <row r="22802" spans="1:4" hidden="1" x14ac:dyDescent="0.3">
      <c r="A22802" t="s">
        <v>1223</v>
      </c>
      <c r="B22802" t="s">
        <v>8</v>
      </c>
      <c r="C22802" s="1">
        <f>HYPERLINK("https://cao.dolgi.msk.ru/account/1011449473/", 1011449473)</f>
        <v>1011449473</v>
      </c>
      <c r="D22802">
        <v>-6355.91</v>
      </c>
    </row>
    <row r="22803" spans="1:4" hidden="1" x14ac:dyDescent="0.3">
      <c r="A22803" t="s">
        <v>1223</v>
      </c>
      <c r="B22803" t="s">
        <v>8</v>
      </c>
      <c r="C22803" s="1">
        <f>HYPERLINK("https://cao.dolgi.msk.ru/account/1011449502/", 1011449502)</f>
        <v>1011449502</v>
      </c>
      <c r="D22803">
        <v>0</v>
      </c>
    </row>
    <row r="22804" spans="1:4" hidden="1" x14ac:dyDescent="0.3">
      <c r="A22804" t="s">
        <v>1223</v>
      </c>
      <c r="B22804" t="s">
        <v>8</v>
      </c>
      <c r="C22804" s="1">
        <f>HYPERLINK("https://cao.dolgi.msk.ru/account/1011449561/", 1011449561)</f>
        <v>1011449561</v>
      </c>
      <c r="D22804">
        <v>-1409.8</v>
      </c>
    </row>
    <row r="22805" spans="1:4" x14ac:dyDescent="0.3">
      <c r="A22805" t="s">
        <v>1223</v>
      </c>
      <c r="B22805" t="s">
        <v>8</v>
      </c>
      <c r="C22805" s="1">
        <f>HYPERLINK("https://cao.dolgi.msk.ru/account/1011504727/", 1011504727)</f>
        <v>1011504727</v>
      </c>
      <c r="D22805">
        <v>9657.5</v>
      </c>
    </row>
    <row r="22806" spans="1:4" hidden="1" x14ac:dyDescent="0.3">
      <c r="A22806" t="s">
        <v>1224</v>
      </c>
      <c r="B22806" t="s">
        <v>31</v>
      </c>
      <c r="C22806" s="1">
        <f>HYPERLINK("https://cao.dolgi.msk.ru/account/1011087804/", 1011087804)</f>
        <v>1011087804</v>
      </c>
      <c r="D22806">
        <v>0</v>
      </c>
    </row>
    <row r="22807" spans="1:4" hidden="1" x14ac:dyDescent="0.3">
      <c r="A22807" t="s">
        <v>1224</v>
      </c>
      <c r="B22807" t="s">
        <v>9</v>
      </c>
      <c r="C22807" s="1">
        <f>HYPERLINK("https://cao.dolgi.msk.ru/account/1011087441/", 1011087441)</f>
        <v>1011087441</v>
      </c>
      <c r="D22807">
        <v>0</v>
      </c>
    </row>
    <row r="22808" spans="1:4" hidden="1" x14ac:dyDescent="0.3">
      <c r="A22808" t="s">
        <v>1224</v>
      </c>
      <c r="B22808" t="s">
        <v>14</v>
      </c>
      <c r="C22808" s="1">
        <f>HYPERLINK("https://cao.dolgi.msk.ru/account/1011087476/", 1011087476)</f>
        <v>1011087476</v>
      </c>
      <c r="D22808">
        <v>-8565.2199999999993</v>
      </c>
    </row>
    <row r="22809" spans="1:4" hidden="1" x14ac:dyDescent="0.3">
      <c r="A22809" t="s">
        <v>1224</v>
      </c>
      <c r="B22809" t="s">
        <v>16</v>
      </c>
      <c r="C22809" s="1">
        <f>HYPERLINK("https://cao.dolgi.msk.ru/account/1011087484/", 1011087484)</f>
        <v>1011087484</v>
      </c>
      <c r="D22809">
        <v>0</v>
      </c>
    </row>
    <row r="22810" spans="1:4" x14ac:dyDescent="0.3">
      <c r="A22810" t="s">
        <v>1224</v>
      </c>
      <c r="B22810" t="s">
        <v>17</v>
      </c>
      <c r="C22810" s="1">
        <f>HYPERLINK("https://cao.dolgi.msk.ru/account/1011087492/", 1011087492)</f>
        <v>1011087492</v>
      </c>
      <c r="D22810">
        <v>7844.16</v>
      </c>
    </row>
    <row r="22811" spans="1:4" hidden="1" x14ac:dyDescent="0.3">
      <c r="A22811" t="s">
        <v>1224</v>
      </c>
      <c r="B22811" t="s">
        <v>19</v>
      </c>
      <c r="C22811" s="1">
        <f>HYPERLINK("https://cao.dolgi.msk.ru/account/1011087505/", 1011087505)</f>
        <v>1011087505</v>
      </c>
      <c r="D22811">
        <v>0</v>
      </c>
    </row>
    <row r="22812" spans="1:4" hidden="1" x14ac:dyDescent="0.3">
      <c r="A22812" t="s">
        <v>1224</v>
      </c>
      <c r="B22812" t="s">
        <v>20</v>
      </c>
      <c r="C22812" s="1">
        <f>HYPERLINK("https://cao.dolgi.msk.ru/account/1011087513/", 1011087513)</f>
        <v>1011087513</v>
      </c>
      <c r="D22812">
        <v>0</v>
      </c>
    </row>
    <row r="22813" spans="1:4" hidden="1" x14ac:dyDescent="0.3">
      <c r="A22813" t="s">
        <v>1224</v>
      </c>
      <c r="B22813" t="s">
        <v>24</v>
      </c>
      <c r="C22813" s="1">
        <f>HYPERLINK("https://cao.dolgi.msk.ru/account/1011087556/", 1011087556)</f>
        <v>1011087556</v>
      </c>
      <c r="D22813">
        <v>0</v>
      </c>
    </row>
    <row r="22814" spans="1:4" hidden="1" x14ac:dyDescent="0.3">
      <c r="A22814" t="s">
        <v>1224</v>
      </c>
      <c r="B22814" t="s">
        <v>27</v>
      </c>
      <c r="C22814" s="1">
        <f>HYPERLINK("https://cao.dolgi.msk.ru/account/1011087564/", 1011087564)</f>
        <v>1011087564</v>
      </c>
      <c r="D22814">
        <v>0</v>
      </c>
    </row>
    <row r="22815" spans="1:4" x14ac:dyDescent="0.3">
      <c r="A22815" t="s">
        <v>1224</v>
      </c>
      <c r="B22815" t="s">
        <v>29</v>
      </c>
      <c r="C22815" s="1">
        <f>HYPERLINK("https://cao.dolgi.msk.ru/account/1011087572/", 1011087572)</f>
        <v>1011087572</v>
      </c>
      <c r="D22815">
        <v>9456.42</v>
      </c>
    </row>
    <row r="22816" spans="1:4" hidden="1" x14ac:dyDescent="0.3">
      <c r="A22816" t="s">
        <v>1224</v>
      </c>
      <c r="B22816" t="s">
        <v>41</v>
      </c>
      <c r="C22816" s="1">
        <f>HYPERLINK("https://cao.dolgi.msk.ru/account/1011087599/", 1011087599)</f>
        <v>1011087599</v>
      </c>
      <c r="D22816">
        <v>0</v>
      </c>
    </row>
    <row r="22817" spans="1:4" x14ac:dyDescent="0.3">
      <c r="A22817" t="s">
        <v>1224</v>
      </c>
      <c r="B22817" t="s">
        <v>53</v>
      </c>
      <c r="C22817" s="1">
        <f>HYPERLINK("https://cao.dolgi.msk.ru/account/1011087601/", 1011087601)</f>
        <v>1011087601</v>
      </c>
      <c r="D22817">
        <v>29063.16</v>
      </c>
    </row>
    <row r="22818" spans="1:4" hidden="1" x14ac:dyDescent="0.3">
      <c r="A22818" t="s">
        <v>1224</v>
      </c>
      <c r="B22818" t="s">
        <v>56</v>
      </c>
      <c r="C22818" s="1">
        <f>HYPERLINK("https://cao.dolgi.msk.ru/account/1011087783/", 1011087783)</f>
        <v>1011087783</v>
      </c>
      <c r="D22818">
        <v>0</v>
      </c>
    </row>
    <row r="22819" spans="1:4" hidden="1" x14ac:dyDescent="0.3">
      <c r="A22819" t="s">
        <v>1224</v>
      </c>
      <c r="B22819" t="s">
        <v>97</v>
      </c>
      <c r="C22819" s="1">
        <f>HYPERLINK("https://cao.dolgi.msk.ru/account/1011087628/", 1011087628)</f>
        <v>1011087628</v>
      </c>
      <c r="D22819">
        <v>0</v>
      </c>
    </row>
    <row r="22820" spans="1:4" hidden="1" x14ac:dyDescent="0.3">
      <c r="A22820" t="s">
        <v>1224</v>
      </c>
      <c r="B22820" t="s">
        <v>98</v>
      </c>
      <c r="C22820" s="1">
        <f>HYPERLINK("https://cao.dolgi.msk.ru/account/1011087636/", 1011087636)</f>
        <v>1011087636</v>
      </c>
      <c r="D22820">
        <v>0</v>
      </c>
    </row>
    <row r="22821" spans="1:4" hidden="1" x14ac:dyDescent="0.3">
      <c r="A22821" t="s">
        <v>1224</v>
      </c>
      <c r="B22821" t="s">
        <v>58</v>
      </c>
      <c r="C22821" s="1">
        <f>HYPERLINK("https://cao.dolgi.msk.ru/account/1011087644/", 1011087644)</f>
        <v>1011087644</v>
      </c>
      <c r="D22821">
        <v>0</v>
      </c>
    </row>
    <row r="22822" spans="1:4" hidden="1" x14ac:dyDescent="0.3">
      <c r="A22822" t="s">
        <v>1224</v>
      </c>
      <c r="B22822" t="s">
        <v>60</v>
      </c>
      <c r="C22822" s="1">
        <f>HYPERLINK("https://cao.dolgi.msk.ru/account/1011087652/", 1011087652)</f>
        <v>1011087652</v>
      </c>
      <c r="D22822">
        <v>0</v>
      </c>
    </row>
    <row r="22823" spans="1:4" hidden="1" x14ac:dyDescent="0.3">
      <c r="A22823" t="s">
        <v>1224</v>
      </c>
      <c r="B22823" t="s">
        <v>62</v>
      </c>
      <c r="C22823" s="1">
        <f>HYPERLINK("https://cao.dolgi.msk.ru/account/1011087839/", 1011087839)</f>
        <v>1011087839</v>
      </c>
      <c r="D22823">
        <v>0</v>
      </c>
    </row>
    <row r="22824" spans="1:4" hidden="1" x14ac:dyDescent="0.3">
      <c r="A22824" t="s">
        <v>1224</v>
      </c>
      <c r="B22824" t="s">
        <v>62</v>
      </c>
      <c r="C22824" s="1">
        <f>HYPERLINK("https://cao.dolgi.msk.ru/account/1011087847/", 1011087847)</f>
        <v>1011087847</v>
      </c>
      <c r="D22824">
        <v>-4773.09</v>
      </c>
    </row>
    <row r="22825" spans="1:4" hidden="1" x14ac:dyDescent="0.3">
      <c r="A22825" t="s">
        <v>1224</v>
      </c>
      <c r="B22825" t="s">
        <v>63</v>
      </c>
      <c r="C22825" s="1">
        <f>HYPERLINK("https://cao.dolgi.msk.ru/account/1011087855/", 1011087855)</f>
        <v>1011087855</v>
      </c>
      <c r="D22825">
        <v>-2124.5100000000002</v>
      </c>
    </row>
    <row r="22826" spans="1:4" x14ac:dyDescent="0.3">
      <c r="A22826" t="s">
        <v>1224</v>
      </c>
      <c r="B22826" t="s">
        <v>63</v>
      </c>
      <c r="C22826" s="1">
        <f>HYPERLINK("https://cao.dolgi.msk.ru/account/1011087863/", 1011087863)</f>
        <v>1011087863</v>
      </c>
      <c r="D22826">
        <v>3512.38</v>
      </c>
    </row>
    <row r="22827" spans="1:4" hidden="1" x14ac:dyDescent="0.3">
      <c r="A22827" t="s">
        <v>1224</v>
      </c>
      <c r="B22827" t="s">
        <v>63</v>
      </c>
      <c r="C22827" s="1">
        <f>HYPERLINK("https://cao.dolgi.msk.ru/account/1011505711/", 1011505711)</f>
        <v>1011505711</v>
      </c>
      <c r="D22827">
        <v>-3952.36</v>
      </c>
    </row>
    <row r="22828" spans="1:4" x14ac:dyDescent="0.3">
      <c r="A22828" t="s">
        <v>1224</v>
      </c>
      <c r="B22828" t="s">
        <v>63</v>
      </c>
      <c r="C22828" s="1">
        <f>HYPERLINK("https://cao.dolgi.msk.ru/account/1011527355/", 1011527355)</f>
        <v>1011527355</v>
      </c>
      <c r="D22828">
        <v>12692.14</v>
      </c>
    </row>
    <row r="22829" spans="1:4" hidden="1" x14ac:dyDescent="0.3">
      <c r="A22829" t="s">
        <v>1224</v>
      </c>
      <c r="B22829" t="s">
        <v>64</v>
      </c>
      <c r="C22829" s="1">
        <f>HYPERLINK("https://cao.dolgi.msk.ru/account/1011087898/", 1011087898)</f>
        <v>1011087898</v>
      </c>
      <c r="D22829">
        <v>0</v>
      </c>
    </row>
    <row r="22830" spans="1:4" hidden="1" x14ac:dyDescent="0.3">
      <c r="A22830" t="s">
        <v>1224</v>
      </c>
      <c r="B22830" t="s">
        <v>65</v>
      </c>
      <c r="C22830" s="1">
        <f>HYPERLINK("https://cao.dolgi.msk.ru/account/1011087927/", 1011087927)</f>
        <v>1011087927</v>
      </c>
      <c r="D22830">
        <v>0</v>
      </c>
    </row>
    <row r="22831" spans="1:4" hidden="1" x14ac:dyDescent="0.3">
      <c r="A22831" t="s">
        <v>1224</v>
      </c>
      <c r="B22831" t="s">
        <v>65</v>
      </c>
      <c r="C22831" s="1">
        <f>HYPERLINK("https://cao.dolgi.msk.ru/account/1011087935/", 1011087935)</f>
        <v>1011087935</v>
      </c>
      <c r="D22831">
        <v>-352.79</v>
      </c>
    </row>
    <row r="22832" spans="1:4" hidden="1" x14ac:dyDescent="0.3">
      <c r="A22832" t="s">
        <v>1224</v>
      </c>
      <c r="B22832" t="s">
        <v>65</v>
      </c>
      <c r="C22832" s="1">
        <f>HYPERLINK("https://cao.dolgi.msk.ru/account/1011486231/", 1011486231)</f>
        <v>1011486231</v>
      </c>
      <c r="D22832">
        <v>0</v>
      </c>
    </row>
    <row r="22833" spans="1:4" x14ac:dyDescent="0.3">
      <c r="A22833" t="s">
        <v>1224</v>
      </c>
      <c r="B22833" t="s">
        <v>65</v>
      </c>
      <c r="C22833" s="1">
        <f>HYPERLINK("https://cao.dolgi.msk.ru/account/1011486258/", 1011486258)</f>
        <v>1011486258</v>
      </c>
      <c r="D22833">
        <v>18374.599999999999</v>
      </c>
    </row>
    <row r="22834" spans="1:4" hidden="1" x14ac:dyDescent="0.3">
      <c r="A22834" t="s">
        <v>1224</v>
      </c>
      <c r="B22834" t="s">
        <v>259</v>
      </c>
      <c r="C22834" s="1">
        <f>HYPERLINK("https://cao.dolgi.msk.ru/account/1011087679/", 1011087679)</f>
        <v>1011087679</v>
      </c>
      <c r="D22834">
        <v>0</v>
      </c>
    </row>
    <row r="22835" spans="1:4" hidden="1" x14ac:dyDescent="0.3">
      <c r="A22835" t="s">
        <v>1224</v>
      </c>
      <c r="B22835" t="s">
        <v>74</v>
      </c>
      <c r="C22835" s="1">
        <f>HYPERLINK("https://cao.dolgi.msk.ru/account/1011087687/", 1011087687)</f>
        <v>1011087687</v>
      </c>
      <c r="D22835">
        <v>0</v>
      </c>
    </row>
    <row r="22836" spans="1:4" hidden="1" x14ac:dyDescent="0.3">
      <c r="A22836" t="s">
        <v>1224</v>
      </c>
      <c r="B22836" t="s">
        <v>76</v>
      </c>
      <c r="C22836" s="1">
        <f>HYPERLINK("https://cao.dolgi.msk.ru/account/1011087695/", 1011087695)</f>
        <v>1011087695</v>
      </c>
      <c r="D22836">
        <v>0</v>
      </c>
    </row>
    <row r="22837" spans="1:4" x14ac:dyDescent="0.3">
      <c r="A22837" t="s">
        <v>1224</v>
      </c>
      <c r="B22837" t="s">
        <v>77</v>
      </c>
      <c r="C22837" s="1">
        <f>HYPERLINK("https://cao.dolgi.msk.ru/account/1011087708/", 1011087708)</f>
        <v>1011087708</v>
      </c>
      <c r="D22837">
        <v>7197.85</v>
      </c>
    </row>
    <row r="22838" spans="1:4" hidden="1" x14ac:dyDescent="0.3">
      <c r="A22838" t="s">
        <v>1225</v>
      </c>
      <c r="B22838" t="s">
        <v>6</v>
      </c>
      <c r="C22838" s="1">
        <f>HYPERLINK("https://cao.dolgi.msk.ru/account/1011484789/", 1011484789)</f>
        <v>1011484789</v>
      </c>
      <c r="D22838">
        <v>0</v>
      </c>
    </row>
    <row r="22839" spans="1:4" hidden="1" x14ac:dyDescent="0.3">
      <c r="A22839" t="s">
        <v>1225</v>
      </c>
      <c r="B22839" t="s">
        <v>5</v>
      </c>
      <c r="C22839" s="1">
        <f>HYPERLINK("https://cao.dolgi.msk.ru/account/1011483938/", 1011483938)</f>
        <v>1011483938</v>
      </c>
      <c r="D22839">
        <v>0</v>
      </c>
    </row>
    <row r="22840" spans="1:4" hidden="1" x14ac:dyDescent="0.3">
      <c r="A22840" t="s">
        <v>1225</v>
      </c>
      <c r="B22840" t="s">
        <v>7</v>
      </c>
      <c r="C22840" s="1">
        <f>HYPERLINK("https://cao.dolgi.msk.ru/account/1011484324/", 1011484324)</f>
        <v>1011484324</v>
      </c>
      <c r="D22840">
        <v>0</v>
      </c>
    </row>
    <row r="22841" spans="1:4" hidden="1" x14ac:dyDescent="0.3">
      <c r="A22841" t="s">
        <v>1225</v>
      </c>
      <c r="B22841" t="s">
        <v>8</v>
      </c>
      <c r="C22841" s="1">
        <f>HYPERLINK("https://cao.dolgi.msk.ru/account/1011484631/", 1011484631)</f>
        <v>1011484631</v>
      </c>
      <c r="D22841">
        <v>0</v>
      </c>
    </row>
    <row r="22842" spans="1:4" x14ac:dyDescent="0.3">
      <c r="A22842" t="s">
        <v>1225</v>
      </c>
      <c r="B22842" t="s">
        <v>31</v>
      </c>
      <c r="C22842" s="1">
        <f>HYPERLINK("https://cao.dolgi.msk.ru/account/1011484893/", 1011484893)</f>
        <v>1011484893</v>
      </c>
      <c r="D22842">
        <v>8759.85</v>
      </c>
    </row>
    <row r="22843" spans="1:4" hidden="1" x14ac:dyDescent="0.3">
      <c r="A22843" t="s">
        <v>1225</v>
      </c>
      <c r="B22843" t="s">
        <v>9</v>
      </c>
      <c r="C22843" s="1">
        <f>HYPERLINK("https://cao.dolgi.msk.ru/account/1011484455/", 1011484455)</f>
        <v>1011484455</v>
      </c>
      <c r="D22843">
        <v>-10690.9</v>
      </c>
    </row>
    <row r="22844" spans="1:4" hidden="1" x14ac:dyDescent="0.3">
      <c r="A22844" t="s">
        <v>1225</v>
      </c>
      <c r="B22844" t="s">
        <v>10</v>
      </c>
      <c r="C22844" s="1">
        <f>HYPERLINK("https://cao.dolgi.msk.ru/account/1011484332/", 1011484332)</f>
        <v>1011484332</v>
      </c>
      <c r="D22844">
        <v>0</v>
      </c>
    </row>
    <row r="22845" spans="1:4" hidden="1" x14ac:dyDescent="0.3">
      <c r="A22845" t="s">
        <v>1225</v>
      </c>
      <c r="B22845" t="s">
        <v>11</v>
      </c>
      <c r="C22845" s="1">
        <f>HYPERLINK("https://cao.dolgi.msk.ru/account/1011484199/", 1011484199)</f>
        <v>1011484199</v>
      </c>
      <c r="D22845">
        <v>-6539.02</v>
      </c>
    </row>
    <row r="22846" spans="1:4" hidden="1" x14ac:dyDescent="0.3">
      <c r="A22846" t="s">
        <v>1225</v>
      </c>
      <c r="B22846" t="s">
        <v>12</v>
      </c>
      <c r="C22846" s="1">
        <f>HYPERLINK("https://cao.dolgi.msk.ru/account/1011484463/", 1011484463)</f>
        <v>1011484463</v>
      </c>
      <c r="D22846">
        <v>0</v>
      </c>
    </row>
    <row r="22847" spans="1:4" hidden="1" x14ac:dyDescent="0.3">
      <c r="A22847" t="s">
        <v>1225</v>
      </c>
      <c r="B22847" t="s">
        <v>23</v>
      </c>
      <c r="C22847" s="1">
        <f>HYPERLINK("https://cao.dolgi.msk.ru/account/1011484658/", 1011484658)</f>
        <v>1011484658</v>
      </c>
      <c r="D22847">
        <v>-6994.34</v>
      </c>
    </row>
    <row r="22848" spans="1:4" hidden="1" x14ac:dyDescent="0.3">
      <c r="A22848" t="s">
        <v>1225</v>
      </c>
      <c r="B22848" t="s">
        <v>13</v>
      </c>
      <c r="C22848" s="1">
        <f>HYPERLINK("https://cao.dolgi.msk.ru/account/1011484666/", 1011484666)</f>
        <v>1011484666</v>
      </c>
      <c r="D22848">
        <v>0</v>
      </c>
    </row>
    <row r="22849" spans="1:4" hidden="1" x14ac:dyDescent="0.3">
      <c r="A22849" t="s">
        <v>1225</v>
      </c>
      <c r="B22849" t="s">
        <v>14</v>
      </c>
      <c r="C22849" s="1">
        <f>HYPERLINK("https://cao.dolgi.msk.ru/account/1011484797/", 1011484797)</f>
        <v>1011484797</v>
      </c>
      <c r="D22849">
        <v>0</v>
      </c>
    </row>
    <row r="22850" spans="1:4" hidden="1" x14ac:dyDescent="0.3">
      <c r="A22850" t="s">
        <v>1225</v>
      </c>
      <c r="B22850" t="s">
        <v>16</v>
      </c>
      <c r="C22850" s="1">
        <f>HYPERLINK("https://cao.dolgi.msk.ru/account/1011484674/", 1011484674)</f>
        <v>1011484674</v>
      </c>
      <c r="D22850">
        <v>0</v>
      </c>
    </row>
    <row r="22851" spans="1:4" hidden="1" x14ac:dyDescent="0.3">
      <c r="A22851" t="s">
        <v>1225</v>
      </c>
      <c r="B22851" t="s">
        <v>17</v>
      </c>
      <c r="C22851" s="1">
        <f>HYPERLINK("https://cao.dolgi.msk.ru/account/1011484471/", 1011484471)</f>
        <v>1011484471</v>
      </c>
      <c r="D22851">
        <v>0</v>
      </c>
    </row>
    <row r="22852" spans="1:4" hidden="1" x14ac:dyDescent="0.3">
      <c r="A22852" t="s">
        <v>1225</v>
      </c>
      <c r="B22852" t="s">
        <v>18</v>
      </c>
      <c r="C22852" s="1">
        <f>HYPERLINK("https://cao.dolgi.msk.ru/account/1011484682/", 1011484682)</f>
        <v>1011484682</v>
      </c>
      <c r="D22852">
        <v>0</v>
      </c>
    </row>
    <row r="22853" spans="1:4" hidden="1" x14ac:dyDescent="0.3">
      <c r="A22853" t="s">
        <v>1225</v>
      </c>
      <c r="B22853" t="s">
        <v>19</v>
      </c>
      <c r="C22853" s="1">
        <f>HYPERLINK("https://cao.dolgi.msk.ru/account/1011484703/", 1011484703)</f>
        <v>1011484703</v>
      </c>
      <c r="D22853">
        <v>0</v>
      </c>
    </row>
    <row r="22854" spans="1:4" hidden="1" x14ac:dyDescent="0.3">
      <c r="A22854" t="s">
        <v>1225</v>
      </c>
      <c r="B22854" t="s">
        <v>20</v>
      </c>
      <c r="C22854" s="1">
        <f>HYPERLINK("https://cao.dolgi.msk.ru/account/1011483946/", 1011483946)</f>
        <v>1011483946</v>
      </c>
      <c r="D22854">
        <v>0</v>
      </c>
    </row>
    <row r="22855" spans="1:4" hidden="1" x14ac:dyDescent="0.3">
      <c r="A22855" t="s">
        <v>1225</v>
      </c>
      <c r="B22855" t="s">
        <v>21</v>
      </c>
      <c r="C22855" s="1">
        <f>HYPERLINK("https://cao.dolgi.msk.ru/account/1011484359/", 1011484359)</f>
        <v>1011484359</v>
      </c>
      <c r="D22855">
        <v>-211.67</v>
      </c>
    </row>
    <row r="22856" spans="1:4" hidden="1" x14ac:dyDescent="0.3">
      <c r="A22856" t="s">
        <v>1225</v>
      </c>
      <c r="B22856" t="s">
        <v>22</v>
      </c>
      <c r="C22856" s="1">
        <f>HYPERLINK("https://cao.dolgi.msk.ru/account/1011483954/", 1011483954)</f>
        <v>1011483954</v>
      </c>
      <c r="D22856">
        <v>0</v>
      </c>
    </row>
    <row r="22857" spans="1:4" x14ac:dyDescent="0.3">
      <c r="A22857" t="s">
        <v>1225</v>
      </c>
      <c r="B22857" t="s">
        <v>24</v>
      </c>
      <c r="C22857" s="1">
        <f>HYPERLINK("https://cao.dolgi.msk.ru/account/1011484906/", 1011484906)</f>
        <v>1011484906</v>
      </c>
      <c r="D22857">
        <v>5197.66</v>
      </c>
    </row>
    <row r="22858" spans="1:4" hidden="1" x14ac:dyDescent="0.3">
      <c r="A22858" t="s">
        <v>1225</v>
      </c>
      <c r="B22858" t="s">
        <v>25</v>
      </c>
      <c r="C22858" s="1">
        <f>HYPERLINK("https://cao.dolgi.msk.ru/account/1011484914/", 1011484914)</f>
        <v>1011484914</v>
      </c>
      <c r="D22858">
        <v>0</v>
      </c>
    </row>
    <row r="22859" spans="1:4" hidden="1" x14ac:dyDescent="0.3">
      <c r="A22859" t="s">
        <v>1225</v>
      </c>
      <c r="B22859" t="s">
        <v>26</v>
      </c>
      <c r="C22859" s="1">
        <f>HYPERLINK("https://cao.dolgi.msk.ru/account/1011484922/", 1011484922)</f>
        <v>1011484922</v>
      </c>
      <c r="D22859">
        <v>0</v>
      </c>
    </row>
    <row r="22860" spans="1:4" hidden="1" x14ac:dyDescent="0.3">
      <c r="A22860" t="s">
        <v>1225</v>
      </c>
      <c r="B22860" t="s">
        <v>27</v>
      </c>
      <c r="C22860" s="1">
        <f>HYPERLINK("https://cao.dolgi.msk.ru/account/1011484711/", 1011484711)</f>
        <v>1011484711</v>
      </c>
      <c r="D22860">
        <v>0</v>
      </c>
    </row>
    <row r="22861" spans="1:4" hidden="1" x14ac:dyDescent="0.3">
      <c r="A22861" t="s">
        <v>1225</v>
      </c>
      <c r="B22861" t="s">
        <v>29</v>
      </c>
      <c r="C22861" s="1">
        <f>HYPERLINK("https://cao.dolgi.msk.ru/account/1011484076/", 1011484076)</f>
        <v>1011484076</v>
      </c>
      <c r="D22861">
        <v>-5609.27</v>
      </c>
    </row>
    <row r="22862" spans="1:4" x14ac:dyDescent="0.3">
      <c r="A22862" t="s">
        <v>1225</v>
      </c>
      <c r="B22862" t="s">
        <v>38</v>
      </c>
      <c r="C22862" s="1">
        <f>HYPERLINK("https://cao.dolgi.msk.ru/account/1011484498/", 1011484498)</f>
        <v>1011484498</v>
      </c>
      <c r="D22862">
        <v>3598.74</v>
      </c>
    </row>
    <row r="22863" spans="1:4" hidden="1" x14ac:dyDescent="0.3">
      <c r="A22863" t="s">
        <v>1225</v>
      </c>
      <c r="B22863" t="s">
        <v>39</v>
      </c>
      <c r="C22863" s="1">
        <f>HYPERLINK("https://cao.dolgi.msk.ru/account/1011484201/", 1011484201)</f>
        <v>1011484201</v>
      </c>
      <c r="D22863">
        <v>0</v>
      </c>
    </row>
    <row r="22864" spans="1:4" hidden="1" x14ac:dyDescent="0.3">
      <c r="A22864" t="s">
        <v>1225</v>
      </c>
      <c r="B22864" t="s">
        <v>40</v>
      </c>
      <c r="C22864" s="1">
        <f>HYPERLINK("https://cao.dolgi.msk.ru/account/1011484949/", 1011484949)</f>
        <v>1011484949</v>
      </c>
      <c r="D22864">
        <v>-1101.8800000000001</v>
      </c>
    </row>
    <row r="22865" spans="1:4" hidden="1" x14ac:dyDescent="0.3">
      <c r="A22865" t="s">
        <v>1225</v>
      </c>
      <c r="B22865" t="s">
        <v>41</v>
      </c>
      <c r="C22865" s="1">
        <f>HYPERLINK("https://cao.dolgi.msk.ru/account/1011484818/", 1011484818)</f>
        <v>1011484818</v>
      </c>
      <c r="D22865">
        <v>-5267</v>
      </c>
    </row>
    <row r="22866" spans="1:4" hidden="1" x14ac:dyDescent="0.3">
      <c r="A22866" t="s">
        <v>1225</v>
      </c>
      <c r="B22866" t="s">
        <v>51</v>
      </c>
      <c r="C22866" s="1">
        <f>HYPERLINK("https://cao.dolgi.msk.ru/account/1011484367/", 1011484367)</f>
        <v>1011484367</v>
      </c>
      <c r="D22866">
        <v>-7536.74</v>
      </c>
    </row>
    <row r="22867" spans="1:4" hidden="1" x14ac:dyDescent="0.3">
      <c r="A22867" t="s">
        <v>1225</v>
      </c>
      <c r="B22867" t="s">
        <v>52</v>
      </c>
      <c r="C22867" s="1">
        <f>HYPERLINK("https://cao.dolgi.msk.ru/account/1011484957/", 1011484957)</f>
        <v>1011484957</v>
      </c>
      <c r="D22867">
        <v>0</v>
      </c>
    </row>
    <row r="22868" spans="1:4" hidden="1" x14ac:dyDescent="0.3">
      <c r="A22868" t="s">
        <v>1225</v>
      </c>
      <c r="B22868" t="s">
        <v>53</v>
      </c>
      <c r="C22868" s="1">
        <f>HYPERLINK("https://cao.dolgi.msk.ru/account/1011484519/", 1011484519)</f>
        <v>1011484519</v>
      </c>
      <c r="D22868">
        <v>-4247.7700000000004</v>
      </c>
    </row>
    <row r="22869" spans="1:4" x14ac:dyDescent="0.3">
      <c r="A22869" t="s">
        <v>1225</v>
      </c>
      <c r="B22869" t="s">
        <v>54</v>
      </c>
      <c r="C22869" s="1">
        <f>HYPERLINK("https://cao.dolgi.msk.ru/account/1011483962/", 1011483962)</f>
        <v>1011483962</v>
      </c>
      <c r="D22869">
        <v>3119.44</v>
      </c>
    </row>
    <row r="22870" spans="1:4" hidden="1" x14ac:dyDescent="0.3">
      <c r="A22870" t="s">
        <v>1225</v>
      </c>
      <c r="B22870" t="s">
        <v>55</v>
      </c>
      <c r="C22870" s="1">
        <f>HYPERLINK("https://cao.dolgi.msk.ru/account/1011484738/", 1011484738)</f>
        <v>1011484738</v>
      </c>
      <c r="D22870">
        <v>-6709.5</v>
      </c>
    </row>
    <row r="22871" spans="1:4" hidden="1" x14ac:dyDescent="0.3">
      <c r="A22871" t="s">
        <v>1225</v>
      </c>
      <c r="B22871" t="s">
        <v>87</v>
      </c>
      <c r="C22871" s="1">
        <f>HYPERLINK("https://cao.dolgi.msk.ru/account/1011484965/", 1011484965)</f>
        <v>1011484965</v>
      </c>
      <c r="D22871">
        <v>-4490.84</v>
      </c>
    </row>
    <row r="22872" spans="1:4" hidden="1" x14ac:dyDescent="0.3">
      <c r="A22872" t="s">
        <v>1225</v>
      </c>
      <c r="B22872" t="s">
        <v>88</v>
      </c>
      <c r="C22872" s="1">
        <f>HYPERLINK("https://cao.dolgi.msk.ru/account/1011484527/", 1011484527)</f>
        <v>1011484527</v>
      </c>
      <c r="D22872">
        <v>-290.37</v>
      </c>
    </row>
    <row r="22873" spans="1:4" hidden="1" x14ac:dyDescent="0.3">
      <c r="A22873" t="s">
        <v>1225</v>
      </c>
      <c r="B22873" t="s">
        <v>89</v>
      </c>
      <c r="C22873" s="1">
        <f>HYPERLINK("https://cao.dolgi.msk.ru/account/1011484084/", 1011484084)</f>
        <v>1011484084</v>
      </c>
      <c r="D22873">
        <v>0</v>
      </c>
    </row>
    <row r="22874" spans="1:4" x14ac:dyDescent="0.3">
      <c r="A22874" t="s">
        <v>1225</v>
      </c>
      <c r="B22874" t="s">
        <v>90</v>
      </c>
      <c r="C22874" s="1">
        <f>HYPERLINK("https://cao.dolgi.msk.ru/account/1011484973/", 1011484973)</f>
        <v>1011484973</v>
      </c>
      <c r="D22874">
        <v>16902.95</v>
      </c>
    </row>
    <row r="22875" spans="1:4" hidden="1" x14ac:dyDescent="0.3">
      <c r="A22875" t="s">
        <v>1225</v>
      </c>
      <c r="B22875" t="s">
        <v>96</v>
      </c>
      <c r="C22875" s="1">
        <f>HYPERLINK("https://cao.dolgi.msk.ru/account/1011484535/", 1011484535)</f>
        <v>1011484535</v>
      </c>
      <c r="D22875">
        <v>-564.79</v>
      </c>
    </row>
    <row r="22876" spans="1:4" hidden="1" x14ac:dyDescent="0.3">
      <c r="A22876" t="s">
        <v>1225</v>
      </c>
      <c r="B22876" t="s">
        <v>97</v>
      </c>
      <c r="C22876" s="1">
        <f>HYPERLINK("https://cao.dolgi.msk.ru/account/1011484543/", 1011484543)</f>
        <v>1011484543</v>
      </c>
      <c r="D22876">
        <v>-138.99</v>
      </c>
    </row>
    <row r="22877" spans="1:4" hidden="1" x14ac:dyDescent="0.3">
      <c r="A22877" t="s">
        <v>1225</v>
      </c>
      <c r="B22877" t="s">
        <v>98</v>
      </c>
      <c r="C22877" s="1">
        <f>HYPERLINK("https://cao.dolgi.msk.ru/account/1011484228/", 1011484228)</f>
        <v>1011484228</v>
      </c>
      <c r="D22877">
        <v>0</v>
      </c>
    </row>
    <row r="22878" spans="1:4" x14ac:dyDescent="0.3">
      <c r="A22878" t="s">
        <v>1225</v>
      </c>
      <c r="B22878" t="s">
        <v>58</v>
      </c>
      <c r="C22878" s="1">
        <f>HYPERLINK("https://cao.dolgi.msk.ru/account/1011484981/", 1011484981)</f>
        <v>1011484981</v>
      </c>
      <c r="D22878">
        <v>2590.06</v>
      </c>
    </row>
    <row r="22879" spans="1:4" hidden="1" x14ac:dyDescent="0.3">
      <c r="A22879" t="s">
        <v>1225</v>
      </c>
      <c r="B22879" t="s">
        <v>59</v>
      </c>
      <c r="C22879" s="1">
        <f>HYPERLINK("https://cao.dolgi.msk.ru/account/1011483989/", 1011483989)</f>
        <v>1011483989</v>
      </c>
      <c r="D22879">
        <v>-436.29</v>
      </c>
    </row>
    <row r="22880" spans="1:4" hidden="1" x14ac:dyDescent="0.3">
      <c r="A22880" t="s">
        <v>1225</v>
      </c>
      <c r="B22880" t="s">
        <v>60</v>
      </c>
      <c r="C22880" s="1">
        <f>HYPERLINK("https://cao.dolgi.msk.ru/account/1011485001/", 1011485001)</f>
        <v>1011485001</v>
      </c>
      <c r="D22880">
        <v>0</v>
      </c>
    </row>
    <row r="22881" spans="1:4" x14ac:dyDescent="0.3">
      <c r="A22881" t="s">
        <v>1225</v>
      </c>
      <c r="B22881" t="s">
        <v>61</v>
      </c>
      <c r="C22881" s="1">
        <f>HYPERLINK("https://cao.dolgi.msk.ru/account/1011484375/", 1011484375)</f>
        <v>1011484375</v>
      </c>
      <c r="D22881">
        <v>9243.4699999999993</v>
      </c>
    </row>
    <row r="22882" spans="1:4" hidden="1" x14ac:dyDescent="0.3">
      <c r="A22882" t="s">
        <v>1225</v>
      </c>
      <c r="B22882" t="s">
        <v>62</v>
      </c>
      <c r="C22882" s="1">
        <f>HYPERLINK("https://cao.dolgi.msk.ru/account/1011483997/", 1011483997)</f>
        <v>1011483997</v>
      </c>
      <c r="D22882">
        <v>-294.83999999999997</v>
      </c>
    </row>
    <row r="22883" spans="1:4" x14ac:dyDescent="0.3">
      <c r="A22883" t="s">
        <v>1225</v>
      </c>
      <c r="B22883" t="s">
        <v>63</v>
      </c>
      <c r="C22883" s="1">
        <f>HYPERLINK("https://cao.dolgi.msk.ru/account/1011484009/", 1011484009)</f>
        <v>1011484009</v>
      </c>
      <c r="D22883">
        <v>12430.89</v>
      </c>
    </row>
    <row r="22884" spans="1:4" hidden="1" x14ac:dyDescent="0.3">
      <c r="A22884" t="s">
        <v>1225</v>
      </c>
      <c r="B22884" t="s">
        <v>64</v>
      </c>
      <c r="C22884" s="1">
        <f>HYPERLINK("https://cao.dolgi.msk.ru/account/1011484236/", 1011484236)</f>
        <v>1011484236</v>
      </c>
      <c r="D22884">
        <v>-1506.85</v>
      </c>
    </row>
    <row r="22885" spans="1:4" hidden="1" x14ac:dyDescent="0.3">
      <c r="A22885" t="s">
        <v>1225</v>
      </c>
      <c r="B22885" t="s">
        <v>65</v>
      </c>
      <c r="C22885" s="1">
        <f>HYPERLINK("https://cao.dolgi.msk.ru/account/1011484383/", 1011484383)</f>
        <v>1011484383</v>
      </c>
      <c r="D22885">
        <v>-5594.15</v>
      </c>
    </row>
    <row r="22886" spans="1:4" hidden="1" x14ac:dyDescent="0.3">
      <c r="A22886" t="s">
        <v>1225</v>
      </c>
      <c r="B22886" t="s">
        <v>66</v>
      </c>
      <c r="C22886" s="1">
        <f>HYPERLINK("https://cao.dolgi.msk.ru/account/1011484746/", 1011484746)</f>
        <v>1011484746</v>
      </c>
      <c r="D22886">
        <v>-48.39</v>
      </c>
    </row>
    <row r="22887" spans="1:4" hidden="1" x14ac:dyDescent="0.3">
      <c r="A22887" t="s">
        <v>1225</v>
      </c>
      <c r="B22887" t="s">
        <v>67</v>
      </c>
      <c r="C22887" s="1">
        <f>HYPERLINK("https://cao.dolgi.msk.ru/account/1011484244/", 1011484244)</f>
        <v>1011484244</v>
      </c>
      <c r="D22887">
        <v>-7199.67</v>
      </c>
    </row>
    <row r="22888" spans="1:4" hidden="1" x14ac:dyDescent="0.3">
      <c r="A22888" t="s">
        <v>1225</v>
      </c>
      <c r="B22888" t="s">
        <v>68</v>
      </c>
      <c r="C22888" s="1">
        <f>HYPERLINK("https://cao.dolgi.msk.ru/account/1011484551/", 1011484551)</f>
        <v>1011484551</v>
      </c>
      <c r="D22888">
        <v>0</v>
      </c>
    </row>
    <row r="22889" spans="1:4" hidden="1" x14ac:dyDescent="0.3">
      <c r="A22889" t="s">
        <v>1225</v>
      </c>
      <c r="B22889" t="s">
        <v>69</v>
      </c>
      <c r="C22889" s="1">
        <f>HYPERLINK("https://cao.dolgi.msk.ru/account/1011484885/", 1011484885)</f>
        <v>1011484885</v>
      </c>
      <c r="D22889">
        <v>-5679.7</v>
      </c>
    </row>
    <row r="22890" spans="1:4" hidden="1" x14ac:dyDescent="0.3">
      <c r="A22890" t="s">
        <v>1225</v>
      </c>
      <c r="B22890" t="s">
        <v>70</v>
      </c>
      <c r="C22890" s="1">
        <f>HYPERLINK("https://cao.dolgi.msk.ru/account/1011484017/", 1011484017)</f>
        <v>1011484017</v>
      </c>
      <c r="D22890">
        <v>0</v>
      </c>
    </row>
    <row r="22891" spans="1:4" hidden="1" x14ac:dyDescent="0.3">
      <c r="A22891" t="s">
        <v>1225</v>
      </c>
      <c r="B22891" t="s">
        <v>259</v>
      </c>
      <c r="C22891" s="1">
        <f>HYPERLINK("https://cao.dolgi.msk.ru/account/1011484578/", 1011484578)</f>
        <v>1011484578</v>
      </c>
      <c r="D22891">
        <v>0</v>
      </c>
    </row>
    <row r="22892" spans="1:4" hidden="1" x14ac:dyDescent="0.3">
      <c r="A22892" t="s">
        <v>1225</v>
      </c>
      <c r="B22892" t="s">
        <v>100</v>
      </c>
      <c r="C22892" s="1">
        <f>HYPERLINK("https://cao.dolgi.msk.ru/account/1011485036/", 1011485036)</f>
        <v>1011485036</v>
      </c>
      <c r="D22892">
        <v>0</v>
      </c>
    </row>
    <row r="22893" spans="1:4" hidden="1" x14ac:dyDescent="0.3">
      <c r="A22893" t="s">
        <v>1225</v>
      </c>
      <c r="B22893" t="s">
        <v>72</v>
      </c>
      <c r="C22893" s="1">
        <f>HYPERLINK("https://cao.dolgi.msk.ru/account/1011484092/", 1011484092)</f>
        <v>1011484092</v>
      </c>
      <c r="D22893">
        <v>-7925.03</v>
      </c>
    </row>
    <row r="22894" spans="1:4" hidden="1" x14ac:dyDescent="0.3">
      <c r="A22894" t="s">
        <v>1225</v>
      </c>
      <c r="B22894" t="s">
        <v>73</v>
      </c>
      <c r="C22894" s="1">
        <f>HYPERLINK("https://cao.dolgi.msk.ru/account/1011484025/", 1011484025)</f>
        <v>1011484025</v>
      </c>
      <c r="D22894">
        <v>0</v>
      </c>
    </row>
    <row r="22895" spans="1:4" hidden="1" x14ac:dyDescent="0.3">
      <c r="A22895" t="s">
        <v>1225</v>
      </c>
      <c r="B22895" t="s">
        <v>74</v>
      </c>
      <c r="C22895" s="1">
        <f>HYPERLINK("https://cao.dolgi.msk.ru/account/1011484105/", 1011484105)</f>
        <v>1011484105</v>
      </c>
      <c r="D22895">
        <v>0</v>
      </c>
    </row>
    <row r="22896" spans="1:4" hidden="1" x14ac:dyDescent="0.3">
      <c r="A22896" t="s">
        <v>1225</v>
      </c>
      <c r="B22896" t="s">
        <v>75</v>
      </c>
      <c r="C22896" s="1">
        <f>HYPERLINK("https://cao.dolgi.msk.ru/account/1011485028/", 1011485028)</f>
        <v>1011485028</v>
      </c>
      <c r="D22896">
        <v>0</v>
      </c>
    </row>
    <row r="22897" spans="1:4" x14ac:dyDescent="0.3">
      <c r="A22897" t="s">
        <v>1225</v>
      </c>
      <c r="B22897" t="s">
        <v>76</v>
      </c>
      <c r="C22897" s="1">
        <f>HYPERLINK("https://cao.dolgi.msk.ru/account/1011484586/", 1011484586)</f>
        <v>1011484586</v>
      </c>
      <c r="D22897">
        <v>11311.7</v>
      </c>
    </row>
    <row r="22898" spans="1:4" hidden="1" x14ac:dyDescent="0.3">
      <c r="A22898" t="s">
        <v>1225</v>
      </c>
      <c r="B22898" t="s">
        <v>77</v>
      </c>
      <c r="C22898" s="1">
        <f>HYPERLINK("https://cao.dolgi.msk.ru/account/1011484391/", 1011484391)</f>
        <v>1011484391</v>
      </c>
      <c r="D22898">
        <v>-8180.12</v>
      </c>
    </row>
    <row r="22899" spans="1:4" hidden="1" x14ac:dyDescent="0.3">
      <c r="A22899" t="s">
        <v>1225</v>
      </c>
      <c r="B22899" t="s">
        <v>78</v>
      </c>
      <c r="C22899" s="1">
        <f>HYPERLINK("https://cao.dolgi.msk.ru/account/1011484404/", 1011484404)</f>
        <v>1011484404</v>
      </c>
      <c r="D22899">
        <v>-2440.4499999999998</v>
      </c>
    </row>
    <row r="22900" spans="1:4" x14ac:dyDescent="0.3">
      <c r="A22900" t="s">
        <v>1225</v>
      </c>
      <c r="B22900" t="s">
        <v>79</v>
      </c>
      <c r="C22900" s="1">
        <f>HYPERLINK("https://cao.dolgi.msk.ru/account/1011484252/", 1011484252)</f>
        <v>1011484252</v>
      </c>
      <c r="D22900">
        <v>2147.54</v>
      </c>
    </row>
    <row r="22901" spans="1:4" hidden="1" x14ac:dyDescent="0.3">
      <c r="A22901" t="s">
        <v>1225</v>
      </c>
      <c r="B22901" t="s">
        <v>80</v>
      </c>
      <c r="C22901" s="1">
        <f>HYPERLINK("https://cao.dolgi.msk.ru/account/1011484594/", 1011484594)</f>
        <v>1011484594</v>
      </c>
      <c r="D22901">
        <v>0</v>
      </c>
    </row>
    <row r="22902" spans="1:4" hidden="1" x14ac:dyDescent="0.3">
      <c r="A22902" t="s">
        <v>1225</v>
      </c>
      <c r="B22902" t="s">
        <v>81</v>
      </c>
      <c r="C22902" s="1">
        <f>HYPERLINK("https://cao.dolgi.msk.ru/account/1011484033/", 1011484033)</f>
        <v>1011484033</v>
      </c>
      <c r="D22902">
        <v>0</v>
      </c>
    </row>
    <row r="22903" spans="1:4" hidden="1" x14ac:dyDescent="0.3">
      <c r="A22903" t="s">
        <v>1225</v>
      </c>
      <c r="B22903" t="s">
        <v>101</v>
      </c>
      <c r="C22903" s="1">
        <f>HYPERLINK("https://cao.dolgi.msk.ru/account/1011484826/", 1011484826)</f>
        <v>1011484826</v>
      </c>
      <c r="D22903">
        <v>0</v>
      </c>
    </row>
    <row r="22904" spans="1:4" hidden="1" x14ac:dyDescent="0.3">
      <c r="A22904" t="s">
        <v>1225</v>
      </c>
      <c r="B22904" t="s">
        <v>82</v>
      </c>
      <c r="C22904" s="1">
        <f>HYPERLINK("https://cao.dolgi.msk.ru/account/1011484113/", 1011484113)</f>
        <v>1011484113</v>
      </c>
      <c r="D22904">
        <v>0</v>
      </c>
    </row>
    <row r="22905" spans="1:4" hidden="1" x14ac:dyDescent="0.3">
      <c r="A22905" t="s">
        <v>1225</v>
      </c>
      <c r="B22905" t="s">
        <v>83</v>
      </c>
      <c r="C22905" s="1">
        <f>HYPERLINK("https://cao.dolgi.msk.ru/account/1011484754/", 1011484754)</f>
        <v>1011484754</v>
      </c>
      <c r="D22905">
        <v>-4120.8500000000004</v>
      </c>
    </row>
    <row r="22906" spans="1:4" hidden="1" x14ac:dyDescent="0.3">
      <c r="A22906" t="s">
        <v>1225</v>
      </c>
      <c r="B22906" t="s">
        <v>84</v>
      </c>
      <c r="C22906" s="1">
        <f>HYPERLINK("https://cao.dolgi.msk.ru/account/1011485044/", 1011485044)</f>
        <v>1011485044</v>
      </c>
      <c r="D22906">
        <v>0</v>
      </c>
    </row>
    <row r="22907" spans="1:4" hidden="1" x14ac:dyDescent="0.3">
      <c r="A22907" t="s">
        <v>1225</v>
      </c>
      <c r="B22907" t="s">
        <v>85</v>
      </c>
      <c r="C22907" s="1">
        <f>HYPERLINK("https://cao.dolgi.msk.ru/account/1011484834/", 1011484834)</f>
        <v>1011484834</v>
      </c>
      <c r="D22907">
        <v>0</v>
      </c>
    </row>
    <row r="22908" spans="1:4" hidden="1" x14ac:dyDescent="0.3">
      <c r="A22908" t="s">
        <v>1225</v>
      </c>
      <c r="B22908" t="s">
        <v>102</v>
      </c>
      <c r="C22908" s="1">
        <f>HYPERLINK("https://cao.dolgi.msk.ru/account/1011484121/", 1011484121)</f>
        <v>1011484121</v>
      </c>
      <c r="D22908">
        <v>0</v>
      </c>
    </row>
    <row r="22909" spans="1:4" hidden="1" x14ac:dyDescent="0.3">
      <c r="A22909" t="s">
        <v>1225</v>
      </c>
      <c r="B22909" t="s">
        <v>103</v>
      </c>
      <c r="C22909" s="1">
        <f>HYPERLINK("https://cao.dolgi.msk.ru/account/1011484279/", 1011484279)</f>
        <v>1011484279</v>
      </c>
      <c r="D22909">
        <v>0</v>
      </c>
    </row>
    <row r="22910" spans="1:4" hidden="1" x14ac:dyDescent="0.3">
      <c r="A22910" t="s">
        <v>1225</v>
      </c>
      <c r="B22910" t="s">
        <v>104</v>
      </c>
      <c r="C22910" s="1">
        <f>HYPERLINK("https://cao.dolgi.msk.ru/account/1011484607/", 1011484607)</f>
        <v>1011484607</v>
      </c>
      <c r="D22910">
        <v>0</v>
      </c>
    </row>
    <row r="22911" spans="1:4" x14ac:dyDescent="0.3">
      <c r="A22911" t="s">
        <v>1225</v>
      </c>
      <c r="B22911" t="s">
        <v>105</v>
      </c>
      <c r="C22911" s="1">
        <f>HYPERLINK("https://cao.dolgi.msk.ru/account/1011484148/", 1011484148)</f>
        <v>1011484148</v>
      </c>
      <c r="D22911">
        <v>12658.93</v>
      </c>
    </row>
    <row r="22912" spans="1:4" hidden="1" x14ac:dyDescent="0.3">
      <c r="A22912" t="s">
        <v>1225</v>
      </c>
      <c r="B22912" t="s">
        <v>106</v>
      </c>
      <c r="C22912" s="1">
        <f>HYPERLINK("https://cao.dolgi.msk.ru/account/1011484842/", 1011484842)</f>
        <v>1011484842</v>
      </c>
      <c r="D22912">
        <v>-1281.07</v>
      </c>
    </row>
    <row r="22913" spans="1:4" x14ac:dyDescent="0.3">
      <c r="A22913" t="s">
        <v>1225</v>
      </c>
      <c r="B22913" t="s">
        <v>107</v>
      </c>
      <c r="C22913" s="1">
        <f>HYPERLINK("https://cao.dolgi.msk.ru/account/1011484287/", 1011484287)</f>
        <v>1011484287</v>
      </c>
      <c r="D22913">
        <v>6622.77</v>
      </c>
    </row>
    <row r="22914" spans="1:4" hidden="1" x14ac:dyDescent="0.3">
      <c r="A22914" t="s">
        <v>1225</v>
      </c>
      <c r="B22914" t="s">
        <v>108</v>
      </c>
      <c r="C22914" s="1">
        <f>HYPERLINK("https://cao.dolgi.msk.ru/account/1011484156/", 1011484156)</f>
        <v>1011484156</v>
      </c>
      <c r="D22914">
        <v>0</v>
      </c>
    </row>
    <row r="22915" spans="1:4" hidden="1" x14ac:dyDescent="0.3">
      <c r="A22915" t="s">
        <v>1225</v>
      </c>
      <c r="B22915" t="s">
        <v>109</v>
      </c>
      <c r="C22915" s="1">
        <f>HYPERLINK("https://cao.dolgi.msk.ru/account/1011484412/", 1011484412)</f>
        <v>1011484412</v>
      </c>
      <c r="D22915">
        <v>-9323.17</v>
      </c>
    </row>
    <row r="22916" spans="1:4" hidden="1" x14ac:dyDescent="0.3">
      <c r="A22916" t="s">
        <v>1225</v>
      </c>
      <c r="B22916" t="s">
        <v>110</v>
      </c>
      <c r="C22916" s="1">
        <f>HYPERLINK("https://cao.dolgi.msk.ru/account/1011484041/", 1011484041)</f>
        <v>1011484041</v>
      </c>
      <c r="D22916">
        <v>-10852.34</v>
      </c>
    </row>
    <row r="22917" spans="1:4" hidden="1" x14ac:dyDescent="0.3">
      <c r="A22917" t="s">
        <v>1225</v>
      </c>
      <c r="B22917" t="s">
        <v>111</v>
      </c>
      <c r="C22917" s="1">
        <f>HYPERLINK("https://cao.dolgi.msk.ru/account/1011484439/", 1011484439)</f>
        <v>1011484439</v>
      </c>
      <c r="D22917">
        <v>-71.91</v>
      </c>
    </row>
    <row r="22918" spans="1:4" x14ac:dyDescent="0.3">
      <c r="A22918" t="s">
        <v>1225</v>
      </c>
      <c r="B22918" t="s">
        <v>112</v>
      </c>
      <c r="C22918" s="1">
        <f>HYPERLINK("https://cao.dolgi.msk.ru/account/1011484615/", 1011484615)</f>
        <v>1011484615</v>
      </c>
      <c r="D22918">
        <v>51818.559999999998</v>
      </c>
    </row>
    <row r="22919" spans="1:4" hidden="1" x14ac:dyDescent="0.3">
      <c r="A22919" t="s">
        <v>1225</v>
      </c>
      <c r="B22919" t="s">
        <v>113</v>
      </c>
      <c r="C22919" s="1">
        <f>HYPERLINK("https://cao.dolgi.msk.ru/account/1011484295/", 1011484295)</f>
        <v>1011484295</v>
      </c>
      <c r="D22919">
        <v>0</v>
      </c>
    </row>
    <row r="22920" spans="1:4" hidden="1" x14ac:dyDescent="0.3">
      <c r="A22920" t="s">
        <v>1225</v>
      </c>
      <c r="B22920" t="s">
        <v>114</v>
      </c>
      <c r="C22920" s="1">
        <f>HYPERLINK("https://cao.dolgi.msk.ru/account/1011484762/", 1011484762)</f>
        <v>1011484762</v>
      </c>
      <c r="D22920">
        <v>0</v>
      </c>
    </row>
    <row r="22921" spans="1:4" hidden="1" x14ac:dyDescent="0.3">
      <c r="A22921" t="s">
        <v>1225</v>
      </c>
      <c r="B22921" t="s">
        <v>115</v>
      </c>
      <c r="C22921" s="1">
        <f>HYPERLINK("https://cao.dolgi.msk.ru/account/1011484308/", 1011484308)</f>
        <v>1011484308</v>
      </c>
      <c r="D22921">
        <v>0</v>
      </c>
    </row>
    <row r="22922" spans="1:4" hidden="1" x14ac:dyDescent="0.3">
      <c r="A22922" t="s">
        <v>1225</v>
      </c>
      <c r="B22922" t="s">
        <v>116</v>
      </c>
      <c r="C22922" s="1">
        <f>HYPERLINK("https://cao.dolgi.msk.ru/account/1011484316/", 1011484316)</f>
        <v>1011484316</v>
      </c>
      <c r="D22922">
        <v>0</v>
      </c>
    </row>
    <row r="22923" spans="1:4" hidden="1" x14ac:dyDescent="0.3">
      <c r="A22923" t="s">
        <v>1225</v>
      </c>
      <c r="B22923" t="s">
        <v>266</v>
      </c>
      <c r="C22923" s="1">
        <f>HYPERLINK("https://cao.dolgi.msk.ru/account/1011484869/", 1011484869)</f>
        <v>1011484869</v>
      </c>
      <c r="D22923">
        <v>0</v>
      </c>
    </row>
    <row r="22924" spans="1:4" x14ac:dyDescent="0.3">
      <c r="A22924" t="s">
        <v>1225</v>
      </c>
      <c r="B22924" t="s">
        <v>117</v>
      </c>
      <c r="C22924" s="1">
        <f>HYPERLINK("https://cao.dolgi.msk.ru/account/1011484623/", 1011484623)</f>
        <v>1011484623</v>
      </c>
      <c r="D22924">
        <v>17715.080000000002</v>
      </c>
    </row>
    <row r="22925" spans="1:4" x14ac:dyDescent="0.3">
      <c r="A22925" t="s">
        <v>1225</v>
      </c>
      <c r="B22925" t="s">
        <v>118</v>
      </c>
      <c r="C22925" s="1">
        <f>HYPERLINK("https://cao.dolgi.msk.ru/account/1011484164/", 1011484164)</f>
        <v>1011484164</v>
      </c>
      <c r="D22925">
        <v>17800.04</v>
      </c>
    </row>
    <row r="22926" spans="1:4" hidden="1" x14ac:dyDescent="0.3">
      <c r="A22926" t="s">
        <v>1225</v>
      </c>
      <c r="B22926" t="s">
        <v>119</v>
      </c>
      <c r="C22926" s="1">
        <f>HYPERLINK("https://cao.dolgi.msk.ru/account/1011484877/", 1011484877)</f>
        <v>1011484877</v>
      </c>
      <c r="D22926">
        <v>0</v>
      </c>
    </row>
    <row r="22927" spans="1:4" hidden="1" x14ac:dyDescent="0.3">
      <c r="A22927" t="s">
        <v>1225</v>
      </c>
      <c r="B22927" t="s">
        <v>120</v>
      </c>
      <c r="C22927" s="1">
        <f>HYPERLINK("https://cao.dolgi.msk.ru/account/1011484172/", 1011484172)</f>
        <v>1011484172</v>
      </c>
      <c r="D22927">
        <v>0</v>
      </c>
    </row>
    <row r="22928" spans="1:4" hidden="1" x14ac:dyDescent="0.3">
      <c r="A22928" t="s">
        <v>1226</v>
      </c>
      <c r="B22928" t="s">
        <v>6</v>
      </c>
      <c r="C22928" s="1">
        <f>HYPERLINK("https://cao.dolgi.msk.ru/account/1011432241/", 1011432241)</f>
        <v>1011432241</v>
      </c>
      <c r="D22928">
        <v>0</v>
      </c>
    </row>
    <row r="22929" spans="1:4" hidden="1" x14ac:dyDescent="0.3">
      <c r="A22929" t="s">
        <v>1226</v>
      </c>
      <c r="B22929" t="s">
        <v>799</v>
      </c>
      <c r="C22929" s="1">
        <f>HYPERLINK("https://cao.dolgi.msk.ru/account/1011432444/", 1011432444)</f>
        <v>1011432444</v>
      </c>
      <c r="D22929">
        <v>0</v>
      </c>
    </row>
    <row r="22930" spans="1:4" hidden="1" x14ac:dyDescent="0.3">
      <c r="A22930" t="s">
        <v>1226</v>
      </c>
      <c r="B22930" t="s">
        <v>28</v>
      </c>
      <c r="C22930" s="1">
        <f>HYPERLINK("https://cao.dolgi.msk.ru/account/1011432962/", 1011432962)</f>
        <v>1011432962</v>
      </c>
      <c r="D22930">
        <v>0</v>
      </c>
    </row>
    <row r="22931" spans="1:4" hidden="1" x14ac:dyDescent="0.3">
      <c r="A22931" t="s">
        <v>1226</v>
      </c>
      <c r="B22931" t="s">
        <v>35</v>
      </c>
      <c r="C22931" s="1">
        <f>HYPERLINK("https://cao.dolgi.msk.ru/account/1011432911/", 1011432911)</f>
        <v>1011432911</v>
      </c>
      <c r="D22931">
        <v>-40.98</v>
      </c>
    </row>
    <row r="22932" spans="1:4" hidden="1" x14ac:dyDescent="0.3">
      <c r="A22932" t="s">
        <v>1226</v>
      </c>
      <c r="B22932" t="s">
        <v>739</v>
      </c>
      <c r="C22932" s="1">
        <f>HYPERLINK("https://cao.dolgi.msk.ru/account/1011432874/", 1011432874)</f>
        <v>1011432874</v>
      </c>
      <c r="D22932">
        <v>0</v>
      </c>
    </row>
    <row r="22933" spans="1:4" hidden="1" x14ac:dyDescent="0.3">
      <c r="A22933" t="s">
        <v>1226</v>
      </c>
      <c r="B22933" t="s">
        <v>5</v>
      </c>
      <c r="C22933" s="1">
        <f>HYPERLINK("https://cao.dolgi.msk.ru/account/1011432882/", 1011432882)</f>
        <v>1011432882</v>
      </c>
      <c r="D22933">
        <v>-8143.66</v>
      </c>
    </row>
    <row r="22934" spans="1:4" hidden="1" x14ac:dyDescent="0.3">
      <c r="A22934" t="s">
        <v>1226</v>
      </c>
      <c r="B22934" t="s">
        <v>7</v>
      </c>
      <c r="C22934" s="1">
        <f>HYPERLINK("https://cao.dolgi.msk.ru/account/1011432495/", 1011432495)</f>
        <v>1011432495</v>
      </c>
      <c r="D22934">
        <v>-9833.9500000000007</v>
      </c>
    </row>
    <row r="22935" spans="1:4" hidden="1" x14ac:dyDescent="0.3">
      <c r="A22935" t="s">
        <v>1226</v>
      </c>
      <c r="B22935" t="s">
        <v>8</v>
      </c>
      <c r="C22935" s="1">
        <f>HYPERLINK("https://cao.dolgi.msk.ru/account/1011432727/", 1011432727)</f>
        <v>1011432727</v>
      </c>
      <c r="D22935">
        <v>0</v>
      </c>
    </row>
    <row r="22936" spans="1:4" hidden="1" x14ac:dyDescent="0.3">
      <c r="A22936" t="s">
        <v>1226</v>
      </c>
      <c r="B22936" t="s">
        <v>31</v>
      </c>
      <c r="C22936" s="1">
        <f>HYPERLINK("https://cao.dolgi.msk.ru/account/1011432372/", 1011432372)</f>
        <v>1011432372</v>
      </c>
      <c r="D22936">
        <v>0</v>
      </c>
    </row>
    <row r="22937" spans="1:4" hidden="1" x14ac:dyDescent="0.3">
      <c r="A22937" t="s">
        <v>1226</v>
      </c>
      <c r="B22937" t="s">
        <v>9</v>
      </c>
      <c r="C22937" s="1">
        <f>HYPERLINK("https://cao.dolgi.msk.ru/account/1011432508/", 1011432508)</f>
        <v>1011432508</v>
      </c>
      <c r="D22937">
        <v>-12527.36</v>
      </c>
    </row>
    <row r="22938" spans="1:4" x14ac:dyDescent="0.3">
      <c r="A22938" t="s">
        <v>1226</v>
      </c>
      <c r="B22938" t="s">
        <v>10</v>
      </c>
      <c r="C22938" s="1">
        <f>HYPERLINK("https://cao.dolgi.msk.ru/account/1011432313/", 1011432313)</f>
        <v>1011432313</v>
      </c>
      <c r="D22938">
        <v>9232.39</v>
      </c>
    </row>
    <row r="22939" spans="1:4" hidden="1" x14ac:dyDescent="0.3">
      <c r="A22939" t="s">
        <v>1226</v>
      </c>
      <c r="B22939" t="s">
        <v>11</v>
      </c>
      <c r="C22939" s="1">
        <f>HYPERLINK("https://cao.dolgi.msk.ru/account/1011432217/", 1011432217)</f>
        <v>1011432217</v>
      </c>
      <c r="D22939">
        <v>0</v>
      </c>
    </row>
    <row r="22940" spans="1:4" hidden="1" x14ac:dyDescent="0.3">
      <c r="A22940" t="s">
        <v>1226</v>
      </c>
      <c r="B22940" t="s">
        <v>13</v>
      </c>
      <c r="C22940" s="1">
        <f>HYPERLINK("https://cao.dolgi.msk.ru/account/1011432583/", 1011432583)</f>
        <v>1011432583</v>
      </c>
      <c r="D22940">
        <v>0</v>
      </c>
    </row>
    <row r="22941" spans="1:4" hidden="1" x14ac:dyDescent="0.3">
      <c r="A22941" t="s">
        <v>1226</v>
      </c>
      <c r="B22941" t="s">
        <v>14</v>
      </c>
      <c r="C22941" s="1">
        <f>HYPERLINK("https://cao.dolgi.msk.ru/account/1011432612/", 1011432612)</f>
        <v>1011432612</v>
      </c>
      <c r="D22941">
        <v>0</v>
      </c>
    </row>
    <row r="22942" spans="1:4" hidden="1" x14ac:dyDescent="0.3">
      <c r="A22942" t="s">
        <v>1226</v>
      </c>
      <c r="B22942" t="s">
        <v>16</v>
      </c>
      <c r="C22942" s="1">
        <f>HYPERLINK("https://cao.dolgi.msk.ru/account/1011432639/", 1011432639)</f>
        <v>1011432639</v>
      </c>
      <c r="D22942">
        <v>0</v>
      </c>
    </row>
    <row r="22943" spans="1:4" x14ac:dyDescent="0.3">
      <c r="A22943" t="s">
        <v>1226</v>
      </c>
      <c r="B22943" t="s">
        <v>17</v>
      </c>
      <c r="C22943" s="1">
        <f>HYPERLINK("https://cao.dolgi.msk.ru/account/1011432292/", 1011432292)</f>
        <v>1011432292</v>
      </c>
      <c r="D22943">
        <v>32496.7</v>
      </c>
    </row>
    <row r="22944" spans="1:4" hidden="1" x14ac:dyDescent="0.3">
      <c r="A22944" t="s">
        <v>1226</v>
      </c>
      <c r="B22944" t="s">
        <v>18</v>
      </c>
      <c r="C22944" s="1">
        <f>HYPERLINK("https://cao.dolgi.msk.ru/account/1011432268/", 1011432268)</f>
        <v>1011432268</v>
      </c>
      <c r="D22944">
        <v>0</v>
      </c>
    </row>
    <row r="22945" spans="1:4" hidden="1" x14ac:dyDescent="0.3">
      <c r="A22945" t="s">
        <v>1226</v>
      </c>
      <c r="B22945" t="s">
        <v>19</v>
      </c>
      <c r="C22945" s="1">
        <f>HYPERLINK("https://cao.dolgi.msk.ru/account/1011432348/", 1011432348)</f>
        <v>1011432348</v>
      </c>
      <c r="D22945">
        <v>0</v>
      </c>
    </row>
    <row r="22946" spans="1:4" hidden="1" x14ac:dyDescent="0.3">
      <c r="A22946" t="s">
        <v>1226</v>
      </c>
      <c r="B22946" t="s">
        <v>20</v>
      </c>
      <c r="C22946" s="1">
        <f>HYPERLINK("https://cao.dolgi.msk.ru/account/1011432655/", 1011432655)</f>
        <v>1011432655</v>
      </c>
      <c r="D22946">
        <v>0</v>
      </c>
    </row>
    <row r="22947" spans="1:4" hidden="1" x14ac:dyDescent="0.3">
      <c r="A22947" t="s">
        <v>1226</v>
      </c>
      <c r="B22947" t="s">
        <v>21</v>
      </c>
      <c r="C22947" s="1">
        <f>HYPERLINK("https://cao.dolgi.msk.ru/account/1011432524/", 1011432524)</f>
        <v>1011432524</v>
      </c>
      <c r="D22947">
        <v>0</v>
      </c>
    </row>
    <row r="22948" spans="1:4" hidden="1" x14ac:dyDescent="0.3">
      <c r="A22948" t="s">
        <v>1226</v>
      </c>
      <c r="B22948" t="s">
        <v>22</v>
      </c>
      <c r="C22948" s="1">
        <f>HYPERLINK("https://cao.dolgi.msk.ru/account/1011432516/", 1011432516)</f>
        <v>1011432516</v>
      </c>
      <c r="D22948">
        <v>-13543.73</v>
      </c>
    </row>
    <row r="22949" spans="1:4" hidden="1" x14ac:dyDescent="0.3">
      <c r="A22949" t="s">
        <v>1226</v>
      </c>
      <c r="B22949" t="s">
        <v>22</v>
      </c>
      <c r="C22949" s="1">
        <f>HYPERLINK("https://cao.dolgi.msk.ru/account/1011433033/", 1011433033)</f>
        <v>1011433033</v>
      </c>
      <c r="D22949">
        <v>0</v>
      </c>
    </row>
    <row r="22950" spans="1:4" hidden="1" x14ac:dyDescent="0.3">
      <c r="A22950" t="s">
        <v>1226</v>
      </c>
      <c r="B22950" t="s">
        <v>24</v>
      </c>
      <c r="C22950" s="1">
        <f>HYPERLINK("https://cao.dolgi.msk.ru/account/1011432815/", 1011432815)</f>
        <v>1011432815</v>
      </c>
      <c r="D22950">
        <v>0</v>
      </c>
    </row>
    <row r="22951" spans="1:4" hidden="1" x14ac:dyDescent="0.3">
      <c r="A22951" t="s">
        <v>1226</v>
      </c>
      <c r="B22951" t="s">
        <v>25</v>
      </c>
      <c r="C22951" s="1">
        <f>HYPERLINK("https://cao.dolgi.msk.ru/account/1011432671/", 1011432671)</f>
        <v>1011432671</v>
      </c>
      <c r="D22951">
        <v>0</v>
      </c>
    </row>
    <row r="22952" spans="1:4" hidden="1" x14ac:dyDescent="0.3">
      <c r="A22952" t="s">
        <v>1226</v>
      </c>
      <c r="B22952" t="s">
        <v>26</v>
      </c>
      <c r="C22952" s="1">
        <f>HYPERLINK("https://cao.dolgi.msk.ru/account/1011432743/", 1011432743)</f>
        <v>1011432743</v>
      </c>
      <c r="D22952">
        <v>0</v>
      </c>
    </row>
    <row r="22953" spans="1:4" hidden="1" x14ac:dyDescent="0.3">
      <c r="A22953" t="s">
        <v>1226</v>
      </c>
      <c r="B22953" t="s">
        <v>27</v>
      </c>
      <c r="C22953" s="1">
        <f>HYPERLINK("https://cao.dolgi.msk.ru/account/1011433009/", 1011433009)</f>
        <v>1011433009</v>
      </c>
      <c r="D22953">
        <v>0</v>
      </c>
    </row>
    <row r="22954" spans="1:4" hidden="1" x14ac:dyDescent="0.3">
      <c r="A22954" t="s">
        <v>1226</v>
      </c>
      <c r="B22954" t="s">
        <v>29</v>
      </c>
      <c r="C22954" s="1">
        <f>HYPERLINK("https://cao.dolgi.msk.ru/account/1011432487/", 1011432487)</f>
        <v>1011432487</v>
      </c>
      <c r="D22954">
        <v>-67321.87</v>
      </c>
    </row>
    <row r="22955" spans="1:4" hidden="1" x14ac:dyDescent="0.3">
      <c r="A22955" t="s">
        <v>1226</v>
      </c>
      <c r="B22955" t="s">
        <v>38</v>
      </c>
      <c r="C22955" s="1">
        <f>HYPERLINK("https://cao.dolgi.msk.ru/account/1011432778/", 1011432778)</f>
        <v>1011432778</v>
      </c>
      <c r="D22955">
        <v>0</v>
      </c>
    </row>
    <row r="22956" spans="1:4" hidden="1" x14ac:dyDescent="0.3">
      <c r="A22956" t="s">
        <v>1226</v>
      </c>
      <c r="B22956" t="s">
        <v>39</v>
      </c>
      <c r="C22956" s="1">
        <f>HYPERLINK("https://cao.dolgi.msk.ru/account/1011432364/", 1011432364)</f>
        <v>1011432364</v>
      </c>
      <c r="D22956">
        <v>0</v>
      </c>
    </row>
    <row r="22957" spans="1:4" hidden="1" x14ac:dyDescent="0.3">
      <c r="A22957" t="s">
        <v>1226</v>
      </c>
      <c r="B22957" t="s">
        <v>40</v>
      </c>
      <c r="C22957" s="1">
        <f>HYPERLINK("https://cao.dolgi.msk.ru/account/1011432567/", 1011432567)</f>
        <v>1011432567</v>
      </c>
      <c r="D22957">
        <v>-6943.49</v>
      </c>
    </row>
    <row r="22958" spans="1:4" hidden="1" x14ac:dyDescent="0.3">
      <c r="A22958" t="s">
        <v>1226</v>
      </c>
      <c r="B22958" t="s">
        <v>41</v>
      </c>
      <c r="C22958" s="1">
        <f>HYPERLINK("https://cao.dolgi.msk.ru/account/1011432954/", 1011432954)</f>
        <v>1011432954</v>
      </c>
      <c r="D22958">
        <v>0</v>
      </c>
    </row>
    <row r="22959" spans="1:4" hidden="1" x14ac:dyDescent="0.3">
      <c r="A22959" t="s">
        <v>1226</v>
      </c>
      <c r="B22959" t="s">
        <v>51</v>
      </c>
      <c r="C22959" s="1">
        <f>HYPERLINK("https://cao.dolgi.msk.ru/account/1011433025/", 1011433025)</f>
        <v>1011433025</v>
      </c>
      <c r="D22959">
        <v>0</v>
      </c>
    </row>
    <row r="22960" spans="1:4" hidden="1" x14ac:dyDescent="0.3">
      <c r="A22960" t="s">
        <v>1226</v>
      </c>
      <c r="B22960" t="s">
        <v>52</v>
      </c>
      <c r="C22960" s="1">
        <f>HYPERLINK("https://cao.dolgi.msk.ru/account/1011432866/", 1011432866)</f>
        <v>1011432866</v>
      </c>
      <c r="D22960">
        <v>0</v>
      </c>
    </row>
    <row r="22961" spans="1:4" hidden="1" x14ac:dyDescent="0.3">
      <c r="A22961" t="s">
        <v>1226</v>
      </c>
      <c r="B22961" t="s">
        <v>54</v>
      </c>
      <c r="C22961" s="1">
        <f>HYPERLINK("https://cao.dolgi.msk.ru/account/1011432946/", 1011432946)</f>
        <v>1011432946</v>
      </c>
      <c r="D22961">
        <v>-8513.26</v>
      </c>
    </row>
    <row r="22962" spans="1:4" hidden="1" x14ac:dyDescent="0.3">
      <c r="A22962" t="s">
        <v>1226</v>
      </c>
      <c r="B22962" t="s">
        <v>55</v>
      </c>
      <c r="C22962" s="1">
        <f>HYPERLINK("https://cao.dolgi.msk.ru/account/1011432559/", 1011432559)</f>
        <v>1011432559</v>
      </c>
      <c r="D22962">
        <v>-10790.1</v>
      </c>
    </row>
    <row r="22963" spans="1:4" hidden="1" x14ac:dyDescent="0.3">
      <c r="A22963" t="s">
        <v>1226</v>
      </c>
      <c r="B22963" t="s">
        <v>56</v>
      </c>
      <c r="C22963" s="1">
        <f>HYPERLINK("https://cao.dolgi.msk.ru/account/1011432399/", 1011432399)</f>
        <v>1011432399</v>
      </c>
      <c r="D22963">
        <v>0</v>
      </c>
    </row>
    <row r="22964" spans="1:4" hidden="1" x14ac:dyDescent="0.3">
      <c r="A22964" t="s">
        <v>1226</v>
      </c>
      <c r="B22964" t="s">
        <v>87</v>
      </c>
      <c r="C22964" s="1">
        <f>HYPERLINK("https://cao.dolgi.msk.ru/account/1011432698/", 1011432698)</f>
        <v>1011432698</v>
      </c>
      <c r="D22964">
        <v>0</v>
      </c>
    </row>
    <row r="22965" spans="1:4" x14ac:dyDescent="0.3">
      <c r="A22965" t="s">
        <v>1226</v>
      </c>
      <c r="B22965" t="s">
        <v>88</v>
      </c>
      <c r="C22965" s="1">
        <f>HYPERLINK("https://cao.dolgi.msk.ru/account/1011432591/", 1011432591)</f>
        <v>1011432591</v>
      </c>
      <c r="D22965">
        <v>167.94</v>
      </c>
    </row>
    <row r="22966" spans="1:4" x14ac:dyDescent="0.3">
      <c r="A22966" t="s">
        <v>1226</v>
      </c>
      <c r="B22966" t="s">
        <v>89</v>
      </c>
      <c r="C22966" s="1">
        <f>HYPERLINK("https://cao.dolgi.msk.ru/account/1011432479/", 1011432479)</f>
        <v>1011432479</v>
      </c>
      <c r="D22966">
        <v>2186.42</v>
      </c>
    </row>
    <row r="22967" spans="1:4" hidden="1" x14ac:dyDescent="0.3">
      <c r="A22967" t="s">
        <v>1226</v>
      </c>
      <c r="B22967" t="s">
        <v>90</v>
      </c>
      <c r="C22967" s="1">
        <f>HYPERLINK("https://cao.dolgi.msk.ru/account/1011432233/", 1011432233)</f>
        <v>1011432233</v>
      </c>
      <c r="D22967">
        <v>0</v>
      </c>
    </row>
    <row r="22968" spans="1:4" hidden="1" x14ac:dyDescent="0.3">
      <c r="A22968" t="s">
        <v>1226</v>
      </c>
      <c r="B22968" t="s">
        <v>96</v>
      </c>
      <c r="C22968" s="1">
        <f>HYPERLINK("https://cao.dolgi.msk.ru/account/1011432794/", 1011432794)</f>
        <v>1011432794</v>
      </c>
      <c r="D22968">
        <v>0</v>
      </c>
    </row>
    <row r="22969" spans="1:4" hidden="1" x14ac:dyDescent="0.3">
      <c r="A22969" t="s">
        <v>1226</v>
      </c>
      <c r="B22969" t="s">
        <v>97</v>
      </c>
      <c r="C22969" s="1">
        <f>HYPERLINK("https://cao.dolgi.msk.ru/account/1011432858/", 1011432858)</f>
        <v>1011432858</v>
      </c>
      <c r="D22969">
        <v>0</v>
      </c>
    </row>
    <row r="22970" spans="1:4" hidden="1" x14ac:dyDescent="0.3">
      <c r="A22970" t="s">
        <v>1226</v>
      </c>
      <c r="B22970" t="s">
        <v>98</v>
      </c>
      <c r="C22970" s="1">
        <f>HYPERLINK("https://cao.dolgi.msk.ru/account/1011432807/", 1011432807)</f>
        <v>1011432807</v>
      </c>
      <c r="D22970">
        <v>-7651.11</v>
      </c>
    </row>
    <row r="22971" spans="1:4" hidden="1" x14ac:dyDescent="0.3">
      <c r="A22971" t="s">
        <v>1226</v>
      </c>
      <c r="B22971" t="s">
        <v>58</v>
      </c>
      <c r="C22971" s="1">
        <f>HYPERLINK("https://cao.dolgi.msk.ru/account/1011432823/", 1011432823)</f>
        <v>1011432823</v>
      </c>
      <c r="D22971">
        <v>0</v>
      </c>
    </row>
    <row r="22972" spans="1:4" hidden="1" x14ac:dyDescent="0.3">
      <c r="A22972" t="s">
        <v>1226</v>
      </c>
      <c r="B22972" t="s">
        <v>59</v>
      </c>
      <c r="C22972" s="1">
        <f>HYPERLINK("https://cao.dolgi.msk.ru/account/1011432647/", 1011432647)</f>
        <v>1011432647</v>
      </c>
      <c r="D22972">
        <v>-12386.67</v>
      </c>
    </row>
    <row r="22973" spans="1:4" hidden="1" x14ac:dyDescent="0.3">
      <c r="A22973" t="s">
        <v>1226</v>
      </c>
      <c r="B22973" t="s">
        <v>60</v>
      </c>
      <c r="C22973" s="1">
        <f>HYPERLINK("https://cao.dolgi.msk.ru/account/1011432575/", 1011432575)</f>
        <v>1011432575</v>
      </c>
      <c r="D22973">
        <v>0</v>
      </c>
    </row>
    <row r="22974" spans="1:4" hidden="1" x14ac:dyDescent="0.3">
      <c r="A22974" t="s">
        <v>1226</v>
      </c>
      <c r="B22974" t="s">
        <v>60</v>
      </c>
      <c r="C22974" s="1">
        <f>HYPERLINK("https://cao.dolgi.msk.ru/account/1011432663/", 1011432663)</f>
        <v>1011432663</v>
      </c>
      <c r="D22974">
        <v>0</v>
      </c>
    </row>
    <row r="22975" spans="1:4" x14ac:dyDescent="0.3">
      <c r="A22975" t="s">
        <v>1226</v>
      </c>
      <c r="B22975" t="s">
        <v>61</v>
      </c>
      <c r="C22975" s="1">
        <f>HYPERLINK("https://cao.dolgi.msk.ru/account/1011432751/", 1011432751)</f>
        <v>1011432751</v>
      </c>
      <c r="D22975">
        <v>14499.61</v>
      </c>
    </row>
    <row r="22976" spans="1:4" x14ac:dyDescent="0.3">
      <c r="A22976" t="s">
        <v>1226</v>
      </c>
      <c r="B22976" t="s">
        <v>62</v>
      </c>
      <c r="C22976" s="1">
        <f>HYPERLINK("https://cao.dolgi.msk.ru/account/1011432305/", 1011432305)</f>
        <v>1011432305</v>
      </c>
      <c r="D22976">
        <v>2100.15</v>
      </c>
    </row>
    <row r="22977" spans="1:4" hidden="1" x14ac:dyDescent="0.3">
      <c r="A22977" t="s">
        <v>1226</v>
      </c>
      <c r="B22977" t="s">
        <v>63</v>
      </c>
      <c r="C22977" s="1">
        <f>HYPERLINK("https://cao.dolgi.msk.ru/account/1011432532/", 1011432532)</f>
        <v>1011432532</v>
      </c>
      <c r="D22977">
        <v>0</v>
      </c>
    </row>
    <row r="22978" spans="1:4" hidden="1" x14ac:dyDescent="0.3">
      <c r="A22978" t="s">
        <v>1226</v>
      </c>
      <c r="B22978" t="s">
        <v>64</v>
      </c>
      <c r="C22978" s="1">
        <f>HYPERLINK("https://cao.dolgi.msk.ru/account/1011432831/", 1011432831)</f>
        <v>1011432831</v>
      </c>
      <c r="D22978">
        <v>0</v>
      </c>
    </row>
    <row r="22979" spans="1:4" x14ac:dyDescent="0.3">
      <c r="A22979" t="s">
        <v>1226</v>
      </c>
      <c r="B22979" t="s">
        <v>65</v>
      </c>
      <c r="C22979" s="1">
        <f>HYPERLINK("https://cao.dolgi.msk.ru/account/1011432452/", 1011432452)</f>
        <v>1011432452</v>
      </c>
      <c r="D22979">
        <v>4862.78</v>
      </c>
    </row>
    <row r="22980" spans="1:4" hidden="1" x14ac:dyDescent="0.3">
      <c r="A22980" t="s">
        <v>1226</v>
      </c>
      <c r="B22980" t="s">
        <v>66</v>
      </c>
      <c r="C22980" s="1">
        <f>HYPERLINK("https://cao.dolgi.msk.ru/account/1011432938/", 1011432938)</f>
        <v>1011432938</v>
      </c>
      <c r="D22980">
        <v>-8199.15</v>
      </c>
    </row>
    <row r="22981" spans="1:4" hidden="1" x14ac:dyDescent="0.3">
      <c r="A22981" t="s">
        <v>1226</v>
      </c>
      <c r="B22981" t="s">
        <v>67</v>
      </c>
      <c r="C22981" s="1">
        <f>HYPERLINK("https://cao.dolgi.msk.ru/account/1011432786/", 1011432786)</f>
        <v>1011432786</v>
      </c>
      <c r="D22981">
        <v>0</v>
      </c>
    </row>
    <row r="22982" spans="1:4" hidden="1" x14ac:dyDescent="0.3">
      <c r="A22982" t="s">
        <v>1226</v>
      </c>
      <c r="B22982" t="s">
        <v>68</v>
      </c>
      <c r="C22982" s="1">
        <f>HYPERLINK("https://cao.dolgi.msk.ru/account/1011432903/", 1011432903)</f>
        <v>1011432903</v>
      </c>
      <c r="D22982">
        <v>0</v>
      </c>
    </row>
    <row r="22983" spans="1:4" hidden="1" x14ac:dyDescent="0.3">
      <c r="A22983" t="s">
        <v>1226</v>
      </c>
      <c r="B22983" t="s">
        <v>69</v>
      </c>
      <c r="C22983" s="1">
        <f>HYPERLINK("https://cao.dolgi.msk.ru/account/1011432401/", 1011432401)</f>
        <v>1011432401</v>
      </c>
      <c r="D22983">
        <v>0</v>
      </c>
    </row>
    <row r="22984" spans="1:4" hidden="1" x14ac:dyDescent="0.3">
      <c r="A22984" t="s">
        <v>1226</v>
      </c>
      <c r="B22984" t="s">
        <v>70</v>
      </c>
      <c r="C22984" s="1">
        <f>HYPERLINK("https://cao.dolgi.msk.ru/account/1011432735/", 1011432735)</f>
        <v>1011432735</v>
      </c>
      <c r="D22984">
        <v>-6404.76</v>
      </c>
    </row>
    <row r="22985" spans="1:4" hidden="1" x14ac:dyDescent="0.3">
      <c r="A22985" t="s">
        <v>1226</v>
      </c>
      <c r="B22985" t="s">
        <v>259</v>
      </c>
      <c r="C22985" s="1">
        <f>HYPERLINK("https://cao.dolgi.msk.ru/account/1011432997/", 1011432997)</f>
        <v>1011432997</v>
      </c>
      <c r="D22985">
        <v>0</v>
      </c>
    </row>
    <row r="22986" spans="1:4" hidden="1" x14ac:dyDescent="0.3">
      <c r="A22986" t="s">
        <v>1226</v>
      </c>
      <c r="B22986" t="s">
        <v>100</v>
      </c>
      <c r="C22986" s="1">
        <f>HYPERLINK("https://cao.dolgi.msk.ru/account/1011432321/", 1011432321)</f>
        <v>1011432321</v>
      </c>
      <c r="D22986">
        <v>0</v>
      </c>
    </row>
    <row r="22987" spans="1:4" hidden="1" x14ac:dyDescent="0.3">
      <c r="A22987" t="s">
        <v>1226</v>
      </c>
      <c r="B22987" t="s">
        <v>72</v>
      </c>
      <c r="C22987" s="1">
        <f>HYPERLINK("https://cao.dolgi.msk.ru/account/1011432989/", 1011432989)</f>
        <v>1011432989</v>
      </c>
      <c r="D22987">
        <v>0</v>
      </c>
    </row>
    <row r="22988" spans="1:4" hidden="1" x14ac:dyDescent="0.3">
      <c r="A22988" t="s">
        <v>1226</v>
      </c>
      <c r="B22988" t="s">
        <v>73</v>
      </c>
      <c r="C22988" s="1">
        <f>HYPERLINK("https://cao.dolgi.msk.ru/account/1011432356/", 1011432356)</f>
        <v>1011432356</v>
      </c>
      <c r="D22988">
        <v>0</v>
      </c>
    </row>
    <row r="22989" spans="1:4" hidden="1" x14ac:dyDescent="0.3">
      <c r="A22989" t="s">
        <v>1226</v>
      </c>
      <c r="B22989" t="s">
        <v>74</v>
      </c>
      <c r="C22989" s="1">
        <f>HYPERLINK("https://cao.dolgi.msk.ru/account/1011432604/", 1011432604)</f>
        <v>1011432604</v>
      </c>
      <c r="D22989">
        <v>0</v>
      </c>
    </row>
    <row r="22990" spans="1:4" hidden="1" x14ac:dyDescent="0.3">
      <c r="A22990" t="s">
        <v>1226</v>
      </c>
      <c r="B22990" t="s">
        <v>75</v>
      </c>
      <c r="C22990" s="1">
        <f>HYPERLINK("https://cao.dolgi.msk.ru/account/1011432276/", 1011432276)</f>
        <v>1011432276</v>
      </c>
      <c r="D22990">
        <v>-9734.0400000000009</v>
      </c>
    </row>
    <row r="22991" spans="1:4" hidden="1" x14ac:dyDescent="0.3">
      <c r="A22991" t="s">
        <v>1226</v>
      </c>
      <c r="B22991" t="s">
        <v>76</v>
      </c>
      <c r="C22991" s="1">
        <f>HYPERLINK("https://cao.dolgi.msk.ru/account/1011432719/", 1011432719)</f>
        <v>1011432719</v>
      </c>
      <c r="D22991">
        <v>-8437.7900000000009</v>
      </c>
    </row>
    <row r="22992" spans="1:4" x14ac:dyDescent="0.3">
      <c r="A22992" t="s">
        <v>1226</v>
      </c>
      <c r="B22992" t="s">
        <v>77</v>
      </c>
      <c r="C22992" s="1">
        <f>HYPERLINK("https://cao.dolgi.msk.ru/account/1011526037/", 1011526037)</f>
        <v>1011526037</v>
      </c>
      <c r="D22992">
        <v>9706.86</v>
      </c>
    </row>
    <row r="22993" spans="1:4" hidden="1" x14ac:dyDescent="0.3">
      <c r="A22993" t="s">
        <v>1226</v>
      </c>
      <c r="B22993" t="s">
        <v>78</v>
      </c>
      <c r="C22993" s="1">
        <f>HYPERLINK("https://cao.dolgi.msk.ru/account/1011432225/", 1011432225)</f>
        <v>1011432225</v>
      </c>
      <c r="D22993">
        <v>0</v>
      </c>
    </row>
    <row r="22994" spans="1:4" x14ac:dyDescent="0.3">
      <c r="A22994" t="s">
        <v>1226</v>
      </c>
      <c r="B22994" t="s">
        <v>79</v>
      </c>
      <c r="C22994" s="1">
        <f>HYPERLINK("https://cao.dolgi.msk.ru/account/1011433017/", 1011433017)</f>
        <v>1011433017</v>
      </c>
      <c r="D22994">
        <v>31346.25</v>
      </c>
    </row>
    <row r="22995" spans="1:4" hidden="1" x14ac:dyDescent="0.3">
      <c r="A22995" t="s">
        <v>1226</v>
      </c>
      <c r="B22995" t="s">
        <v>80</v>
      </c>
      <c r="C22995" s="1">
        <f>HYPERLINK("https://cao.dolgi.msk.ru/account/1011432284/", 1011432284)</f>
        <v>1011432284</v>
      </c>
      <c r="D22995">
        <v>0</v>
      </c>
    </row>
    <row r="22996" spans="1:4" hidden="1" x14ac:dyDescent="0.3">
      <c r="A22996" t="s">
        <v>1226</v>
      </c>
      <c r="B22996" t="s">
        <v>81</v>
      </c>
      <c r="C22996" s="1">
        <f>HYPERLINK("https://cao.dolgi.msk.ru/account/1011432436/", 1011432436)</f>
        <v>1011432436</v>
      </c>
      <c r="D22996">
        <v>0</v>
      </c>
    </row>
    <row r="22997" spans="1:4" hidden="1" x14ac:dyDescent="0.3">
      <c r="A22997" t="s">
        <v>1227</v>
      </c>
      <c r="B22997" t="s">
        <v>28</v>
      </c>
      <c r="C22997" s="1">
        <f>HYPERLINK("https://cao.dolgi.msk.ru/account/1011220361/", 1011220361)</f>
        <v>1011220361</v>
      </c>
      <c r="D22997">
        <v>0</v>
      </c>
    </row>
    <row r="22998" spans="1:4" hidden="1" x14ac:dyDescent="0.3">
      <c r="A22998" t="s">
        <v>1227</v>
      </c>
      <c r="B22998" t="s">
        <v>28</v>
      </c>
      <c r="C22998" s="1">
        <f>HYPERLINK("https://cao.dolgi.msk.ru/account/1011220409/", 1011220409)</f>
        <v>1011220409</v>
      </c>
      <c r="D22998">
        <v>0</v>
      </c>
    </row>
    <row r="22999" spans="1:4" hidden="1" x14ac:dyDescent="0.3">
      <c r="A22999" t="s">
        <v>1227</v>
      </c>
      <c r="B22999" t="s">
        <v>28</v>
      </c>
      <c r="C22999" s="1">
        <f>HYPERLINK("https://cao.dolgi.msk.ru/account/1011220417/", 1011220417)</f>
        <v>1011220417</v>
      </c>
      <c r="D22999">
        <v>0</v>
      </c>
    </row>
    <row r="23000" spans="1:4" hidden="1" x14ac:dyDescent="0.3">
      <c r="A23000" t="s">
        <v>1227</v>
      </c>
      <c r="B23000" t="s">
        <v>28</v>
      </c>
      <c r="C23000" s="1">
        <f>HYPERLINK("https://cao.dolgi.msk.ru/account/1011220468/", 1011220468)</f>
        <v>1011220468</v>
      </c>
      <c r="D23000">
        <v>0</v>
      </c>
    </row>
    <row r="23001" spans="1:4" hidden="1" x14ac:dyDescent="0.3">
      <c r="A23001" t="s">
        <v>1227</v>
      </c>
      <c r="B23001" t="s">
        <v>28</v>
      </c>
      <c r="C23001" s="1">
        <f>HYPERLINK("https://cao.dolgi.msk.ru/account/1011220476/", 1011220476)</f>
        <v>1011220476</v>
      </c>
      <c r="D23001">
        <v>-23764.959999999999</v>
      </c>
    </row>
    <row r="23002" spans="1:4" x14ac:dyDescent="0.3">
      <c r="A23002" t="s">
        <v>1227</v>
      </c>
      <c r="B23002" t="s">
        <v>28</v>
      </c>
      <c r="C23002" s="1">
        <f>HYPERLINK("https://cao.dolgi.msk.ru/account/1011514204/", 1011514204)</f>
        <v>1011514204</v>
      </c>
      <c r="D23002">
        <v>1565.29</v>
      </c>
    </row>
    <row r="23003" spans="1:4" hidden="1" x14ac:dyDescent="0.3">
      <c r="A23003" t="s">
        <v>1227</v>
      </c>
      <c r="B23003" t="s">
        <v>35</v>
      </c>
      <c r="C23003" s="1">
        <f>HYPERLINK("https://cao.dolgi.msk.ru/account/1011220388/", 1011220388)</f>
        <v>1011220388</v>
      </c>
      <c r="D23003">
        <v>0</v>
      </c>
    </row>
    <row r="23004" spans="1:4" hidden="1" x14ac:dyDescent="0.3">
      <c r="A23004" t="s">
        <v>1227</v>
      </c>
      <c r="B23004" t="s">
        <v>35</v>
      </c>
      <c r="C23004" s="1">
        <f>HYPERLINK("https://cao.dolgi.msk.ru/account/1011220484/", 1011220484)</f>
        <v>1011220484</v>
      </c>
      <c r="D23004">
        <v>-1703.02</v>
      </c>
    </row>
    <row r="23005" spans="1:4" hidden="1" x14ac:dyDescent="0.3">
      <c r="A23005" t="s">
        <v>1227</v>
      </c>
      <c r="B23005" t="s">
        <v>35</v>
      </c>
      <c r="C23005" s="1">
        <f>HYPERLINK("https://cao.dolgi.msk.ru/account/1011220564/", 1011220564)</f>
        <v>1011220564</v>
      </c>
      <c r="D23005">
        <v>0</v>
      </c>
    </row>
    <row r="23006" spans="1:4" hidden="1" x14ac:dyDescent="0.3">
      <c r="A23006" t="s">
        <v>1227</v>
      </c>
      <c r="B23006" t="s">
        <v>35</v>
      </c>
      <c r="C23006" s="1">
        <f>HYPERLINK("https://cao.dolgi.msk.ru/account/1011220599/", 1011220599)</f>
        <v>1011220599</v>
      </c>
      <c r="D23006">
        <v>0</v>
      </c>
    </row>
    <row r="23007" spans="1:4" hidden="1" x14ac:dyDescent="0.3">
      <c r="A23007" t="s">
        <v>1227</v>
      </c>
      <c r="B23007" t="s">
        <v>35</v>
      </c>
      <c r="C23007" s="1">
        <f>HYPERLINK("https://cao.dolgi.msk.ru/account/1011220724/", 1011220724)</f>
        <v>1011220724</v>
      </c>
      <c r="D23007">
        <v>-4.59</v>
      </c>
    </row>
    <row r="23008" spans="1:4" x14ac:dyDescent="0.3">
      <c r="A23008" t="s">
        <v>1227</v>
      </c>
      <c r="B23008" t="s">
        <v>5</v>
      </c>
      <c r="C23008" s="1">
        <f>HYPERLINK("https://cao.dolgi.msk.ru/account/1011220265/", 1011220265)</f>
        <v>1011220265</v>
      </c>
      <c r="D23008">
        <v>20336.150000000001</v>
      </c>
    </row>
    <row r="23009" spans="1:4" x14ac:dyDescent="0.3">
      <c r="A23009" t="s">
        <v>1227</v>
      </c>
      <c r="B23009" t="s">
        <v>7</v>
      </c>
      <c r="C23009" s="1">
        <f>HYPERLINK("https://cao.dolgi.msk.ru/account/1011220492/", 1011220492)</f>
        <v>1011220492</v>
      </c>
      <c r="D23009">
        <v>23936.34</v>
      </c>
    </row>
    <row r="23010" spans="1:4" x14ac:dyDescent="0.3">
      <c r="A23010" t="s">
        <v>1227</v>
      </c>
      <c r="B23010" t="s">
        <v>8</v>
      </c>
      <c r="C23010" s="1">
        <f>HYPERLINK("https://cao.dolgi.msk.ru/account/1011220273/", 1011220273)</f>
        <v>1011220273</v>
      </c>
      <c r="D23010">
        <v>59835.26</v>
      </c>
    </row>
    <row r="23011" spans="1:4" x14ac:dyDescent="0.3">
      <c r="A23011" t="s">
        <v>1227</v>
      </c>
      <c r="B23011" t="s">
        <v>8</v>
      </c>
      <c r="C23011" s="1">
        <f>HYPERLINK("https://cao.dolgi.msk.ru/account/1011220396/", 1011220396)</f>
        <v>1011220396</v>
      </c>
      <c r="D23011">
        <v>3339.74</v>
      </c>
    </row>
    <row r="23012" spans="1:4" x14ac:dyDescent="0.3">
      <c r="A23012" t="s">
        <v>1227</v>
      </c>
      <c r="B23012" t="s">
        <v>8</v>
      </c>
      <c r="C23012" s="1">
        <f>HYPERLINK("https://cao.dolgi.msk.ru/account/1011220425/", 1011220425)</f>
        <v>1011220425</v>
      </c>
      <c r="D23012">
        <v>13899.67</v>
      </c>
    </row>
    <row r="23013" spans="1:4" x14ac:dyDescent="0.3">
      <c r="A23013" t="s">
        <v>1227</v>
      </c>
      <c r="B23013" t="s">
        <v>8</v>
      </c>
      <c r="C23013" s="1">
        <f>HYPERLINK("https://cao.dolgi.msk.ru/account/1011220441/", 1011220441)</f>
        <v>1011220441</v>
      </c>
      <c r="D23013">
        <v>3953.18</v>
      </c>
    </row>
    <row r="23014" spans="1:4" hidden="1" x14ac:dyDescent="0.3">
      <c r="A23014" t="s">
        <v>1227</v>
      </c>
      <c r="B23014" t="s">
        <v>8</v>
      </c>
      <c r="C23014" s="1">
        <f>HYPERLINK("https://cao.dolgi.msk.ru/account/1011220505/", 1011220505)</f>
        <v>1011220505</v>
      </c>
      <c r="D23014">
        <v>0</v>
      </c>
    </row>
    <row r="23015" spans="1:4" x14ac:dyDescent="0.3">
      <c r="A23015" t="s">
        <v>1227</v>
      </c>
      <c r="B23015" t="s">
        <v>8</v>
      </c>
      <c r="C23015" s="1">
        <f>HYPERLINK("https://cao.dolgi.msk.ru/account/1011534539/", 1011534539)</f>
        <v>1011534539</v>
      </c>
      <c r="D23015">
        <v>866.78</v>
      </c>
    </row>
    <row r="23016" spans="1:4" x14ac:dyDescent="0.3">
      <c r="A23016" t="s">
        <v>1227</v>
      </c>
      <c r="B23016" t="s">
        <v>8</v>
      </c>
      <c r="C23016" s="1">
        <f>HYPERLINK("https://cao.dolgi.msk.ru/account/1011534555/", 1011534555)</f>
        <v>1011534555</v>
      </c>
      <c r="D23016">
        <v>267.06</v>
      </c>
    </row>
    <row r="23017" spans="1:4" x14ac:dyDescent="0.3">
      <c r="A23017" t="s">
        <v>1227</v>
      </c>
      <c r="B23017" t="s">
        <v>31</v>
      </c>
      <c r="C23017" s="1">
        <f>HYPERLINK("https://cao.dolgi.msk.ru/account/1011220572/", 1011220572)</f>
        <v>1011220572</v>
      </c>
      <c r="D23017">
        <v>17882.560000000001</v>
      </c>
    </row>
    <row r="23018" spans="1:4" hidden="1" x14ac:dyDescent="0.3">
      <c r="A23018" t="s">
        <v>1227</v>
      </c>
      <c r="B23018" t="s">
        <v>9</v>
      </c>
      <c r="C23018" s="1">
        <f>HYPERLINK("https://cao.dolgi.msk.ru/account/1011220513/", 1011220513)</f>
        <v>1011220513</v>
      </c>
      <c r="D23018">
        <v>-3306.06</v>
      </c>
    </row>
    <row r="23019" spans="1:4" hidden="1" x14ac:dyDescent="0.3">
      <c r="A23019" t="s">
        <v>1227</v>
      </c>
      <c r="B23019" t="s">
        <v>9</v>
      </c>
      <c r="C23019" s="1">
        <f>HYPERLINK("https://cao.dolgi.msk.ru/account/1011220601/", 1011220601)</f>
        <v>1011220601</v>
      </c>
      <c r="D23019">
        <v>0</v>
      </c>
    </row>
    <row r="23020" spans="1:4" hidden="1" x14ac:dyDescent="0.3">
      <c r="A23020" t="s">
        <v>1227</v>
      </c>
      <c r="B23020" t="s">
        <v>9</v>
      </c>
      <c r="C23020" s="1">
        <f>HYPERLINK("https://cao.dolgi.msk.ru/account/1011220628/", 1011220628)</f>
        <v>1011220628</v>
      </c>
      <c r="D23020">
        <v>-2200.7399999999998</v>
      </c>
    </row>
    <row r="23021" spans="1:4" hidden="1" x14ac:dyDescent="0.3">
      <c r="A23021" t="s">
        <v>1227</v>
      </c>
      <c r="B23021" t="s">
        <v>9</v>
      </c>
      <c r="C23021" s="1">
        <f>HYPERLINK("https://cao.dolgi.msk.ru/account/1011220695/", 1011220695)</f>
        <v>1011220695</v>
      </c>
      <c r="D23021">
        <v>-7919.39</v>
      </c>
    </row>
    <row r="23022" spans="1:4" hidden="1" x14ac:dyDescent="0.3">
      <c r="A23022" t="s">
        <v>1227</v>
      </c>
      <c r="B23022" t="s">
        <v>9</v>
      </c>
      <c r="C23022" s="1">
        <f>HYPERLINK("https://cao.dolgi.msk.ru/account/1011220716/", 1011220716)</f>
        <v>1011220716</v>
      </c>
      <c r="D23022">
        <v>0</v>
      </c>
    </row>
    <row r="23023" spans="1:4" x14ac:dyDescent="0.3">
      <c r="A23023" t="s">
        <v>1227</v>
      </c>
      <c r="B23023" t="s">
        <v>10</v>
      </c>
      <c r="C23023" s="1">
        <f>HYPERLINK("https://cao.dolgi.msk.ru/account/1011220281/", 1011220281)</f>
        <v>1011220281</v>
      </c>
      <c r="D23023">
        <v>16239.09</v>
      </c>
    </row>
    <row r="23024" spans="1:4" hidden="1" x14ac:dyDescent="0.3">
      <c r="A23024" t="s">
        <v>1227</v>
      </c>
      <c r="B23024" t="s">
        <v>20</v>
      </c>
      <c r="C23024" s="1">
        <f>HYPERLINK("https://cao.dolgi.msk.ru/account/1011220708/", 1011220708)</f>
        <v>1011220708</v>
      </c>
      <c r="D23024">
        <v>-7557.9</v>
      </c>
    </row>
    <row r="23025" spans="1:4" hidden="1" x14ac:dyDescent="0.3">
      <c r="A23025" t="s">
        <v>1227</v>
      </c>
      <c r="B23025" t="s">
        <v>21</v>
      </c>
      <c r="C23025" s="1">
        <f>HYPERLINK("https://cao.dolgi.msk.ru/account/1011220302/", 1011220302)</f>
        <v>1011220302</v>
      </c>
      <c r="D23025">
        <v>-29.16</v>
      </c>
    </row>
    <row r="23026" spans="1:4" hidden="1" x14ac:dyDescent="0.3">
      <c r="A23026" t="s">
        <v>1227</v>
      </c>
      <c r="B23026" t="s">
        <v>22</v>
      </c>
      <c r="C23026" s="1">
        <f>HYPERLINK("https://cao.dolgi.msk.ru/account/1011220732/", 1011220732)</f>
        <v>1011220732</v>
      </c>
      <c r="D23026">
        <v>0</v>
      </c>
    </row>
    <row r="23027" spans="1:4" hidden="1" x14ac:dyDescent="0.3">
      <c r="A23027" t="s">
        <v>1227</v>
      </c>
      <c r="B23027" t="s">
        <v>24</v>
      </c>
      <c r="C23027" s="1">
        <f>HYPERLINK("https://cao.dolgi.msk.ru/account/1011220636/", 1011220636)</f>
        <v>1011220636</v>
      </c>
      <c r="D23027">
        <v>0</v>
      </c>
    </row>
    <row r="23028" spans="1:4" hidden="1" x14ac:dyDescent="0.3">
      <c r="A23028" t="s">
        <v>1227</v>
      </c>
      <c r="B23028" t="s">
        <v>25</v>
      </c>
      <c r="C23028" s="1">
        <f>HYPERLINK("https://cao.dolgi.msk.ru/account/1011220329/", 1011220329)</f>
        <v>1011220329</v>
      </c>
      <c r="D23028">
        <v>0</v>
      </c>
    </row>
    <row r="23029" spans="1:4" x14ac:dyDescent="0.3">
      <c r="A23029" t="s">
        <v>1227</v>
      </c>
      <c r="B23029" t="s">
        <v>26</v>
      </c>
      <c r="C23029" s="1">
        <f>HYPERLINK("https://cao.dolgi.msk.ru/account/1011220644/", 1011220644)</f>
        <v>1011220644</v>
      </c>
      <c r="D23029">
        <v>16157.21</v>
      </c>
    </row>
    <row r="23030" spans="1:4" hidden="1" x14ac:dyDescent="0.3">
      <c r="A23030" t="s">
        <v>1227</v>
      </c>
      <c r="B23030" t="s">
        <v>27</v>
      </c>
      <c r="C23030" s="1">
        <f>HYPERLINK("https://cao.dolgi.msk.ru/account/1011220337/", 1011220337)</f>
        <v>1011220337</v>
      </c>
      <c r="D23030">
        <v>0</v>
      </c>
    </row>
    <row r="23031" spans="1:4" hidden="1" x14ac:dyDescent="0.3">
      <c r="A23031" t="s">
        <v>1227</v>
      </c>
      <c r="B23031" t="s">
        <v>29</v>
      </c>
      <c r="C23031" s="1">
        <f>HYPERLINK("https://cao.dolgi.msk.ru/account/1011220759/", 1011220759)</f>
        <v>1011220759</v>
      </c>
      <c r="D23031">
        <v>0</v>
      </c>
    </row>
    <row r="23032" spans="1:4" hidden="1" x14ac:dyDescent="0.3">
      <c r="A23032" t="s">
        <v>1227</v>
      </c>
      <c r="B23032" t="s">
        <v>38</v>
      </c>
      <c r="C23032" s="1">
        <f>HYPERLINK("https://cao.dolgi.msk.ru/account/1011220521/", 1011220521)</f>
        <v>1011220521</v>
      </c>
      <c r="D23032">
        <v>0</v>
      </c>
    </row>
    <row r="23033" spans="1:4" x14ac:dyDescent="0.3">
      <c r="A23033" t="s">
        <v>1227</v>
      </c>
      <c r="B23033" t="s">
        <v>40</v>
      </c>
      <c r="C23033" s="1">
        <f>HYPERLINK("https://cao.dolgi.msk.ru/account/1011220767/", 1011220767)</f>
        <v>1011220767</v>
      </c>
      <c r="D23033">
        <v>10694.99</v>
      </c>
    </row>
    <row r="23034" spans="1:4" hidden="1" x14ac:dyDescent="0.3">
      <c r="A23034" t="s">
        <v>1227</v>
      </c>
      <c r="B23034" t="s">
        <v>41</v>
      </c>
      <c r="C23034" s="1">
        <f>HYPERLINK("https://cao.dolgi.msk.ru/account/1011220345/", 1011220345)</f>
        <v>1011220345</v>
      </c>
      <c r="D23034">
        <v>-12813.49</v>
      </c>
    </row>
    <row r="23035" spans="1:4" x14ac:dyDescent="0.3">
      <c r="A23035" t="s">
        <v>1227</v>
      </c>
      <c r="B23035" t="s">
        <v>51</v>
      </c>
      <c r="C23035" s="1">
        <f>HYPERLINK("https://cao.dolgi.msk.ru/account/1011220652/", 1011220652)</f>
        <v>1011220652</v>
      </c>
      <c r="D23035">
        <v>42116.97</v>
      </c>
    </row>
    <row r="23036" spans="1:4" hidden="1" x14ac:dyDescent="0.3">
      <c r="A23036" t="s">
        <v>1227</v>
      </c>
      <c r="B23036" t="s">
        <v>52</v>
      </c>
      <c r="C23036" s="1">
        <f>HYPERLINK("https://cao.dolgi.msk.ru/account/1011220679/", 1011220679)</f>
        <v>1011220679</v>
      </c>
      <c r="D23036">
        <v>-14422.37</v>
      </c>
    </row>
    <row r="23037" spans="1:4" x14ac:dyDescent="0.3">
      <c r="A23037" t="s">
        <v>1227</v>
      </c>
      <c r="B23037" t="s">
        <v>53</v>
      </c>
      <c r="C23037" s="1">
        <f>HYPERLINK("https://cao.dolgi.msk.ru/account/1011220548/", 1011220548)</f>
        <v>1011220548</v>
      </c>
      <c r="D23037">
        <v>12309.51</v>
      </c>
    </row>
    <row r="23038" spans="1:4" x14ac:dyDescent="0.3">
      <c r="A23038" t="s">
        <v>1227</v>
      </c>
      <c r="B23038" t="s">
        <v>54</v>
      </c>
      <c r="C23038" s="1">
        <f>HYPERLINK("https://cao.dolgi.msk.ru/account/1011220687/", 1011220687)</f>
        <v>1011220687</v>
      </c>
      <c r="D23038">
        <v>2788.07</v>
      </c>
    </row>
    <row r="23039" spans="1:4" x14ac:dyDescent="0.3">
      <c r="A23039" t="s">
        <v>1227</v>
      </c>
      <c r="B23039" t="s">
        <v>55</v>
      </c>
      <c r="C23039" s="1">
        <f>HYPERLINK("https://cao.dolgi.msk.ru/account/1011220353/", 1011220353)</f>
        <v>1011220353</v>
      </c>
      <c r="D23039">
        <v>16317.44</v>
      </c>
    </row>
    <row r="23040" spans="1:4" hidden="1" x14ac:dyDescent="0.3">
      <c r="A23040" t="s">
        <v>1228</v>
      </c>
      <c r="B23040" t="s">
        <v>10</v>
      </c>
      <c r="C23040" s="1">
        <f>HYPERLINK("https://cao.dolgi.msk.ru/account/1011220839/", 1011220839)</f>
        <v>1011220839</v>
      </c>
      <c r="D23040">
        <v>-6281.07</v>
      </c>
    </row>
    <row r="23041" spans="1:4" hidden="1" x14ac:dyDescent="0.3">
      <c r="A23041" t="s">
        <v>1228</v>
      </c>
      <c r="B23041" t="s">
        <v>11</v>
      </c>
      <c r="C23041" s="1">
        <f>HYPERLINK("https://cao.dolgi.msk.ru/account/1011220847/", 1011220847)</f>
        <v>1011220847</v>
      </c>
      <c r="D23041">
        <v>0</v>
      </c>
    </row>
    <row r="23042" spans="1:4" x14ac:dyDescent="0.3">
      <c r="A23042" t="s">
        <v>1228</v>
      </c>
      <c r="B23042" t="s">
        <v>12</v>
      </c>
      <c r="C23042" s="1">
        <f>HYPERLINK("https://cao.dolgi.msk.ru/account/1011220855/", 1011220855)</f>
        <v>1011220855</v>
      </c>
      <c r="D23042">
        <v>487.5</v>
      </c>
    </row>
    <row r="23043" spans="1:4" hidden="1" x14ac:dyDescent="0.3">
      <c r="A23043" t="s">
        <v>1228</v>
      </c>
      <c r="B23043" t="s">
        <v>14</v>
      </c>
      <c r="C23043" s="1">
        <f>HYPERLINK("https://cao.dolgi.msk.ru/account/1011220863/", 1011220863)</f>
        <v>1011220863</v>
      </c>
      <c r="D23043">
        <v>-173.96</v>
      </c>
    </row>
    <row r="23044" spans="1:4" hidden="1" x14ac:dyDescent="0.3">
      <c r="A23044" t="s">
        <v>1228</v>
      </c>
      <c r="B23044" t="s">
        <v>16</v>
      </c>
      <c r="C23044" s="1">
        <f>HYPERLINK("https://cao.dolgi.msk.ru/account/1011220898/", 1011220898)</f>
        <v>1011220898</v>
      </c>
      <c r="D23044">
        <v>0</v>
      </c>
    </row>
    <row r="23045" spans="1:4" x14ac:dyDescent="0.3">
      <c r="A23045" t="s">
        <v>1228</v>
      </c>
      <c r="B23045" t="s">
        <v>17</v>
      </c>
      <c r="C23045" s="1">
        <f>HYPERLINK("https://cao.dolgi.msk.ru/account/1011220812/", 1011220812)</f>
        <v>1011220812</v>
      </c>
      <c r="D23045">
        <v>19715.89</v>
      </c>
    </row>
    <row r="23046" spans="1:4" x14ac:dyDescent="0.3">
      <c r="A23046" t="s">
        <v>1228</v>
      </c>
      <c r="B23046" t="s">
        <v>18</v>
      </c>
      <c r="C23046" s="1">
        <f>HYPERLINK("https://cao.dolgi.msk.ru/account/1011220871/", 1011220871)</f>
        <v>1011220871</v>
      </c>
      <c r="D23046">
        <v>37925.269999999997</v>
      </c>
    </row>
    <row r="23047" spans="1:4" hidden="1" x14ac:dyDescent="0.3">
      <c r="A23047" t="s">
        <v>1228</v>
      </c>
      <c r="B23047" t="s">
        <v>19</v>
      </c>
      <c r="C23047" s="1">
        <f>HYPERLINK("https://cao.dolgi.msk.ru/account/1011220783/", 1011220783)</f>
        <v>1011220783</v>
      </c>
      <c r="D23047">
        <v>-125.65</v>
      </c>
    </row>
    <row r="23048" spans="1:4" hidden="1" x14ac:dyDescent="0.3">
      <c r="A23048" t="s">
        <v>1228</v>
      </c>
      <c r="B23048" t="s">
        <v>19</v>
      </c>
      <c r="C23048" s="1">
        <f>HYPERLINK("https://cao.dolgi.msk.ru/account/1011220804/", 1011220804)</f>
        <v>1011220804</v>
      </c>
      <c r="D23048">
        <v>-37.229999999999997</v>
      </c>
    </row>
    <row r="23049" spans="1:4" x14ac:dyDescent="0.3">
      <c r="A23049" t="s">
        <v>1228</v>
      </c>
      <c r="B23049" t="s">
        <v>20</v>
      </c>
      <c r="C23049" s="1">
        <f>HYPERLINK("https://cao.dolgi.msk.ru/account/1011220791/", 1011220791)</f>
        <v>1011220791</v>
      </c>
      <c r="D23049">
        <v>6568.34</v>
      </c>
    </row>
    <row r="23050" spans="1:4" x14ac:dyDescent="0.3">
      <c r="A23050" t="s">
        <v>1229</v>
      </c>
      <c r="B23050" t="s">
        <v>56</v>
      </c>
      <c r="C23050" s="1">
        <f>HYPERLINK("https://cao.dolgi.msk.ru/account/1010110435/", 1010110435)</f>
        <v>1010110435</v>
      </c>
      <c r="D23050">
        <v>11338.53</v>
      </c>
    </row>
    <row r="23051" spans="1:4" hidden="1" x14ac:dyDescent="0.3">
      <c r="A23051" t="s">
        <v>1229</v>
      </c>
      <c r="B23051" t="s">
        <v>87</v>
      </c>
      <c r="C23051" s="1">
        <f>HYPERLINK("https://cao.dolgi.msk.ru/account/1010110443/", 1010110443)</f>
        <v>1010110443</v>
      </c>
      <c r="D23051">
        <v>0</v>
      </c>
    </row>
    <row r="23052" spans="1:4" hidden="1" x14ac:dyDescent="0.3">
      <c r="A23052" t="s">
        <v>1229</v>
      </c>
      <c r="B23052" t="s">
        <v>88</v>
      </c>
      <c r="C23052" s="1">
        <f>HYPERLINK("https://cao.dolgi.msk.ru/account/1010110478/", 1010110478)</f>
        <v>1010110478</v>
      </c>
      <c r="D23052">
        <v>0</v>
      </c>
    </row>
    <row r="23053" spans="1:4" hidden="1" x14ac:dyDescent="0.3">
      <c r="A23053" t="s">
        <v>1229</v>
      </c>
      <c r="B23053" t="s">
        <v>89</v>
      </c>
      <c r="C23053" s="1">
        <f>HYPERLINK("https://cao.dolgi.msk.ru/account/1010110494/", 1010110494)</f>
        <v>1010110494</v>
      </c>
      <c r="D23053">
        <v>0</v>
      </c>
    </row>
    <row r="23054" spans="1:4" hidden="1" x14ac:dyDescent="0.3">
      <c r="A23054" t="s">
        <v>1229</v>
      </c>
      <c r="B23054" t="s">
        <v>90</v>
      </c>
      <c r="C23054" s="1">
        <f>HYPERLINK("https://cao.dolgi.msk.ru/account/1010110515/", 1010110515)</f>
        <v>1010110515</v>
      </c>
      <c r="D23054">
        <v>-15.71</v>
      </c>
    </row>
    <row r="23055" spans="1:4" hidden="1" x14ac:dyDescent="0.3">
      <c r="A23055" t="s">
        <v>1229</v>
      </c>
      <c r="B23055" t="s">
        <v>96</v>
      </c>
      <c r="C23055" s="1">
        <f>HYPERLINK("https://cao.dolgi.msk.ru/account/1010110507/", 1010110507)</f>
        <v>1010110507</v>
      </c>
      <c r="D23055">
        <v>0</v>
      </c>
    </row>
    <row r="23056" spans="1:4" hidden="1" x14ac:dyDescent="0.3">
      <c r="A23056" t="s">
        <v>1229</v>
      </c>
      <c r="B23056" t="s">
        <v>96</v>
      </c>
      <c r="C23056" s="1">
        <f>HYPERLINK("https://cao.dolgi.msk.ru/account/1019021121/", 1019021121)</f>
        <v>1019021121</v>
      </c>
      <c r="D23056">
        <v>0</v>
      </c>
    </row>
    <row r="23057" spans="1:4" hidden="1" x14ac:dyDescent="0.3">
      <c r="A23057" t="s">
        <v>1230</v>
      </c>
      <c r="B23057" t="s">
        <v>6</v>
      </c>
      <c r="C23057" s="1">
        <f>HYPERLINK("https://cao.dolgi.msk.ru/account/1010110064/", 1010110064)</f>
        <v>1010110064</v>
      </c>
      <c r="D23057">
        <v>-16142.69</v>
      </c>
    </row>
    <row r="23058" spans="1:4" hidden="1" x14ac:dyDescent="0.3">
      <c r="A23058" t="s">
        <v>1230</v>
      </c>
      <c r="B23058" t="s">
        <v>28</v>
      </c>
      <c r="C23058" s="1">
        <f>HYPERLINK("https://cao.dolgi.msk.ru/account/1010110072/", 1010110072)</f>
        <v>1010110072</v>
      </c>
      <c r="D23058">
        <v>0</v>
      </c>
    </row>
    <row r="23059" spans="1:4" hidden="1" x14ac:dyDescent="0.3">
      <c r="A23059" t="s">
        <v>1230</v>
      </c>
      <c r="B23059" t="s">
        <v>35</v>
      </c>
      <c r="C23059" s="1">
        <f>HYPERLINK("https://cao.dolgi.msk.ru/account/1010110099/", 1010110099)</f>
        <v>1010110099</v>
      </c>
      <c r="D23059">
        <v>-13587.68</v>
      </c>
    </row>
    <row r="23060" spans="1:4" x14ac:dyDescent="0.3">
      <c r="A23060" t="s">
        <v>1230</v>
      </c>
      <c r="B23060" t="s">
        <v>5</v>
      </c>
      <c r="C23060" s="1">
        <f>HYPERLINK("https://cao.dolgi.msk.ru/account/1010110101/", 1010110101)</f>
        <v>1010110101</v>
      </c>
      <c r="D23060">
        <v>30444.66</v>
      </c>
    </row>
    <row r="23061" spans="1:4" hidden="1" x14ac:dyDescent="0.3">
      <c r="A23061" t="s">
        <v>1230</v>
      </c>
      <c r="B23061" t="s">
        <v>7</v>
      </c>
      <c r="C23061" s="1">
        <f>HYPERLINK("https://cao.dolgi.msk.ru/account/1010110128/", 1010110128)</f>
        <v>1010110128</v>
      </c>
      <c r="D23061">
        <v>-15076.34</v>
      </c>
    </row>
    <row r="23062" spans="1:4" x14ac:dyDescent="0.3">
      <c r="A23062" t="s">
        <v>1230</v>
      </c>
      <c r="B23062" t="s">
        <v>8</v>
      </c>
      <c r="C23062" s="1">
        <f>HYPERLINK("https://cao.dolgi.msk.ru/account/1010110136/", 1010110136)</f>
        <v>1010110136</v>
      </c>
      <c r="D23062">
        <v>57740.61</v>
      </c>
    </row>
    <row r="23063" spans="1:4" x14ac:dyDescent="0.3">
      <c r="A23063" t="s">
        <v>1230</v>
      </c>
      <c r="B23063" t="s">
        <v>31</v>
      </c>
      <c r="C23063" s="1">
        <f>HYPERLINK("https://cao.dolgi.msk.ru/account/1010110144/", 1010110144)</f>
        <v>1010110144</v>
      </c>
      <c r="D23063">
        <v>33760.79</v>
      </c>
    </row>
    <row r="23064" spans="1:4" hidden="1" x14ac:dyDescent="0.3">
      <c r="A23064" t="s">
        <v>1230</v>
      </c>
      <c r="B23064" t="s">
        <v>9</v>
      </c>
      <c r="C23064" s="1">
        <f>HYPERLINK("https://cao.dolgi.msk.ru/account/1010110152/", 1010110152)</f>
        <v>1010110152</v>
      </c>
      <c r="D23064">
        <v>0</v>
      </c>
    </row>
    <row r="23065" spans="1:4" hidden="1" x14ac:dyDescent="0.3">
      <c r="A23065" t="s">
        <v>1230</v>
      </c>
      <c r="B23065" t="s">
        <v>10</v>
      </c>
      <c r="C23065" s="1">
        <f>HYPERLINK("https://cao.dolgi.msk.ru/account/1010110179/", 1010110179)</f>
        <v>1010110179</v>
      </c>
      <c r="D23065">
        <v>0</v>
      </c>
    </row>
    <row r="23066" spans="1:4" hidden="1" x14ac:dyDescent="0.3">
      <c r="A23066" t="s">
        <v>1230</v>
      </c>
      <c r="B23066" t="s">
        <v>11</v>
      </c>
      <c r="C23066" s="1">
        <f>HYPERLINK("https://cao.dolgi.msk.ru/account/1010110187/", 1010110187)</f>
        <v>1010110187</v>
      </c>
      <c r="D23066">
        <v>0</v>
      </c>
    </row>
    <row r="23067" spans="1:4" hidden="1" x14ac:dyDescent="0.3">
      <c r="A23067" t="s">
        <v>1230</v>
      </c>
      <c r="B23067" t="s">
        <v>12</v>
      </c>
      <c r="C23067" s="1">
        <f>HYPERLINK("https://cao.dolgi.msk.ru/account/1010110195/", 1010110195)</f>
        <v>1010110195</v>
      </c>
      <c r="D23067">
        <v>-17446.46</v>
      </c>
    </row>
    <row r="23068" spans="1:4" hidden="1" x14ac:dyDescent="0.3">
      <c r="A23068" t="s">
        <v>1231</v>
      </c>
      <c r="B23068" t="s">
        <v>6</v>
      </c>
      <c r="C23068" s="1">
        <f>HYPERLINK("https://cao.dolgi.msk.ru/account/1011458409/", 1011458409)</f>
        <v>1011458409</v>
      </c>
      <c r="D23068">
        <v>-529.87</v>
      </c>
    </row>
    <row r="23069" spans="1:4" hidden="1" x14ac:dyDescent="0.3">
      <c r="A23069" t="s">
        <v>1231</v>
      </c>
      <c r="B23069" t="s">
        <v>6</v>
      </c>
      <c r="C23069" s="1">
        <f>HYPERLINK("https://cao.dolgi.msk.ru/account/1011458943/", 1011458943)</f>
        <v>1011458943</v>
      </c>
      <c r="D23069">
        <v>0</v>
      </c>
    </row>
    <row r="23070" spans="1:4" hidden="1" x14ac:dyDescent="0.3">
      <c r="A23070" t="s">
        <v>1231</v>
      </c>
      <c r="B23070" t="s">
        <v>28</v>
      </c>
      <c r="C23070" s="1">
        <f>HYPERLINK("https://cao.dolgi.msk.ru/account/1011458089/", 1011458089)</f>
        <v>1011458089</v>
      </c>
      <c r="D23070">
        <v>-8364.2999999999993</v>
      </c>
    </row>
    <row r="23071" spans="1:4" hidden="1" x14ac:dyDescent="0.3">
      <c r="A23071" t="s">
        <v>1231</v>
      </c>
      <c r="B23071" t="s">
        <v>35</v>
      </c>
      <c r="C23071" s="1">
        <f>HYPERLINK("https://cao.dolgi.msk.ru/account/1011458994/", 1011458994)</f>
        <v>1011458994</v>
      </c>
      <c r="D23071">
        <v>0</v>
      </c>
    </row>
    <row r="23072" spans="1:4" hidden="1" x14ac:dyDescent="0.3">
      <c r="A23072" t="s">
        <v>1231</v>
      </c>
      <c r="B23072" t="s">
        <v>5</v>
      </c>
      <c r="C23072" s="1">
        <f>HYPERLINK("https://cao.dolgi.msk.ru/account/1011457916/", 1011457916)</f>
        <v>1011457916</v>
      </c>
      <c r="D23072">
        <v>0</v>
      </c>
    </row>
    <row r="23073" spans="1:4" x14ac:dyDescent="0.3">
      <c r="A23073" t="s">
        <v>1231</v>
      </c>
      <c r="B23073" t="s">
        <v>7</v>
      </c>
      <c r="C23073" s="1">
        <f>HYPERLINK("https://cao.dolgi.msk.ru/account/1011458257/", 1011458257)</f>
        <v>1011458257</v>
      </c>
      <c r="D23073">
        <v>8852.33</v>
      </c>
    </row>
    <row r="23074" spans="1:4" hidden="1" x14ac:dyDescent="0.3">
      <c r="A23074" t="s">
        <v>1231</v>
      </c>
      <c r="B23074" t="s">
        <v>8</v>
      </c>
      <c r="C23074" s="1">
        <f>HYPERLINK("https://cao.dolgi.msk.ru/account/1011458716/", 1011458716)</f>
        <v>1011458716</v>
      </c>
      <c r="D23074">
        <v>0</v>
      </c>
    </row>
    <row r="23075" spans="1:4" hidden="1" x14ac:dyDescent="0.3">
      <c r="A23075" t="s">
        <v>1231</v>
      </c>
      <c r="B23075" t="s">
        <v>31</v>
      </c>
      <c r="C23075" s="1">
        <f>HYPERLINK("https://cao.dolgi.msk.ru/account/1011458003/", 1011458003)</f>
        <v>1011458003</v>
      </c>
      <c r="D23075">
        <v>0</v>
      </c>
    </row>
    <row r="23076" spans="1:4" hidden="1" x14ac:dyDescent="0.3">
      <c r="A23076" t="s">
        <v>1231</v>
      </c>
      <c r="B23076" t="s">
        <v>9</v>
      </c>
      <c r="C23076" s="1">
        <f>HYPERLINK("https://cao.dolgi.msk.ru/account/1011458951/", 1011458951)</f>
        <v>1011458951</v>
      </c>
      <c r="D23076">
        <v>0</v>
      </c>
    </row>
    <row r="23077" spans="1:4" x14ac:dyDescent="0.3">
      <c r="A23077" t="s">
        <v>1231</v>
      </c>
      <c r="B23077" t="s">
        <v>10</v>
      </c>
      <c r="C23077" s="1">
        <f>HYPERLINK("https://cao.dolgi.msk.ru/account/1011457924/", 1011457924)</f>
        <v>1011457924</v>
      </c>
      <c r="D23077">
        <v>21823.62</v>
      </c>
    </row>
    <row r="23078" spans="1:4" hidden="1" x14ac:dyDescent="0.3">
      <c r="A23078" t="s">
        <v>1231</v>
      </c>
      <c r="B23078" t="s">
        <v>11</v>
      </c>
      <c r="C23078" s="1">
        <f>HYPERLINK("https://cao.dolgi.msk.ru/account/1011457799/", 1011457799)</f>
        <v>1011457799</v>
      </c>
      <c r="D23078">
        <v>-11065.2</v>
      </c>
    </row>
    <row r="23079" spans="1:4" x14ac:dyDescent="0.3">
      <c r="A23079" t="s">
        <v>1231</v>
      </c>
      <c r="B23079" t="s">
        <v>12</v>
      </c>
      <c r="C23079" s="1">
        <f>HYPERLINK("https://cao.dolgi.msk.ru/account/1011458708/", 1011458708)</f>
        <v>1011458708</v>
      </c>
      <c r="D23079">
        <v>86266.34</v>
      </c>
    </row>
    <row r="23080" spans="1:4" hidden="1" x14ac:dyDescent="0.3">
      <c r="A23080" t="s">
        <v>1231</v>
      </c>
      <c r="B23080" t="s">
        <v>23</v>
      </c>
      <c r="C23080" s="1">
        <f>HYPERLINK("https://cao.dolgi.msk.ru/account/1011457545/", 1011457545)</f>
        <v>1011457545</v>
      </c>
      <c r="D23080">
        <v>-31598.37</v>
      </c>
    </row>
    <row r="23081" spans="1:4" hidden="1" x14ac:dyDescent="0.3">
      <c r="A23081" t="s">
        <v>1231</v>
      </c>
      <c r="B23081" t="s">
        <v>13</v>
      </c>
      <c r="C23081" s="1">
        <f>HYPERLINK("https://cao.dolgi.msk.ru/account/1011457975/", 1011457975)</f>
        <v>1011457975</v>
      </c>
      <c r="D23081">
        <v>-8986.4599999999991</v>
      </c>
    </row>
    <row r="23082" spans="1:4" hidden="1" x14ac:dyDescent="0.3">
      <c r="A23082" t="s">
        <v>1231</v>
      </c>
      <c r="B23082" t="s">
        <v>14</v>
      </c>
      <c r="C23082" s="1">
        <f>HYPERLINK("https://cao.dolgi.msk.ru/account/1011457537/", 1011457537)</f>
        <v>1011457537</v>
      </c>
      <c r="D23082">
        <v>0</v>
      </c>
    </row>
    <row r="23083" spans="1:4" hidden="1" x14ac:dyDescent="0.3">
      <c r="A23083" t="s">
        <v>1231</v>
      </c>
      <c r="B23083" t="s">
        <v>16</v>
      </c>
      <c r="C23083" s="1">
        <f>HYPERLINK("https://cao.dolgi.msk.ru/account/1011457932/", 1011457932)</f>
        <v>1011457932</v>
      </c>
      <c r="D23083">
        <v>0</v>
      </c>
    </row>
    <row r="23084" spans="1:4" hidden="1" x14ac:dyDescent="0.3">
      <c r="A23084" t="s">
        <v>1231</v>
      </c>
      <c r="B23084" t="s">
        <v>17</v>
      </c>
      <c r="C23084" s="1">
        <f>HYPERLINK("https://cao.dolgi.msk.ru/account/1011457879/", 1011457879)</f>
        <v>1011457879</v>
      </c>
      <c r="D23084">
        <v>0</v>
      </c>
    </row>
    <row r="23085" spans="1:4" hidden="1" x14ac:dyDescent="0.3">
      <c r="A23085" t="s">
        <v>1231</v>
      </c>
      <c r="B23085" t="s">
        <v>18</v>
      </c>
      <c r="C23085" s="1">
        <f>HYPERLINK("https://cao.dolgi.msk.ru/account/1011457801/", 1011457801)</f>
        <v>1011457801</v>
      </c>
      <c r="D23085">
        <v>0</v>
      </c>
    </row>
    <row r="23086" spans="1:4" hidden="1" x14ac:dyDescent="0.3">
      <c r="A23086" t="s">
        <v>1231</v>
      </c>
      <c r="B23086" t="s">
        <v>19</v>
      </c>
      <c r="C23086" s="1">
        <f>HYPERLINK("https://cao.dolgi.msk.ru/account/1011458417/", 1011458417)</f>
        <v>1011458417</v>
      </c>
      <c r="D23086">
        <v>0</v>
      </c>
    </row>
    <row r="23087" spans="1:4" hidden="1" x14ac:dyDescent="0.3">
      <c r="A23087" t="s">
        <v>1231</v>
      </c>
      <c r="B23087" t="s">
        <v>20</v>
      </c>
      <c r="C23087" s="1">
        <f>HYPERLINK("https://cao.dolgi.msk.ru/account/1011458134/", 1011458134)</f>
        <v>1011458134</v>
      </c>
      <c r="D23087">
        <v>0</v>
      </c>
    </row>
    <row r="23088" spans="1:4" hidden="1" x14ac:dyDescent="0.3">
      <c r="A23088" t="s">
        <v>1231</v>
      </c>
      <c r="B23088" t="s">
        <v>21</v>
      </c>
      <c r="C23088" s="1">
        <f>HYPERLINK("https://cao.dolgi.msk.ru/account/1011457609/", 1011457609)</f>
        <v>1011457609</v>
      </c>
      <c r="D23088">
        <v>0</v>
      </c>
    </row>
    <row r="23089" spans="1:4" hidden="1" x14ac:dyDescent="0.3">
      <c r="A23089" t="s">
        <v>1231</v>
      </c>
      <c r="B23089" t="s">
        <v>22</v>
      </c>
      <c r="C23089" s="1">
        <f>HYPERLINK("https://cao.dolgi.msk.ru/account/1011458601/", 1011458601)</f>
        <v>1011458601</v>
      </c>
      <c r="D23089">
        <v>0</v>
      </c>
    </row>
    <row r="23090" spans="1:4" hidden="1" x14ac:dyDescent="0.3">
      <c r="A23090" t="s">
        <v>1231</v>
      </c>
      <c r="B23090" t="s">
        <v>24</v>
      </c>
      <c r="C23090" s="1">
        <f>HYPERLINK("https://cao.dolgi.msk.ru/account/1011458388/", 1011458388)</f>
        <v>1011458388</v>
      </c>
      <c r="D23090">
        <v>0</v>
      </c>
    </row>
    <row r="23091" spans="1:4" hidden="1" x14ac:dyDescent="0.3">
      <c r="A23091" t="s">
        <v>1231</v>
      </c>
      <c r="B23091" t="s">
        <v>25</v>
      </c>
      <c r="C23091" s="1">
        <f>HYPERLINK("https://cao.dolgi.msk.ru/account/1011458249/", 1011458249)</f>
        <v>1011458249</v>
      </c>
      <c r="D23091">
        <v>-9452.41</v>
      </c>
    </row>
    <row r="23092" spans="1:4" hidden="1" x14ac:dyDescent="0.3">
      <c r="A23092" t="s">
        <v>1231</v>
      </c>
      <c r="B23092" t="s">
        <v>26</v>
      </c>
      <c r="C23092" s="1">
        <f>HYPERLINK("https://cao.dolgi.msk.ru/account/1011458337/", 1011458337)</f>
        <v>1011458337</v>
      </c>
      <c r="D23092">
        <v>-7340.25</v>
      </c>
    </row>
    <row r="23093" spans="1:4" hidden="1" x14ac:dyDescent="0.3">
      <c r="A23093" t="s">
        <v>1231</v>
      </c>
      <c r="B23093" t="s">
        <v>27</v>
      </c>
      <c r="C23093" s="1">
        <f>HYPERLINK("https://cao.dolgi.msk.ru/account/1011457764/", 1011457764)</f>
        <v>1011457764</v>
      </c>
      <c r="D23093">
        <v>0</v>
      </c>
    </row>
    <row r="23094" spans="1:4" hidden="1" x14ac:dyDescent="0.3">
      <c r="A23094" t="s">
        <v>1231</v>
      </c>
      <c r="B23094" t="s">
        <v>586</v>
      </c>
      <c r="C23094" s="1">
        <f>HYPERLINK("https://cao.dolgi.msk.ru/account/1011458521/", 1011458521)</f>
        <v>1011458521</v>
      </c>
      <c r="D23094">
        <v>0</v>
      </c>
    </row>
    <row r="23095" spans="1:4" x14ac:dyDescent="0.3">
      <c r="A23095" t="s">
        <v>1231</v>
      </c>
      <c r="B23095" t="s">
        <v>29</v>
      </c>
      <c r="C23095" s="1">
        <f>HYPERLINK("https://cao.dolgi.msk.ru/account/1011458177/", 1011458177)</f>
        <v>1011458177</v>
      </c>
      <c r="D23095">
        <v>9571.2000000000007</v>
      </c>
    </row>
    <row r="23096" spans="1:4" hidden="1" x14ac:dyDescent="0.3">
      <c r="A23096" t="s">
        <v>1231</v>
      </c>
      <c r="B23096" t="s">
        <v>38</v>
      </c>
      <c r="C23096" s="1">
        <f>HYPERLINK("https://cao.dolgi.msk.ru/account/1011458038/", 1011458038)</f>
        <v>1011458038</v>
      </c>
      <c r="D23096">
        <v>-5268.03</v>
      </c>
    </row>
    <row r="23097" spans="1:4" hidden="1" x14ac:dyDescent="0.3">
      <c r="A23097" t="s">
        <v>1231</v>
      </c>
      <c r="B23097" t="s">
        <v>39</v>
      </c>
      <c r="C23097" s="1">
        <f>HYPERLINK("https://cao.dolgi.msk.ru/account/1011458548/", 1011458548)</f>
        <v>1011458548</v>
      </c>
      <c r="D23097">
        <v>0</v>
      </c>
    </row>
    <row r="23098" spans="1:4" hidden="1" x14ac:dyDescent="0.3">
      <c r="A23098" t="s">
        <v>1231</v>
      </c>
      <c r="B23098" t="s">
        <v>40</v>
      </c>
      <c r="C23098" s="1">
        <f>HYPERLINK("https://cao.dolgi.msk.ru/account/1011457596/", 1011457596)</f>
        <v>1011457596</v>
      </c>
      <c r="D23098">
        <v>0</v>
      </c>
    </row>
    <row r="23099" spans="1:4" x14ac:dyDescent="0.3">
      <c r="A23099" t="s">
        <v>1231</v>
      </c>
      <c r="B23099" t="s">
        <v>40</v>
      </c>
      <c r="C23099" s="1">
        <f>HYPERLINK("https://cao.dolgi.msk.ru/account/1011507485/", 1011507485)</f>
        <v>1011507485</v>
      </c>
      <c r="D23099">
        <v>4704.43</v>
      </c>
    </row>
    <row r="23100" spans="1:4" hidden="1" x14ac:dyDescent="0.3">
      <c r="A23100" t="s">
        <v>1231</v>
      </c>
      <c r="B23100" t="s">
        <v>41</v>
      </c>
      <c r="C23100" s="1">
        <f>HYPERLINK("https://cao.dolgi.msk.ru/account/1011458265/", 1011458265)</f>
        <v>1011458265</v>
      </c>
      <c r="D23100">
        <v>0</v>
      </c>
    </row>
    <row r="23101" spans="1:4" hidden="1" x14ac:dyDescent="0.3">
      <c r="A23101" t="s">
        <v>1231</v>
      </c>
      <c r="B23101" t="s">
        <v>51</v>
      </c>
      <c r="C23101" s="1">
        <f>HYPERLINK("https://cao.dolgi.msk.ru/account/1011458185/", 1011458185)</f>
        <v>1011458185</v>
      </c>
      <c r="D23101">
        <v>0</v>
      </c>
    </row>
    <row r="23102" spans="1:4" hidden="1" x14ac:dyDescent="0.3">
      <c r="A23102" t="s">
        <v>1231</v>
      </c>
      <c r="B23102" t="s">
        <v>52</v>
      </c>
      <c r="C23102" s="1">
        <f>HYPERLINK("https://cao.dolgi.msk.ru/account/1011458468/", 1011458468)</f>
        <v>1011458468</v>
      </c>
      <c r="D23102">
        <v>-6634.79</v>
      </c>
    </row>
    <row r="23103" spans="1:4" x14ac:dyDescent="0.3">
      <c r="A23103" t="s">
        <v>1231</v>
      </c>
      <c r="B23103" t="s">
        <v>53</v>
      </c>
      <c r="C23103" s="1">
        <f>HYPERLINK("https://cao.dolgi.msk.ru/account/1011458687/", 1011458687)</f>
        <v>1011458687</v>
      </c>
      <c r="D23103">
        <v>15343.25</v>
      </c>
    </row>
    <row r="23104" spans="1:4" hidden="1" x14ac:dyDescent="0.3">
      <c r="A23104" t="s">
        <v>1231</v>
      </c>
      <c r="B23104" t="s">
        <v>54</v>
      </c>
      <c r="C23104" s="1">
        <f>HYPERLINK("https://cao.dolgi.msk.ru/account/1011459006/", 1011459006)</f>
        <v>1011459006</v>
      </c>
      <c r="D23104">
        <v>-7116.23</v>
      </c>
    </row>
    <row r="23105" spans="1:4" hidden="1" x14ac:dyDescent="0.3">
      <c r="A23105" t="s">
        <v>1231</v>
      </c>
      <c r="B23105" t="s">
        <v>55</v>
      </c>
      <c r="C23105" s="1">
        <f>HYPERLINK("https://cao.dolgi.msk.ru/account/1011458556/", 1011458556)</f>
        <v>1011458556</v>
      </c>
      <c r="D23105">
        <v>0</v>
      </c>
    </row>
    <row r="23106" spans="1:4" x14ac:dyDescent="0.3">
      <c r="A23106" t="s">
        <v>1231</v>
      </c>
      <c r="B23106" t="s">
        <v>56</v>
      </c>
      <c r="C23106" s="1">
        <f>HYPERLINK("https://cao.dolgi.msk.ru/account/1011458206/", 1011458206)</f>
        <v>1011458206</v>
      </c>
      <c r="D23106">
        <v>7658.11</v>
      </c>
    </row>
    <row r="23107" spans="1:4" hidden="1" x14ac:dyDescent="0.3">
      <c r="A23107" t="s">
        <v>1231</v>
      </c>
      <c r="B23107" t="s">
        <v>88</v>
      </c>
      <c r="C23107" s="1">
        <f>HYPERLINK("https://cao.dolgi.msk.ru/account/1011457625/", 1011457625)</f>
        <v>1011457625</v>
      </c>
      <c r="D23107">
        <v>-1462.91</v>
      </c>
    </row>
    <row r="23108" spans="1:4" hidden="1" x14ac:dyDescent="0.3">
      <c r="A23108" t="s">
        <v>1231</v>
      </c>
      <c r="B23108" t="s">
        <v>89</v>
      </c>
      <c r="C23108" s="1">
        <f>HYPERLINK("https://cao.dolgi.msk.ru/account/1011458695/", 1011458695)</f>
        <v>1011458695</v>
      </c>
      <c r="D23108">
        <v>0</v>
      </c>
    </row>
    <row r="23109" spans="1:4" hidden="1" x14ac:dyDescent="0.3">
      <c r="A23109" t="s">
        <v>1231</v>
      </c>
      <c r="B23109" t="s">
        <v>90</v>
      </c>
      <c r="C23109" s="1">
        <f>HYPERLINK("https://cao.dolgi.msk.ru/account/1011458767/", 1011458767)</f>
        <v>1011458767</v>
      </c>
      <c r="D23109">
        <v>0</v>
      </c>
    </row>
    <row r="23110" spans="1:4" hidden="1" x14ac:dyDescent="0.3">
      <c r="A23110" t="s">
        <v>1231</v>
      </c>
      <c r="B23110" t="s">
        <v>96</v>
      </c>
      <c r="C23110" s="1">
        <f>HYPERLINK("https://cao.dolgi.msk.ru/account/1011457705/", 1011457705)</f>
        <v>1011457705</v>
      </c>
      <c r="D23110">
        <v>0</v>
      </c>
    </row>
    <row r="23111" spans="1:4" hidden="1" x14ac:dyDescent="0.3">
      <c r="A23111" t="s">
        <v>1231</v>
      </c>
      <c r="B23111" t="s">
        <v>97</v>
      </c>
      <c r="C23111" s="1">
        <f>HYPERLINK("https://cao.dolgi.msk.ru/account/1011458425/", 1011458425)</f>
        <v>1011458425</v>
      </c>
      <c r="D23111">
        <v>-4338.66</v>
      </c>
    </row>
    <row r="23112" spans="1:4" hidden="1" x14ac:dyDescent="0.3">
      <c r="A23112" t="s">
        <v>1231</v>
      </c>
      <c r="B23112" t="s">
        <v>98</v>
      </c>
      <c r="C23112" s="1">
        <f>HYPERLINK("https://cao.dolgi.msk.ru/account/1011457983/", 1011457983)</f>
        <v>1011457983</v>
      </c>
      <c r="D23112">
        <v>-12482.04</v>
      </c>
    </row>
    <row r="23113" spans="1:4" hidden="1" x14ac:dyDescent="0.3">
      <c r="A23113" t="s">
        <v>1231</v>
      </c>
      <c r="B23113" t="s">
        <v>58</v>
      </c>
      <c r="C23113" s="1">
        <f>HYPERLINK("https://cao.dolgi.msk.ru/account/1011457414/", 1011457414)</f>
        <v>1011457414</v>
      </c>
      <c r="D23113">
        <v>0</v>
      </c>
    </row>
    <row r="23114" spans="1:4" x14ac:dyDescent="0.3">
      <c r="A23114" t="s">
        <v>1231</v>
      </c>
      <c r="B23114" t="s">
        <v>59</v>
      </c>
      <c r="C23114" s="1">
        <f>HYPERLINK("https://cao.dolgi.msk.ru/account/1011457756/", 1011457756)</f>
        <v>1011457756</v>
      </c>
      <c r="D23114">
        <v>2931.12</v>
      </c>
    </row>
    <row r="23115" spans="1:4" hidden="1" x14ac:dyDescent="0.3">
      <c r="A23115" t="s">
        <v>1231</v>
      </c>
      <c r="B23115" t="s">
        <v>62</v>
      </c>
      <c r="C23115" s="1">
        <f>HYPERLINK("https://cao.dolgi.msk.ru/account/1011458986/", 1011458986)</f>
        <v>1011458986</v>
      </c>
      <c r="D23115">
        <v>0</v>
      </c>
    </row>
    <row r="23116" spans="1:4" hidden="1" x14ac:dyDescent="0.3">
      <c r="A23116" t="s">
        <v>1231</v>
      </c>
      <c r="B23116" t="s">
        <v>63</v>
      </c>
      <c r="C23116" s="1">
        <f>HYPERLINK("https://cao.dolgi.msk.ru/account/1011459014/", 1011459014)</f>
        <v>1011459014</v>
      </c>
      <c r="D23116">
        <v>0</v>
      </c>
    </row>
    <row r="23117" spans="1:4" hidden="1" x14ac:dyDescent="0.3">
      <c r="A23117" t="s">
        <v>1231</v>
      </c>
      <c r="B23117" t="s">
        <v>64</v>
      </c>
      <c r="C23117" s="1">
        <f>HYPERLINK("https://cao.dolgi.msk.ru/account/1011458978/", 1011458978)</f>
        <v>1011458978</v>
      </c>
      <c r="D23117">
        <v>0</v>
      </c>
    </row>
    <row r="23118" spans="1:4" hidden="1" x14ac:dyDescent="0.3">
      <c r="A23118" t="s">
        <v>1231</v>
      </c>
      <c r="B23118" t="s">
        <v>65</v>
      </c>
      <c r="C23118" s="1">
        <f>HYPERLINK("https://cao.dolgi.msk.ru/account/1011457959/", 1011457959)</f>
        <v>1011457959</v>
      </c>
      <c r="D23118">
        <v>0</v>
      </c>
    </row>
    <row r="23119" spans="1:4" hidden="1" x14ac:dyDescent="0.3">
      <c r="A23119" t="s">
        <v>1231</v>
      </c>
      <c r="B23119" t="s">
        <v>66</v>
      </c>
      <c r="C23119" s="1">
        <f>HYPERLINK("https://cao.dolgi.msk.ru/account/1011458097/", 1011458097)</f>
        <v>1011458097</v>
      </c>
      <c r="D23119">
        <v>0</v>
      </c>
    </row>
    <row r="23120" spans="1:4" hidden="1" x14ac:dyDescent="0.3">
      <c r="A23120" t="s">
        <v>1231</v>
      </c>
      <c r="B23120" t="s">
        <v>67</v>
      </c>
      <c r="C23120" s="1">
        <f>HYPERLINK("https://cao.dolgi.msk.ru/account/1011457828/", 1011457828)</f>
        <v>1011457828</v>
      </c>
      <c r="D23120">
        <v>-6420.65</v>
      </c>
    </row>
    <row r="23121" spans="1:4" hidden="1" x14ac:dyDescent="0.3">
      <c r="A23121" t="s">
        <v>1231</v>
      </c>
      <c r="B23121" t="s">
        <v>68</v>
      </c>
      <c r="C23121" s="1">
        <f>HYPERLINK("https://cao.dolgi.msk.ru/account/1011457836/", 1011457836)</f>
        <v>1011457836</v>
      </c>
      <c r="D23121">
        <v>-5159.43</v>
      </c>
    </row>
    <row r="23122" spans="1:4" hidden="1" x14ac:dyDescent="0.3">
      <c r="A23122" t="s">
        <v>1231</v>
      </c>
      <c r="B23122" t="s">
        <v>69</v>
      </c>
      <c r="C23122" s="1">
        <f>HYPERLINK("https://cao.dolgi.msk.ru/account/1011457481/", 1011457481)</f>
        <v>1011457481</v>
      </c>
      <c r="D23122">
        <v>-4434.57</v>
      </c>
    </row>
    <row r="23123" spans="1:4" hidden="1" x14ac:dyDescent="0.3">
      <c r="A23123" t="s">
        <v>1231</v>
      </c>
      <c r="B23123" t="s">
        <v>70</v>
      </c>
      <c r="C23123" s="1">
        <f>HYPERLINK("https://cao.dolgi.msk.ru/account/1011458898/", 1011458898)</f>
        <v>1011458898</v>
      </c>
      <c r="D23123">
        <v>-4397.8</v>
      </c>
    </row>
    <row r="23124" spans="1:4" x14ac:dyDescent="0.3">
      <c r="A23124" t="s">
        <v>1231</v>
      </c>
      <c r="B23124" t="s">
        <v>259</v>
      </c>
      <c r="C23124" s="1">
        <f>HYPERLINK("https://cao.dolgi.msk.ru/account/1011457553/", 1011457553)</f>
        <v>1011457553</v>
      </c>
      <c r="D23124">
        <v>6098.71</v>
      </c>
    </row>
    <row r="23125" spans="1:4" hidden="1" x14ac:dyDescent="0.3">
      <c r="A23125" t="s">
        <v>1231</v>
      </c>
      <c r="B23125" t="s">
        <v>73</v>
      </c>
      <c r="C23125" s="1">
        <f>HYPERLINK("https://cao.dolgi.msk.ru/account/1011457887/", 1011457887)</f>
        <v>1011457887</v>
      </c>
      <c r="D23125">
        <v>0</v>
      </c>
    </row>
    <row r="23126" spans="1:4" hidden="1" x14ac:dyDescent="0.3">
      <c r="A23126" t="s">
        <v>1231</v>
      </c>
      <c r="B23126" t="s">
        <v>74</v>
      </c>
      <c r="C23126" s="1">
        <f>HYPERLINK("https://cao.dolgi.msk.ru/account/1011457449/", 1011457449)</f>
        <v>1011457449</v>
      </c>
      <c r="D23126">
        <v>-1935.82</v>
      </c>
    </row>
    <row r="23127" spans="1:4" hidden="1" x14ac:dyDescent="0.3">
      <c r="A23127" t="s">
        <v>1231</v>
      </c>
      <c r="B23127" t="s">
        <v>75</v>
      </c>
      <c r="C23127" s="1">
        <f>HYPERLINK("https://cao.dolgi.msk.ru/account/1011457748/", 1011457748)</f>
        <v>1011457748</v>
      </c>
      <c r="D23127">
        <v>0</v>
      </c>
    </row>
    <row r="23128" spans="1:4" hidden="1" x14ac:dyDescent="0.3">
      <c r="A23128" t="s">
        <v>1231</v>
      </c>
      <c r="B23128" t="s">
        <v>76</v>
      </c>
      <c r="C23128" s="1">
        <f>HYPERLINK("https://cao.dolgi.msk.ru/account/1011458281/", 1011458281)</f>
        <v>1011458281</v>
      </c>
      <c r="D23128">
        <v>0</v>
      </c>
    </row>
    <row r="23129" spans="1:4" hidden="1" x14ac:dyDescent="0.3">
      <c r="A23129" t="s">
        <v>1231</v>
      </c>
      <c r="B23129" t="s">
        <v>77</v>
      </c>
      <c r="C23129" s="1">
        <f>HYPERLINK("https://cao.dolgi.msk.ru/account/1011458804/", 1011458804)</f>
        <v>1011458804</v>
      </c>
      <c r="D23129">
        <v>0</v>
      </c>
    </row>
    <row r="23130" spans="1:4" hidden="1" x14ac:dyDescent="0.3">
      <c r="A23130" t="s">
        <v>1231</v>
      </c>
      <c r="B23130" t="s">
        <v>78</v>
      </c>
      <c r="C23130" s="1">
        <f>HYPERLINK("https://cao.dolgi.msk.ru/account/1011458564/", 1011458564)</f>
        <v>1011458564</v>
      </c>
      <c r="D23130">
        <v>-4416.16</v>
      </c>
    </row>
    <row r="23131" spans="1:4" x14ac:dyDescent="0.3">
      <c r="A23131" t="s">
        <v>1231</v>
      </c>
      <c r="B23131" t="s">
        <v>79</v>
      </c>
      <c r="C23131" s="1">
        <f>HYPERLINK("https://cao.dolgi.msk.ru/account/1011457676/", 1011457676)</f>
        <v>1011457676</v>
      </c>
      <c r="D23131">
        <v>7671.03</v>
      </c>
    </row>
    <row r="23132" spans="1:4" hidden="1" x14ac:dyDescent="0.3">
      <c r="A23132" t="s">
        <v>1231</v>
      </c>
      <c r="B23132" t="s">
        <v>80</v>
      </c>
      <c r="C23132" s="1">
        <f>HYPERLINK("https://cao.dolgi.msk.ru/account/1011458871/", 1011458871)</f>
        <v>1011458871</v>
      </c>
      <c r="D23132">
        <v>0</v>
      </c>
    </row>
    <row r="23133" spans="1:4" hidden="1" x14ac:dyDescent="0.3">
      <c r="A23133" t="s">
        <v>1231</v>
      </c>
      <c r="B23133" t="s">
        <v>80</v>
      </c>
      <c r="C23133" s="1">
        <f>HYPERLINK("https://cao.dolgi.msk.ru/account/1011458919/", 1011458919)</f>
        <v>1011458919</v>
      </c>
      <c r="D23133">
        <v>0</v>
      </c>
    </row>
    <row r="23134" spans="1:4" hidden="1" x14ac:dyDescent="0.3">
      <c r="A23134" t="s">
        <v>1231</v>
      </c>
      <c r="B23134" t="s">
        <v>81</v>
      </c>
      <c r="C23134" s="1">
        <f>HYPERLINK("https://cao.dolgi.msk.ru/account/1011459057/", 1011459057)</f>
        <v>1011459057</v>
      </c>
      <c r="D23134">
        <v>-113.49</v>
      </c>
    </row>
    <row r="23135" spans="1:4" hidden="1" x14ac:dyDescent="0.3">
      <c r="A23135" t="s">
        <v>1231</v>
      </c>
      <c r="B23135" t="s">
        <v>101</v>
      </c>
      <c r="C23135" s="1">
        <f>HYPERLINK("https://cao.dolgi.msk.ru/account/1011458142/", 1011458142)</f>
        <v>1011458142</v>
      </c>
      <c r="D23135">
        <v>0</v>
      </c>
    </row>
    <row r="23136" spans="1:4" hidden="1" x14ac:dyDescent="0.3">
      <c r="A23136" t="s">
        <v>1231</v>
      </c>
      <c r="B23136" t="s">
        <v>84</v>
      </c>
      <c r="C23136" s="1">
        <f>HYPERLINK("https://cao.dolgi.msk.ru/account/1011458775/", 1011458775)</f>
        <v>1011458775</v>
      </c>
      <c r="D23136">
        <v>-1218.04</v>
      </c>
    </row>
    <row r="23137" spans="1:4" x14ac:dyDescent="0.3">
      <c r="A23137" t="s">
        <v>1231</v>
      </c>
      <c r="B23137" t="s">
        <v>85</v>
      </c>
      <c r="C23137" s="1">
        <f>HYPERLINK("https://cao.dolgi.msk.ru/account/1011457895/", 1011457895)</f>
        <v>1011457895</v>
      </c>
      <c r="D23137">
        <v>3617.3</v>
      </c>
    </row>
    <row r="23138" spans="1:4" hidden="1" x14ac:dyDescent="0.3">
      <c r="A23138" t="s">
        <v>1231</v>
      </c>
      <c r="B23138" t="s">
        <v>102</v>
      </c>
      <c r="C23138" s="1">
        <f>HYPERLINK("https://cao.dolgi.msk.ru/account/1011457772/", 1011457772)</f>
        <v>1011457772</v>
      </c>
      <c r="D23138">
        <v>0</v>
      </c>
    </row>
    <row r="23139" spans="1:4" hidden="1" x14ac:dyDescent="0.3">
      <c r="A23139" t="s">
        <v>1231</v>
      </c>
      <c r="B23139" t="s">
        <v>103</v>
      </c>
      <c r="C23139" s="1">
        <f>HYPERLINK("https://cao.dolgi.msk.ru/account/1011526109/", 1011526109)</f>
        <v>1011526109</v>
      </c>
      <c r="D23139">
        <v>-7155.77</v>
      </c>
    </row>
    <row r="23140" spans="1:4" hidden="1" x14ac:dyDescent="0.3">
      <c r="A23140" t="s">
        <v>1231</v>
      </c>
      <c r="B23140" t="s">
        <v>104</v>
      </c>
      <c r="C23140" s="1">
        <f>HYPERLINK("https://cao.dolgi.msk.ru/account/1011458433/", 1011458433)</f>
        <v>1011458433</v>
      </c>
      <c r="D23140">
        <v>0</v>
      </c>
    </row>
    <row r="23141" spans="1:4" x14ac:dyDescent="0.3">
      <c r="A23141" t="s">
        <v>1231</v>
      </c>
      <c r="B23141" t="s">
        <v>105</v>
      </c>
      <c r="C23141" s="1">
        <f>HYPERLINK("https://cao.dolgi.msk.ru/account/1011457561/", 1011457561)</f>
        <v>1011457561</v>
      </c>
      <c r="D23141">
        <v>7242.88</v>
      </c>
    </row>
    <row r="23142" spans="1:4" hidden="1" x14ac:dyDescent="0.3">
      <c r="A23142" t="s">
        <v>1231</v>
      </c>
      <c r="B23142" t="s">
        <v>106</v>
      </c>
      <c r="C23142" s="1">
        <f>HYPERLINK("https://cao.dolgi.msk.ru/account/1011457713/", 1011457713)</f>
        <v>1011457713</v>
      </c>
      <c r="D23142">
        <v>-5297.14</v>
      </c>
    </row>
    <row r="23143" spans="1:4" hidden="1" x14ac:dyDescent="0.3">
      <c r="A23143" t="s">
        <v>1231</v>
      </c>
      <c r="B23143" t="s">
        <v>107</v>
      </c>
      <c r="C23143" s="1">
        <f>HYPERLINK("https://cao.dolgi.msk.ru/account/1011458812/", 1011458812)</f>
        <v>1011458812</v>
      </c>
      <c r="D23143">
        <v>-5439.78</v>
      </c>
    </row>
    <row r="23144" spans="1:4" hidden="1" x14ac:dyDescent="0.3">
      <c r="A23144" t="s">
        <v>1231</v>
      </c>
      <c r="B23144" t="s">
        <v>108</v>
      </c>
      <c r="C23144" s="1">
        <f>HYPERLINK("https://cao.dolgi.msk.ru/account/1011458476/", 1011458476)</f>
        <v>1011458476</v>
      </c>
      <c r="D23144">
        <v>0</v>
      </c>
    </row>
    <row r="23145" spans="1:4" x14ac:dyDescent="0.3">
      <c r="A23145" t="s">
        <v>1231</v>
      </c>
      <c r="B23145" t="s">
        <v>109</v>
      </c>
      <c r="C23145" s="1">
        <f>HYPERLINK("https://cao.dolgi.msk.ru/account/1011458193/", 1011458193)</f>
        <v>1011458193</v>
      </c>
      <c r="D23145">
        <v>10989.92</v>
      </c>
    </row>
    <row r="23146" spans="1:4" hidden="1" x14ac:dyDescent="0.3">
      <c r="A23146" t="s">
        <v>1231</v>
      </c>
      <c r="B23146" t="s">
        <v>110</v>
      </c>
      <c r="C23146" s="1">
        <f>HYPERLINK("https://cao.dolgi.msk.ru/account/1011458214/", 1011458214)</f>
        <v>1011458214</v>
      </c>
      <c r="D23146">
        <v>0</v>
      </c>
    </row>
    <row r="23147" spans="1:4" hidden="1" x14ac:dyDescent="0.3">
      <c r="A23147" t="s">
        <v>1231</v>
      </c>
      <c r="B23147" t="s">
        <v>111</v>
      </c>
      <c r="C23147" s="1">
        <f>HYPERLINK("https://cao.dolgi.msk.ru/account/1011458054/", 1011458054)</f>
        <v>1011458054</v>
      </c>
      <c r="D23147">
        <v>0</v>
      </c>
    </row>
    <row r="23148" spans="1:4" hidden="1" x14ac:dyDescent="0.3">
      <c r="A23148" t="s">
        <v>1231</v>
      </c>
      <c r="B23148" t="s">
        <v>112</v>
      </c>
      <c r="C23148" s="1">
        <f>HYPERLINK("https://cao.dolgi.msk.ru/account/1011457633/", 1011457633)</f>
        <v>1011457633</v>
      </c>
      <c r="D23148">
        <v>-10751.2</v>
      </c>
    </row>
    <row r="23149" spans="1:4" hidden="1" x14ac:dyDescent="0.3">
      <c r="A23149" t="s">
        <v>1231</v>
      </c>
      <c r="B23149" t="s">
        <v>113</v>
      </c>
      <c r="C23149" s="1">
        <f>HYPERLINK("https://cao.dolgi.msk.ru/account/1011458222/", 1011458222)</f>
        <v>1011458222</v>
      </c>
      <c r="D23149">
        <v>0</v>
      </c>
    </row>
    <row r="23150" spans="1:4" hidden="1" x14ac:dyDescent="0.3">
      <c r="A23150" t="s">
        <v>1231</v>
      </c>
      <c r="B23150" t="s">
        <v>114</v>
      </c>
      <c r="C23150" s="1">
        <f>HYPERLINK("https://cao.dolgi.msk.ru/account/1011457967/", 1011457967)</f>
        <v>1011457967</v>
      </c>
      <c r="D23150">
        <v>0</v>
      </c>
    </row>
    <row r="23151" spans="1:4" hidden="1" x14ac:dyDescent="0.3">
      <c r="A23151" t="s">
        <v>1231</v>
      </c>
      <c r="B23151" t="s">
        <v>115</v>
      </c>
      <c r="C23151" s="1">
        <f>HYPERLINK("https://cao.dolgi.msk.ru/account/1011457641/", 1011457641)</f>
        <v>1011457641</v>
      </c>
      <c r="D23151">
        <v>-15470.48</v>
      </c>
    </row>
    <row r="23152" spans="1:4" hidden="1" x14ac:dyDescent="0.3">
      <c r="A23152" t="s">
        <v>1231</v>
      </c>
      <c r="B23152" t="s">
        <v>116</v>
      </c>
      <c r="C23152" s="1">
        <f>HYPERLINK("https://cao.dolgi.msk.ru/account/1011458441/", 1011458441)</f>
        <v>1011458441</v>
      </c>
      <c r="D23152">
        <v>-131.36000000000001</v>
      </c>
    </row>
    <row r="23153" spans="1:4" hidden="1" x14ac:dyDescent="0.3">
      <c r="A23153" t="s">
        <v>1231</v>
      </c>
      <c r="B23153" t="s">
        <v>266</v>
      </c>
      <c r="C23153" s="1">
        <f>HYPERLINK("https://cao.dolgi.msk.ru/account/1011458396/", 1011458396)</f>
        <v>1011458396</v>
      </c>
      <c r="D23153">
        <v>-127.63</v>
      </c>
    </row>
    <row r="23154" spans="1:4" x14ac:dyDescent="0.3">
      <c r="A23154" t="s">
        <v>1231</v>
      </c>
      <c r="B23154" t="s">
        <v>117</v>
      </c>
      <c r="C23154" s="1">
        <f>HYPERLINK("https://cao.dolgi.msk.ru/account/1011458572/", 1011458572)</f>
        <v>1011458572</v>
      </c>
      <c r="D23154">
        <v>65785.83</v>
      </c>
    </row>
    <row r="23155" spans="1:4" x14ac:dyDescent="0.3">
      <c r="A23155" t="s">
        <v>1231</v>
      </c>
      <c r="B23155" t="s">
        <v>118</v>
      </c>
      <c r="C23155" s="1">
        <f>HYPERLINK("https://cao.dolgi.msk.ru/account/1011458046/", 1011458046)</f>
        <v>1011458046</v>
      </c>
      <c r="D23155">
        <v>1215.75</v>
      </c>
    </row>
    <row r="23156" spans="1:4" hidden="1" x14ac:dyDescent="0.3">
      <c r="A23156" t="s">
        <v>1231</v>
      </c>
      <c r="B23156" t="s">
        <v>119</v>
      </c>
      <c r="C23156" s="1">
        <f>HYPERLINK("https://cao.dolgi.msk.ru/account/1011457721/", 1011457721)</f>
        <v>1011457721</v>
      </c>
      <c r="D23156">
        <v>-5078.82</v>
      </c>
    </row>
    <row r="23157" spans="1:4" x14ac:dyDescent="0.3">
      <c r="A23157" t="s">
        <v>1231</v>
      </c>
      <c r="B23157" t="s">
        <v>120</v>
      </c>
      <c r="C23157" s="1">
        <f>HYPERLINK("https://cao.dolgi.msk.ru/account/1011458505/", 1011458505)</f>
        <v>1011458505</v>
      </c>
      <c r="D23157">
        <v>618.03</v>
      </c>
    </row>
    <row r="23158" spans="1:4" x14ac:dyDescent="0.3">
      <c r="A23158" t="s">
        <v>1231</v>
      </c>
      <c r="B23158" t="s">
        <v>121</v>
      </c>
      <c r="C23158" s="1">
        <f>HYPERLINK("https://cao.dolgi.msk.ru/account/1011458628/", 1011458628)</f>
        <v>1011458628</v>
      </c>
      <c r="D23158">
        <v>5885.32</v>
      </c>
    </row>
    <row r="23159" spans="1:4" hidden="1" x14ac:dyDescent="0.3">
      <c r="A23159" t="s">
        <v>1231</v>
      </c>
      <c r="B23159" t="s">
        <v>122</v>
      </c>
      <c r="C23159" s="1">
        <f>HYPERLINK("https://cao.dolgi.msk.ru/account/1011458062/", 1011458062)</f>
        <v>1011458062</v>
      </c>
      <c r="D23159">
        <v>0</v>
      </c>
    </row>
    <row r="23160" spans="1:4" hidden="1" x14ac:dyDescent="0.3">
      <c r="A23160" t="s">
        <v>1231</v>
      </c>
      <c r="B23160" t="s">
        <v>123</v>
      </c>
      <c r="C23160" s="1">
        <f>HYPERLINK("https://cao.dolgi.msk.ru/account/1011458484/", 1011458484)</f>
        <v>1011458484</v>
      </c>
      <c r="D23160">
        <v>0</v>
      </c>
    </row>
    <row r="23161" spans="1:4" hidden="1" x14ac:dyDescent="0.3">
      <c r="A23161" t="s">
        <v>1231</v>
      </c>
      <c r="B23161" t="s">
        <v>126</v>
      </c>
      <c r="C23161" s="1">
        <f>HYPERLINK("https://cao.dolgi.msk.ru/account/1011457991/", 1011457991)</f>
        <v>1011457991</v>
      </c>
      <c r="D23161">
        <v>0</v>
      </c>
    </row>
    <row r="23162" spans="1:4" hidden="1" x14ac:dyDescent="0.3">
      <c r="A23162" t="s">
        <v>1231</v>
      </c>
      <c r="B23162" t="s">
        <v>126</v>
      </c>
      <c r="C23162" s="1">
        <f>HYPERLINK("https://cao.dolgi.msk.ru/account/1011505893/", 1011505893)</f>
        <v>1011505893</v>
      </c>
      <c r="D23162">
        <v>0</v>
      </c>
    </row>
    <row r="23163" spans="1:4" hidden="1" x14ac:dyDescent="0.3">
      <c r="A23163" t="s">
        <v>1231</v>
      </c>
      <c r="B23163" t="s">
        <v>126</v>
      </c>
      <c r="C23163" s="1">
        <f>HYPERLINK("https://cao.dolgi.msk.ru/account/1011506183/", 1011506183)</f>
        <v>1011506183</v>
      </c>
      <c r="D23163">
        <v>0</v>
      </c>
    </row>
    <row r="23164" spans="1:4" hidden="1" x14ac:dyDescent="0.3">
      <c r="A23164" t="s">
        <v>1231</v>
      </c>
      <c r="B23164" t="s">
        <v>127</v>
      </c>
      <c r="C23164" s="1">
        <f>HYPERLINK("https://cao.dolgi.msk.ru/account/1011458724/", 1011458724)</f>
        <v>1011458724</v>
      </c>
      <c r="D23164">
        <v>0</v>
      </c>
    </row>
    <row r="23165" spans="1:4" hidden="1" x14ac:dyDescent="0.3">
      <c r="A23165" t="s">
        <v>1231</v>
      </c>
      <c r="B23165" t="s">
        <v>262</v>
      </c>
      <c r="C23165" s="1">
        <f>HYPERLINK("https://cao.dolgi.msk.ru/account/1011457457/", 1011457457)</f>
        <v>1011457457</v>
      </c>
      <c r="D23165">
        <v>0</v>
      </c>
    </row>
    <row r="23166" spans="1:4" hidden="1" x14ac:dyDescent="0.3">
      <c r="A23166" t="s">
        <v>1231</v>
      </c>
      <c r="B23166" t="s">
        <v>262</v>
      </c>
      <c r="C23166" s="1">
        <f>HYPERLINK("https://cao.dolgi.msk.ru/account/1011458118/", 1011458118)</f>
        <v>1011458118</v>
      </c>
      <c r="D23166">
        <v>0</v>
      </c>
    </row>
    <row r="23167" spans="1:4" hidden="1" x14ac:dyDescent="0.3">
      <c r="A23167" t="s">
        <v>1231</v>
      </c>
      <c r="B23167" t="s">
        <v>262</v>
      </c>
      <c r="C23167" s="1">
        <f>HYPERLINK("https://cao.dolgi.msk.ru/account/1011458273/", 1011458273)</f>
        <v>1011458273</v>
      </c>
      <c r="D23167">
        <v>0</v>
      </c>
    </row>
    <row r="23168" spans="1:4" hidden="1" x14ac:dyDescent="0.3">
      <c r="A23168" t="s">
        <v>1231</v>
      </c>
      <c r="B23168" t="s">
        <v>128</v>
      </c>
      <c r="C23168" s="1">
        <f>HYPERLINK("https://cao.dolgi.msk.ru/account/1011458839/", 1011458839)</f>
        <v>1011458839</v>
      </c>
      <c r="D23168">
        <v>0</v>
      </c>
    </row>
    <row r="23169" spans="1:4" hidden="1" x14ac:dyDescent="0.3">
      <c r="A23169" t="s">
        <v>1231</v>
      </c>
      <c r="B23169" t="s">
        <v>129</v>
      </c>
      <c r="C23169" s="1">
        <f>HYPERLINK("https://cao.dolgi.msk.ru/account/1011457465/", 1011457465)</f>
        <v>1011457465</v>
      </c>
      <c r="D23169">
        <v>-9323.16</v>
      </c>
    </row>
    <row r="23170" spans="1:4" x14ac:dyDescent="0.3">
      <c r="A23170" t="s">
        <v>1231</v>
      </c>
      <c r="B23170" t="s">
        <v>129</v>
      </c>
      <c r="C23170" s="1">
        <f>HYPERLINK("https://cao.dolgi.msk.ru/account/1011458759/", 1011458759)</f>
        <v>1011458759</v>
      </c>
      <c r="D23170">
        <v>460.95</v>
      </c>
    </row>
    <row r="23171" spans="1:4" x14ac:dyDescent="0.3">
      <c r="A23171" t="s">
        <v>1231</v>
      </c>
      <c r="B23171" t="s">
        <v>129</v>
      </c>
      <c r="C23171" s="1">
        <f>HYPERLINK("https://cao.dolgi.msk.ru/account/1011507784/", 1011507784)</f>
        <v>1011507784</v>
      </c>
      <c r="D23171">
        <v>1404.76</v>
      </c>
    </row>
    <row r="23172" spans="1:4" hidden="1" x14ac:dyDescent="0.3">
      <c r="A23172" t="s">
        <v>1231</v>
      </c>
      <c r="B23172" t="s">
        <v>130</v>
      </c>
      <c r="C23172" s="1">
        <f>HYPERLINK("https://cao.dolgi.msk.ru/account/1011458927/", 1011458927)</f>
        <v>1011458927</v>
      </c>
      <c r="D23172">
        <v>-2041</v>
      </c>
    </row>
    <row r="23173" spans="1:4" hidden="1" x14ac:dyDescent="0.3">
      <c r="A23173" t="s">
        <v>1231</v>
      </c>
      <c r="B23173" t="s">
        <v>131</v>
      </c>
      <c r="C23173" s="1">
        <f>HYPERLINK("https://cao.dolgi.msk.ru/account/1011457502/", 1011457502)</f>
        <v>1011457502</v>
      </c>
      <c r="D23173">
        <v>0</v>
      </c>
    </row>
    <row r="23174" spans="1:4" hidden="1" x14ac:dyDescent="0.3">
      <c r="A23174" t="s">
        <v>1231</v>
      </c>
      <c r="B23174" t="s">
        <v>132</v>
      </c>
      <c r="C23174" s="1">
        <f>HYPERLINK("https://cao.dolgi.msk.ru/account/1011458652/", 1011458652)</f>
        <v>1011458652</v>
      </c>
      <c r="D23174">
        <v>0</v>
      </c>
    </row>
    <row r="23175" spans="1:4" hidden="1" x14ac:dyDescent="0.3">
      <c r="A23175" t="s">
        <v>1231</v>
      </c>
      <c r="B23175" t="s">
        <v>133</v>
      </c>
      <c r="C23175" s="1">
        <f>HYPERLINK("https://cao.dolgi.msk.ru/account/1011458169/", 1011458169)</f>
        <v>1011458169</v>
      </c>
      <c r="D23175">
        <v>0</v>
      </c>
    </row>
    <row r="23176" spans="1:4" x14ac:dyDescent="0.3">
      <c r="A23176" t="s">
        <v>1231</v>
      </c>
      <c r="B23176" t="s">
        <v>134</v>
      </c>
      <c r="C23176" s="1">
        <f>HYPERLINK("https://cao.dolgi.msk.ru/account/1011458847/", 1011458847)</f>
        <v>1011458847</v>
      </c>
      <c r="D23176">
        <v>10450.56</v>
      </c>
    </row>
    <row r="23177" spans="1:4" x14ac:dyDescent="0.3">
      <c r="A23177" t="s">
        <v>1231</v>
      </c>
      <c r="B23177" t="s">
        <v>136</v>
      </c>
      <c r="C23177" s="1">
        <f>HYPERLINK("https://cao.dolgi.msk.ru/account/1011458513/", 1011458513)</f>
        <v>1011458513</v>
      </c>
      <c r="D23177">
        <v>9869.59</v>
      </c>
    </row>
    <row r="23178" spans="1:4" hidden="1" x14ac:dyDescent="0.3">
      <c r="A23178" t="s">
        <v>1231</v>
      </c>
      <c r="B23178" t="s">
        <v>137</v>
      </c>
      <c r="C23178" s="1">
        <f>HYPERLINK("https://cao.dolgi.msk.ru/account/1011458783/", 1011458783)</f>
        <v>1011458783</v>
      </c>
      <c r="D23178">
        <v>0</v>
      </c>
    </row>
    <row r="23179" spans="1:4" hidden="1" x14ac:dyDescent="0.3">
      <c r="A23179" t="s">
        <v>1231</v>
      </c>
      <c r="B23179" t="s">
        <v>138</v>
      </c>
      <c r="C23179" s="1">
        <f>HYPERLINK("https://cao.dolgi.msk.ru/account/1011458679/", 1011458679)</f>
        <v>1011458679</v>
      </c>
      <c r="D23179">
        <v>0</v>
      </c>
    </row>
    <row r="23180" spans="1:4" hidden="1" x14ac:dyDescent="0.3">
      <c r="A23180" t="s">
        <v>1231</v>
      </c>
      <c r="B23180" t="s">
        <v>139</v>
      </c>
      <c r="C23180" s="1">
        <f>HYPERLINK("https://cao.dolgi.msk.ru/account/1011458011/", 1011458011)</f>
        <v>1011458011</v>
      </c>
      <c r="D23180">
        <v>-8700.4599999999991</v>
      </c>
    </row>
    <row r="23181" spans="1:4" hidden="1" x14ac:dyDescent="0.3">
      <c r="A23181" t="s">
        <v>1231</v>
      </c>
      <c r="B23181" t="s">
        <v>140</v>
      </c>
      <c r="C23181" s="1">
        <f>HYPERLINK("https://cao.dolgi.msk.ru/account/1011458599/", 1011458599)</f>
        <v>1011458599</v>
      </c>
      <c r="D23181">
        <v>0</v>
      </c>
    </row>
    <row r="23182" spans="1:4" hidden="1" x14ac:dyDescent="0.3">
      <c r="A23182" t="s">
        <v>1231</v>
      </c>
      <c r="B23182" t="s">
        <v>141</v>
      </c>
      <c r="C23182" s="1">
        <f>HYPERLINK("https://cao.dolgi.msk.ru/account/1011457844/", 1011457844)</f>
        <v>1011457844</v>
      </c>
      <c r="D23182">
        <v>-1377.4</v>
      </c>
    </row>
    <row r="23183" spans="1:4" hidden="1" x14ac:dyDescent="0.3">
      <c r="A23183" t="s">
        <v>1231</v>
      </c>
      <c r="B23183" t="s">
        <v>142</v>
      </c>
      <c r="C23183" s="1">
        <f>HYPERLINK("https://cao.dolgi.msk.ru/account/1011457422/", 1011457422)</f>
        <v>1011457422</v>
      </c>
      <c r="D23183">
        <v>0</v>
      </c>
    </row>
    <row r="23184" spans="1:4" hidden="1" x14ac:dyDescent="0.3">
      <c r="A23184" t="s">
        <v>1231</v>
      </c>
      <c r="B23184" t="s">
        <v>142</v>
      </c>
      <c r="C23184" s="1">
        <f>HYPERLINK("https://cao.dolgi.msk.ru/account/1011458361/", 1011458361)</f>
        <v>1011458361</v>
      </c>
      <c r="D23184">
        <v>0</v>
      </c>
    </row>
    <row r="23185" spans="1:4" hidden="1" x14ac:dyDescent="0.3">
      <c r="A23185" t="s">
        <v>1231</v>
      </c>
      <c r="B23185" t="s">
        <v>143</v>
      </c>
      <c r="C23185" s="1">
        <f>HYPERLINK("https://cao.dolgi.msk.ru/account/1011458636/", 1011458636)</f>
        <v>1011458636</v>
      </c>
      <c r="D23185">
        <v>-6535.89</v>
      </c>
    </row>
    <row r="23186" spans="1:4" hidden="1" x14ac:dyDescent="0.3">
      <c r="A23186" t="s">
        <v>1231</v>
      </c>
      <c r="B23186" t="s">
        <v>144</v>
      </c>
      <c r="C23186" s="1">
        <f>HYPERLINK("https://cao.dolgi.msk.ru/account/1011458126/", 1011458126)</f>
        <v>1011458126</v>
      </c>
      <c r="D23186">
        <v>0</v>
      </c>
    </row>
    <row r="23187" spans="1:4" hidden="1" x14ac:dyDescent="0.3">
      <c r="A23187" t="s">
        <v>1231</v>
      </c>
      <c r="B23187" t="s">
        <v>145</v>
      </c>
      <c r="C23187" s="1">
        <f>HYPERLINK("https://cao.dolgi.msk.ru/account/1011458492/", 1011458492)</f>
        <v>1011458492</v>
      </c>
      <c r="D23187">
        <v>-10735.29</v>
      </c>
    </row>
    <row r="23188" spans="1:4" hidden="1" x14ac:dyDescent="0.3">
      <c r="A23188" t="s">
        <v>1231</v>
      </c>
      <c r="B23188" t="s">
        <v>149</v>
      </c>
      <c r="C23188" s="1">
        <f>HYPERLINK("https://cao.dolgi.msk.ru/account/1011458855/", 1011458855)</f>
        <v>1011458855</v>
      </c>
      <c r="D23188">
        <v>0</v>
      </c>
    </row>
    <row r="23189" spans="1:4" hidden="1" x14ac:dyDescent="0.3">
      <c r="A23189" t="s">
        <v>1231</v>
      </c>
      <c r="B23189" t="s">
        <v>150</v>
      </c>
      <c r="C23189" s="1">
        <f>HYPERLINK("https://cao.dolgi.msk.ru/account/1011457529/", 1011457529)</f>
        <v>1011457529</v>
      </c>
      <c r="D23189">
        <v>0</v>
      </c>
    </row>
    <row r="23190" spans="1:4" hidden="1" x14ac:dyDescent="0.3">
      <c r="A23190" t="s">
        <v>1231</v>
      </c>
      <c r="B23190" t="s">
        <v>151</v>
      </c>
      <c r="C23190" s="1">
        <f>HYPERLINK("https://cao.dolgi.msk.ru/account/1011458644/", 1011458644)</f>
        <v>1011458644</v>
      </c>
      <c r="D23190">
        <v>0</v>
      </c>
    </row>
    <row r="23191" spans="1:4" hidden="1" x14ac:dyDescent="0.3">
      <c r="A23191" t="s">
        <v>1231</v>
      </c>
      <c r="B23191" t="s">
        <v>152</v>
      </c>
      <c r="C23191" s="1">
        <f>HYPERLINK("https://cao.dolgi.msk.ru/account/1011458935/", 1011458935)</f>
        <v>1011458935</v>
      </c>
      <c r="D23191">
        <v>-20496.080000000002</v>
      </c>
    </row>
    <row r="23192" spans="1:4" hidden="1" x14ac:dyDescent="0.3">
      <c r="A23192" t="s">
        <v>1231</v>
      </c>
      <c r="B23192" t="s">
        <v>153</v>
      </c>
      <c r="C23192" s="1">
        <f>HYPERLINK("https://cao.dolgi.msk.ru/account/1011459022/", 1011459022)</f>
        <v>1011459022</v>
      </c>
      <c r="D23192">
        <v>0</v>
      </c>
    </row>
    <row r="23193" spans="1:4" hidden="1" x14ac:dyDescent="0.3">
      <c r="A23193" t="s">
        <v>1231</v>
      </c>
      <c r="B23193" t="s">
        <v>154</v>
      </c>
      <c r="C23193" s="1">
        <f>HYPERLINK("https://cao.dolgi.msk.ru/account/1011457852/", 1011457852)</f>
        <v>1011457852</v>
      </c>
      <c r="D23193">
        <v>0</v>
      </c>
    </row>
    <row r="23194" spans="1:4" hidden="1" x14ac:dyDescent="0.3">
      <c r="A23194" t="s">
        <v>1231</v>
      </c>
      <c r="B23194" t="s">
        <v>155</v>
      </c>
      <c r="C23194" s="1">
        <f>HYPERLINK("https://cao.dolgi.msk.ru/account/1011458345/", 1011458345)</f>
        <v>1011458345</v>
      </c>
      <c r="D23194">
        <v>-7360.64</v>
      </c>
    </row>
    <row r="23195" spans="1:4" hidden="1" x14ac:dyDescent="0.3">
      <c r="A23195" t="s">
        <v>1231</v>
      </c>
      <c r="B23195" t="s">
        <v>156</v>
      </c>
      <c r="C23195" s="1">
        <f>HYPERLINK("https://cao.dolgi.msk.ru/account/1011457617/", 1011457617)</f>
        <v>1011457617</v>
      </c>
      <c r="D23195">
        <v>0</v>
      </c>
    </row>
    <row r="23196" spans="1:4" hidden="1" x14ac:dyDescent="0.3">
      <c r="A23196" t="s">
        <v>1231</v>
      </c>
      <c r="B23196" t="s">
        <v>157</v>
      </c>
      <c r="C23196" s="1">
        <f>HYPERLINK("https://cao.dolgi.msk.ru/account/1011459049/", 1011459049)</f>
        <v>1011459049</v>
      </c>
      <c r="D23196">
        <v>-3517.53</v>
      </c>
    </row>
    <row r="23197" spans="1:4" hidden="1" x14ac:dyDescent="0.3">
      <c r="A23197" t="s">
        <v>1231</v>
      </c>
      <c r="B23197" t="s">
        <v>158</v>
      </c>
      <c r="C23197" s="1">
        <f>HYPERLINK("https://cao.dolgi.msk.ru/account/1011457684/", 1011457684)</f>
        <v>1011457684</v>
      </c>
      <c r="D23197">
        <v>0</v>
      </c>
    </row>
    <row r="23198" spans="1:4" hidden="1" x14ac:dyDescent="0.3">
      <c r="A23198" t="s">
        <v>1231</v>
      </c>
      <c r="B23198" t="s">
        <v>159</v>
      </c>
      <c r="C23198" s="1">
        <f>HYPERLINK("https://cao.dolgi.msk.ru/account/1011458863/", 1011458863)</f>
        <v>1011458863</v>
      </c>
      <c r="D23198">
        <v>0</v>
      </c>
    </row>
    <row r="23199" spans="1:4" hidden="1" x14ac:dyDescent="0.3">
      <c r="A23199" t="s">
        <v>1231</v>
      </c>
      <c r="B23199" t="s">
        <v>160</v>
      </c>
      <c r="C23199" s="1">
        <f>HYPERLINK("https://cao.dolgi.msk.ru/account/1011457692/", 1011457692)</f>
        <v>1011457692</v>
      </c>
      <c r="D23199">
        <v>0</v>
      </c>
    </row>
    <row r="23200" spans="1:4" hidden="1" x14ac:dyDescent="0.3">
      <c r="A23200" t="s">
        <v>1231</v>
      </c>
      <c r="B23200" t="s">
        <v>161</v>
      </c>
      <c r="C23200" s="1">
        <f>HYPERLINK("https://cao.dolgi.msk.ru/account/1011458732/", 1011458732)</f>
        <v>1011458732</v>
      </c>
      <c r="D23200">
        <v>0</v>
      </c>
    </row>
    <row r="23201" spans="1:4" x14ac:dyDescent="0.3">
      <c r="A23201" t="s">
        <v>1231</v>
      </c>
      <c r="B23201" t="s">
        <v>162</v>
      </c>
      <c r="C23201" s="1">
        <f>HYPERLINK("https://cao.dolgi.msk.ru/account/1011458791/", 1011458791)</f>
        <v>1011458791</v>
      </c>
      <c r="D23201">
        <v>10650.64</v>
      </c>
    </row>
    <row r="23202" spans="1:4" hidden="1" x14ac:dyDescent="0.3">
      <c r="A23202" t="s">
        <v>1231</v>
      </c>
      <c r="B23202" t="s">
        <v>163</v>
      </c>
      <c r="C23202" s="1">
        <f>HYPERLINK("https://cao.dolgi.msk.ru/account/1011457668/", 1011457668)</f>
        <v>1011457668</v>
      </c>
      <c r="D23202">
        <v>-13029.41</v>
      </c>
    </row>
    <row r="23203" spans="1:4" hidden="1" x14ac:dyDescent="0.3">
      <c r="A23203" t="s">
        <v>1232</v>
      </c>
      <c r="B23203" t="s">
        <v>6</v>
      </c>
      <c r="C23203" s="1">
        <f>HYPERLINK("https://cao.dolgi.msk.ru/account/1011434888/", 1011434888)</f>
        <v>1011434888</v>
      </c>
      <c r="D23203">
        <v>-4381.82</v>
      </c>
    </row>
    <row r="23204" spans="1:4" hidden="1" x14ac:dyDescent="0.3">
      <c r="A23204" t="s">
        <v>1232</v>
      </c>
      <c r="B23204" t="s">
        <v>28</v>
      </c>
      <c r="C23204" s="1">
        <f>HYPERLINK("https://cao.dolgi.msk.ru/account/1011434634/", 1011434634)</f>
        <v>1011434634</v>
      </c>
      <c r="D23204">
        <v>-3167.9</v>
      </c>
    </row>
    <row r="23205" spans="1:4" hidden="1" x14ac:dyDescent="0.3">
      <c r="A23205" t="s">
        <v>1232</v>
      </c>
      <c r="B23205" t="s">
        <v>35</v>
      </c>
      <c r="C23205" s="1">
        <f>HYPERLINK("https://cao.dolgi.msk.ru/account/1011434351/", 1011434351)</f>
        <v>1011434351</v>
      </c>
      <c r="D23205">
        <v>-4917.6499999999996</v>
      </c>
    </row>
    <row r="23206" spans="1:4" hidden="1" x14ac:dyDescent="0.3">
      <c r="A23206" t="s">
        <v>1232</v>
      </c>
      <c r="B23206" t="s">
        <v>5</v>
      </c>
      <c r="C23206" s="1">
        <f>HYPERLINK("https://cao.dolgi.msk.ru/account/1011434474/", 1011434474)</f>
        <v>1011434474</v>
      </c>
      <c r="D23206">
        <v>-8741.2000000000007</v>
      </c>
    </row>
    <row r="23207" spans="1:4" hidden="1" x14ac:dyDescent="0.3">
      <c r="A23207" t="s">
        <v>1232</v>
      </c>
      <c r="B23207" t="s">
        <v>7</v>
      </c>
      <c r="C23207" s="1">
        <f>HYPERLINK("https://cao.dolgi.msk.ru/account/1011434378/", 1011434378)</f>
        <v>1011434378</v>
      </c>
      <c r="D23207">
        <v>-12921.76</v>
      </c>
    </row>
    <row r="23208" spans="1:4" hidden="1" x14ac:dyDescent="0.3">
      <c r="A23208" t="s">
        <v>1232</v>
      </c>
      <c r="B23208" t="s">
        <v>8</v>
      </c>
      <c r="C23208" s="1">
        <f>HYPERLINK("https://cao.dolgi.msk.ru/account/1011434423/", 1011434423)</f>
        <v>1011434423</v>
      </c>
      <c r="D23208">
        <v>0</v>
      </c>
    </row>
    <row r="23209" spans="1:4" hidden="1" x14ac:dyDescent="0.3">
      <c r="A23209" t="s">
        <v>1232</v>
      </c>
      <c r="B23209" t="s">
        <v>31</v>
      </c>
      <c r="C23209" s="1">
        <f>HYPERLINK("https://cao.dolgi.msk.ru/account/1011434722/", 1011434722)</f>
        <v>1011434722</v>
      </c>
      <c r="D23209">
        <v>0</v>
      </c>
    </row>
    <row r="23210" spans="1:4" hidden="1" x14ac:dyDescent="0.3">
      <c r="A23210" t="s">
        <v>1232</v>
      </c>
      <c r="B23210" t="s">
        <v>9</v>
      </c>
      <c r="C23210" s="1">
        <f>HYPERLINK("https://cao.dolgi.msk.ru/account/1011434781/", 1011434781)</f>
        <v>1011434781</v>
      </c>
      <c r="D23210">
        <v>0</v>
      </c>
    </row>
    <row r="23211" spans="1:4" x14ac:dyDescent="0.3">
      <c r="A23211" t="s">
        <v>1232</v>
      </c>
      <c r="B23211" t="s">
        <v>10</v>
      </c>
      <c r="C23211" s="1">
        <f>HYPERLINK("https://cao.dolgi.msk.ru/account/1011434685/", 1011434685)</f>
        <v>1011434685</v>
      </c>
      <c r="D23211">
        <v>5869.75</v>
      </c>
    </row>
    <row r="23212" spans="1:4" hidden="1" x14ac:dyDescent="0.3">
      <c r="A23212" t="s">
        <v>1232</v>
      </c>
      <c r="B23212" t="s">
        <v>11</v>
      </c>
      <c r="C23212" s="1">
        <f>HYPERLINK("https://cao.dolgi.msk.ru/account/1011434802/", 1011434802)</f>
        <v>1011434802</v>
      </c>
      <c r="D23212">
        <v>0</v>
      </c>
    </row>
    <row r="23213" spans="1:4" x14ac:dyDescent="0.3">
      <c r="A23213" t="s">
        <v>1232</v>
      </c>
      <c r="B23213" t="s">
        <v>12</v>
      </c>
      <c r="C23213" s="1">
        <f>HYPERLINK("https://cao.dolgi.msk.ru/account/1011434642/", 1011434642)</f>
        <v>1011434642</v>
      </c>
      <c r="D23213">
        <v>8595.65</v>
      </c>
    </row>
    <row r="23214" spans="1:4" hidden="1" x14ac:dyDescent="0.3">
      <c r="A23214" t="s">
        <v>1232</v>
      </c>
      <c r="B23214" t="s">
        <v>23</v>
      </c>
      <c r="C23214" s="1">
        <f>HYPERLINK("https://cao.dolgi.msk.ru/account/1011434511/", 1011434511)</f>
        <v>1011434511</v>
      </c>
      <c r="D23214">
        <v>0</v>
      </c>
    </row>
    <row r="23215" spans="1:4" hidden="1" x14ac:dyDescent="0.3">
      <c r="A23215" t="s">
        <v>1232</v>
      </c>
      <c r="B23215" t="s">
        <v>13</v>
      </c>
      <c r="C23215" s="1">
        <f>HYPERLINK("https://cao.dolgi.msk.ru/account/1011434837/", 1011434837)</f>
        <v>1011434837</v>
      </c>
      <c r="D23215">
        <v>0</v>
      </c>
    </row>
    <row r="23216" spans="1:4" hidden="1" x14ac:dyDescent="0.3">
      <c r="A23216" t="s">
        <v>1232</v>
      </c>
      <c r="B23216" t="s">
        <v>14</v>
      </c>
      <c r="C23216" s="1">
        <f>HYPERLINK("https://cao.dolgi.msk.ru/account/1011434183/", 1011434183)</f>
        <v>1011434183</v>
      </c>
      <c r="D23216">
        <v>0</v>
      </c>
    </row>
    <row r="23217" spans="1:4" hidden="1" x14ac:dyDescent="0.3">
      <c r="A23217" t="s">
        <v>1232</v>
      </c>
      <c r="B23217" t="s">
        <v>16</v>
      </c>
      <c r="C23217" s="1">
        <f>HYPERLINK("https://cao.dolgi.msk.ru/account/1011434327/", 1011434327)</f>
        <v>1011434327</v>
      </c>
      <c r="D23217">
        <v>0</v>
      </c>
    </row>
    <row r="23218" spans="1:4" hidden="1" x14ac:dyDescent="0.3">
      <c r="A23218" t="s">
        <v>1232</v>
      </c>
      <c r="B23218" t="s">
        <v>17</v>
      </c>
      <c r="C23218" s="1">
        <f>HYPERLINK("https://cao.dolgi.msk.ru/account/1011434626/", 1011434626)</f>
        <v>1011434626</v>
      </c>
      <c r="D23218">
        <v>-10813.52</v>
      </c>
    </row>
    <row r="23219" spans="1:4" hidden="1" x14ac:dyDescent="0.3">
      <c r="A23219" t="s">
        <v>1232</v>
      </c>
      <c r="B23219" t="s">
        <v>18</v>
      </c>
      <c r="C23219" s="1">
        <f>HYPERLINK("https://cao.dolgi.msk.ru/account/1011434335/", 1011434335)</f>
        <v>1011434335</v>
      </c>
      <c r="D23219">
        <v>-4167.38</v>
      </c>
    </row>
    <row r="23220" spans="1:4" x14ac:dyDescent="0.3">
      <c r="A23220" t="s">
        <v>1232</v>
      </c>
      <c r="B23220" t="s">
        <v>19</v>
      </c>
      <c r="C23220" s="1">
        <f>HYPERLINK("https://cao.dolgi.msk.ru/account/1011434343/", 1011434343)</f>
        <v>1011434343</v>
      </c>
      <c r="D23220">
        <v>5887.79</v>
      </c>
    </row>
    <row r="23221" spans="1:4" hidden="1" x14ac:dyDescent="0.3">
      <c r="A23221" t="s">
        <v>1232</v>
      </c>
      <c r="B23221" t="s">
        <v>20</v>
      </c>
      <c r="C23221" s="1">
        <f>HYPERLINK("https://cao.dolgi.msk.ru/account/1011434757/", 1011434757)</f>
        <v>1011434757</v>
      </c>
      <c r="D23221">
        <v>0</v>
      </c>
    </row>
    <row r="23222" spans="1:4" hidden="1" x14ac:dyDescent="0.3">
      <c r="A23222" t="s">
        <v>1232</v>
      </c>
      <c r="B23222" t="s">
        <v>21</v>
      </c>
      <c r="C23222" s="1">
        <f>HYPERLINK("https://cao.dolgi.msk.ru/account/1011434298/", 1011434298)</f>
        <v>1011434298</v>
      </c>
      <c r="D23222">
        <v>-8748.06</v>
      </c>
    </row>
    <row r="23223" spans="1:4" hidden="1" x14ac:dyDescent="0.3">
      <c r="A23223" t="s">
        <v>1232</v>
      </c>
      <c r="B23223" t="s">
        <v>22</v>
      </c>
      <c r="C23223" s="1">
        <f>HYPERLINK("https://cao.dolgi.msk.ru/account/1011434239/", 1011434239)</f>
        <v>1011434239</v>
      </c>
      <c r="D23223">
        <v>0</v>
      </c>
    </row>
    <row r="23224" spans="1:4" x14ac:dyDescent="0.3">
      <c r="A23224" t="s">
        <v>1232</v>
      </c>
      <c r="B23224" t="s">
        <v>24</v>
      </c>
      <c r="C23224" s="1">
        <f>HYPERLINK("https://cao.dolgi.msk.ru/account/1011434706/", 1011434706)</f>
        <v>1011434706</v>
      </c>
      <c r="D23224">
        <v>6886.07</v>
      </c>
    </row>
    <row r="23225" spans="1:4" hidden="1" x14ac:dyDescent="0.3">
      <c r="A23225" t="s">
        <v>1232</v>
      </c>
      <c r="B23225" t="s">
        <v>25</v>
      </c>
      <c r="C23225" s="1">
        <f>HYPERLINK("https://cao.dolgi.msk.ru/account/1011434597/", 1011434597)</f>
        <v>1011434597</v>
      </c>
      <c r="D23225">
        <v>-123372.65</v>
      </c>
    </row>
    <row r="23226" spans="1:4" hidden="1" x14ac:dyDescent="0.3">
      <c r="A23226" t="s">
        <v>1232</v>
      </c>
      <c r="B23226" t="s">
        <v>26</v>
      </c>
      <c r="C23226" s="1">
        <f>HYPERLINK("https://cao.dolgi.msk.ru/account/1011434669/", 1011434669)</f>
        <v>1011434669</v>
      </c>
      <c r="D23226">
        <v>0</v>
      </c>
    </row>
    <row r="23227" spans="1:4" hidden="1" x14ac:dyDescent="0.3">
      <c r="A23227" t="s">
        <v>1232</v>
      </c>
      <c r="B23227" t="s">
        <v>27</v>
      </c>
      <c r="C23227" s="1">
        <f>HYPERLINK("https://cao.dolgi.msk.ru/account/1011434909/", 1011434909)</f>
        <v>1011434909</v>
      </c>
      <c r="D23227">
        <v>0</v>
      </c>
    </row>
    <row r="23228" spans="1:4" hidden="1" x14ac:dyDescent="0.3">
      <c r="A23228" t="s">
        <v>1232</v>
      </c>
      <c r="B23228" t="s">
        <v>29</v>
      </c>
      <c r="C23228" s="1">
        <f>HYPERLINK("https://cao.dolgi.msk.ru/account/1011434319/", 1011434319)</f>
        <v>1011434319</v>
      </c>
      <c r="D23228">
        <v>0</v>
      </c>
    </row>
    <row r="23229" spans="1:4" hidden="1" x14ac:dyDescent="0.3">
      <c r="A23229" t="s">
        <v>1232</v>
      </c>
      <c r="B23229" t="s">
        <v>38</v>
      </c>
      <c r="C23229" s="1">
        <f>HYPERLINK("https://cao.dolgi.msk.ru/account/1011434175/", 1011434175)</f>
        <v>1011434175</v>
      </c>
      <c r="D23229">
        <v>0</v>
      </c>
    </row>
    <row r="23230" spans="1:4" hidden="1" x14ac:dyDescent="0.3">
      <c r="A23230" t="s">
        <v>1232</v>
      </c>
      <c r="B23230" t="s">
        <v>39</v>
      </c>
      <c r="C23230" s="1">
        <f>HYPERLINK("https://cao.dolgi.msk.ru/account/1011434562/", 1011434562)</f>
        <v>1011434562</v>
      </c>
      <c r="D23230">
        <v>0</v>
      </c>
    </row>
    <row r="23231" spans="1:4" hidden="1" x14ac:dyDescent="0.3">
      <c r="A23231" t="s">
        <v>1232</v>
      </c>
      <c r="B23231" t="s">
        <v>40</v>
      </c>
      <c r="C23231" s="1">
        <f>HYPERLINK("https://cao.dolgi.msk.ru/account/1011434749/", 1011434749)</f>
        <v>1011434749</v>
      </c>
      <c r="D23231">
        <v>-0.4</v>
      </c>
    </row>
    <row r="23232" spans="1:4" x14ac:dyDescent="0.3">
      <c r="A23232" t="s">
        <v>1232</v>
      </c>
      <c r="B23232" t="s">
        <v>41</v>
      </c>
      <c r="C23232" s="1">
        <f>HYPERLINK("https://cao.dolgi.msk.ru/account/1011434861/", 1011434861)</f>
        <v>1011434861</v>
      </c>
      <c r="D23232">
        <v>8484.66</v>
      </c>
    </row>
    <row r="23233" spans="1:4" hidden="1" x14ac:dyDescent="0.3">
      <c r="A23233" t="s">
        <v>1232</v>
      </c>
      <c r="B23233" t="s">
        <v>51</v>
      </c>
      <c r="C23233" s="1">
        <f>HYPERLINK("https://cao.dolgi.msk.ru/account/1011434538/", 1011434538)</f>
        <v>1011434538</v>
      </c>
      <c r="D23233">
        <v>0</v>
      </c>
    </row>
    <row r="23234" spans="1:4" hidden="1" x14ac:dyDescent="0.3">
      <c r="A23234" t="s">
        <v>1232</v>
      </c>
      <c r="B23234" t="s">
        <v>52</v>
      </c>
      <c r="C23234" s="1">
        <f>HYPERLINK("https://cao.dolgi.msk.ru/account/1011434255/", 1011434255)</f>
        <v>1011434255</v>
      </c>
      <c r="D23234">
        <v>0</v>
      </c>
    </row>
    <row r="23235" spans="1:4" hidden="1" x14ac:dyDescent="0.3">
      <c r="A23235" t="s">
        <v>1232</v>
      </c>
      <c r="B23235" t="s">
        <v>53</v>
      </c>
      <c r="C23235" s="1">
        <f>HYPERLINK("https://cao.dolgi.msk.ru/account/1011434677/", 1011434677)</f>
        <v>1011434677</v>
      </c>
      <c r="D23235">
        <v>0</v>
      </c>
    </row>
    <row r="23236" spans="1:4" hidden="1" x14ac:dyDescent="0.3">
      <c r="A23236" t="s">
        <v>1232</v>
      </c>
      <c r="B23236" t="s">
        <v>54</v>
      </c>
      <c r="C23236" s="1">
        <f>HYPERLINK("https://cao.dolgi.msk.ru/account/1011434845/", 1011434845)</f>
        <v>1011434845</v>
      </c>
      <c r="D23236">
        <v>-8897.91</v>
      </c>
    </row>
    <row r="23237" spans="1:4" x14ac:dyDescent="0.3">
      <c r="A23237" t="s">
        <v>1232</v>
      </c>
      <c r="B23237" t="s">
        <v>55</v>
      </c>
      <c r="C23237" s="1">
        <f>HYPERLINK("https://cao.dolgi.msk.ru/account/1011434466/", 1011434466)</f>
        <v>1011434466</v>
      </c>
      <c r="D23237">
        <v>8884.7800000000007</v>
      </c>
    </row>
    <row r="23238" spans="1:4" hidden="1" x14ac:dyDescent="0.3">
      <c r="A23238" t="s">
        <v>1232</v>
      </c>
      <c r="B23238" t="s">
        <v>56</v>
      </c>
      <c r="C23238" s="1">
        <f>HYPERLINK("https://cao.dolgi.msk.ru/account/1011434554/", 1011434554)</f>
        <v>1011434554</v>
      </c>
      <c r="D23238">
        <v>0</v>
      </c>
    </row>
    <row r="23239" spans="1:4" hidden="1" x14ac:dyDescent="0.3">
      <c r="A23239" t="s">
        <v>1232</v>
      </c>
      <c r="B23239" t="s">
        <v>87</v>
      </c>
      <c r="C23239" s="1">
        <f>HYPERLINK("https://cao.dolgi.msk.ru/account/1011434263/", 1011434263)</f>
        <v>1011434263</v>
      </c>
      <c r="D23239">
        <v>0</v>
      </c>
    </row>
    <row r="23240" spans="1:4" hidden="1" x14ac:dyDescent="0.3">
      <c r="A23240" t="s">
        <v>1232</v>
      </c>
      <c r="B23240" t="s">
        <v>88</v>
      </c>
      <c r="C23240" s="1">
        <f>HYPERLINK("https://cao.dolgi.msk.ru/account/1011434204/", 1011434204)</f>
        <v>1011434204</v>
      </c>
      <c r="D23240">
        <v>-138.96</v>
      </c>
    </row>
    <row r="23241" spans="1:4" x14ac:dyDescent="0.3">
      <c r="A23241" t="s">
        <v>1232</v>
      </c>
      <c r="B23241" t="s">
        <v>89</v>
      </c>
      <c r="C23241" s="1">
        <f>HYPERLINK("https://cao.dolgi.msk.ru/account/1011434431/", 1011434431)</f>
        <v>1011434431</v>
      </c>
      <c r="D23241">
        <v>11253.95</v>
      </c>
    </row>
    <row r="23242" spans="1:4" x14ac:dyDescent="0.3">
      <c r="A23242" t="s">
        <v>1232</v>
      </c>
      <c r="B23242" t="s">
        <v>90</v>
      </c>
      <c r="C23242" s="1">
        <f>HYPERLINK("https://cao.dolgi.msk.ru/account/1011434482/", 1011434482)</f>
        <v>1011434482</v>
      </c>
      <c r="D23242">
        <v>46112.87</v>
      </c>
    </row>
    <row r="23243" spans="1:4" hidden="1" x14ac:dyDescent="0.3">
      <c r="A23243" t="s">
        <v>1232</v>
      </c>
      <c r="B23243" t="s">
        <v>96</v>
      </c>
      <c r="C23243" s="1">
        <f>HYPERLINK("https://cao.dolgi.msk.ru/account/1011434693/", 1011434693)</f>
        <v>1011434693</v>
      </c>
      <c r="D23243">
        <v>-5041.5600000000004</v>
      </c>
    </row>
    <row r="23244" spans="1:4" hidden="1" x14ac:dyDescent="0.3">
      <c r="A23244" t="s">
        <v>1232</v>
      </c>
      <c r="B23244" t="s">
        <v>97</v>
      </c>
      <c r="C23244" s="1">
        <f>HYPERLINK("https://cao.dolgi.msk.ru/account/1011434386/", 1011434386)</f>
        <v>1011434386</v>
      </c>
      <c r="D23244">
        <v>-10250.02</v>
      </c>
    </row>
    <row r="23245" spans="1:4" hidden="1" x14ac:dyDescent="0.3">
      <c r="A23245" t="s">
        <v>1232</v>
      </c>
      <c r="B23245" t="s">
        <v>98</v>
      </c>
      <c r="C23245" s="1">
        <f>HYPERLINK("https://cao.dolgi.msk.ru/account/1011434212/", 1011434212)</f>
        <v>1011434212</v>
      </c>
      <c r="D23245">
        <v>0</v>
      </c>
    </row>
    <row r="23246" spans="1:4" hidden="1" x14ac:dyDescent="0.3">
      <c r="A23246" t="s">
        <v>1232</v>
      </c>
      <c r="B23246" t="s">
        <v>58</v>
      </c>
      <c r="C23246" s="1">
        <f>HYPERLINK("https://cao.dolgi.msk.ru/account/1011434503/", 1011434503)</f>
        <v>1011434503</v>
      </c>
      <c r="D23246">
        <v>0</v>
      </c>
    </row>
    <row r="23247" spans="1:4" hidden="1" x14ac:dyDescent="0.3">
      <c r="A23247" t="s">
        <v>1232</v>
      </c>
      <c r="B23247" t="s">
        <v>59</v>
      </c>
      <c r="C23247" s="1">
        <f>HYPERLINK("https://cao.dolgi.msk.ru/account/1011434191/", 1011434191)</f>
        <v>1011434191</v>
      </c>
      <c r="D23247">
        <v>-201.25</v>
      </c>
    </row>
    <row r="23248" spans="1:4" hidden="1" x14ac:dyDescent="0.3">
      <c r="A23248" t="s">
        <v>1232</v>
      </c>
      <c r="B23248" t="s">
        <v>59</v>
      </c>
      <c r="C23248" s="1">
        <f>HYPERLINK("https://cao.dolgi.msk.ru/account/1011434618/", 1011434618)</f>
        <v>1011434618</v>
      </c>
      <c r="D23248">
        <v>0</v>
      </c>
    </row>
    <row r="23249" spans="1:4" hidden="1" x14ac:dyDescent="0.3">
      <c r="A23249" t="s">
        <v>1232</v>
      </c>
      <c r="B23249" t="s">
        <v>60</v>
      </c>
      <c r="C23249" s="1">
        <f>HYPERLINK("https://cao.dolgi.msk.ru/account/1011434829/", 1011434829)</f>
        <v>1011434829</v>
      </c>
      <c r="D23249">
        <v>0</v>
      </c>
    </row>
    <row r="23250" spans="1:4" x14ac:dyDescent="0.3">
      <c r="A23250" t="s">
        <v>1232</v>
      </c>
      <c r="B23250" t="s">
        <v>61</v>
      </c>
      <c r="C23250" s="1">
        <f>HYPERLINK("https://cao.dolgi.msk.ru/account/1011434271/", 1011434271)</f>
        <v>1011434271</v>
      </c>
      <c r="D23250">
        <v>2946.53</v>
      </c>
    </row>
    <row r="23251" spans="1:4" hidden="1" x14ac:dyDescent="0.3">
      <c r="A23251" t="s">
        <v>1232</v>
      </c>
      <c r="B23251" t="s">
        <v>62</v>
      </c>
      <c r="C23251" s="1">
        <f>HYPERLINK("https://cao.dolgi.msk.ru/account/1011434714/", 1011434714)</f>
        <v>1011434714</v>
      </c>
      <c r="D23251">
        <v>0</v>
      </c>
    </row>
    <row r="23252" spans="1:4" hidden="1" x14ac:dyDescent="0.3">
      <c r="A23252" t="s">
        <v>1232</v>
      </c>
      <c r="B23252" t="s">
        <v>63</v>
      </c>
      <c r="C23252" s="1">
        <f>HYPERLINK("https://cao.dolgi.msk.ru/account/1011434458/", 1011434458)</f>
        <v>1011434458</v>
      </c>
      <c r="D23252">
        <v>-7977.16</v>
      </c>
    </row>
    <row r="23253" spans="1:4" hidden="1" x14ac:dyDescent="0.3">
      <c r="A23253" t="s">
        <v>1232</v>
      </c>
      <c r="B23253" t="s">
        <v>64</v>
      </c>
      <c r="C23253" s="1">
        <f>HYPERLINK("https://cao.dolgi.msk.ru/account/1011434546/", 1011434546)</f>
        <v>1011434546</v>
      </c>
      <c r="D23253">
        <v>0</v>
      </c>
    </row>
    <row r="23254" spans="1:4" x14ac:dyDescent="0.3">
      <c r="A23254" t="s">
        <v>1232</v>
      </c>
      <c r="B23254" t="s">
        <v>65</v>
      </c>
      <c r="C23254" s="1">
        <f>HYPERLINK("https://cao.dolgi.msk.ru/account/1011434407/", 1011434407)</f>
        <v>1011434407</v>
      </c>
      <c r="D23254">
        <v>54828.639999999999</v>
      </c>
    </row>
    <row r="23255" spans="1:4" hidden="1" x14ac:dyDescent="0.3">
      <c r="A23255" t="s">
        <v>1232</v>
      </c>
      <c r="B23255" t="s">
        <v>66</v>
      </c>
      <c r="C23255" s="1">
        <f>HYPERLINK("https://cao.dolgi.msk.ru/account/1011434394/", 1011434394)</f>
        <v>1011434394</v>
      </c>
      <c r="D23255">
        <v>0</v>
      </c>
    </row>
    <row r="23256" spans="1:4" hidden="1" x14ac:dyDescent="0.3">
      <c r="A23256" t="s">
        <v>1232</v>
      </c>
      <c r="B23256" t="s">
        <v>67</v>
      </c>
      <c r="C23256" s="1">
        <f>HYPERLINK("https://cao.dolgi.msk.ru/account/1011434765/", 1011434765)</f>
        <v>1011434765</v>
      </c>
      <c r="D23256">
        <v>0</v>
      </c>
    </row>
    <row r="23257" spans="1:4" hidden="1" x14ac:dyDescent="0.3">
      <c r="A23257" t="s">
        <v>1232</v>
      </c>
      <c r="B23257" t="s">
        <v>68</v>
      </c>
      <c r="C23257" s="1">
        <f>HYPERLINK("https://cao.dolgi.msk.ru/account/1011434773/", 1011434773)</f>
        <v>1011434773</v>
      </c>
      <c r="D23257">
        <v>0</v>
      </c>
    </row>
    <row r="23258" spans="1:4" hidden="1" x14ac:dyDescent="0.3">
      <c r="A23258" t="s">
        <v>1232</v>
      </c>
      <c r="B23258" t="s">
        <v>69</v>
      </c>
      <c r="C23258" s="1">
        <f>HYPERLINK("https://cao.dolgi.msk.ru/account/1011434415/", 1011434415)</f>
        <v>1011434415</v>
      </c>
      <c r="D23258">
        <v>0</v>
      </c>
    </row>
    <row r="23259" spans="1:4" hidden="1" x14ac:dyDescent="0.3">
      <c r="A23259" t="s">
        <v>1232</v>
      </c>
      <c r="B23259" t="s">
        <v>70</v>
      </c>
      <c r="C23259" s="1">
        <f>HYPERLINK("https://cao.dolgi.msk.ru/account/1011434917/", 1011434917)</f>
        <v>1011434917</v>
      </c>
      <c r="D23259">
        <v>0</v>
      </c>
    </row>
    <row r="23260" spans="1:4" x14ac:dyDescent="0.3">
      <c r="A23260" t="s">
        <v>1232</v>
      </c>
      <c r="B23260" t="s">
        <v>259</v>
      </c>
      <c r="C23260" s="1">
        <f>HYPERLINK("https://cao.dolgi.msk.ru/account/1011434247/", 1011434247)</f>
        <v>1011434247</v>
      </c>
      <c r="D23260">
        <v>18387.36</v>
      </c>
    </row>
    <row r="23261" spans="1:4" hidden="1" x14ac:dyDescent="0.3">
      <c r="A23261" t="s">
        <v>1232</v>
      </c>
      <c r="B23261" t="s">
        <v>100</v>
      </c>
      <c r="C23261" s="1">
        <f>HYPERLINK("https://cao.dolgi.msk.ru/account/1011434853/", 1011434853)</f>
        <v>1011434853</v>
      </c>
      <c r="D23261">
        <v>-6675.08</v>
      </c>
    </row>
    <row r="23262" spans="1:4" hidden="1" x14ac:dyDescent="0.3">
      <c r="A23262" t="s">
        <v>1232</v>
      </c>
      <c r="B23262" t="s">
        <v>72</v>
      </c>
      <c r="C23262" s="1">
        <f>HYPERLINK("https://cao.dolgi.msk.ru/account/1011434896/", 1011434896)</f>
        <v>1011434896</v>
      </c>
      <c r="D23262">
        <v>-22169.42</v>
      </c>
    </row>
    <row r="23263" spans="1:4" x14ac:dyDescent="0.3">
      <c r="A23263" t="s">
        <v>1232</v>
      </c>
      <c r="B23263" t="s">
        <v>73</v>
      </c>
      <c r="C23263" s="1">
        <f>HYPERLINK("https://cao.dolgi.msk.ru/account/1011434589/", 1011434589)</f>
        <v>1011434589</v>
      </c>
      <c r="D23263">
        <v>99998.36</v>
      </c>
    </row>
    <row r="23264" spans="1:4" hidden="1" x14ac:dyDescent="0.3">
      <c r="A23264" t="s">
        <v>1233</v>
      </c>
      <c r="B23264" t="s">
        <v>28</v>
      </c>
      <c r="C23264" s="1">
        <f>HYPERLINK("https://cao.dolgi.msk.ru/account/1011459399/", 1011459399)</f>
        <v>1011459399</v>
      </c>
      <c r="D23264">
        <v>0</v>
      </c>
    </row>
    <row r="23265" spans="1:4" hidden="1" x14ac:dyDescent="0.3">
      <c r="A23265" t="s">
        <v>1233</v>
      </c>
      <c r="B23265" t="s">
        <v>35</v>
      </c>
      <c r="C23265" s="1">
        <f>HYPERLINK("https://cao.dolgi.msk.ru/account/1011460453/", 1011460453)</f>
        <v>1011460453</v>
      </c>
      <c r="D23265">
        <v>0</v>
      </c>
    </row>
    <row r="23266" spans="1:4" hidden="1" x14ac:dyDescent="0.3">
      <c r="A23266" t="s">
        <v>1233</v>
      </c>
      <c r="B23266" t="s">
        <v>5</v>
      </c>
      <c r="C23266" s="1">
        <f>HYPERLINK("https://cao.dolgi.msk.ru/account/1011460218/", 1011460218)</f>
        <v>1011460218</v>
      </c>
      <c r="D23266">
        <v>-138.96</v>
      </c>
    </row>
    <row r="23267" spans="1:4" hidden="1" x14ac:dyDescent="0.3">
      <c r="A23267" t="s">
        <v>1233</v>
      </c>
      <c r="B23267" t="s">
        <v>7</v>
      </c>
      <c r="C23267" s="1">
        <f>HYPERLINK("https://cao.dolgi.msk.ru/account/1011459444/", 1011459444)</f>
        <v>1011459444</v>
      </c>
      <c r="D23267">
        <v>-4932.2</v>
      </c>
    </row>
    <row r="23268" spans="1:4" hidden="1" x14ac:dyDescent="0.3">
      <c r="A23268" t="s">
        <v>1233</v>
      </c>
      <c r="B23268" t="s">
        <v>8</v>
      </c>
      <c r="C23268" s="1">
        <f>HYPERLINK("https://cao.dolgi.msk.ru/account/1011459209/", 1011459209)</f>
        <v>1011459209</v>
      </c>
      <c r="D23268">
        <v>0</v>
      </c>
    </row>
    <row r="23269" spans="1:4" x14ac:dyDescent="0.3">
      <c r="A23269" t="s">
        <v>1233</v>
      </c>
      <c r="B23269" t="s">
        <v>31</v>
      </c>
      <c r="C23269" s="1">
        <f>HYPERLINK("https://cao.dolgi.msk.ru/account/1011459575/", 1011459575)</f>
        <v>1011459575</v>
      </c>
      <c r="D23269">
        <v>8166.15</v>
      </c>
    </row>
    <row r="23270" spans="1:4" x14ac:dyDescent="0.3">
      <c r="A23270" t="s">
        <v>1233</v>
      </c>
      <c r="B23270" t="s">
        <v>9</v>
      </c>
      <c r="C23270" s="1">
        <f>HYPERLINK("https://cao.dolgi.msk.ru/account/1011460525/", 1011460525)</f>
        <v>1011460525</v>
      </c>
      <c r="D23270">
        <v>178.11</v>
      </c>
    </row>
    <row r="23271" spans="1:4" hidden="1" x14ac:dyDescent="0.3">
      <c r="A23271" t="s">
        <v>1233</v>
      </c>
      <c r="B23271" t="s">
        <v>10</v>
      </c>
      <c r="C23271" s="1">
        <f>HYPERLINK("https://cao.dolgi.msk.ru/account/1011459751/", 1011459751)</f>
        <v>1011459751</v>
      </c>
      <c r="D23271">
        <v>-47.52</v>
      </c>
    </row>
    <row r="23272" spans="1:4" hidden="1" x14ac:dyDescent="0.3">
      <c r="A23272" t="s">
        <v>1233</v>
      </c>
      <c r="B23272" t="s">
        <v>11</v>
      </c>
      <c r="C23272" s="1">
        <f>HYPERLINK("https://cao.dolgi.msk.ru/account/1011459137/", 1011459137)</f>
        <v>1011459137</v>
      </c>
      <c r="D23272">
        <v>0</v>
      </c>
    </row>
    <row r="23273" spans="1:4" hidden="1" x14ac:dyDescent="0.3">
      <c r="A23273" t="s">
        <v>1233</v>
      </c>
      <c r="B23273" t="s">
        <v>12</v>
      </c>
      <c r="C23273" s="1">
        <f>HYPERLINK("https://cao.dolgi.msk.ru/account/1011459962/", 1011459962)</f>
        <v>1011459962</v>
      </c>
      <c r="D23273">
        <v>0</v>
      </c>
    </row>
    <row r="23274" spans="1:4" x14ac:dyDescent="0.3">
      <c r="A23274" t="s">
        <v>1233</v>
      </c>
      <c r="B23274" t="s">
        <v>23</v>
      </c>
      <c r="C23274" s="1">
        <f>HYPERLINK("https://cao.dolgi.msk.ru/account/1011526977/", 1011526977)</f>
        <v>1011526977</v>
      </c>
      <c r="D23274">
        <v>8451.7199999999993</v>
      </c>
    </row>
    <row r="23275" spans="1:4" hidden="1" x14ac:dyDescent="0.3">
      <c r="A23275" t="s">
        <v>1233</v>
      </c>
      <c r="B23275" t="s">
        <v>13</v>
      </c>
      <c r="C23275" s="1">
        <f>HYPERLINK("https://cao.dolgi.msk.ru/account/1011460496/", 1011460496)</f>
        <v>1011460496</v>
      </c>
      <c r="D23275">
        <v>0</v>
      </c>
    </row>
    <row r="23276" spans="1:4" x14ac:dyDescent="0.3">
      <c r="A23276" t="s">
        <v>1233</v>
      </c>
      <c r="B23276" t="s">
        <v>14</v>
      </c>
      <c r="C23276" s="1">
        <f>HYPERLINK("https://cao.dolgi.msk.ru/account/1011459508/", 1011459508)</f>
        <v>1011459508</v>
      </c>
      <c r="D23276">
        <v>5813.28</v>
      </c>
    </row>
    <row r="23277" spans="1:4" hidden="1" x14ac:dyDescent="0.3">
      <c r="A23277" t="s">
        <v>1233</v>
      </c>
      <c r="B23277" t="s">
        <v>16</v>
      </c>
      <c r="C23277" s="1">
        <f>HYPERLINK("https://cao.dolgi.msk.ru/account/1011459495/", 1011459495)</f>
        <v>1011459495</v>
      </c>
      <c r="D23277">
        <v>0</v>
      </c>
    </row>
    <row r="23278" spans="1:4" hidden="1" x14ac:dyDescent="0.3">
      <c r="A23278" t="s">
        <v>1233</v>
      </c>
      <c r="B23278" t="s">
        <v>17</v>
      </c>
      <c r="C23278" s="1">
        <f>HYPERLINK("https://cao.dolgi.msk.ru/account/1011459719/", 1011459719)</f>
        <v>1011459719</v>
      </c>
      <c r="D23278">
        <v>-10155.65</v>
      </c>
    </row>
    <row r="23279" spans="1:4" hidden="1" x14ac:dyDescent="0.3">
      <c r="A23279" t="s">
        <v>1233</v>
      </c>
      <c r="B23279" t="s">
        <v>20</v>
      </c>
      <c r="C23279" s="1">
        <f>HYPERLINK("https://cao.dolgi.msk.ru/account/1011460138/", 1011460138)</f>
        <v>1011460138</v>
      </c>
      <c r="D23279">
        <v>0</v>
      </c>
    </row>
    <row r="23280" spans="1:4" hidden="1" x14ac:dyDescent="0.3">
      <c r="A23280" t="s">
        <v>1233</v>
      </c>
      <c r="B23280" t="s">
        <v>21</v>
      </c>
      <c r="C23280" s="1">
        <f>HYPERLINK("https://cao.dolgi.msk.ru/account/1011459815/", 1011459815)</f>
        <v>1011459815</v>
      </c>
      <c r="D23280">
        <v>0</v>
      </c>
    </row>
    <row r="23281" spans="1:4" hidden="1" x14ac:dyDescent="0.3">
      <c r="A23281" t="s">
        <v>1233</v>
      </c>
      <c r="B23281" t="s">
        <v>22</v>
      </c>
      <c r="C23281" s="1">
        <f>HYPERLINK("https://cao.dolgi.msk.ru/account/1011460592/", 1011460592)</f>
        <v>1011460592</v>
      </c>
      <c r="D23281">
        <v>-25788.57</v>
      </c>
    </row>
    <row r="23282" spans="1:4" hidden="1" x14ac:dyDescent="0.3">
      <c r="A23282" t="s">
        <v>1233</v>
      </c>
      <c r="B23282" t="s">
        <v>24</v>
      </c>
      <c r="C23282" s="1">
        <f>HYPERLINK("https://cao.dolgi.msk.ru/account/1011459989/", 1011459989)</f>
        <v>1011459989</v>
      </c>
      <c r="D23282">
        <v>0</v>
      </c>
    </row>
    <row r="23283" spans="1:4" hidden="1" x14ac:dyDescent="0.3">
      <c r="A23283" t="s">
        <v>1233</v>
      </c>
      <c r="B23283" t="s">
        <v>25</v>
      </c>
      <c r="C23283" s="1">
        <f>HYPERLINK("https://cao.dolgi.msk.ru/account/1011459321/", 1011459321)</f>
        <v>1011459321</v>
      </c>
      <c r="D23283">
        <v>0</v>
      </c>
    </row>
    <row r="23284" spans="1:4" hidden="1" x14ac:dyDescent="0.3">
      <c r="A23284" t="s">
        <v>1233</v>
      </c>
      <c r="B23284" t="s">
        <v>26</v>
      </c>
      <c r="C23284" s="1">
        <f>HYPERLINK("https://cao.dolgi.msk.ru/account/1011459129/", 1011459129)</f>
        <v>1011459129</v>
      </c>
      <c r="D23284">
        <v>-2127.2199999999998</v>
      </c>
    </row>
    <row r="23285" spans="1:4" hidden="1" x14ac:dyDescent="0.3">
      <c r="A23285" t="s">
        <v>1233</v>
      </c>
      <c r="B23285" t="s">
        <v>26</v>
      </c>
      <c r="C23285" s="1">
        <f>HYPERLINK("https://cao.dolgi.msk.ru/account/1011460189/", 1011460189)</f>
        <v>1011460189</v>
      </c>
      <c r="D23285">
        <v>-8915.2900000000009</v>
      </c>
    </row>
    <row r="23286" spans="1:4" hidden="1" x14ac:dyDescent="0.3">
      <c r="A23286" t="s">
        <v>1233</v>
      </c>
      <c r="B23286" t="s">
        <v>27</v>
      </c>
      <c r="C23286" s="1">
        <f>HYPERLINK("https://cao.dolgi.msk.ru/account/1011460082/", 1011460082)</f>
        <v>1011460082</v>
      </c>
      <c r="D23286">
        <v>0</v>
      </c>
    </row>
    <row r="23287" spans="1:4" hidden="1" x14ac:dyDescent="0.3">
      <c r="A23287" t="s">
        <v>1233</v>
      </c>
      <c r="B23287" t="s">
        <v>29</v>
      </c>
      <c r="C23287" s="1">
        <f>HYPERLINK("https://cao.dolgi.msk.ru/account/1011460066/", 1011460066)</f>
        <v>1011460066</v>
      </c>
      <c r="D23287">
        <v>0</v>
      </c>
    </row>
    <row r="23288" spans="1:4" x14ac:dyDescent="0.3">
      <c r="A23288" t="s">
        <v>1233</v>
      </c>
      <c r="B23288" t="s">
        <v>38</v>
      </c>
      <c r="C23288" s="1">
        <f>HYPERLINK("https://cao.dolgi.msk.ru/account/1011460197/", 1011460197)</f>
        <v>1011460197</v>
      </c>
      <c r="D23288">
        <v>6355.89</v>
      </c>
    </row>
    <row r="23289" spans="1:4" hidden="1" x14ac:dyDescent="0.3">
      <c r="A23289" t="s">
        <v>1233</v>
      </c>
      <c r="B23289" t="s">
        <v>39</v>
      </c>
      <c r="C23289" s="1">
        <f>HYPERLINK("https://cao.dolgi.msk.ru/account/1011459305/", 1011459305)</f>
        <v>1011459305</v>
      </c>
      <c r="D23289">
        <v>0</v>
      </c>
    </row>
    <row r="23290" spans="1:4" hidden="1" x14ac:dyDescent="0.3">
      <c r="A23290" t="s">
        <v>1233</v>
      </c>
      <c r="B23290" t="s">
        <v>40</v>
      </c>
      <c r="C23290" s="1">
        <f>HYPERLINK("https://cao.dolgi.msk.ru/account/1011460146/", 1011460146)</f>
        <v>1011460146</v>
      </c>
      <c r="D23290">
        <v>-8358.75</v>
      </c>
    </row>
    <row r="23291" spans="1:4" hidden="1" x14ac:dyDescent="0.3">
      <c r="A23291" t="s">
        <v>1233</v>
      </c>
      <c r="B23291" t="s">
        <v>41</v>
      </c>
      <c r="C23291" s="1">
        <f>HYPERLINK("https://cao.dolgi.msk.ru/account/1011460007/", 1011460007)</f>
        <v>1011460007</v>
      </c>
      <c r="D23291">
        <v>-3529.46</v>
      </c>
    </row>
    <row r="23292" spans="1:4" hidden="1" x14ac:dyDescent="0.3">
      <c r="A23292" t="s">
        <v>1233</v>
      </c>
      <c r="B23292" t="s">
        <v>41</v>
      </c>
      <c r="C23292" s="1">
        <f>HYPERLINK("https://cao.dolgi.msk.ru/account/1011460023/", 1011460023)</f>
        <v>1011460023</v>
      </c>
      <c r="D23292">
        <v>-4428.55</v>
      </c>
    </row>
    <row r="23293" spans="1:4" hidden="1" x14ac:dyDescent="0.3">
      <c r="A23293" t="s">
        <v>1233</v>
      </c>
      <c r="B23293" t="s">
        <v>51</v>
      </c>
      <c r="C23293" s="1">
        <f>HYPERLINK("https://cao.dolgi.msk.ru/account/1011459743/", 1011459743)</f>
        <v>1011459743</v>
      </c>
      <c r="D23293">
        <v>-2122.23</v>
      </c>
    </row>
    <row r="23294" spans="1:4" x14ac:dyDescent="0.3">
      <c r="A23294" t="s">
        <v>1233</v>
      </c>
      <c r="B23294" t="s">
        <v>52</v>
      </c>
      <c r="C23294" s="1">
        <f>HYPERLINK("https://cao.dolgi.msk.ru/account/1011459946/", 1011459946)</f>
        <v>1011459946</v>
      </c>
      <c r="D23294">
        <v>8991.99</v>
      </c>
    </row>
    <row r="23295" spans="1:4" hidden="1" x14ac:dyDescent="0.3">
      <c r="A23295" t="s">
        <v>1233</v>
      </c>
      <c r="B23295" t="s">
        <v>53</v>
      </c>
      <c r="C23295" s="1">
        <f>HYPERLINK("https://cao.dolgi.msk.ru/account/1011460445/", 1011460445)</f>
        <v>1011460445</v>
      </c>
      <c r="D23295">
        <v>-525.9</v>
      </c>
    </row>
    <row r="23296" spans="1:4" hidden="1" x14ac:dyDescent="0.3">
      <c r="A23296" t="s">
        <v>1233</v>
      </c>
      <c r="B23296" t="s">
        <v>55</v>
      </c>
      <c r="C23296" s="1">
        <f>HYPERLINK("https://cao.dolgi.msk.ru/account/1011459356/", 1011459356)</f>
        <v>1011459356</v>
      </c>
      <c r="D23296">
        <v>-9061.94</v>
      </c>
    </row>
    <row r="23297" spans="1:4" x14ac:dyDescent="0.3">
      <c r="A23297" t="s">
        <v>1233</v>
      </c>
      <c r="B23297" t="s">
        <v>56</v>
      </c>
      <c r="C23297" s="1">
        <f>HYPERLINK("https://cao.dolgi.msk.ru/account/1011459663/", 1011459663)</f>
        <v>1011459663</v>
      </c>
      <c r="D23297">
        <v>5554.27</v>
      </c>
    </row>
    <row r="23298" spans="1:4" hidden="1" x14ac:dyDescent="0.3">
      <c r="A23298" t="s">
        <v>1233</v>
      </c>
      <c r="B23298" t="s">
        <v>87</v>
      </c>
      <c r="C23298" s="1">
        <f>HYPERLINK("https://cao.dolgi.msk.ru/account/1011459823/", 1011459823)</f>
        <v>1011459823</v>
      </c>
      <c r="D23298">
        <v>-5175.03</v>
      </c>
    </row>
    <row r="23299" spans="1:4" hidden="1" x14ac:dyDescent="0.3">
      <c r="A23299" t="s">
        <v>1233</v>
      </c>
      <c r="B23299" t="s">
        <v>88</v>
      </c>
      <c r="C23299" s="1">
        <f>HYPERLINK("https://cao.dolgi.msk.ru/account/1011459348/", 1011459348)</f>
        <v>1011459348</v>
      </c>
      <c r="D23299">
        <v>0</v>
      </c>
    </row>
    <row r="23300" spans="1:4" hidden="1" x14ac:dyDescent="0.3">
      <c r="A23300" t="s">
        <v>1233</v>
      </c>
      <c r="B23300" t="s">
        <v>89</v>
      </c>
      <c r="C23300" s="1">
        <f>HYPERLINK("https://cao.dolgi.msk.ru/account/1011460226/", 1011460226)</f>
        <v>1011460226</v>
      </c>
      <c r="D23300">
        <v>-4839.55</v>
      </c>
    </row>
    <row r="23301" spans="1:4" hidden="1" x14ac:dyDescent="0.3">
      <c r="A23301" t="s">
        <v>1233</v>
      </c>
      <c r="B23301" t="s">
        <v>90</v>
      </c>
      <c r="C23301" s="1">
        <f>HYPERLINK("https://cao.dolgi.msk.ru/account/1011459639/", 1011459639)</f>
        <v>1011459639</v>
      </c>
      <c r="D23301">
        <v>-137</v>
      </c>
    </row>
    <row r="23302" spans="1:4" hidden="1" x14ac:dyDescent="0.3">
      <c r="A23302" t="s">
        <v>1233</v>
      </c>
      <c r="B23302" t="s">
        <v>96</v>
      </c>
      <c r="C23302" s="1">
        <f>HYPERLINK("https://cao.dolgi.msk.ru/account/1011460074/", 1011460074)</f>
        <v>1011460074</v>
      </c>
      <c r="D23302">
        <v>0</v>
      </c>
    </row>
    <row r="23303" spans="1:4" hidden="1" x14ac:dyDescent="0.3">
      <c r="A23303" t="s">
        <v>1233</v>
      </c>
      <c r="B23303" t="s">
        <v>97</v>
      </c>
      <c r="C23303" s="1">
        <f>HYPERLINK("https://cao.dolgi.msk.ru/account/1011459882/", 1011459882)</f>
        <v>1011459882</v>
      </c>
      <c r="D23303">
        <v>0</v>
      </c>
    </row>
    <row r="23304" spans="1:4" hidden="1" x14ac:dyDescent="0.3">
      <c r="A23304" t="s">
        <v>1233</v>
      </c>
      <c r="B23304" t="s">
        <v>98</v>
      </c>
      <c r="C23304" s="1">
        <f>HYPERLINK("https://cao.dolgi.msk.ru/account/1011459604/", 1011459604)</f>
        <v>1011459604</v>
      </c>
      <c r="D23304">
        <v>-34716.85</v>
      </c>
    </row>
    <row r="23305" spans="1:4" hidden="1" x14ac:dyDescent="0.3">
      <c r="A23305" t="s">
        <v>1233</v>
      </c>
      <c r="B23305" t="s">
        <v>58</v>
      </c>
      <c r="C23305" s="1">
        <f>HYPERLINK("https://cao.dolgi.msk.ru/account/1011459727/", 1011459727)</f>
        <v>1011459727</v>
      </c>
      <c r="D23305">
        <v>-7307.6</v>
      </c>
    </row>
    <row r="23306" spans="1:4" x14ac:dyDescent="0.3">
      <c r="A23306" t="s">
        <v>1233</v>
      </c>
      <c r="B23306" t="s">
        <v>59</v>
      </c>
      <c r="C23306" s="1">
        <f>HYPERLINK("https://cao.dolgi.msk.ru/account/1011460031/", 1011460031)</f>
        <v>1011460031</v>
      </c>
      <c r="D23306">
        <v>22763.119999999999</v>
      </c>
    </row>
    <row r="23307" spans="1:4" hidden="1" x14ac:dyDescent="0.3">
      <c r="A23307" t="s">
        <v>1233</v>
      </c>
      <c r="B23307" t="s">
        <v>60</v>
      </c>
      <c r="C23307" s="1">
        <f>HYPERLINK("https://cao.dolgi.msk.ru/account/1011460357/", 1011460357)</f>
        <v>1011460357</v>
      </c>
      <c r="D23307">
        <v>-1102.73</v>
      </c>
    </row>
    <row r="23308" spans="1:4" hidden="1" x14ac:dyDescent="0.3">
      <c r="A23308" t="s">
        <v>1233</v>
      </c>
      <c r="B23308" t="s">
        <v>61</v>
      </c>
      <c r="C23308" s="1">
        <f>HYPERLINK("https://cao.dolgi.msk.ru/account/1011460365/", 1011460365)</f>
        <v>1011460365</v>
      </c>
      <c r="D23308">
        <v>0</v>
      </c>
    </row>
    <row r="23309" spans="1:4" hidden="1" x14ac:dyDescent="0.3">
      <c r="A23309" t="s">
        <v>1233</v>
      </c>
      <c r="B23309" t="s">
        <v>62</v>
      </c>
      <c r="C23309" s="1">
        <f>HYPERLINK("https://cao.dolgi.msk.ru/account/1011460621/", 1011460621)</f>
        <v>1011460621</v>
      </c>
      <c r="D23309">
        <v>-10325.209999999999</v>
      </c>
    </row>
    <row r="23310" spans="1:4" hidden="1" x14ac:dyDescent="0.3">
      <c r="A23310" t="s">
        <v>1233</v>
      </c>
      <c r="B23310" t="s">
        <v>63</v>
      </c>
      <c r="C23310" s="1">
        <f>HYPERLINK("https://cao.dolgi.msk.ru/account/1011459268/", 1011459268)</f>
        <v>1011459268</v>
      </c>
      <c r="D23310">
        <v>0</v>
      </c>
    </row>
    <row r="23311" spans="1:4" hidden="1" x14ac:dyDescent="0.3">
      <c r="A23311" t="s">
        <v>1233</v>
      </c>
      <c r="B23311" t="s">
        <v>64</v>
      </c>
      <c r="C23311" s="1">
        <f>HYPERLINK("https://cao.dolgi.msk.ru/account/1011460269/", 1011460269)</f>
        <v>1011460269</v>
      </c>
      <c r="D23311">
        <v>-9653.17</v>
      </c>
    </row>
    <row r="23312" spans="1:4" hidden="1" x14ac:dyDescent="0.3">
      <c r="A23312" t="s">
        <v>1233</v>
      </c>
      <c r="B23312" t="s">
        <v>66</v>
      </c>
      <c r="C23312" s="1">
        <f>HYPERLINK("https://cao.dolgi.msk.ru/account/1011459778/", 1011459778)</f>
        <v>1011459778</v>
      </c>
      <c r="D23312">
        <v>-99162.93</v>
      </c>
    </row>
    <row r="23313" spans="1:4" hidden="1" x14ac:dyDescent="0.3">
      <c r="A23313" t="s">
        <v>1233</v>
      </c>
      <c r="B23313" t="s">
        <v>67</v>
      </c>
      <c r="C23313" s="1">
        <f>HYPERLINK("https://cao.dolgi.msk.ru/account/1011460234/", 1011460234)</f>
        <v>1011460234</v>
      </c>
      <c r="D23313">
        <v>0</v>
      </c>
    </row>
    <row r="23314" spans="1:4" hidden="1" x14ac:dyDescent="0.3">
      <c r="A23314" t="s">
        <v>1233</v>
      </c>
      <c r="B23314" t="s">
        <v>68</v>
      </c>
      <c r="C23314" s="1">
        <f>HYPERLINK("https://cao.dolgi.msk.ru/account/1011459401/", 1011459401)</f>
        <v>1011459401</v>
      </c>
      <c r="D23314">
        <v>-1130.0899999999999</v>
      </c>
    </row>
    <row r="23315" spans="1:4" hidden="1" x14ac:dyDescent="0.3">
      <c r="A23315" t="s">
        <v>1233</v>
      </c>
      <c r="B23315" t="s">
        <v>69</v>
      </c>
      <c r="C23315" s="1">
        <f>HYPERLINK("https://cao.dolgi.msk.ru/account/1011459903/", 1011459903)</f>
        <v>1011459903</v>
      </c>
      <c r="D23315">
        <v>0</v>
      </c>
    </row>
    <row r="23316" spans="1:4" x14ac:dyDescent="0.3">
      <c r="A23316" t="s">
        <v>1233</v>
      </c>
      <c r="B23316" t="s">
        <v>70</v>
      </c>
      <c r="C23316" s="1">
        <f>HYPERLINK("https://cao.dolgi.msk.ru/account/1011460277/", 1011460277)</f>
        <v>1011460277</v>
      </c>
      <c r="D23316">
        <v>11803.68</v>
      </c>
    </row>
    <row r="23317" spans="1:4" hidden="1" x14ac:dyDescent="0.3">
      <c r="A23317" t="s">
        <v>1233</v>
      </c>
      <c r="B23317" t="s">
        <v>259</v>
      </c>
      <c r="C23317" s="1">
        <f>HYPERLINK("https://cao.dolgi.msk.ru/account/1011459217/", 1011459217)</f>
        <v>1011459217</v>
      </c>
      <c r="D23317">
        <v>-526.86</v>
      </c>
    </row>
    <row r="23318" spans="1:4" x14ac:dyDescent="0.3">
      <c r="A23318" t="s">
        <v>1233</v>
      </c>
      <c r="B23318" t="s">
        <v>100</v>
      </c>
      <c r="C23318" s="1">
        <f>HYPERLINK("https://cao.dolgi.msk.ru/account/1011459559/", 1011459559)</f>
        <v>1011459559</v>
      </c>
      <c r="D23318">
        <v>6821.59</v>
      </c>
    </row>
    <row r="23319" spans="1:4" hidden="1" x14ac:dyDescent="0.3">
      <c r="A23319" t="s">
        <v>1233</v>
      </c>
      <c r="B23319" t="s">
        <v>72</v>
      </c>
      <c r="C23319" s="1">
        <f>HYPERLINK("https://cao.dolgi.msk.ru/account/1011460605/", 1011460605)</f>
        <v>1011460605</v>
      </c>
      <c r="D23319">
        <v>0</v>
      </c>
    </row>
    <row r="23320" spans="1:4" x14ac:dyDescent="0.3">
      <c r="A23320" t="s">
        <v>1233</v>
      </c>
      <c r="B23320" t="s">
        <v>73</v>
      </c>
      <c r="C23320" s="1">
        <f>HYPERLINK("https://cao.dolgi.msk.ru/account/1011460437/", 1011460437)</f>
        <v>1011460437</v>
      </c>
      <c r="D23320">
        <v>5136.04</v>
      </c>
    </row>
    <row r="23321" spans="1:4" hidden="1" x14ac:dyDescent="0.3">
      <c r="A23321" t="s">
        <v>1233</v>
      </c>
      <c r="B23321" t="s">
        <v>74</v>
      </c>
      <c r="C23321" s="1">
        <f>HYPERLINK("https://cao.dolgi.msk.ru/account/1011459364/", 1011459364)</f>
        <v>1011459364</v>
      </c>
      <c r="D23321">
        <v>0</v>
      </c>
    </row>
    <row r="23322" spans="1:4" hidden="1" x14ac:dyDescent="0.3">
      <c r="A23322" t="s">
        <v>1233</v>
      </c>
      <c r="B23322" t="s">
        <v>75</v>
      </c>
      <c r="C23322" s="1">
        <f>HYPERLINK("https://cao.dolgi.msk.ru/account/1011459516/", 1011459516)</f>
        <v>1011459516</v>
      </c>
      <c r="D23322">
        <v>0</v>
      </c>
    </row>
    <row r="23323" spans="1:4" x14ac:dyDescent="0.3">
      <c r="A23323" t="s">
        <v>1233</v>
      </c>
      <c r="B23323" t="s">
        <v>76</v>
      </c>
      <c r="C23323" s="1">
        <f>HYPERLINK("https://cao.dolgi.msk.ru/account/1011460373/", 1011460373)</f>
        <v>1011460373</v>
      </c>
      <c r="D23323">
        <v>6673.85</v>
      </c>
    </row>
    <row r="23324" spans="1:4" hidden="1" x14ac:dyDescent="0.3">
      <c r="A23324" t="s">
        <v>1233</v>
      </c>
      <c r="B23324" t="s">
        <v>77</v>
      </c>
      <c r="C23324" s="1">
        <f>HYPERLINK("https://cao.dolgi.msk.ru/account/1011459954/", 1011459954)</f>
        <v>1011459954</v>
      </c>
      <c r="D23324">
        <v>-47.52</v>
      </c>
    </row>
    <row r="23325" spans="1:4" hidden="1" x14ac:dyDescent="0.3">
      <c r="A23325" t="s">
        <v>1233</v>
      </c>
      <c r="B23325" t="s">
        <v>78</v>
      </c>
      <c r="C23325" s="1">
        <f>HYPERLINK("https://cao.dolgi.msk.ru/account/1011459735/", 1011459735)</f>
        <v>1011459735</v>
      </c>
      <c r="D23325">
        <v>0</v>
      </c>
    </row>
    <row r="23326" spans="1:4" hidden="1" x14ac:dyDescent="0.3">
      <c r="A23326" t="s">
        <v>1233</v>
      </c>
      <c r="B23326" t="s">
        <v>79</v>
      </c>
      <c r="C23326" s="1">
        <f>HYPERLINK("https://cao.dolgi.msk.ru/account/1011517253/", 1011517253)</f>
        <v>1011517253</v>
      </c>
      <c r="D23326">
        <v>0</v>
      </c>
    </row>
    <row r="23327" spans="1:4" hidden="1" x14ac:dyDescent="0.3">
      <c r="A23327" t="s">
        <v>1233</v>
      </c>
      <c r="B23327" t="s">
        <v>81</v>
      </c>
      <c r="C23327" s="1">
        <f>HYPERLINK("https://cao.dolgi.msk.ru/account/1011460541/", 1011460541)</f>
        <v>1011460541</v>
      </c>
      <c r="D23327">
        <v>0</v>
      </c>
    </row>
    <row r="23328" spans="1:4" hidden="1" x14ac:dyDescent="0.3">
      <c r="A23328" t="s">
        <v>1233</v>
      </c>
      <c r="B23328" t="s">
        <v>101</v>
      </c>
      <c r="C23328" s="1">
        <f>HYPERLINK("https://cao.dolgi.msk.ru/account/1011460648/", 1011460648)</f>
        <v>1011460648</v>
      </c>
      <c r="D23328">
        <v>0</v>
      </c>
    </row>
    <row r="23329" spans="1:4" hidden="1" x14ac:dyDescent="0.3">
      <c r="A23329" t="s">
        <v>1233</v>
      </c>
      <c r="B23329" t="s">
        <v>82</v>
      </c>
      <c r="C23329" s="1">
        <f>HYPERLINK("https://cao.dolgi.msk.ru/account/1011460461/", 1011460461)</f>
        <v>1011460461</v>
      </c>
      <c r="D23329">
        <v>0</v>
      </c>
    </row>
    <row r="23330" spans="1:4" hidden="1" x14ac:dyDescent="0.3">
      <c r="A23330" t="s">
        <v>1233</v>
      </c>
      <c r="B23330" t="s">
        <v>83</v>
      </c>
      <c r="C23330" s="1">
        <f>HYPERLINK("https://cao.dolgi.msk.ru/account/1011459428/", 1011459428)</f>
        <v>1011459428</v>
      </c>
      <c r="D23330">
        <v>0</v>
      </c>
    </row>
    <row r="23331" spans="1:4" hidden="1" x14ac:dyDescent="0.3">
      <c r="A23331" t="s">
        <v>1233</v>
      </c>
      <c r="B23331" t="s">
        <v>84</v>
      </c>
      <c r="C23331" s="1">
        <f>HYPERLINK("https://cao.dolgi.msk.ru/account/1011460103/", 1011460103)</f>
        <v>1011460103</v>
      </c>
      <c r="D23331">
        <v>-9022.67</v>
      </c>
    </row>
    <row r="23332" spans="1:4" hidden="1" x14ac:dyDescent="0.3">
      <c r="A23332" t="s">
        <v>1233</v>
      </c>
      <c r="B23332" t="s">
        <v>85</v>
      </c>
      <c r="C23332" s="1">
        <f>HYPERLINK("https://cao.dolgi.msk.ru/account/1011460154/", 1011460154)</f>
        <v>1011460154</v>
      </c>
      <c r="D23332">
        <v>0</v>
      </c>
    </row>
    <row r="23333" spans="1:4" x14ac:dyDescent="0.3">
      <c r="A23333" t="s">
        <v>1233</v>
      </c>
      <c r="B23333" t="s">
        <v>102</v>
      </c>
      <c r="C23333" s="1">
        <f>HYPERLINK("https://cao.dolgi.msk.ru/account/1011459911/", 1011459911)</f>
        <v>1011459911</v>
      </c>
      <c r="D23333">
        <v>6967.26</v>
      </c>
    </row>
    <row r="23334" spans="1:4" hidden="1" x14ac:dyDescent="0.3">
      <c r="A23334" t="s">
        <v>1233</v>
      </c>
      <c r="B23334" t="s">
        <v>103</v>
      </c>
      <c r="C23334" s="1">
        <f>HYPERLINK("https://cao.dolgi.msk.ru/account/1011460162/", 1011460162)</f>
        <v>1011460162</v>
      </c>
      <c r="D23334">
        <v>-213.45</v>
      </c>
    </row>
    <row r="23335" spans="1:4" hidden="1" x14ac:dyDescent="0.3">
      <c r="A23335" t="s">
        <v>1233</v>
      </c>
      <c r="B23335" t="s">
        <v>104</v>
      </c>
      <c r="C23335" s="1">
        <f>HYPERLINK("https://cao.dolgi.msk.ru/account/1011459145/", 1011459145)</f>
        <v>1011459145</v>
      </c>
      <c r="D23335">
        <v>0</v>
      </c>
    </row>
    <row r="23336" spans="1:4" hidden="1" x14ac:dyDescent="0.3">
      <c r="A23336" t="s">
        <v>1233</v>
      </c>
      <c r="B23336" t="s">
        <v>104</v>
      </c>
      <c r="C23336" s="1">
        <f>HYPERLINK("https://cao.dolgi.msk.ru/account/1011459567/", 1011459567)</f>
        <v>1011459567</v>
      </c>
      <c r="D23336">
        <v>0</v>
      </c>
    </row>
    <row r="23337" spans="1:4" hidden="1" x14ac:dyDescent="0.3">
      <c r="A23337" t="s">
        <v>1233</v>
      </c>
      <c r="B23337" t="s">
        <v>105</v>
      </c>
      <c r="C23337" s="1">
        <f>HYPERLINK("https://cao.dolgi.msk.ru/account/1011459874/", 1011459874)</f>
        <v>1011459874</v>
      </c>
      <c r="D23337">
        <v>-5734.4</v>
      </c>
    </row>
    <row r="23338" spans="1:4" x14ac:dyDescent="0.3">
      <c r="A23338" t="s">
        <v>1233</v>
      </c>
      <c r="B23338" t="s">
        <v>106</v>
      </c>
      <c r="C23338" s="1">
        <f>HYPERLINK("https://cao.dolgi.msk.ru/account/1011459647/", 1011459647)</f>
        <v>1011459647</v>
      </c>
      <c r="D23338">
        <v>9893.39</v>
      </c>
    </row>
    <row r="23339" spans="1:4" hidden="1" x14ac:dyDescent="0.3">
      <c r="A23339" t="s">
        <v>1233</v>
      </c>
      <c r="B23339" t="s">
        <v>107</v>
      </c>
      <c r="C23339" s="1">
        <f>HYPERLINK("https://cao.dolgi.msk.ru/account/1011460613/", 1011460613)</f>
        <v>1011460613</v>
      </c>
      <c r="D23339">
        <v>0</v>
      </c>
    </row>
    <row r="23340" spans="1:4" hidden="1" x14ac:dyDescent="0.3">
      <c r="A23340" t="s">
        <v>1233</v>
      </c>
      <c r="B23340" t="s">
        <v>108</v>
      </c>
      <c r="C23340" s="1">
        <f>HYPERLINK("https://cao.dolgi.msk.ru/account/1011460381/", 1011460381)</f>
        <v>1011460381</v>
      </c>
      <c r="D23340">
        <v>-71.260000000000005</v>
      </c>
    </row>
    <row r="23341" spans="1:4" hidden="1" x14ac:dyDescent="0.3">
      <c r="A23341" t="s">
        <v>1233</v>
      </c>
      <c r="B23341" t="s">
        <v>109</v>
      </c>
      <c r="C23341" s="1">
        <f>HYPERLINK("https://cao.dolgi.msk.ru/account/1011460111/", 1011460111)</f>
        <v>1011460111</v>
      </c>
      <c r="D23341">
        <v>0</v>
      </c>
    </row>
    <row r="23342" spans="1:4" hidden="1" x14ac:dyDescent="0.3">
      <c r="A23342" t="s">
        <v>1233</v>
      </c>
      <c r="B23342" t="s">
        <v>110</v>
      </c>
      <c r="C23342" s="1">
        <f>HYPERLINK("https://cao.dolgi.msk.ru/account/1011459284/", 1011459284)</f>
        <v>1011459284</v>
      </c>
      <c r="D23342">
        <v>0</v>
      </c>
    </row>
    <row r="23343" spans="1:4" hidden="1" x14ac:dyDescent="0.3">
      <c r="A23343" t="s">
        <v>1233</v>
      </c>
      <c r="B23343" t="s">
        <v>111</v>
      </c>
      <c r="C23343" s="1">
        <f>HYPERLINK("https://cao.dolgi.msk.ru/account/1011459276/", 1011459276)</f>
        <v>1011459276</v>
      </c>
      <c r="D23343">
        <v>0</v>
      </c>
    </row>
    <row r="23344" spans="1:4" hidden="1" x14ac:dyDescent="0.3">
      <c r="A23344" t="s">
        <v>1233</v>
      </c>
      <c r="B23344" t="s">
        <v>112</v>
      </c>
      <c r="C23344" s="1">
        <f>HYPERLINK("https://cao.dolgi.msk.ru/account/1011459153/", 1011459153)</f>
        <v>1011459153</v>
      </c>
      <c r="D23344">
        <v>0</v>
      </c>
    </row>
    <row r="23345" spans="1:4" hidden="1" x14ac:dyDescent="0.3">
      <c r="A23345" t="s">
        <v>1233</v>
      </c>
      <c r="B23345" t="s">
        <v>113</v>
      </c>
      <c r="C23345" s="1">
        <f>HYPERLINK("https://cao.dolgi.msk.ru/account/1011459073/", 1011459073)</f>
        <v>1011459073</v>
      </c>
      <c r="D23345">
        <v>0</v>
      </c>
    </row>
    <row r="23346" spans="1:4" hidden="1" x14ac:dyDescent="0.3">
      <c r="A23346" t="s">
        <v>1233</v>
      </c>
      <c r="B23346" t="s">
        <v>114</v>
      </c>
      <c r="C23346" s="1">
        <f>HYPERLINK("https://cao.dolgi.msk.ru/account/1011459997/", 1011459997)</f>
        <v>1011459997</v>
      </c>
      <c r="D23346">
        <v>0</v>
      </c>
    </row>
    <row r="23347" spans="1:4" hidden="1" x14ac:dyDescent="0.3">
      <c r="A23347" t="s">
        <v>1233</v>
      </c>
      <c r="B23347" t="s">
        <v>115</v>
      </c>
      <c r="C23347" s="1">
        <f>HYPERLINK("https://cao.dolgi.msk.ru/account/1011459524/", 1011459524)</f>
        <v>1011459524</v>
      </c>
      <c r="D23347">
        <v>0</v>
      </c>
    </row>
    <row r="23348" spans="1:4" hidden="1" x14ac:dyDescent="0.3">
      <c r="A23348" t="s">
        <v>1233</v>
      </c>
      <c r="B23348" t="s">
        <v>116</v>
      </c>
      <c r="C23348" s="1">
        <f>HYPERLINK("https://cao.dolgi.msk.ru/account/1011459372/", 1011459372)</f>
        <v>1011459372</v>
      </c>
      <c r="D23348">
        <v>-1381.43</v>
      </c>
    </row>
    <row r="23349" spans="1:4" hidden="1" x14ac:dyDescent="0.3">
      <c r="A23349" t="s">
        <v>1233</v>
      </c>
      <c r="B23349" t="s">
        <v>266</v>
      </c>
      <c r="C23349" s="1">
        <f>HYPERLINK("https://cao.dolgi.msk.ru/account/1011459161/", 1011459161)</f>
        <v>1011459161</v>
      </c>
      <c r="D23349">
        <v>-47.52</v>
      </c>
    </row>
    <row r="23350" spans="1:4" hidden="1" x14ac:dyDescent="0.3">
      <c r="A23350" t="s">
        <v>1233</v>
      </c>
      <c r="B23350" t="s">
        <v>117</v>
      </c>
      <c r="C23350" s="1">
        <f>HYPERLINK("https://cao.dolgi.msk.ru/account/1011459583/", 1011459583)</f>
        <v>1011459583</v>
      </c>
      <c r="D23350">
        <v>-4409.4799999999996</v>
      </c>
    </row>
    <row r="23351" spans="1:4" x14ac:dyDescent="0.3">
      <c r="A23351" t="s">
        <v>1233</v>
      </c>
      <c r="B23351" t="s">
        <v>118</v>
      </c>
      <c r="C23351" s="1">
        <f>HYPERLINK("https://cao.dolgi.msk.ru/account/1011459292/", 1011459292)</f>
        <v>1011459292</v>
      </c>
      <c r="D23351">
        <v>1168.81</v>
      </c>
    </row>
    <row r="23352" spans="1:4" hidden="1" x14ac:dyDescent="0.3">
      <c r="A23352" t="s">
        <v>1233</v>
      </c>
      <c r="B23352" t="s">
        <v>119</v>
      </c>
      <c r="C23352" s="1">
        <f>HYPERLINK("https://cao.dolgi.msk.ru/account/1011460533/", 1011460533)</f>
        <v>1011460533</v>
      </c>
      <c r="D23352">
        <v>0</v>
      </c>
    </row>
    <row r="23353" spans="1:4" hidden="1" x14ac:dyDescent="0.3">
      <c r="A23353" t="s">
        <v>1233</v>
      </c>
      <c r="B23353" t="s">
        <v>120</v>
      </c>
      <c r="C23353" s="1">
        <f>HYPERLINK("https://cao.dolgi.msk.ru/account/1011460015/", 1011460015)</f>
        <v>1011460015</v>
      </c>
      <c r="D23353">
        <v>0</v>
      </c>
    </row>
    <row r="23354" spans="1:4" hidden="1" x14ac:dyDescent="0.3">
      <c r="A23354" t="s">
        <v>1233</v>
      </c>
      <c r="B23354" t="s">
        <v>121</v>
      </c>
      <c r="C23354" s="1">
        <f>HYPERLINK("https://cao.dolgi.msk.ru/account/1011459591/", 1011459591)</f>
        <v>1011459591</v>
      </c>
      <c r="D23354">
        <v>-6211.58</v>
      </c>
    </row>
    <row r="23355" spans="1:4" x14ac:dyDescent="0.3">
      <c r="A23355" t="s">
        <v>1233</v>
      </c>
      <c r="B23355" t="s">
        <v>122</v>
      </c>
      <c r="C23355" s="1">
        <f>HYPERLINK("https://cao.dolgi.msk.ru/account/1011460058/", 1011460058)</f>
        <v>1011460058</v>
      </c>
      <c r="D23355">
        <v>275.54000000000002</v>
      </c>
    </row>
    <row r="23356" spans="1:4" hidden="1" x14ac:dyDescent="0.3">
      <c r="A23356" t="s">
        <v>1233</v>
      </c>
      <c r="B23356" t="s">
        <v>123</v>
      </c>
      <c r="C23356" s="1">
        <f>HYPERLINK("https://cao.dolgi.msk.ru/account/1011459081/", 1011459081)</f>
        <v>1011459081</v>
      </c>
      <c r="D23356">
        <v>0</v>
      </c>
    </row>
    <row r="23357" spans="1:4" hidden="1" x14ac:dyDescent="0.3">
      <c r="A23357" t="s">
        <v>1233</v>
      </c>
      <c r="B23357" t="s">
        <v>124</v>
      </c>
      <c r="C23357" s="1">
        <f>HYPERLINK("https://cao.dolgi.msk.ru/account/1011460314/", 1011460314)</f>
        <v>1011460314</v>
      </c>
      <c r="D23357">
        <v>0</v>
      </c>
    </row>
    <row r="23358" spans="1:4" hidden="1" x14ac:dyDescent="0.3">
      <c r="A23358" t="s">
        <v>1233</v>
      </c>
      <c r="B23358" t="s">
        <v>125</v>
      </c>
      <c r="C23358" s="1">
        <f>HYPERLINK("https://cao.dolgi.msk.ru/account/1011459532/", 1011459532)</f>
        <v>1011459532</v>
      </c>
      <c r="D23358">
        <v>0</v>
      </c>
    </row>
    <row r="23359" spans="1:4" x14ac:dyDescent="0.3">
      <c r="A23359" t="s">
        <v>1233</v>
      </c>
      <c r="B23359" t="s">
        <v>126</v>
      </c>
      <c r="C23359" s="1">
        <f>HYPERLINK("https://cao.dolgi.msk.ru/account/1011460285/", 1011460285)</f>
        <v>1011460285</v>
      </c>
      <c r="D23359">
        <v>7138.96</v>
      </c>
    </row>
    <row r="23360" spans="1:4" hidden="1" x14ac:dyDescent="0.3">
      <c r="A23360" t="s">
        <v>1233</v>
      </c>
      <c r="B23360" t="s">
        <v>126</v>
      </c>
      <c r="C23360" s="1">
        <f>HYPERLINK("https://cao.dolgi.msk.ru/account/1011460293/", 1011460293)</f>
        <v>1011460293</v>
      </c>
      <c r="D23360">
        <v>0</v>
      </c>
    </row>
    <row r="23361" spans="1:4" x14ac:dyDescent="0.3">
      <c r="A23361" t="s">
        <v>1233</v>
      </c>
      <c r="B23361" t="s">
        <v>126</v>
      </c>
      <c r="C23361" s="1">
        <f>HYPERLINK("https://cao.dolgi.msk.ru/account/1011460568/", 1011460568)</f>
        <v>1011460568</v>
      </c>
      <c r="D23361">
        <v>18391.689999999999</v>
      </c>
    </row>
    <row r="23362" spans="1:4" hidden="1" x14ac:dyDescent="0.3">
      <c r="A23362" t="s">
        <v>1233</v>
      </c>
      <c r="B23362" t="s">
        <v>127</v>
      </c>
      <c r="C23362" s="1">
        <f>HYPERLINK("https://cao.dolgi.msk.ru/account/1011459225/", 1011459225)</f>
        <v>1011459225</v>
      </c>
      <c r="D23362">
        <v>0</v>
      </c>
    </row>
    <row r="23363" spans="1:4" x14ac:dyDescent="0.3">
      <c r="A23363" t="s">
        <v>1233</v>
      </c>
      <c r="B23363" t="s">
        <v>262</v>
      </c>
      <c r="C23363" s="1">
        <f>HYPERLINK("https://cao.dolgi.msk.ru/account/1011460509/", 1011460509)</f>
        <v>1011460509</v>
      </c>
      <c r="D23363">
        <v>15955.57</v>
      </c>
    </row>
    <row r="23364" spans="1:4" x14ac:dyDescent="0.3">
      <c r="A23364" t="s">
        <v>1233</v>
      </c>
      <c r="B23364" t="s">
        <v>129</v>
      </c>
      <c r="C23364" s="1">
        <f>HYPERLINK("https://cao.dolgi.msk.ru/account/1011459858/", 1011459858)</f>
        <v>1011459858</v>
      </c>
      <c r="D23364">
        <v>55407.92</v>
      </c>
    </row>
    <row r="23365" spans="1:4" hidden="1" x14ac:dyDescent="0.3">
      <c r="A23365" t="s">
        <v>1233</v>
      </c>
      <c r="B23365" t="s">
        <v>130</v>
      </c>
      <c r="C23365" s="1">
        <f>HYPERLINK("https://cao.dolgi.msk.ru/account/1011460517/", 1011460517)</f>
        <v>1011460517</v>
      </c>
      <c r="D23365">
        <v>0</v>
      </c>
    </row>
    <row r="23366" spans="1:4" hidden="1" x14ac:dyDescent="0.3">
      <c r="A23366" t="s">
        <v>1233</v>
      </c>
      <c r="B23366" t="s">
        <v>131</v>
      </c>
      <c r="C23366" s="1">
        <f>HYPERLINK("https://cao.dolgi.msk.ru/account/1011459698/", 1011459698)</f>
        <v>1011459698</v>
      </c>
      <c r="D23366">
        <v>-10809.89</v>
      </c>
    </row>
    <row r="23367" spans="1:4" hidden="1" x14ac:dyDescent="0.3">
      <c r="A23367" t="s">
        <v>1233</v>
      </c>
      <c r="B23367" t="s">
        <v>132</v>
      </c>
      <c r="C23367" s="1">
        <f>HYPERLINK("https://cao.dolgi.msk.ru/account/1011460402/", 1011460402)</f>
        <v>1011460402</v>
      </c>
      <c r="D23367">
        <v>0</v>
      </c>
    </row>
    <row r="23368" spans="1:4" hidden="1" x14ac:dyDescent="0.3">
      <c r="A23368" t="s">
        <v>1233</v>
      </c>
      <c r="B23368" t="s">
        <v>133</v>
      </c>
      <c r="C23368" s="1">
        <f>HYPERLINK("https://cao.dolgi.msk.ru/account/1011459794/", 1011459794)</f>
        <v>1011459794</v>
      </c>
      <c r="D23368">
        <v>-7643.38</v>
      </c>
    </row>
    <row r="23369" spans="1:4" x14ac:dyDescent="0.3">
      <c r="A23369" t="s">
        <v>1233</v>
      </c>
      <c r="B23369" t="s">
        <v>134</v>
      </c>
      <c r="C23369" s="1">
        <f>HYPERLINK("https://cao.dolgi.msk.ru/account/1011459313/", 1011459313)</f>
        <v>1011459313</v>
      </c>
      <c r="D23369">
        <v>8169.64</v>
      </c>
    </row>
    <row r="23370" spans="1:4" hidden="1" x14ac:dyDescent="0.3">
      <c r="A23370" t="s">
        <v>1233</v>
      </c>
      <c r="B23370" t="s">
        <v>135</v>
      </c>
      <c r="C23370" s="1">
        <f>HYPERLINK("https://cao.dolgi.msk.ru/account/1011459807/", 1011459807)</f>
        <v>1011459807</v>
      </c>
      <c r="D23370">
        <v>-9110.01</v>
      </c>
    </row>
    <row r="23371" spans="1:4" hidden="1" x14ac:dyDescent="0.3">
      <c r="A23371" t="s">
        <v>1233</v>
      </c>
      <c r="B23371" t="s">
        <v>264</v>
      </c>
      <c r="C23371" s="1">
        <f>HYPERLINK("https://cao.dolgi.msk.ru/account/1011459671/", 1011459671)</f>
        <v>1011459671</v>
      </c>
      <c r="D23371">
        <v>0</v>
      </c>
    </row>
    <row r="23372" spans="1:4" hidden="1" x14ac:dyDescent="0.3">
      <c r="A23372" t="s">
        <v>1233</v>
      </c>
      <c r="B23372" t="s">
        <v>136</v>
      </c>
      <c r="C23372" s="1">
        <f>HYPERLINK("https://cao.dolgi.msk.ru/account/1011460242/", 1011460242)</f>
        <v>1011460242</v>
      </c>
      <c r="D23372">
        <v>0</v>
      </c>
    </row>
    <row r="23373" spans="1:4" x14ac:dyDescent="0.3">
      <c r="A23373" t="s">
        <v>1233</v>
      </c>
      <c r="B23373" t="s">
        <v>137</v>
      </c>
      <c r="C23373" s="1">
        <f>HYPERLINK("https://cao.dolgi.msk.ru/account/1011460322/", 1011460322)</f>
        <v>1011460322</v>
      </c>
      <c r="D23373">
        <v>171</v>
      </c>
    </row>
    <row r="23374" spans="1:4" hidden="1" x14ac:dyDescent="0.3">
      <c r="A23374" t="s">
        <v>1233</v>
      </c>
      <c r="B23374" t="s">
        <v>138</v>
      </c>
      <c r="C23374" s="1">
        <f>HYPERLINK("https://cao.dolgi.msk.ru/account/1011459436/", 1011459436)</f>
        <v>1011459436</v>
      </c>
      <c r="D23374">
        <v>0</v>
      </c>
    </row>
    <row r="23375" spans="1:4" hidden="1" x14ac:dyDescent="0.3">
      <c r="A23375" t="s">
        <v>1233</v>
      </c>
      <c r="B23375" t="s">
        <v>139</v>
      </c>
      <c r="C23375" s="1">
        <f>HYPERLINK("https://cao.dolgi.msk.ru/account/1011460306/", 1011460306)</f>
        <v>1011460306</v>
      </c>
      <c r="D23375">
        <v>-621.86</v>
      </c>
    </row>
    <row r="23376" spans="1:4" x14ac:dyDescent="0.3">
      <c r="A23376" t="s">
        <v>1233</v>
      </c>
      <c r="B23376" t="s">
        <v>140</v>
      </c>
      <c r="C23376" s="1">
        <f>HYPERLINK("https://cao.dolgi.msk.ru/account/1011459479/", 1011459479)</f>
        <v>1011459479</v>
      </c>
      <c r="D23376">
        <v>3071.03</v>
      </c>
    </row>
    <row r="23377" spans="1:4" hidden="1" x14ac:dyDescent="0.3">
      <c r="A23377" t="s">
        <v>1233</v>
      </c>
      <c r="B23377" t="s">
        <v>141</v>
      </c>
      <c r="C23377" s="1">
        <f>HYPERLINK("https://cao.dolgi.msk.ru/account/1011460488/", 1011460488)</f>
        <v>1011460488</v>
      </c>
      <c r="D23377">
        <v>0</v>
      </c>
    </row>
    <row r="23378" spans="1:4" hidden="1" x14ac:dyDescent="0.3">
      <c r="A23378" t="s">
        <v>1233</v>
      </c>
      <c r="B23378" t="s">
        <v>143</v>
      </c>
      <c r="C23378" s="1">
        <f>HYPERLINK("https://cao.dolgi.msk.ru/account/1011460576/", 1011460576)</f>
        <v>1011460576</v>
      </c>
      <c r="D23378">
        <v>0</v>
      </c>
    </row>
    <row r="23379" spans="1:4" hidden="1" x14ac:dyDescent="0.3">
      <c r="A23379" t="s">
        <v>1233</v>
      </c>
      <c r="B23379" t="s">
        <v>144</v>
      </c>
      <c r="C23379" s="1">
        <f>HYPERLINK("https://cao.dolgi.msk.ru/account/1011459831/", 1011459831)</f>
        <v>1011459831</v>
      </c>
      <c r="D23379">
        <v>-30693.23</v>
      </c>
    </row>
    <row r="23380" spans="1:4" x14ac:dyDescent="0.3">
      <c r="A23380" t="s">
        <v>1233</v>
      </c>
      <c r="B23380" t="s">
        <v>145</v>
      </c>
      <c r="C23380" s="1">
        <f>HYPERLINK("https://cao.dolgi.msk.ru/account/1011459188/", 1011459188)</f>
        <v>1011459188</v>
      </c>
      <c r="D23380">
        <v>114217.11</v>
      </c>
    </row>
    <row r="23381" spans="1:4" hidden="1" x14ac:dyDescent="0.3">
      <c r="A23381" t="s">
        <v>1233</v>
      </c>
      <c r="B23381" t="s">
        <v>146</v>
      </c>
      <c r="C23381" s="1">
        <f>HYPERLINK("https://cao.dolgi.msk.ru/account/1011459938/", 1011459938)</f>
        <v>1011459938</v>
      </c>
      <c r="D23381">
        <v>-0.01</v>
      </c>
    </row>
    <row r="23382" spans="1:4" x14ac:dyDescent="0.3">
      <c r="A23382" t="s">
        <v>1233</v>
      </c>
      <c r="B23382" t="s">
        <v>147</v>
      </c>
      <c r="C23382" s="1">
        <f>HYPERLINK("https://cao.dolgi.msk.ru/account/1011460429/", 1011460429)</f>
        <v>1011460429</v>
      </c>
      <c r="D23382">
        <v>16691.330000000002</v>
      </c>
    </row>
    <row r="23383" spans="1:4" hidden="1" x14ac:dyDescent="0.3">
      <c r="A23383" t="s">
        <v>1233</v>
      </c>
      <c r="B23383" t="s">
        <v>148</v>
      </c>
      <c r="C23383" s="1">
        <f>HYPERLINK("https://cao.dolgi.msk.ru/account/1011459196/", 1011459196)</f>
        <v>1011459196</v>
      </c>
      <c r="D23383">
        <v>-6427.51</v>
      </c>
    </row>
    <row r="23384" spans="1:4" hidden="1" x14ac:dyDescent="0.3">
      <c r="A23384" t="s">
        <v>1233</v>
      </c>
      <c r="B23384" t="s">
        <v>149</v>
      </c>
      <c r="C23384" s="1">
        <f>HYPERLINK("https://cao.dolgi.msk.ru/account/1011459866/", 1011459866)</f>
        <v>1011459866</v>
      </c>
      <c r="D23384">
        <v>0</v>
      </c>
    </row>
    <row r="23385" spans="1:4" hidden="1" x14ac:dyDescent="0.3">
      <c r="A23385" t="s">
        <v>1233</v>
      </c>
      <c r="B23385" t="s">
        <v>150</v>
      </c>
      <c r="C23385" s="1">
        <f>HYPERLINK("https://cao.dolgi.msk.ru/account/1011459233/", 1011459233)</f>
        <v>1011459233</v>
      </c>
      <c r="D23385">
        <v>0</v>
      </c>
    </row>
    <row r="23386" spans="1:4" hidden="1" x14ac:dyDescent="0.3">
      <c r="A23386" t="s">
        <v>1233</v>
      </c>
      <c r="B23386" t="s">
        <v>151</v>
      </c>
      <c r="C23386" s="1">
        <f>HYPERLINK("https://cao.dolgi.msk.ru/account/1011459452/", 1011459452)</f>
        <v>1011459452</v>
      </c>
      <c r="D23386">
        <v>0</v>
      </c>
    </row>
    <row r="23387" spans="1:4" hidden="1" x14ac:dyDescent="0.3">
      <c r="A23387" t="s">
        <v>1233</v>
      </c>
      <c r="B23387" t="s">
        <v>152</v>
      </c>
      <c r="C23387" s="1">
        <f>HYPERLINK("https://cao.dolgi.msk.ru/account/1011460349/", 1011460349)</f>
        <v>1011460349</v>
      </c>
      <c r="D23387">
        <v>0</v>
      </c>
    </row>
    <row r="23388" spans="1:4" hidden="1" x14ac:dyDescent="0.3">
      <c r="A23388" t="s">
        <v>1233</v>
      </c>
      <c r="B23388" t="s">
        <v>153</v>
      </c>
      <c r="C23388" s="1">
        <f>HYPERLINK("https://cao.dolgi.msk.ru/account/1011459655/", 1011459655)</f>
        <v>1011459655</v>
      </c>
      <c r="D23388">
        <v>0</v>
      </c>
    </row>
    <row r="23389" spans="1:4" x14ac:dyDescent="0.3">
      <c r="A23389" t="s">
        <v>1233</v>
      </c>
      <c r="B23389" t="s">
        <v>154</v>
      </c>
      <c r="C23389" s="1">
        <f>HYPERLINK("https://cao.dolgi.msk.ru/account/1011459612/", 1011459612)</f>
        <v>1011459612</v>
      </c>
      <c r="D23389">
        <v>7754.06</v>
      </c>
    </row>
    <row r="23390" spans="1:4" hidden="1" x14ac:dyDescent="0.3">
      <c r="A23390" t="s">
        <v>1233</v>
      </c>
      <c r="B23390" t="s">
        <v>155</v>
      </c>
      <c r="C23390" s="1">
        <f>HYPERLINK("https://cao.dolgi.msk.ru/account/1011459102/", 1011459102)</f>
        <v>1011459102</v>
      </c>
      <c r="D23390">
        <v>-6234.44</v>
      </c>
    </row>
    <row r="23391" spans="1:4" hidden="1" x14ac:dyDescent="0.3">
      <c r="A23391" t="s">
        <v>1233</v>
      </c>
      <c r="B23391" t="s">
        <v>156</v>
      </c>
      <c r="C23391" s="1">
        <f>HYPERLINK("https://cao.dolgi.msk.ru/account/1011460584/", 1011460584)</f>
        <v>1011460584</v>
      </c>
      <c r="D23391">
        <v>-47.52</v>
      </c>
    </row>
    <row r="23392" spans="1:4" hidden="1" x14ac:dyDescent="0.3">
      <c r="A23392" t="s">
        <v>1233</v>
      </c>
      <c r="B23392" t="s">
        <v>157</v>
      </c>
      <c r="C23392" s="1">
        <f>HYPERLINK("https://cao.dolgi.msk.ru/account/1011459487/", 1011459487)</f>
        <v>1011459487</v>
      </c>
      <c r="D23392">
        <v>0</v>
      </c>
    </row>
    <row r="23393" spans="1:4" x14ac:dyDescent="0.3">
      <c r="A23393" t="s">
        <v>1234</v>
      </c>
      <c r="B23393" t="s">
        <v>6</v>
      </c>
      <c r="C23393" s="1">
        <f>HYPERLINK("https://cao.dolgi.msk.ru/account/1011460701/", 1011460701)</f>
        <v>1011460701</v>
      </c>
      <c r="D23393">
        <v>13759.19</v>
      </c>
    </row>
    <row r="23394" spans="1:4" x14ac:dyDescent="0.3">
      <c r="A23394" t="s">
        <v>1234</v>
      </c>
      <c r="B23394" t="s">
        <v>28</v>
      </c>
      <c r="C23394" s="1">
        <f>HYPERLINK("https://cao.dolgi.msk.ru/account/1011460816/", 1011460816)</f>
        <v>1011460816</v>
      </c>
      <c r="D23394">
        <v>1521.4</v>
      </c>
    </row>
    <row r="23395" spans="1:4" x14ac:dyDescent="0.3">
      <c r="A23395" t="s">
        <v>1234</v>
      </c>
      <c r="B23395" t="s">
        <v>35</v>
      </c>
      <c r="C23395" s="1">
        <f>HYPERLINK("https://cao.dolgi.msk.ru/account/1011460672/", 1011460672)</f>
        <v>1011460672</v>
      </c>
      <c r="D23395">
        <v>6765.45</v>
      </c>
    </row>
    <row r="23396" spans="1:4" hidden="1" x14ac:dyDescent="0.3">
      <c r="A23396" t="s">
        <v>1234</v>
      </c>
      <c r="B23396" t="s">
        <v>5</v>
      </c>
      <c r="C23396" s="1">
        <f>HYPERLINK("https://cao.dolgi.msk.ru/account/1011460808/", 1011460808)</f>
        <v>1011460808</v>
      </c>
      <c r="D23396">
        <v>-1647.65</v>
      </c>
    </row>
    <row r="23397" spans="1:4" hidden="1" x14ac:dyDescent="0.3">
      <c r="A23397" t="s">
        <v>1234</v>
      </c>
      <c r="B23397" t="s">
        <v>7</v>
      </c>
      <c r="C23397" s="1">
        <f>HYPERLINK("https://cao.dolgi.msk.ru/account/1011460795/", 1011460795)</f>
        <v>1011460795</v>
      </c>
      <c r="D23397">
        <v>-822.08</v>
      </c>
    </row>
    <row r="23398" spans="1:4" x14ac:dyDescent="0.3">
      <c r="A23398" t="s">
        <v>1234</v>
      </c>
      <c r="B23398" t="s">
        <v>8</v>
      </c>
      <c r="C23398" s="1">
        <f>HYPERLINK("https://cao.dolgi.msk.ru/account/1011460656/", 1011460656)</f>
        <v>1011460656</v>
      </c>
      <c r="D23398">
        <v>13621.59</v>
      </c>
    </row>
    <row r="23399" spans="1:4" x14ac:dyDescent="0.3">
      <c r="A23399" t="s">
        <v>1234</v>
      </c>
      <c r="B23399" t="s">
        <v>31</v>
      </c>
      <c r="C23399" s="1">
        <f>HYPERLINK("https://cao.dolgi.msk.ru/account/1011460664/", 1011460664)</f>
        <v>1011460664</v>
      </c>
      <c r="D23399">
        <v>6333.5</v>
      </c>
    </row>
    <row r="23400" spans="1:4" hidden="1" x14ac:dyDescent="0.3">
      <c r="A23400" t="s">
        <v>1234</v>
      </c>
      <c r="B23400" t="s">
        <v>9</v>
      </c>
      <c r="C23400" s="1">
        <f>HYPERLINK("https://cao.dolgi.msk.ru/account/1011460736/", 1011460736)</f>
        <v>1011460736</v>
      </c>
      <c r="D23400">
        <v>-22461.47</v>
      </c>
    </row>
    <row r="23401" spans="1:4" hidden="1" x14ac:dyDescent="0.3">
      <c r="A23401" t="s">
        <v>1234</v>
      </c>
      <c r="B23401" t="s">
        <v>10</v>
      </c>
      <c r="C23401" s="1">
        <f>HYPERLINK("https://cao.dolgi.msk.ru/account/1011460728/", 1011460728)</f>
        <v>1011460728</v>
      </c>
      <c r="D23401">
        <v>0</v>
      </c>
    </row>
    <row r="23402" spans="1:4" hidden="1" x14ac:dyDescent="0.3">
      <c r="A23402" t="s">
        <v>1234</v>
      </c>
      <c r="B23402" t="s">
        <v>12</v>
      </c>
      <c r="C23402" s="1">
        <f>HYPERLINK("https://cao.dolgi.msk.ru/account/1011460824/", 1011460824)</f>
        <v>1011460824</v>
      </c>
      <c r="D23402">
        <v>-9950.9</v>
      </c>
    </row>
    <row r="23403" spans="1:4" hidden="1" x14ac:dyDescent="0.3">
      <c r="A23403" t="s">
        <v>1234</v>
      </c>
      <c r="B23403" t="s">
        <v>23</v>
      </c>
      <c r="C23403" s="1">
        <f>HYPERLINK("https://cao.dolgi.msk.ru/account/1011460699/", 1011460699)</f>
        <v>1011460699</v>
      </c>
      <c r="D23403">
        <v>-7516.79</v>
      </c>
    </row>
    <row r="23404" spans="1:4" hidden="1" x14ac:dyDescent="0.3">
      <c r="A23404" t="s">
        <v>1234</v>
      </c>
      <c r="B23404" t="s">
        <v>13</v>
      </c>
      <c r="C23404" s="1">
        <f>HYPERLINK("https://cao.dolgi.msk.ru/account/1011460744/", 1011460744)</f>
        <v>1011460744</v>
      </c>
      <c r="D23404">
        <v>-605.95000000000005</v>
      </c>
    </row>
    <row r="23405" spans="1:4" hidden="1" x14ac:dyDescent="0.3">
      <c r="A23405" t="s">
        <v>1234</v>
      </c>
      <c r="B23405" t="s">
        <v>14</v>
      </c>
      <c r="C23405" s="1">
        <f>HYPERLINK("https://cao.dolgi.msk.ru/account/1011460752/", 1011460752)</f>
        <v>1011460752</v>
      </c>
      <c r="D23405">
        <v>-45253.69</v>
      </c>
    </row>
    <row r="23406" spans="1:4" x14ac:dyDescent="0.3">
      <c r="A23406" t="s">
        <v>1234</v>
      </c>
      <c r="B23406" t="s">
        <v>16</v>
      </c>
      <c r="C23406" s="1">
        <f>HYPERLINK("https://cao.dolgi.msk.ru/account/1011460779/", 1011460779)</f>
        <v>1011460779</v>
      </c>
      <c r="D23406">
        <v>7763.89</v>
      </c>
    </row>
    <row r="23407" spans="1:4" hidden="1" x14ac:dyDescent="0.3">
      <c r="A23407" t="s">
        <v>1234</v>
      </c>
      <c r="B23407" t="s">
        <v>17</v>
      </c>
      <c r="C23407" s="1">
        <f>HYPERLINK("https://cao.dolgi.msk.ru/account/1011460787/", 1011460787)</f>
        <v>1011460787</v>
      </c>
      <c r="D23407">
        <v>-28.28</v>
      </c>
    </row>
    <row r="23408" spans="1:4" x14ac:dyDescent="0.3">
      <c r="A23408" t="s">
        <v>1235</v>
      </c>
      <c r="B23408" t="s">
        <v>1236</v>
      </c>
      <c r="C23408" s="1">
        <f>HYPERLINK("https://cao.dolgi.msk.ru/account/1011049402/", 1011049402)</f>
        <v>1011049402</v>
      </c>
      <c r="D23408">
        <v>132469.97</v>
      </c>
    </row>
    <row r="23409" spans="1:4" hidden="1" x14ac:dyDescent="0.3">
      <c r="A23409" t="s">
        <v>1235</v>
      </c>
      <c r="B23409" t="s">
        <v>1236</v>
      </c>
      <c r="C23409" s="1">
        <f>HYPERLINK("https://cao.dolgi.msk.ru/account/1011061401/", 1011061401)</f>
        <v>1011061401</v>
      </c>
      <c r="D23409">
        <v>-3432.8</v>
      </c>
    </row>
    <row r="23410" spans="1:4" hidden="1" x14ac:dyDescent="0.3">
      <c r="A23410" t="s">
        <v>1235</v>
      </c>
      <c r="B23410" t="s">
        <v>1236</v>
      </c>
      <c r="C23410" s="1">
        <f>HYPERLINK("https://cao.dolgi.msk.ru/account/1011061428/", 1011061428)</f>
        <v>1011061428</v>
      </c>
      <c r="D23410">
        <v>-2023.81</v>
      </c>
    </row>
    <row r="23411" spans="1:4" hidden="1" x14ac:dyDescent="0.3">
      <c r="A23411" t="s">
        <v>1235</v>
      </c>
      <c r="B23411" t="s">
        <v>1237</v>
      </c>
      <c r="C23411" s="1">
        <f>HYPERLINK("https://cao.dolgi.msk.ru/account/1011061516/", 1011061516)</f>
        <v>1011061516</v>
      </c>
      <c r="D23411">
        <v>0</v>
      </c>
    </row>
    <row r="23412" spans="1:4" hidden="1" x14ac:dyDescent="0.3">
      <c r="A23412" t="s">
        <v>1235</v>
      </c>
      <c r="B23412" t="s">
        <v>1237</v>
      </c>
      <c r="C23412" s="1">
        <f>HYPERLINK("https://cao.dolgi.msk.ru/account/1011061866/", 1011061866)</f>
        <v>1011061866</v>
      </c>
      <c r="D23412">
        <v>-14168.46</v>
      </c>
    </row>
    <row r="23413" spans="1:4" hidden="1" x14ac:dyDescent="0.3">
      <c r="A23413" t="s">
        <v>1235</v>
      </c>
      <c r="B23413" t="s">
        <v>1236</v>
      </c>
      <c r="C23413" s="1">
        <f>HYPERLINK("https://cao.dolgi.msk.ru/account/1011068064/", 1011068064)</f>
        <v>1011068064</v>
      </c>
      <c r="D23413">
        <v>0</v>
      </c>
    </row>
    <row r="23414" spans="1:4" x14ac:dyDescent="0.3">
      <c r="A23414" t="s">
        <v>1235</v>
      </c>
      <c r="B23414" t="s">
        <v>55</v>
      </c>
      <c r="C23414" s="1">
        <f>HYPERLINK("https://cao.dolgi.msk.ru/account/1010022304/", 1010022304)</f>
        <v>1010022304</v>
      </c>
      <c r="D23414">
        <v>6259.09</v>
      </c>
    </row>
    <row r="23415" spans="1:4" hidden="1" x14ac:dyDescent="0.3">
      <c r="A23415" t="s">
        <v>1238</v>
      </c>
      <c r="B23415" t="s">
        <v>1239</v>
      </c>
      <c r="C23415" s="1">
        <f>HYPERLINK("https://cao.dolgi.msk.ru/account/1011485095/", 1011485095)</f>
        <v>1011485095</v>
      </c>
      <c r="D23415">
        <v>-2636.78</v>
      </c>
    </row>
    <row r="23416" spans="1:4" hidden="1" x14ac:dyDescent="0.3">
      <c r="A23416" t="s">
        <v>1238</v>
      </c>
      <c r="B23416" t="s">
        <v>8</v>
      </c>
      <c r="C23416" s="1">
        <f>HYPERLINK("https://cao.dolgi.msk.ru/account/1011485087/", 1011485087)</f>
        <v>1011485087</v>
      </c>
      <c r="D23416">
        <v>-3472.61</v>
      </c>
    </row>
    <row r="23417" spans="1:4" hidden="1" x14ac:dyDescent="0.3">
      <c r="A23417" t="s">
        <v>1238</v>
      </c>
      <c r="B23417" t="s">
        <v>9</v>
      </c>
      <c r="C23417" s="1">
        <f>HYPERLINK("https://cao.dolgi.msk.ru/account/1011485116/", 1011485116)</f>
        <v>1011485116</v>
      </c>
      <c r="D23417">
        <v>0</v>
      </c>
    </row>
    <row r="23418" spans="1:4" hidden="1" x14ac:dyDescent="0.3">
      <c r="A23418" t="s">
        <v>1238</v>
      </c>
      <c r="B23418" t="s">
        <v>10</v>
      </c>
      <c r="C23418" s="1">
        <f>HYPERLINK("https://cao.dolgi.msk.ru/account/1011485167/", 1011485167)</f>
        <v>1011485167</v>
      </c>
      <c r="D23418">
        <v>0</v>
      </c>
    </row>
    <row r="23419" spans="1:4" hidden="1" x14ac:dyDescent="0.3">
      <c r="A23419" t="s">
        <v>1238</v>
      </c>
      <c r="B23419" t="s">
        <v>11</v>
      </c>
      <c r="C23419" s="1">
        <f>HYPERLINK("https://cao.dolgi.msk.ru/account/1011485204/", 1011485204)</f>
        <v>1011485204</v>
      </c>
      <c r="D23419">
        <v>0</v>
      </c>
    </row>
    <row r="23420" spans="1:4" hidden="1" x14ac:dyDescent="0.3">
      <c r="A23420" t="s">
        <v>1238</v>
      </c>
      <c r="B23420" t="s">
        <v>13</v>
      </c>
      <c r="C23420" s="1">
        <f>HYPERLINK("https://cao.dolgi.msk.ru/account/1011485124/", 1011485124)</f>
        <v>1011485124</v>
      </c>
      <c r="D23420">
        <v>-2960.76</v>
      </c>
    </row>
    <row r="23421" spans="1:4" hidden="1" x14ac:dyDescent="0.3">
      <c r="A23421" t="s">
        <v>1238</v>
      </c>
      <c r="B23421" t="s">
        <v>14</v>
      </c>
      <c r="C23421" s="1">
        <f>HYPERLINK("https://cao.dolgi.msk.ru/account/1011485175/", 1011485175)</f>
        <v>1011485175</v>
      </c>
      <c r="D23421">
        <v>0</v>
      </c>
    </row>
    <row r="23422" spans="1:4" hidden="1" x14ac:dyDescent="0.3">
      <c r="A23422" t="s">
        <v>1238</v>
      </c>
      <c r="B23422" t="s">
        <v>22</v>
      </c>
      <c r="C23422" s="1">
        <f>HYPERLINK("https://cao.dolgi.msk.ru/account/1011485212/", 1011485212)</f>
        <v>1011485212</v>
      </c>
      <c r="D23422">
        <v>-9205.4</v>
      </c>
    </row>
    <row r="23423" spans="1:4" hidden="1" x14ac:dyDescent="0.3">
      <c r="A23423" t="s">
        <v>1238</v>
      </c>
      <c r="B23423" t="s">
        <v>24</v>
      </c>
      <c r="C23423" s="1">
        <f>HYPERLINK("https://cao.dolgi.msk.ru/account/1011485132/", 1011485132)</f>
        <v>1011485132</v>
      </c>
      <c r="D23423">
        <v>0</v>
      </c>
    </row>
    <row r="23424" spans="1:4" hidden="1" x14ac:dyDescent="0.3">
      <c r="A23424" t="s">
        <v>1238</v>
      </c>
      <c r="B23424" t="s">
        <v>25</v>
      </c>
      <c r="C23424" s="1">
        <f>HYPERLINK("https://cao.dolgi.msk.ru/account/1011485159/", 1011485159)</f>
        <v>1011485159</v>
      </c>
      <c r="D23424">
        <v>0</v>
      </c>
    </row>
    <row r="23425" spans="1:4" x14ac:dyDescent="0.3">
      <c r="A23425" t="s">
        <v>1238</v>
      </c>
      <c r="B23425" t="s">
        <v>26</v>
      </c>
      <c r="C23425" s="1">
        <f>HYPERLINK("https://cao.dolgi.msk.ru/account/1011485183/", 1011485183)</f>
        <v>1011485183</v>
      </c>
      <c r="D23425">
        <v>478.67</v>
      </c>
    </row>
    <row r="23426" spans="1:4" hidden="1" x14ac:dyDescent="0.3">
      <c r="A23426" t="s">
        <v>1238</v>
      </c>
      <c r="B23426" t="s">
        <v>27</v>
      </c>
      <c r="C23426" s="1">
        <f>HYPERLINK("https://cao.dolgi.msk.ru/account/1011485052/", 1011485052)</f>
        <v>1011485052</v>
      </c>
      <c r="D23426">
        <v>0</v>
      </c>
    </row>
    <row r="23427" spans="1:4" hidden="1" x14ac:dyDescent="0.3">
      <c r="A23427" t="s">
        <v>1238</v>
      </c>
      <c r="B23427" t="s">
        <v>29</v>
      </c>
      <c r="C23427" s="1">
        <f>HYPERLINK("https://cao.dolgi.msk.ru/account/1011485079/", 1011485079)</f>
        <v>1011485079</v>
      </c>
      <c r="D23427">
        <v>0</v>
      </c>
    </row>
    <row r="23428" spans="1:4" hidden="1" x14ac:dyDescent="0.3">
      <c r="A23428" t="s">
        <v>1238</v>
      </c>
      <c r="B23428" t="s">
        <v>38</v>
      </c>
      <c r="C23428" s="1">
        <f>HYPERLINK("https://cao.dolgi.msk.ru/account/1011485239/", 1011485239)</f>
        <v>1011485239</v>
      </c>
      <c r="D23428">
        <v>0</v>
      </c>
    </row>
    <row r="23429" spans="1:4" hidden="1" x14ac:dyDescent="0.3">
      <c r="A23429" t="s">
        <v>1238</v>
      </c>
      <c r="B23429" t="s">
        <v>39</v>
      </c>
      <c r="C23429" s="1">
        <f>HYPERLINK("https://cao.dolgi.msk.ru/account/1011485191/", 1011485191)</f>
        <v>1011485191</v>
      </c>
      <c r="D23429">
        <v>0</v>
      </c>
    </row>
    <row r="23430" spans="1:4" hidden="1" x14ac:dyDescent="0.3">
      <c r="A23430" t="s">
        <v>1238</v>
      </c>
      <c r="B23430" t="s">
        <v>40</v>
      </c>
      <c r="C23430" s="1">
        <f>HYPERLINK("https://cao.dolgi.msk.ru/account/1011485108/", 1011485108)</f>
        <v>1011485108</v>
      </c>
      <c r="D23430">
        <v>0</v>
      </c>
    </row>
    <row r="23431" spans="1:4" x14ac:dyDescent="0.3">
      <c r="A23431" t="s">
        <v>1238</v>
      </c>
      <c r="B23431" t="s">
        <v>41</v>
      </c>
      <c r="C23431" s="1">
        <f>HYPERLINK("https://cao.dolgi.msk.ru/account/1011485247/", 1011485247)</f>
        <v>1011485247</v>
      </c>
      <c r="D23431">
        <v>10955.75</v>
      </c>
    </row>
    <row r="23432" spans="1:4" hidden="1" x14ac:dyDescent="0.3">
      <c r="A23432" t="s">
        <v>1240</v>
      </c>
      <c r="B23432" t="s">
        <v>12</v>
      </c>
      <c r="C23432" s="1">
        <f>HYPERLINK("https://cao.dolgi.msk.ru/account/1011378126/", 1011378126)</f>
        <v>1011378126</v>
      </c>
      <c r="D23432">
        <v>0</v>
      </c>
    </row>
    <row r="23433" spans="1:4" hidden="1" x14ac:dyDescent="0.3">
      <c r="A23433" t="s">
        <v>1240</v>
      </c>
      <c r="B23433" t="s">
        <v>23</v>
      </c>
      <c r="C23433" s="1">
        <f>HYPERLINK("https://cao.dolgi.msk.ru/account/1011378134/", 1011378134)</f>
        <v>1011378134</v>
      </c>
      <c r="D23433">
        <v>-54999.39</v>
      </c>
    </row>
    <row r="23434" spans="1:4" hidden="1" x14ac:dyDescent="0.3">
      <c r="A23434" t="s">
        <v>1240</v>
      </c>
      <c r="B23434" t="s">
        <v>13</v>
      </c>
      <c r="C23434" s="1">
        <f>HYPERLINK("https://cao.dolgi.msk.ru/account/1011378142/", 1011378142)</f>
        <v>1011378142</v>
      </c>
      <c r="D23434">
        <v>0</v>
      </c>
    </row>
    <row r="23435" spans="1:4" x14ac:dyDescent="0.3">
      <c r="A23435" t="s">
        <v>1240</v>
      </c>
      <c r="B23435" t="s">
        <v>14</v>
      </c>
      <c r="C23435" s="1">
        <f>HYPERLINK("https://cao.dolgi.msk.ru/account/1011378097/", 1011378097)</f>
        <v>1011378097</v>
      </c>
      <c r="D23435">
        <v>26630.05</v>
      </c>
    </row>
    <row r="23436" spans="1:4" x14ac:dyDescent="0.3">
      <c r="A23436" t="s">
        <v>1240</v>
      </c>
      <c r="B23436" t="s">
        <v>16</v>
      </c>
      <c r="C23436" s="1">
        <f>HYPERLINK("https://cao.dolgi.msk.ru/account/1011378169/", 1011378169)</f>
        <v>1011378169</v>
      </c>
      <c r="D23436">
        <v>6258.63</v>
      </c>
    </row>
    <row r="23437" spans="1:4" hidden="1" x14ac:dyDescent="0.3">
      <c r="A23437" t="s">
        <v>1240</v>
      </c>
      <c r="B23437" t="s">
        <v>17</v>
      </c>
      <c r="C23437" s="1">
        <f>HYPERLINK("https://cao.dolgi.msk.ru/account/1011378177/", 1011378177)</f>
        <v>1011378177</v>
      </c>
      <c r="D23437">
        <v>0</v>
      </c>
    </row>
    <row r="23438" spans="1:4" hidden="1" x14ac:dyDescent="0.3">
      <c r="A23438" t="s">
        <v>1240</v>
      </c>
      <c r="B23438" t="s">
        <v>18</v>
      </c>
      <c r="C23438" s="1">
        <f>HYPERLINK("https://cao.dolgi.msk.ru/account/1011378118/", 1011378118)</f>
        <v>1011378118</v>
      </c>
      <c r="D23438">
        <v>-248.76</v>
      </c>
    </row>
    <row r="23439" spans="1:4" hidden="1" x14ac:dyDescent="0.3">
      <c r="A23439" t="s">
        <v>1241</v>
      </c>
      <c r="B23439" t="s">
        <v>8</v>
      </c>
      <c r="C23439" s="1">
        <f>HYPERLINK("https://cao.dolgi.msk.ru/account/1011485271/", 1011485271)</f>
        <v>1011485271</v>
      </c>
      <c r="D23439">
        <v>-14756.01</v>
      </c>
    </row>
    <row r="23440" spans="1:4" hidden="1" x14ac:dyDescent="0.3">
      <c r="A23440" t="s">
        <v>1241</v>
      </c>
      <c r="B23440" t="s">
        <v>31</v>
      </c>
      <c r="C23440" s="1">
        <f>HYPERLINK("https://cao.dolgi.msk.ru/account/1011485263/", 1011485263)</f>
        <v>1011485263</v>
      </c>
      <c r="D23440">
        <v>-20877.62</v>
      </c>
    </row>
    <row r="23441" spans="1:4" hidden="1" x14ac:dyDescent="0.3">
      <c r="A23441" t="s">
        <v>1241</v>
      </c>
      <c r="B23441" t="s">
        <v>9</v>
      </c>
      <c r="C23441" s="1">
        <f>HYPERLINK("https://cao.dolgi.msk.ru/account/1011485298/", 1011485298)</f>
        <v>1011485298</v>
      </c>
      <c r="D23441">
        <v>-9697.68</v>
      </c>
    </row>
    <row r="23442" spans="1:4" hidden="1" x14ac:dyDescent="0.3">
      <c r="A23442" t="s">
        <v>1241</v>
      </c>
      <c r="B23442" t="s">
        <v>10</v>
      </c>
      <c r="C23442" s="1">
        <f>HYPERLINK("https://cao.dolgi.msk.ru/account/1011485255/", 1011485255)</f>
        <v>1011485255</v>
      </c>
      <c r="D23442">
        <v>0</v>
      </c>
    </row>
    <row r="23443" spans="1:4" hidden="1" x14ac:dyDescent="0.3">
      <c r="A23443" t="s">
        <v>1242</v>
      </c>
      <c r="B23443" t="s">
        <v>20</v>
      </c>
      <c r="C23443" s="1">
        <f>HYPERLINK("https://cao.dolgi.msk.ru/account/1011450044/", 1011450044)</f>
        <v>1011450044</v>
      </c>
      <c r="D23443">
        <v>0</v>
      </c>
    </row>
    <row r="23444" spans="1:4" hidden="1" x14ac:dyDescent="0.3">
      <c r="A23444" t="s">
        <v>1242</v>
      </c>
      <c r="B23444" t="s">
        <v>21</v>
      </c>
      <c r="C23444" s="1">
        <f>HYPERLINK("https://cao.dolgi.msk.ru/account/1011449975/", 1011449975)</f>
        <v>1011449975</v>
      </c>
      <c r="D23444">
        <v>-15712.33</v>
      </c>
    </row>
    <row r="23445" spans="1:4" x14ac:dyDescent="0.3">
      <c r="A23445" t="s">
        <v>1242</v>
      </c>
      <c r="B23445" t="s">
        <v>22</v>
      </c>
      <c r="C23445" s="1">
        <f>HYPERLINK("https://cao.dolgi.msk.ru/account/1011449991/", 1011449991)</f>
        <v>1011449991</v>
      </c>
      <c r="D23445">
        <v>21216.080000000002</v>
      </c>
    </row>
    <row r="23446" spans="1:4" hidden="1" x14ac:dyDescent="0.3">
      <c r="A23446" t="s">
        <v>1242</v>
      </c>
      <c r="B23446" t="s">
        <v>24</v>
      </c>
      <c r="C23446" s="1">
        <f>HYPERLINK("https://cao.dolgi.msk.ru/account/1011449836/", 1011449836)</f>
        <v>1011449836</v>
      </c>
      <c r="D23446">
        <v>-15171.84</v>
      </c>
    </row>
    <row r="23447" spans="1:4" hidden="1" x14ac:dyDescent="0.3">
      <c r="A23447" t="s">
        <v>1242</v>
      </c>
      <c r="B23447" t="s">
        <v>25</v>
      </c>
      <c r="C23447" s="1">
        <f>HYPERLINK("https://cao.dolgi.msk.ru/account/1011449844/", 1011449844)</f>
        <v>1011449844</v>
      </c>
      <c r="D23447">
        <v>-13028.47</v>
      </c>
    </row>
    <row r="23448" spans="1:4" x14ac:dyDescent="0.3">
      <c r="A23448" t="s">
        <v>1242</v>
      </c>
      <c r="B23448" t="s">
        <v>26</v>
      </c>
      <c r="C23448" s="1">
        <f>HYPERLINK("https://cao.dolgi.msk.ru/account/1011450079/", 1011450079)</f>
        <v>1011450079</v>
      </c>
      <c r="D23448">
        <v>20806.43</v>
      </c>
    </row>
    <row r="23449" spans="1:4" hidden="1" x14ac:dyDescent="0.3">
      <c r="A23449" t="s">
        <v>1242</v>
      </c>
      <c r="B23449" t="s">
        <v>585</v>
      </c>
      <c r="C23449" s="1">
        <f>HYPERLINK("https://cao.dolgi.msk.ru/account/1011449959/", 1011449959)</f>
        <v>1011449959</v>
      </c>
      <c r="D23449">
        <v>0</v>
      </c>
    </row>
    <row r="23450" spans="1:4" hidden="1" x14ac:dyDescent="0.3">
      <c r="A23450" t="s">
        <v>1242</v>
      </c>
      <c r="B23450" t="s">
        <v>27</v>
      </c>
      <c r="C23450" s="1">
        <f>HYPERLINK("https://cao.dolgi.msk.ru/account/1011449641/", 1011449641)</f>
        <v>1011449641</v>
      </c>
      <c r="D23450">
        <v>-67.150000000000006</v>
      </c>
    </row>
    <row r="23451" spans="1:4" x14ac:dyDescent="0.3">
      <c r="A23451" t="s">
        <v>1242</v>
      </c>
      <c r="B23451" t="s">
        <v>27</v>
      </c>
      <c r="C23451" s="1">
        <f>HYPERLINK("https://cao.dolgi.msk.ru/account/1011449721/", 1011449721)</f>
        <v>1011449721</v>
      </c>
      <c r="D23451">
        <v>14286.49</v>
      </c>
    </row>
    <row r="23452" spans="1:4" hidden="1" x14ac:dyDescent="0.3">
      <c r="A23452" t="s">
        <v>1242</v>
      </c>
      <c r="B23452" t="s">
        <v>40</v>
      </c>
      <c r="C23452" s="1">
        <f>HYPERLINK("https://cao.dolgi.msk.ru/account/1011449684/", 1011449684)</f>
        <v>1011449684</v>
      </c>
      <c r="D23452">
        <v>-3215.67</v>
      </c>
    </row>
    <row r="23453" spans="1:4" hidden="1" x14ac:dyDescent="0.3">
      <c r="A23453" t="s">
        <v>1242</v>
      </c>
      <c r="B23453" t="s">
        <v>40</v>
      </c>
      <c r="C23453" s="1">
        <f>HYPERLINK("https://cao.dolgi.msk.ru/account/1011449713/", 1011449713)</f>
        <v>1011449713</v>
      </c>
      <c r="D23453">
        <v>-2307.71</v>
      </c>
    </row>
    <row r="23454" spans="1:4" hidden="1" x14ac:dyDescent="0.3">
      <c r="A23454" t="s">
        <v>1242</v>
      </c>
      <c r="B23454" t="s">
        <v>40</v>
      </c>
      <c r="C23454" s="1">
        <f>HYPERLINK("https://cao.dolgi.msk.ru/account/1011449879/", 1011449879)</f>
        <v>1011449879</v>
      </c>
      <c r="D23454">
        <v>-129.9</v>
      </c>
    </row>
    <row r="23455" spans="1:4" hidden="1" x14ac:dyDescent="0.3">
      <c r="A23455" t="s">
        <v>1242</v>
      </c>
      <c r="B23455" t="s">
        <v>40</v>
      </c>
      <c r="C23455" s="1">
        <f>HYPERLINK("https://cao.dolgi.msk.ru/account/1011449924/", 1011449924)</f>
        <v>1011449924</v>
      </c>
      <c r="D23455">
        <v>-6904.42</v>
      </c>
    </row>
    <row r="23456" spans="1:4" hidden="1" x14ac:dyDescent="0.3">
      <c r="A23456" t="s">
        <v>1242</v>
      </c>
      <c r="B23456" t="s">
        <v>41</v>
      </c>
      <c r="C23456" s="1">
        <f>HYPERLINK("https://cao.dolgi.msk.ru/account/1011542475/", 1011542475)</f>
        <v>1011542475</v>
      </c>
      <c r="D23456">
        <v>0</v>
      </c>
    </row>
    <row r="23457" spans="1:4" hidden="1" x14ac:dyDescent="0.3">
      <c r="A23457" t="s">
        <v>1242</v>
      </c>
      <c r="B23457" t="s">
        <v>51</v>
      </c>
      <c r="C23457" s="1">
        <f>HYPERLINK("https://cao.dolgi.msk.ru/account/1011449764/", 1011449764)</f>
        <v>1011449764</v>
      </c>
      <c r="D23457">
        <v>0</v>
      </c>
    </row>
    <row r="23458" spans="1:4" hidden="1" x14ac:dyDescent="0.3">
      <c r="A23458" t="s">
        <v>1242</v>
      </c>
      <c r="B23458" t="s">
        <v>52</v>
      </c>
      <c r="C23458" s="1">
        <f>HYPERLINK("https://cao.dolgi.msk.ru/account/1011449887/", 1011449887)</f>
        <v>1011449887</v>
      </c>
      <c r="D23458">
        <v>-16887.47</v>
      </c>
    </row>
    <row r="23459" spans="1:4" x14ac:dyDescent="0.3">
      <c r="A23459" t="s">
        <v>1242</v>
      </c>
      <c r="B23459" t="s">
        <v>53</v>
      </c>
      <c r="C23459" s="1">
        <f>HYPERLINK("https://cao.dolgi.msk.ru/account/1011449983/", 1011449983)</f>
        <v>1011449983</v>
      </c>
      <c r="D23459">
        <v>12049.8</v>
      </c>
    </row>
    <row r="23460" spans="1:4" hidden="1" x14ac:dyDescent="0.3">
      <c r="A23460" t="s">
        <v>1242</v>
      </c>
      <c r="B23460" t="s">
        <v>54</v>
      </c>
      <c r="C23460" s="1">
        <f>HYPERLINK("https://cao.dolgi.msk.ru/account/1011450052/", 1011450052)</f>
        <v>1011450052</v>
      </c>
      <c r="D23460">
        <v>0</v>
      </c>
    </row>
    <row r="23461" spans="1:4" hidden="1" x14ac:dyDescent="0.3">
      <c r="A23461" t="s">
        <v>1242</v>
      </c>
      <c r="B23461" t="s">
        <v>55</v>
      </c>
      <c r="C23461" s="1">
        <f>HYPERLINK("https://cao.dolgi.msk.ru/account/1011449772/", 1011449772)</f>
        <v>1011449772</v>
      </c>
      <c r="D23461">
        <v>0</v>
      </c>
    </row>
    <row r="23462" spans="1:4" hidden="1" x14ac:dyDescent="0.3">
      <c r="A23462" t="s">
        <v>1242</v>
      </c>
      <c r="B23462" t="s">
        <v>69</v>
      </c>
      <c r="C23462" s="1">
        <f>HYPERLINK("https://cao.dolgi.msk.ru/account/1011449609/", 1011449609)</f>
        <v>1011449609</v>
      </c>
      <c r="D23462">
        <v>-1409.81</v>
      </c>
    </row>
    <row r="23463" spans="1:4" hidden="1" x14ac:dyDescent="0.3">
      <c r="A23463" t="s">
        <v>1242</v>
      </c>
      <c r="B23463" t="s">
        <v>70</v>
      </c>
      <c r="C23463" s="1">
        <f>HYPERLINK("https://cao.dolgi.msk.ru/account/1011449828/", 1011449828)</f>
        <v>1011449828</v>
      </c>
      <c r="D23463">
        <v>-6022.89</v>
      </c>
    </row>
    <row r="23464" spans="1:4" hidden="1" x14ac:dyDescent="0.3">
      <c r="A23464" t="s">
        <v>1242</v>
      </c>
      <c r="B23464" t="s">
        <v>259</v>
      </c>
      <c r="C23464" s="1">
        <f>HYPERLINK("https://cao.dolgi.msk.ru/account/1011449895/", 1011449895)</f>
        <v>1011449895</v>
      </c>
      <c r="D23464">
        <v>0</v>
      </c>
    </row>
    <row r="23465" spans="1:4" hidden="1" x14ac:dyDescent="0.3">
      <c r="A23465" t="s">
        <v>1242</v>
      </c>
      <c r="B23465" t="s">
        <v>100</v>
      </c>
      <c r="C23465" s="1">
        <f>HYPERLINK("https://cao.dolgi.msk.ru/account/1011449852/", 1011449852)</f>
        <v>1011449852</v>
      </c>
      <c r="D23465">
        <v>0</v>
      </c>
    </row>
    <row r="23466" spans="1:4" hidden="1" x14ac:dyDescent="0.3">
      <c r="A23466" t="s">
        <v>1242</v>
      </c>
      <c r="B23466" t="s">
        <v>72</v>
      </c>
      <c r="C23466" s="1">
        <f>HYPERLINK("https://cao.dolgi.msk.ru/account/1011449596/", 1011449596)</f>
        <v>1011449596</v>
      </c>
      <c r="D23466">
        <v>0</v>
      </c>
    </row>
    <row r="23467" spans="1:4" hidden="1" x14ac:dyDescent="0.3">
      <c r="A23467" t="s">
        <v>1242</v>
      </c>
      <c r="B23467" t="s">
        <v>73</v>
      </c>
      <c r="C23467" s="1">
        <f>HYPERLINK("https://cao.dolgi.msk.ru/account/1011449756/", 1011449756)</f>
        <v>1011449756</v>
      </c>
      <c r="D23467">
        <v>0</v>
      </c>
    </row>
    <row r="23468" spans="1:4" hidden="1" x14ac:dyDescent="0.3">
      <c r="A23468" t="s">
        <v>1242</v>
      </c>
      <c r="B23468" t="s">
        <v>74</v>
      </c>
      <c r="C23468" s="1">
        <f>HYPERLINK("https://cao.dolgi.msk.ru/account/1011449967/", 1011449967)</f>
        <v>1011449967</v>
      </c>
      <c r="D23468">
        <v>-287.38</v>
      </c>
    </row>
    <row r="23469" spans="1:4" hidden="1" x14ac:dyDescent="0.3">
      <c r="A23469" t="s">
        <v>1242</v>
      </c>
      <c r="B23469" t="s">
        <v>75</v>
      </c>
      <c r="C23469" s="1">
        <f>HYPERLINK("https://cao.dolgi.msk.ru/account/1011449668/", 1011449668)</f>
        <v>1011449668</v>
      </c>
      <c r="D23469">
        <v>-7943.47</v>
      </c>
    </row>
    <row r="23470" spans="1:4" x14ac:dyDescent="0.3">
      <c r="A23470" t="s">
        <v>1242</v>
      </c>
      <c r="B23470" t="s">
        <v>76</v>
      </c>
      <c r="C23470" s="1">
        <f>HYPERLINK("https://cao.dolgi.msk.ru/account/1011450028/", 1011450028)</f>
        <v>1011450028</v>
      </c>
      <c r="D23470">
        <v>4201.49</v>
      </c>
    </row>
    <row r="23471" spans="1:4" hidden="1" x14ac:dyDescent="0.3">
      <c r="A23471" t="s">
        <v>1242</v>
      </c>
      <c r="B23471" t="s">
        <v>77</v>
      </c>
      <c r="C23471" s="1">
        <f>HYPERLINK("https://cao.dolgi.msk.ru/account/1011449617/", 1011449617)</f>
        <v>1011449617</v>
      </c>
      <c r="D23471">
        <v>0</v>
      </c>
    </row>
    <row r="23472" spans="1:4" x14ac:dyDescent="0.3">
      <c r="A23472" t="s">
        <v>1242</v>
      </c>
      <c r="B23472" t="s">
        <v>78</v>
      </c>
      <c r="C23472" s="1">
        <f>HYPERLINK("https://cao.dolgi.msk.ru/account/1011449916/", 1011449916)</f>
        <v>1011449916</v>
      </c>
      <c r="D23472">
        <v>16045.7</v>
      </c>
    </row>
    <row r="23473" spans="1:4" hidden="1" x14ac:dyDescent="0.3">
      <c r="A23473" t="s">
        <v>1242</v>
      </c>
      <c r="B23473" t="s">
        <v>79</v>
      </c>
      <c r="C23473" s="1">
        <f>HYPERLINK("https://cao.dolgi.msk.ru/account/1011449692/", 1011449692)</f>
        <v>1011449692</v>
      </c>
      <c r="D23473">
        <v>-6992.25</v>
      </c>
    </row>
    <row r="23474" spans="1:4" x14ac:dyDescent="0.3">
      <c r="A23474" t="s">
        <v>1242</v>
      </c>
      <c r="B23474" t="s">
        <v>80</v>
      </c>
      <c r="C23474" s="1">
        <f>HYPERLINK("https://cao.dolgi.msk.ru/account/1011449801/", 1011449801)</f>
        <v>1011449801</v>
      </c>
      <c r="D23474">
        <v>12687.79</v>
      </c>
    </row>
    <row r="23475" spans="1:4" x14ac:dyDescent="0.3">
      <c r="A23475" t="s">
        <v>1242</v>
      </c>
      <c r="B23475" t="s">
        <v>81</v>
      </c>
      <c r="C23475" s="1">
        <f>HYPERLINK("https://cao.dolgi.msk.ru/account/1011449625/", 1011449625)</f>
        <v>1011449625</v>
      </c>
      <c r="D23475">
        <v>7748.09</v>
      </c>
    </row>
    <row r="23476" spans="1:4" x14ac:dyDescent="0.3">
      <c r="A23476" t="s">
        <v>1242</v>
      </c>
      <c r="B23476" t="s">
        <v>101</v>
      </c>
      <c r="C23476" s="1">
        <f>HYPERLINK("https://cao.dolgi.msk.ru/account/1011449705/", 1011449705)</f>
        <v>1011449705</v>
      </c>
      <c r="D23476">
        <v>92611.62</v>
      </c>
    </row>
    <row r="23477" spans="1:4" hidden="1" x14ac:dyDescent="0.3">
      <c r="A23477" t="s">
        <v>1242</v>
      </c>
      <c r="B23477" t="s">
        <v>82</v>
      </c>
      <c r="C23477" s="1">
        <f>HYPERLINK("https://cao.dolgi.msk.ru/account/1011449633/", 1011449633)</f>
        <v>1011449633</v>
      </c>
      <c r="D23477">
        <v>-957.56</v>
      </c>
    </row>
    <row r="23478" spans="1:4" x14ac:dyDescent="0.3">
      <c r="A23478" t="s">
        <v>1242</v>
      </c>
      <c r="B23478" t="s">
        <v>83</v>
      </c>
      <c r="C23478" s="1">
        <f>HYPERLINK("https://cao.dolgi.msk.ru/account/1011450036/", 1011450036)</f>
        <v>1011450036</v>
      </c>
      <c r="D23478">
        <v>17831.88</v>
      </c>
    </row>
    <row r="23479" spans="1:4" hidden="1" x14ac:dyDescent="0.3">
      <c r="A23479" t="s">
        <v>1242</v>
      </c>
      <c r="B23479" t="s">
        <v>84</v>
      </c>
      <c r="C23479" s="1">
        <f>HYPERLINK("https://cao.dolgi.msk.ru/account/1011449799/", 1011449799)</f>
        <v>1011449799</v>
      </c>
      <c r="D23479">
        <v>0</v>
      </c>
    </row>
    <row r="23480" spans="1:4" x14ac:dyDescent="0.3">
      <c r="A23480" t="s">
        <v>1243</v>
      </c>
      <c r="B23480" t="s">
        <v>28</v>
      </c>
      <c r="C23480" s="1">
        <f>HYPERLINK("https://cao.dolgi.msk.ru/account/1011485327/", 1011485327)</f>
        <v>1011485327</v>
      </c>
      <c r="D23480">
        <v>20316.189999999999</v>
      </c>
    </row>
    <row r="23481" spans="1:4" x14ac:dyDescent="0.3">
      <c r="A23481" t="s">
        <v>1243</v>
      </c>
      <c r="B23481" t="s">
        <v>35</v>
      </c>
      <c r="C23481" s="1">
        <f>HYPERLINK("https://cao.dolgi.msk.ru/account/1011485335/", 1011485335)</f>
        <v>1011485335</v>
      </c>
      <c r="D23481">
        <v>13967.99</v>
      </c>
    </row>
    <row r="23482" spans="1:4" x14ac:dyDescent="0.3">
      <c r="A23482" t="s">
        <v>1243</v>
      </c>
      <c r="B23482" t="s">
        <v>35</v>
      </c>
      <c r="C23482" s="1">
        <f>HYPERLINK("https://cao.dolgi.msk.ru/account/1011485378/", 1011485378)</f>
        <v>1011485378</v>
      </c>
      <c r="D23482">
        <v>215219.52</v>
      </c>
    </row>
    <row r="23483" spans="1:4" hidden="1" x14ac:dyDescent="0.3">
      <c r="A23483" t="s">
        <v>1243</v>
      </c>
      <c r="B23483" t="s">
        <v>35</v>
      </c>
      <c r="C23483" s="1">
        <f>HYPERLINK("https://cao.dolgi.msk.ru/account/1011485407/", 1011485407)</f>
        <v>1011485407</v>
      </c>
      <c r="D23483">
        <v>0</v>
      </c>
    </row>
    <row r="23484" spans="1:4" hidden="1" x14ac:dyDescent="0.3">
      <c r="A23484" t="s">
        <v>1243</v>
      </c>
      <c r="B23484" t="s">
        <v>35</v>
      </c>
      <c r="C23484" s="1">
        <f>HYPERLINK("https://cao.dolgi.msk.ru/account/1011533894/", 1011533894)</f>
        <v>1011533894</v>
      </c>
      <c r="D23484">
        <v>-4556.34</v>
      </c>
    </row>
    <row r="23485" spans="1:4" x14ac:dyDescent="0.3">
      <c r="A23485" t="s">
        <v>1243</v>
      </c>
      <c r="B23485" t="s">
        <v>740</v>
      </c>
      <c r="C23485" s="1">
        <f>HYPERLINK("https://cao.dolgi.msk.ru/account/1011485319/", 1011485319)</f>
        <v>1011485319</v>
      </c>
      <c r="D23485">
        <v>9510.0499999999993</v>
      </c>
    </row>
    <row r="23486" spans="1:4" hidden="1" x14ac:dyDescent="0.3">
      <c r="A23486" t="s">
        <v>1243</v>
      </c>
      <c r="B23486" t="s">
        <v>740</v>
      </c>
      <c r="C23486" s="1">
        <f>HYPERLINK("https://cao.dolgi.msk.ru/account/1011485351/", 1011485351)</f>
        <v>1011485351</v>
      </c>
      <c r="D23486">
        <v>-162.46</v>
      </c>
    </row>
    <row r="23487" spans="1:4" hidden="1" x14ac:dyDescent="0.3">
      <c r="A23487" t="s">
        <v>1243</v>
      </c>
      <c r="B23487" t="s">
        <v>740</v>
      </c>
      <c r="C23487" s="1">
        <f>HYPERLINK("https://cao.dolgi.msk.ru/account/1011485386/", 1011485386)</f>
        <v>1011485386</v>
      </c>
      <c r="D23487">
        <v>-5876.55</v>
      </c>
    </row>
    <row r="23488" spans="1:4" hidden="1" x14ac:dyDescent="0.3">
      <c r="A23488" t="s">
        <v>1243</v>
      </c>
      <c r="B23488" t="s">
        <v>740</v>
      </c>
      <c r="C23488" s="1">
        <f>HYPERLINK("https://cao.dolgi.msk.ru/account/1011485394/", 1011485394)</f>
        <v>1011485394</v>
      </c>
      <c r="D23488">
        <v>-8972.67</v>
      </c>
    </row>
    <row r="23489" spans="1:4" x14ac:dyDescent="0.3">
      <c r="A23489" t="s">
        <v>1244</v>
      </c>
      <c r="B23489" t="s">
        <v>7</v>
      </c>
      <c r="C23489" s="1">
        <f>HYPERLINK("https://cao.dolgi.msk.ru/account/1011503839/", 1011503839)</f>
        <v>1011503839</v>
      </c>
      <c r="D23489">
        <v>69920.78</v>
      </c>
    </row>
    <row r="23490" spans="1:4" x14ac:dyDescent="0.3">
      <c r="A23490" t="s">
        <v>1244</v>
      </c>
      <c r="B23490" t="s">
        <v>8</v>
      </c>
      <c r="C23490" s="1">
        <f>HYPERLINK("https://cao.dolgi.msk.ru/account/1011503783/", 1011503783)</f>
        <v>1011503783</v>
      </c>
      <c r="D23490">
        <v>111625.43</v>
      </c>
    </row>
    <row r="23491" spans="1:4" hidden="1" x14ac:dyDescent="0.3">
      <c r="A23491" t="s">
        <v>1244</v>
      </c>
      <c r="B23491" t="s">
        <v>10</v>
      </c>
      <c r="C23491" s="1">
        <f>HYPERLINK("https://cao.dolgi.msk.ru/account/1011503943/", 1011503943)</f>
        <v>1011503943</v>
      </c>
      <c r="D23491">
        <v>0</v>
      </c>
    </row>
    <row r="23492" spans="1:4" x14ac:dyDescent="0.3">
      <c r="A23492" t="s">
        <v>1244</v>
      </c>
      <c r="B23492" t="s">
        <v>11</v>
      </c>
      <c r="C23492" s="1">
        <f>HYPERLINK("https://cao.dolgi.msk.ru/account/1011504006/", 1011504006)</f>
        <v>1011504006</v>
      </c>
      <c r="D23492">
        <v>24684.66</v>
      </c>
    </row>
    <row r="23493" spans="1:4" x14ac:dyDescent="0.3">
      <c r="A23493" t="s">
        <v>1244</v>
      </c>
      <c r="B23493" t="s">
        <v>12</v>
      </c>
      <c r="C23493" s="1">
        <f>HYPERLINK("https://cao.dolgi.msk.ru/account/1011503791/", 1011503791)</f>
        <v>1011503791</v>
      </c>
      <c r="D23493">
        <v>11228.25</v>
      </c>
    </row>
    <row r="23494" spans="1:4" hidden="1" x14ac:dyDescent="0.3">
      <c r="A23494" t="s">
        <v>1244</v>
      </c>
      <c r="B23494" t="s">
        <v>23</v>
      </c>
      <c r="C23494" s="1">
        <f>HYPERLINK("https://cao.dolgi.msk.ru/account/1011503804/", 1011503804)</f>
        <v>1011503804</v>
      </c>
      <c r="D23494">
        <v>0</v>
      </c>
    </row>
    <row r="23495" spans="1:4" hidden="1" x14ac:dyDescent="0.3">
      <c r="A23495" t="s">
        <v>1244</v>
      </c>
      <c r="B23495" t="s">
        <v>13</v>
      </c>
      <c r="C23495" s="1">
        <f>HYPERLINK("https://cao.dolgi.msk.ru/account/1011503951/", 1011503951)</f>
        <v>1011503951</v>
      </c>
      <c r="D23495">
        <v>0</v>
      </c>
    </row>
    <row r="23496" spans="1:4" hidden="1" x14ac:dyDescent="0.3">
      <c r="A23496" t="s">
        <v>1244</v>
      </c>
      <c r="B23496" t="s">
        <v>14</v>
      </c>
      <c r="C23496" s="1">
        <f>HYPERLINK("https://cao.dolgi.msk.ru/account/1011504014/", 1011504014)</f>
        <v>1011504014</v>
      </c>
      <c r="D23496">
        <v>-13242.1</v>
      </c>
    </row>
    <row r="23497" spans="1:4" hidden="1" x14ac:dyDescent="0.3">
      <c r="A23497" t="s">
        <v>1244</v>
      </c>
      <c r="B23497" t="s">
        <v>16</v>
      </c>
      <c r="C23497" s="1">
        <f>HYPERLINK("https://cao.dolgi.msk.ru/account/1011503871/", 1011503871)</f>
        <v>1011503871</v>
      </c>
      <c r="D23497">
        <v>0</v>
      </c>
    </row>
    <row r="23498" spans="1:4" hidden="1" x14ac:dyDescent="0.3">
      <c r="A23498" t="s">
        <v>1244</v>
      </c>
      <c r="B23498" t="s">
        <v>17</v>
      </c>
      <c r="C23498" s="1">
        <f>HYPERLINK("https://cao.dolgi.msk.ru/account/1011503767/", 1011503767)</f>
        <v>1011503767</v>
      </c>
      <c r="D23498">
        <v>0</v>
      </c>
    </row>
    <row r="23499" spans="1:4" hidden="1" x14ac:dyDescent="0.3">
      <c r="A23499" t="s">
        <v>1244</v>
      </c>
      <c r="B23499" t="s">
        <v>18</v>
      </c>
      <c r="C23499" s="1">
        <f>HYPERLINK("https://cao.dolgi.msk.ru/account/1011503978/", 1011503978)</f>
        <v>1011503978</v>
      </c>
      <c r="D23499">
        <v>-27.85</v>
      </c>
    </row>
    <row r="23500" spans="1:4" hidden="1" x14ac:dyDescent="0.3">
      <c r="A23500" t="s">
        <v>1244</v>
      </c>
      <c r="B23500" t="s">
        <v>19</v>
      </c>
      <c r="C23500" s="1">
        <f>HYPERLINK("https://cao.dolgi.msk.ru/account/1011503847/", 1011503847)</f>
        <v>1011503847</v>
      </c>
      <c r="D23500">
        <v>-363.71</v>
      </c>
    </row>
    <row r="23501" spans="1:4" x14ac:dyDescent="0.3">
      <c r="A23501" t="s">
        <v>1244</v>
      </c>
      <c r="B23501" t="s">
        <v>20</v>
      </c>
      <c r="C23501" s="1">
        <f>HYPERLINK("https://cao.dolgi.msk.ru/account/1011503935/", 1011503935)</f>
        <v>1011503935</v>
      </c>
      <c r="D23501">
        <v>81277.67</v>
      </c>
    </row>
    <row r="23502" spans="1:4" hidden="1" x14ac:dyDescent="0.3">
      <c r="A23502" t="s">
        <v>1244</v>
      </c>
      <c r="B23502" t="s">
        <v>21</v>
      </c>
      <c r="C23502" s="1">
        <f>HYPERLINK("https://cao.dolgi.msk.ru/account/1011503898/", 1011503898)</f>
        <v>1011503898</v>
      </c>
      <c r="D23502">
        <v>-635.07000000000005</v>
      </c>
    </row>
    <row r="23503" spans="1:4" x14ac:dyDescent="0.3">
      <c r="A23503" t="s">
        <v>1244</v>
      </c>
      <c r="B23503" t="s">
        <v>22</v>
      </c>
      <c r="C23503" s="1">
        <f>HYPERLINK("https://cao.dolgi.msk.ru/account/1011503919/", 1011503919)</f>
        <v>1011503919</v>
      </c>
      <c r="D23503">
        <v>15436.02</v>
      </c>
    </row>
    <row r="23504" spans="1:4" hidden="1" x14ac:dyDescent="0.3">
      <c r="A23504" t="s">
        <v>1244</v>
      </c>
      <c r="B23504" t="s">
        <v>24</v>
      </c>
      <c r="C23504" s="1">
        <f>HYPERLINK("https://cao.dolgi.msk.ru/account/1011503855/", 1011503855)</f>
        <v>1011503855</v>
      </c>
      <c r="D23504">
        <v>-1719.7</v>
      </c>
    </row>
    <row r="23505" spans="1:4" hidden="1" x14ac:dyDescent="0.3">
      <c r="A23505" t="s">
        <v>1244</v>
      </c>
      <c r="B23505" t="s">
        <v>25</v>
      </c>
      <c r="C23505" s="1">
        <f>HYPERLINK("https://cao.dolgi.msk.ru/account/1011503927/", 1011503927)</f>
        <v>1011503927</v>
      </c>
      <c r="D23505">
        <v>0</v>
      </c>
    </row>
    <row r="23506" spans="1:4" hidden="1" x14ac:dyDescent="0.3">
      <c r="A23506" t="s">
        <v>1244</v>
      </c>
      <c r="B23506" t="s">
        <v>26</v>
      </c>
      <c r="C23506" s="1">
        <f>HYPERLINK("https://cao.dolgi.msk.ru/account/1011503986/", 1011503986)</f>
        <v>1011503986</v>
      </c>
      <c r="D23506">
        <v>0</v>
      </c>
    </row>
    <row r="23507" spans="1:4" hidden="1" x14ac:dyDescent="0.3">
      <c r="A23507" t="s">
        <v>1244</v>
      </c>
      <c r="B23507" t="s">
        <v>27</v>
      </c>
      <c r="C23507" s="1">
        <f>HYPERLINK("https://cao.dolgi.msk.ru/account/1011503994/", 1011503994)</f>
        <v>1011503994</v>
      </c>
      <c r="D23507">
        <v>0</v>
      </c>
    </row>
    <row r="23508" spans="1:4" hidden="1" x14ac:dyDescent="0.3">
      <c r="A23508" t="s">
        <v>1244</v>
      </c>
      <c r="B23508" t="s">
        <v>586</v>
      </c>
      <c r="C23508" s="1">
        <f>HYPERLINK("https://cao.dolgi.msk.ru/account/1011503863/", 1011503863)</f>
        <v>1011503863</v>
      </c>
      <c r="D23508">
        <v>0</v>
      </c>
    </row>
    <row r="23509" spans="1:4" hidden="1" x14ac:dyDescent="0.3">
      <c r="A23509" t="s">
        <v>1244</v>
      </c>
      <c r="B23509" t="s">
        <v>29</v>
      </c>
      <c r="C23509" s="1">
        <f>HYPERLINK("https://cao.dolgi.msk.ru/account/1011503812/", 1011503812)</f>
        <v>1011503812</v>
      </c>
      <c r="D23509">
        <v>-118617.14</v>
      </c>
    </row>
    <row r="23510" spans="1:4" hidden="1" x14ac:dyDescent="0.3">
      <c r="A23510" t="s">
        <v>1244</v>
      </c>
      <c r="B23510" t="s">
        <v>38</v>
      </c>
      <c r="C23510" s="1">
        <f>HYPERLINK("https://cao.dolgi.msk.ru/account/1011503775/", 1011503775)</f>
        <v>1011503775</v>
      </c>
      <c r="D23510">
        <v>-23.92</v>
      </c>
    </row>
    <row r="23511" spans="1:4" hidden="1" x14ac:dyDescent="0.3">
      <c r="A23511" t="s">
        <v>1244</v>
      </c>
      <c r="B23511" t="s">
        <v>39</v>
      </c>
      <c r="C23511" s="1">
        <f>HYPERLINK("https://cao.dolgi.msk.ru/account/1011504022/", 1011504022)</f>
        <v>1011504022</v>
      </c>
      <c r="D23511">
        <v>0</v>
      </c>
    </row>
    <row r="23512" spans="1:4" hidden="1" x14ac:dyDescent="0.3">
      <c r="A23512" t="s">
        <v>1245</v>
      </c>
      <c r="B23512" t="s">
        <v>28</v>
      </c>
      <c r="C23512" s="1">
        <f>HYPERLINK("https://cao.dolgi.msk.ru/account/1011485554/", 1011485554)</f>
        <v>1011485554</v>
      </c>
      <c r="D23512">
        <v>0</v>
      </c>
    </row>
    <row r="23513" spans="1:4" hidden="1" x14ac:dyDescent="0.3">
      <c r="A23513" t="s">
        <v>1245</v>
      </c>
      <c r="B23513" t="s">
        <v>35</v>
      </c>
      <c r="C23513" s="1">
        <f>HYPERLINK("https://cao.dolgi.msk.ru/account/1011485466/", 1011485466)</f>
        <v>1011485466</v>
      </c>
      <c r="D23513">
        <v>0</v>
      </c>
    </row>
    <row r="23514" spans="1:4" x14ac:dyDescent="0.3">
      <c r="A23514" t="s">
        <v>1245</v>
      </c>
      <c r="B23514" t="s">
        <v>5</v>
      </c>
      <c r="C23514" s="1">
        <f>HYPERLINK("https://cao.dolgi.msk.ru/account/1011485669/", 1011485669)</f>
        <v>1011485669</v>
      </c>
      <c r="D23514">
        <v>40472.300000000003</v>
      </c>
    </row>
    <row r="23515" spans="1:4" hidden="1" x14ac:dyDescent="0.3">
      <c r="A23515" t="s">
        <v>1245</v>
      </c>
      <c r="B23515" t="s">
        <v>7</v>
      </c>
      <c r="C23515" s="1">
        <f>HYPERLINK("https://cao.dolgi.msk.ru/account/1011485677/", 1011485677)</f>
        <v>1011485677</v>
      </c>
      <c r="D23515">
        <v>-23146.53</v>
      </c>
    </row>
    <row r="23516" spans="1:4" hidden="1" x14ac:dyDescent="0.3">
      <c r="A23516" t="s">
        <v>1245</v>
      </c>
      <c r="B23516" t="s">
        <v>8</v>
      </c>
      <c r="C23516" s="1">
        <f>HYPERLINK("https://cao.dolgi.msk.ru/account/1011485562/", 1011485562)</f>
        <v>1011485562</v>
      </c>
      <c r="D23516">
        <v>-5282.85</v>
      </c>
    </row>
    <row r="23517" spans="1:4" hidden="1" x14ac:dyDescent="0.3">
      <c r="A23517" t="s">
        <v>1245</v>
      </c>
      <c r="B23517" t="s">
        <v>31</v>
      </c>
      <c r="C23517" s="1">
        <f>HYPERLINK("https://cao.dolgi.msk.ru/account/1011485482/", 1011485482)</f>
        <v>1011485482</v>
      </c>
      <c r="D23517">
        <v>-29005.05</v>
      </c>
    </row>
    <row r="23518" spans="1:4" hidden="1" x14ac:dyDescent="0.3">
      <c r="A23518" t="s">
        <v>1245</v>
      </c>
      <c r="B23518" t="s">
        <v>10</v>
      </c>
      <c r="C23518" s="1">
        <f>HYPERLINK("https://cao.dolgi.msk.ru/account/1011485626/", 1011485626)</f>
        <v>1011485626</v>
      </c>
      <c r="D23518">
        <v>0</v>
      </c>
    </row>
    <row r="23519" spans="1:4" hidden="1" x14ac:dyDescent="0.3">
      <c r="A23519" t="s">
        <v>1245</v>
      </c>
      <c r="B23519" t="s">
        <v>11</v>
      </c>
      <c r="C23519" s="1">
        <f>HYPERLINK("https://cao.dolgi.msk.ru/account/1011485423/", 1011485423)</f>
        <v>1011485423</v>
      </c>
      <c r="D23519">
        <v>-10743.81</v>
      </c>
    </row>
    <row r="23520" spans="1:4" hidden="1" x14ac:dyDescent="0.3">
      <c r="A23520" t="s">
        <v>1245</v>
      </c>
      <c r="B23520" t="s">
        <v>12</v>
      </c>
      <c r="C23520" s="1">
        <f>HYPERLINK("https://cao.dolgi.msk.ru/account/1011485685/", 1011485685)</f>
        <v>1011485685</v>
      </c>
      <c r="D23520">
        <v>0</v>
      </c>
    </row>
    <row r="23521" spans="1:4" x14ac:dyDescent="0.3">
      <c r="A23521" t="s">
        <v>1245</v>
      </c>
      <c r="B23521" t="s">
        <v>23</v>
      </c>
      <c r="C23521" s="1">
        <f>HYPERLINK("https://cao.dolgi.msk.ru/account/1011485503/", 1011485503)</f>
        <v>1011485503</v>
      </c>
      <c r="D23521">
        <v>5096.29</v>
      </c>
    </row>
    <row r="23522" spans="1:4" hidden="1" x14ac:dyDescent="0.3">
      <c r="A23522" t="s">
        <v>1245</v>
      </c>
      <c r="B23522" t="s">
        <v>13</v>
      </c>
      <c r="C23522" s="1">
        <f>HYPERLINK("https://cao.dolgi.msk.ru/account/1011485589/", 1011485589)</f>
        <v>1011485589</v>
      </c>
      <c r="D23522">
        <v>0</v>
      </c>
    </row>
    <row r="23523" spans="1:4" hidden="1" x14ac:dyDescent="0.3">
      <c r="A23523" t="s">
        <v>1245</v>
      </c>
      <c r="B23523" t="s">
        <v>14</v>
      </c>
      <c r="C23523" s="1">
        <f>HYPERLINK("https://cao.dolgi.msk.ru/account/1011485538/", 1011485538)</f>
        <v>1011485538</v>
      </c>
      <c r="D23523">
        <v>-8014.39</v>
      </c>
    </row>
    <row r="23524" spans="1:4" x14ac:dyDescent="0.3">
      <c r="A23524" t="s">
        <v>1245</v>
      </c>
      <c r="B23524" t="s">
        <v>16</v>
      </c>
      <c r="C23524" s="1">
        <f>HYPERLINK("https://cao.dolgi.msk.ru/account/1011485431/", 1011485431)</f>
        <v>1011485431</v>
      </c>
      <c r="D23524">
        <v>175107.6</v>
      </c>
    </row>
    <row r="23525" spans="1:4" x14ac:dyDescent="0.3">
      <c r="A23525" t="s">
        <v>1245</v>
      </c>
      <c r="B23525" t="s">
        <v>17</v>
      </c>
      <c r="C23525" s="1">
        <f>HYPERLINK("https://cao.dolgi.msk.ru/account/1011485546/", 1011485546)</f>
        <v>1011485546</v>
      </c>
      <c r="D23525">
        <v>9245.82</v>
      </c>
    </row>
    <row r="23526" spans="1:4" hidden="1" x14ac:dyDescent="0.3">
      <c r="A23526" t="s">
        <v>1245</v>
      </c>
      <c r="B23526" t="s">
        <v>18</v>
      </c>
      <c r="C23526" s="1">
        <f>HYPERLINK("https://cao.dolgi.msk.ru/account/1011485458/", 1011485458)</f>
        <v>1011485458</v>
      </c>
      <c r="D23526">
        <v>0</v>
      </c>
    </row>
    <row r="23527" spans="1:4" hidden="1" x14ac:dyDescent="0.3">
      <c r="A23527" t="s">
        <v>1245</v>
      </c>
      <c r="B23527" t="s">
        <v>19</v>
      </c>
      <c r="C23527" s="1">
        <f>HYPERLINK("https://cao.dolgi.msk.ru/account/1011485511/", 1011485511)</f>
        <v>1011485511</v>
      </c>
      <c r="D23527">
        <v>-4786.49</v>
      </c>
    </row>
    <row r="23528" spans="1:4" hidden="1" x14ac:dyDescent="0.3">
      <c r="A23528" t="s">
        <v>1245</v>
      </c>
      <c r="B23528" t="s">
        <v>20</v>
      </c>
      <c r="C23528" s="1">
        <f>HYPERLINK("https://cao.dolgi.msk.ru/account/1011485474/", 1011485474)</f>
        <v>1011485474</v>
      </c>
      <c r="D23528">
        <v>-20725.3</v>
      </c>
    </row>
    <row r="23529" spans="1:4" hidden="1" x14ac:dyDescent="0.3">
      <c r="A23529" t="s">
        <v>1245</v>
      </c>
      <c r="B23529" t="s">
        <v>21</v>
      </c>
      <c r="C23529" s="1">
        <f>HYPERLINK("https://cao.dolgi.msk.ru/account/1011485706/", 1011485706)</f>
        <v>1011485706</v>
      </c>
      <c r="D23529">
        <v>0</v>
      </c>
    </row>
    <row r="23530" spans="1:4" hidden="1" x14ac:dyDescent="0.3">
      <c r="A23530" t="s">
        <v>1245</v>
      </c>
      <c r="B23530" t="s">
        <v>22</v>
      </c>
      <c r="C23530" s="1">
        <f>HYPERLINK("https://cao.dolgi.msk.ru/account/1011485597/", 1011485597)</f>
        <v>1011485597</v>
      </c>
      <c r="D23530">
        <v>0</v>
      </c>
    </row>
    <row r="23531" spans="1:4" x14ac:dyDescent="0.3">
      <c r="A23531" t="s">
        <v>1245</v>
      </c>
      <c r="B23531" t="s">
        <v>24</v>
      </c>
      <c r="C23531" s="1">
        <f>HYPERLINK("https://cao.dolgi.msk.ru/account/1011485634/", 1011485634)</f>
        <v>1011485634</v>
      </c>
      <c r="D23531">
        <v>13934.89</v>
      </c>
    </row>
    <row r="23532" spans="1:4" hidden="1" x14ac:dyDescent="0.3">
      <c r="A23532" t="s">
        <v>1245</v>
      </c>
      <c r="B23532" t="s">
        <v>25</v>
      </c>
      <c r="C23532" s="1">
        <f>HYPERLINK("https://cao.dolgi.msk.ru/account/1011485714/", 1011485714)</f>
        <v>1011485714</v>
      </c>
      <c r="D23532">
        <v>0</v>
      </c>
    </row>
    <row r="23533" spans="1:4" hidden="1" x14ac:dyDescent="0.3">
      <c r="A23533" t="s">
        <v>1245</v>
      </c>
      <c r="B23533" t="s">
        <v>26</v>
      </c>
      <c r="C23533" s="1">
        <f>HYPERLINK("https://cao.dolgi.msk.ru/account/1011485693/", 1011485693)</f>
        <v>1011485693</v>
      </c>
      <c r="D23533">
        <v>-9040.91</v>
      </c>
    </row>
    <row r="23534" spans="1:4" hidden="1" x14ac:dyDescent="0.3">
      <c r="A23534" t="s">
        <v>1245</v>
      </c>
      <c r="B23534" t="s">
        <v>27</v>
      </c>
      <c r="C23534" s="1">
        <f>HYPERLINK("https://cao.dolgi.msk.ru/account/1011485642/", 1011485642)</f>
        <v>1011485642</v>
      </c>
      <c r="D23534">
        <v>0</v>
      </c>
    </row>
    <row r="23535" spans="1:4" hidden="1" x14ac:dyDescent="0.3">
      <c r="A23535" t="s">
        <v>1245</v>
      </c>
      <c r="B23535" t="s">
        <v>29</v>
      </c>
      <c r="C23535" s="1">
        <f>HYPERLINK("https://cao.dolgi.msk.ru/account/1011485618/", 1011485618)</f>
        <v>1011485618</v>
      </c>
      <c r="D23535">
        <v>-5098.72</v>
      </c>
    </row>
    <row r="23536" spans="1:4" hidden="1" x14ac:dyDescent="0.3">
      <c r="A23536" t="s">
        <v>1246</v>
      </c>
      <c r="B23536" t="s">
        <v>6</v>
      </c>
      <c r="C23536" s="1">
        <f>HYPERLINK("https://cao.dolgi.msk.ru/account/1011221145/", 1011221145)</f>
        <v>1011221145</v>
      </c>
      <c r="D23536">
        <v>0</v>
      </c>
    </row>
    <row r="23537" spans="1:4" hidden="1" x14ac:dyDescent="0.3">
      <c r="A23537" t="s">
        <v>1246</v>
      </c>
      <c r="B23537" t="s">
        <v>28</v>
      </c>
      <c r="C23537" s="1">
        <f>HYPERLINK("https://cao.dolgi.msk.ru/account/1011221014/", 1011221014)</f>
        <v>1011221014</v>
      </c>
      <c r="D23537">
        <v>0</v>
      </c>
    </row>
    <row r="23538" spans="1:4" hidden="1" x14ac:dyDescent="0.3">
      <c r="A23538" t="s">
        <v>1246</v>
      </c>
      <c r="B23538" t="s">
        <v>7</v>
      </c>
      <c r="C23538" s="1">
        <f>HYPERLINK("https://cao.dolgi.msk.ru/account/1011220951/", 1011220951)</f>
        <v>1011220951</v>
      </c>
      <c r="D23538">
        <v>0</v>
      </c>
    </row>
    <row r="23539" spans="1:4" hidden="1" x14ac:dyDescent="0.3">
      <c r="A23539" t="s">
        <v>1246</v>
      </c>
      <c r="B23539" t="s">
        <v>8</v>
      </c>
      <c r="C23539" s="1">
        <f>HYPERLINK("https://cao.dolgi.msk.ru/account/1011220919/", 1011220919)</f>
        <v>1011220919</v>
      </c>
      <c r="D23539">
        <v>-4.09</v>
      </c>
    </row>
    <row r="23540" spans="1:4" hidden="1" x14ac:dyDescent="0.3">
      <c r="A23540" t="s">
        <v>1246</v>
      </c>
      <c r="B23540" t="s">
        <v>31</v>
      </c>
      <c r="C23540" s="1">
        <f>HYPERLINK("https://cao.dolgi.msk.ru/account/1011220927/", 1011220927)</f>
        <v>1011220927</v>
      </c>
      <c r="D23540">
        <v>0</v>
      </c>
    </row>
    <row r="23541" spans="1:4" hidden="1" x14ac:dyDescent="0.3">
      <c r="A23541" t="s">
        <v>1246</v>
      </c>
      <c r="B23541" t="s">
        <v>9</v>
      </c>
      <c r="C23541" s="1">
        <f>HYPERLINK("https://cao.dolgi.msk.ru/account/1011221022/", 1011221022)</f>
        <v>1011221022</v>
      </c>
      <c r="D23541">
        <v>-422.84</v>
      </c>
    </row>
    <row r="23542" spans="1:4" hidden="1" x14ac:dyDescent="0.3">
      <c r="A23542" t="s">
        <v>1246</v>
      </c>
      <c r="B23542" t="s">
        <v>10</v>
      </c>
      <c r="C23542" s="1">
        <f>HYPERLINK("https://cao.dolgi.msk.ru/account/1011220935/", 1011220935)</f>
        <v>1011220935</v>
      </c>
      <c r="D23542">
        <v>0</v>
      </c>
    </row>
    <row r="23543" spans="1:4" x14ac:dyDescent="0.3">
      <c r="A23543" t="s">
        <v>1246</v>
      </c>
      <c r="B23543" t="s">
        <v>11</v>
      </c>
      <c r="C23543" s="1">
        <f>HYPERLINK("https://cao.dolgi.msk.ru/account/1011220943/", 1011220943)</f>
        <v>1011220943</v>
      </c>
      <c r="D23543">
        <v>4898.1400000000003</v>
      </c>
    </row>
    <row r="23544" spans="1:4" hidden="1" x14ac:dyDescent="0.3">
      <c r="A23544" t="s">
        <v>1246</v>
      </c>
      <c r="B23544" t="s">
        <v>23</v>
      </c>
      <c r="C23544" s="1">
        <f>HYPERLINK("https://cao.dolgi.msk.ru/account/1011221006/", 1011221006)</f>
        <v>1011221006</v>
      </c>
      <c r="D23544">
        <v>-8979.02</v>
      </c>
    </row>
    <row r="23545" spans="1:4" hidden="1" x14ac:dyDescent="0.3">
      <c r="A23545" t="s">
        <v>1246</v>
      </c>
      <c r="B23545" t="s">
        <v>23</v>
      </c>
      <c r="C23545" s="1">
        <f>HYPERLINK("https://cao.dolgi.msk.ru/account/1011515493/", 1011515493)</f>
        <v>1011515493</v>
      </c>
      <c r="D23545">
        <v>-2869.58</v>
      </c>
    </row>
    <row r="23546" spans="1:4" x14ac:dyDescent="0.3">
      <c r="A23546" t="s">
        <v>1246</v>
      </c>
      <c r="B23546" t="s">
        <v>13</v>
      </c>
      <c r="C23546" s="1">
        <f>HYPERLINK("https://cao.dolgi.msk.ru/account/1011221129/", 1011221129)</f>
        <v>1011221129</v>
      </c>
      <c r="D23546">
        <v>8545.9699999999993</v>
      </c>
    </row>
    <row r="23547" spans="1:4" x14ac:dyDescent="0.3">
      <c r="A23547" t="s">
        <v>1246</v>
      </c>
      <c r="B23547" t="s">
        <v>14</v>
      </c>
      <c r="C23547" s="1">
        <f>HYPERLINK("https://cao.dolgi.msk.ru/account/1011221153/", 1011221153)</f>
        <v>1011221153</v>
      </c>
      <c r="D23547">
        <v>3637.76</v>
      </c>
    </row>
    <row r="23548" spans="1:4" hidden="1" x14ac:dyDescent="0.3">
      <c r="A23548" t="s">
        <v>1246</v>
      </c>
      <c r="B23548" t="s">
        <v>16</v>
      </c>
      <c r="C23548" s="1">
        <f>HYPERLINK("https://cao.dolgi.msk.ru/account/1011221065/", 1011221065)</f>
        <v>1011221065</v>
      </c>
      <c r="D23548">
        <v>-5745.8</v>
      </c>
    </row>
    <row r="23549" spans="1:4" hidden="1" x14ac:dyDescent="0.3">
      <c r="A23549" t="s">
        <v>1246</v>
      </c>
      <c r="B23549" t="s">
        <v>17</v>
      </c>
      <c r="C23549" s="1">
        <f>HYPERLINK("https://cao.dolgi.msk.ru/account/1011220978/", 1011220978)</f>
        <v>1011220978</v>
      </c>
      <c r="D23549">
        <v>0</v>
      </c>
    </row>
    <row r="23550" spans="1:4" hidden="1" x14ac:dyDescent="0.3">
      <c r="A23550" t="s">
        <v>1246</v>
      </c>
      <c r="B23550" t="s">
        <v>18</v>
      </c>
      <c r="C23550" s="1">
        <f>HYPERLINK("https://cao.dolgi.msk.ru/account/1011221137/", 1011221137)</f>
        <v>1011221137</v>
      </c>
      <c r="D23550">
        <v>0</v>
      </c>
    </row>
    <row r="23551" spans="1:4" hidden="1" x14ac:dyDescent="0.3">
      <c r="A23551" t="s">
        <v>1246</v>
      </c>
      <c r="B23551" t="s">
        <v>19</v>
      </c>
      <c r="C23551" s="1">
        <f>HYPERLINK("https://cao.dolgi.msk.ru/account/1011221073/", 1011221073)</f>
        <v>1011221073</v>
      </c>
      <c r="D23551">
        <v>-746.82</v>
      </c>
    </row>
    <row r="23552" spans="1:4" hidden="1" x14ac:dyDescent="0.3">
      <c r="A23552" t="s">
        <v>1246</v>
      </c>
      <c r="B23552" t="s">
        <v>20</v>
      </c>
      <c r="C23552" s="1">
        <f>HYPERLINK("https://cao.dolgi.msk.ru/account/1011221049/", 1011221049)</f>
        <v>1011221049</v>
      </c>
      <c r="D23552">
        <v>0</v>
      </c>
    </row>
    <row r="23553" spans="1:4" hidden="1" x14ac:dyDescent="0.3">
      <c r="A23553" t="s">
        <v>1246</v>
      </c>
      <c r="B23553" t="s">
        <v>21</v>
      </c>
      <c r="C23553" s="1">
        <f>HYPERLINK("https://cao.dolgi.msk.ru/account/1011221081/", 1011221081)</f>
        <v>1011221081</v>
      </c>
      <c r="D23553">
        <v>-959.37</v>
      </c>
    </row>
    <row r="23554" spans="1:4" hidden="1" x14ac:dyDescent="0.3">
      <c r="A23554" t="s">
        <v>1246</v>
      </c>
      <c r="B23554" t="s">
        <v>22</v>
      </c>
      <c r="C23554" s="1">
        <f>HYPERLINK("https://cao.dolgi.msk.ru/account/1011221102/", 1011221102)</f>
        <v>1011221102</v>
      </c>
      <c r="D23554">
        <v>-11308.26</v>
      </c>
    </row>
    <row r="23555" spans="1:4" x14ac:dyDescent="0.3">
      <c r="A23555" t="s">
        <v>1246</v>
      </c>
      <c r="B23555" t="s">
        <v>24</v>
      </c>
      <c r="C23555" s="1">
        <f>HYPERLINK("https://cao.dolgi.msk.ru/account/1011220986/", 1011220986)</f>
        <v>1011220986</v>
      </c>
      <c r="D23555">
        <v>4475.29</v>
      </c>
    </row>
    <row r="23556" spans="1:4" hidden="1" x14ac:dyDescent="0.3">
      <c r="A23556" t="s">
        <v>1246</v>
      </c>
      <c r="B23556" t="s">
        <v>25</v>
      </c>
      <c r="C23556" s="1">
        <f>HYPERLINK("https://cao.dolgi.msk.ru/account/1011220994/", 1011220994)</f>
        <v>1011220994</v>
      </c>
      <c r="D23556">
        <v>-10673.21</v>
      </c>
    </row>
    <row r="23557" spans="1:4" hidden="1" x14ac:dyDescent="0.3">
      <c r="A23557" t="s">
        <v>1247</v>
      </c>
      <c r="B23557" t="s">
        <v>6</v>
      </c>
      <c r="C23557" s="1">
        <f>HYPERLINK("https://cao.dolgi.msk.ru/account/1011221233/", 1011221233)</f>
        <v>1011221233</v>
      </c>
      <c r="D23557">
        <v>-18267</v>
      </c>
    </row>
    <row r="23558" spans="1:4" hidden="1" x14ac:dyDescent="0.3">
      <c r="A23558" t="s">
        <v>1247</v>
      </c>
      <c r="B23558" t="s">
        <v>28</v>
      </c>
      <c r="C23558" s="1">
        <f>HYPERLINK("https://cao.dolgi.msk.ru/account/1011221284/", 1011221284)</f>
        <v>1011221284</v>
      </c>
      <c r="D23558">
        <v>-14473.75</v>
      </c>
    </row>
    <row r="23559" spans="1:4" hidden="1" x14ac:dyDescent="0.3">
      <c r="A23559" t="s">
        <v>1247</v>
      </c>
      <c r="B23559" t="s">
        <v>35</v>
      </c>
      <c r="C23559" s="1">
        <f>HYPERLINK("https://cao.dolgi.msk.ru/account/1011221241/", 1011221241)</f>
        <v>1011221241</v>
      </c>
      <c r="D23559">
        <v>0</v>
      </c>
    </row>
    <row r="23560" spans="1:4" hidden="1" x14ac:dyDescent="0.3">
      <c r="A23560" t="s">
        <v>1247</v>
      </c>
      <c r="B23560" t="s">
        <v>5</v>
      </c>
      <c r="C23560" s="1">
        <f>HYPERLINK("https://cao.dolgi.msk.ru/account/1011221292/", 1011221292)</f>
        <v>1011221292</v>
      </c>
      <c r="D23560">
        <v>-18461.900000000001</v>
      </c>
    </row>
    <row r="23561" spans="1:4" hidden="1" x14ac:dyDescent="0.3">
      <c r="A23561" t="s">
        <v>1247</v>
      </c>
      <c r="B23561" t="s">
        <v>7</v>
      </c>
      <c r="C23561" s="1">
        <f>HYPERLINK("https://cao.dolgi.msk.ru/account/1011221161/", 1011221161)</f>
        <v>1011221161</v>
      </c>
      <c r="D23561">
        <v>-11328.77</v>
      </c>
    </row>
    <row r="23562" spans="1:4" hidden="1" x14ac:dyDescent="0.3">
      <c r="A23562" t="s">
        <v>1247</v>
      </c>
      <c r="B23562" t="s">
        <v>8</v>
      </c>
      <c r="C23562" s="1">
        <f>HYPERLINK("https://cao.dolgi.msk.ru/account/1011221268/", 1011221268)</f>
        <v>1011221268</v>
      </c>
      <c r="D23562">
        <v>-19305.400000000001</v>
      </c>
    </row>
    <row r="23563" spans="1:4" hidden="1" x14ac:dyDescent="0.3">
      <c r="A23563" t="s">
        <v>1247</v>
      </c>
      <c r="B23563" t="s">
        <v>31</v>
      </c>
      <c r="C23563" s="1">
        <f>HYPERLINK("https://cao.dolgi.msk.ru/account/1011221209/", 1011221209)</f>
        <v>1011221209</v>
      </c>
      <c r="D23563">
        <v>0</v>
      </c>
    </row>
    <row r="23564" spans="1:4" hidden="1" x14ac:dyDescent="0.3">
      <c r="A23564" t="s">
        <v>1247</v>
      </c>
      <c r="B23564" t="s">
        <v>9</v>
      </c>
      <c r="C23564" s="1">
        <f>HYPERLINK("https://cao.dolgi.msk.ru/account/1011221217/", 1011221217)</f>
        <v>1011221217</v>
      </c>
      <c r="D23564">
        <v>-5579.91</v>
      </c>
    </row>
    <row r="23565" spans="1:4" hidden="1" x14ac:dyDescent="0.3">
      <c r="A23565" t="s">
        <v>1247</v>
      </c>
      <c r="B23565" t="s">
        <v>10</v>
      </c>
      <c r="C23565" s="1">
        <f>HYPERLINK("https://cao.dolgi.msk.ru/account/1011221188/", 1011221188)</f>
        <v>1011221188</v>
      </c>
      <c r="D23565">
        <v>-3133.65</v>
      </c>
    </row>
    <row r="23566" spans="1:4" hidden="1" x14ac:dyDescent="0.3">
      <c r="A23566" t="s">
        <v>1247</v>
      </c>
      <c r="B23566" t="s">
        <v>11</v>
      </c>
      <c r="C23566" s="1">
        <f>HYPERLINK("https://cao.dolgi.msk.ru/account/1011221225/", 1011221225)</f>
        <v>1011221225</v>
      </c>
      <c r="D23566">
        <v>-226003.68</v>
      </c>
    </row>
    <row r="23567" spans="1:4" hidden="1" x14ac:dyDescent="0.3">
      <c r="A23567" t="s">
        <v>1247</v>
      </c>
      <c r="B23567" t="s">
        <v>12</v>
      </c>
      <c r="C23567" s="1">
        <f>HYPERLINK("https://cao.dolgi.msk.ru/account/1011221196/", 1011221196)</f>
        <v>1011221196</v>
      </c>
      <c r="D23567">
        <v>0</v>
      </c>
    </row>
    <row r="23568" spans="1:4" x14ac:dyDescent="0.3">
      <c r="A23568" t="s">
        <v>1247</v>
      </c>
      <c r="B23568" t="s">
        <v>23</v>
      </c>
      <c r="C23568" s="1">
        <f>HYPERLINK("https://cao.dolgi.msk.ru/account/1011221276/", 1011221276)</f>
        <v>1011221276</v>
      </c>
      <c r="D23568">
        <v>14265.87</v>
      </c>
    </row>
    <row r="23569" spans="1:4" x14ac:dyDescent="0.3">
      <c r="A23569" t="s">
        <v>1248</v>
      </c>
      <c r="B23569" t="s">
        <v>35</v>
      </c>
      <c r="C23569" s="1">
        <f>HYPERLINK("https://cao.dolgi.msk.ru/account/1011501868/", 1011501868)</f>
        <v>1011501868</v>
      </c>
      <c r="D23569">
        <v>130973.37</v>
      </c>
    </row>
    <row r="23570" spans="1:4" x14ac:dyDescent="0.3">
      <c r="A23570" t="s">
        <v>1248</v>
      </c>
      <c r="B23570" t="s">
        <v>35</v>
      </c>
      <c r="C23570" s="1">
        <f>HYPERLINK("https://cao.dolgi.msk.ru/account/1011501905/", 1011501905)</f>
        <v>1011501905</v>
      </c>
      <c r="D23570">
        <v>227980.56</v>
      </c>
    </row>
    <row r="23571" spans="1:4" hidden="1" x14ac:dyDescent="0.3">
      <c r="A23571" t="s">
        <v>1248</v>
      </c>
      <c r="B23571" t="s">
        <v>35</v>
      </c>
      <c r="C23571" s="1">
        <f>HYPERLINK("https://cao.dolgi.msk.ru/account/1011501999/", 1011501999)</f>
        <v>1011501999</v>
      </c>
      <c r="D23571">
        <v>0</v>
      </c>
    </row>
    <row r="23572" spans="1:4" hidden="1" x14ac:dyDescent="0.3">
      <c r="A23572" t="s">
        <v>1248</v>
      </c>
      <c r="B23572" t="s">
        <v>5</v>
      </c>
      <c r="C23572" s="1">
        <f>HYPERLINK("https://cao.dolgi.msk.ru/account/1011501817/", 1011501817)</f>
        <v>1011501817</v>
      </c>
      <c r="D23572">
        <v>0</v>
      </c>
    </row>
    <row r="23573" spans="1:4" hidden="1" x14ac:dyDescent="0.3">
      <c r="A23573" t="s">
        <v>1248</v>
      </c>
      <c r="B23573" t="s">
        <v>7</v>
      </c>
      <c r="C23573" s="1">
        <f>HYPERLINK("https://cao.dolgi.msk.ru/account/1011501681/", 1011501681)</f>
        <v>1011501681</v>
      </c>
      <c r="D23573">
        <v>0</v>
      </c>
    </row>
    <row r="23574" spans="1:4" hidden="1" x14ac:dyDescent="0.3">
      <c r="A23574" t="s">
        <v>1248</v>
      </c>
      <c r="B23574" t="s">
        <v>7</v>
      </c>
      <c r="C23574" s="1">
        <f>HYPERLINK("https://cao.dolgi.msk.ru/account/1011501729/", 1011501729)</f>
        <v>1011501729</v>
      </c>
      <c r="D23574">
        <v>0</v>
      </c>
    </row>
    <row r="23575" spans="1:4" hidden="1" x14ac:dyDescent="0.3">
      <c r="A23575" t="s">
        <v>1248</v>
      </c>
      <c r="B23575" t="s">
        <v>7</v>
      </c>
      <c r="C23575" s="1">
        <f>HYPERLINK("https://cao.dolgi.msk.ru/account/1011501825/", 1011501825)</f>
        <v>1011501825</v>
      </c>
      <c r="D23575">
        <v>0</v>
      </c>
    </row>
    <row r="23576" spans="1:4" hidden="1" x14ac:dyDescent="0.3">
      <c r="A23576" t="s">
        <v>1248</v>
      </c>
      <c r="B23576" t="s">
        <v>7</v>
      </c>
      <c r="C23576" s="1">
        <f>HYPERLINK("https://cao.dolgi.msk.ru/account/1011501876/", 1011501876)</f>
        <v>1011501876</v>
      </c>
      <c r="D23576">
        <v>0</v>
      </c>
    </row>
    <row r="23577" spans="1:4" hidden="1" x14ac:dyDescent="0.3">
      <c r="A23577" t="s">
        <v>1248</v>
      </c>
      <c r="B23577" t="s">
        <v>7</v>
      </c>
      <c r="C23577" s="1">
        <f>HYPERLINK("https://cao.dolgi.msk.ru/account/1011501913/", 1011501913)</f>
        <v>1011501913</v>
      </c>
      <c r="D23577">
        <v>-1787.75</v>
      </c>
    </row>
    <row r="23578" spans="1:4" hidden="1" x14ac:dyDescent="0.3">
      <c r="A23578" t="s">
        <v>1248</v>
      </c>
      <c r="B23578" t="s">
        <v>342</v>
      </c>
      <c r="C23578" s="1">
        <f>HYPERLINK("https://cao.dolgi.msk.ru/account/1011501737/", 1011501737)</f>
        <v>1011501737</v>
      </c>
      <c r="D23578">
        <v>-14769.96</v>
      </c>
    </row>
    <row r="23579" spans="1:4" hidden="1" x14ac:dyDescent="0.3">
      <c r="A23579" t="s">
        <v>1248</v>
      </c>
      <c r="B23579" t="s">
        <v>8</v>
      </c>
      <c r="C23579" s="1">
        <f>HYPERLINK("https://cao.dolgi.msk.ru/account/1011501921/", 1011501921)</f>
        <v>1011501921</v>
      </c>
      <c r="D23579">
        <v>-14934.18</v>
      </c>
    </row>
    <row r="23580" spans="1:4" hidden="1" x14ac:dyDescent="0.3">
      <c r="A23580" t="s">
        <v>1248</v>
      </c>
      <c r="B23580" t="s">
        <v>343</v>
      </c>
      <c r="C23580" s="1">
        <f>HYPERLINK("https://cao.dolgi.msk.ru/account/1011501745/", 1011501745)</f>
        <v>1011501745</v>
      </c>
      <c r="D23580">
        <v>0</v>
      </c>
    </row>
    <row r="23581" spans="1:4" hidden="1" x14ac:dyDescent="0.3">
      <c r="A23581" t="s">
        <v>1248</v>
      </c>
      <c r="B23581" t="s">
        <v>31</v>
      </c>
      <c r="C23581" s="1">
        <f>HYPERLINK("https://cao.dolgi.msk.ru/account/1011501649/", 1011501649)</f>
        <v>1011501649</v>
      </c>
      <c r="D23581">
        <v>0</v>
      </c>
    </row>
    <row r="23582" spans="1:4" x14ac:dyDescent="0.3">
      <c r="A23582" t="s">
        <v>1248</v>
      </c>
      <c r="B23582" t="s">
        <v>9</v>
      </c>
      <c r="C23582" s="1">
        <f>HYPERLINK("https://cao.dolgi.msk.ru/account/1011501948/", 1011501948)</f>
        <v>1011501948</v>
      </c>
      <c r="D23582">
        <v>28435.06</v>
      </c>
    </row>
    <row r="23583" spans="1:4" hidden="1" x14ac:dyDescent="0.3">
      <c r="A23583" t="s">
        <v>1248</v>
      </c>
      <c r="B23583" t="s">
        <v>10</v>
      </c>
      <c r="C23583" s="1">
        <f>HYPERLINK("https://cao.dolgi.msk.ru/account/1011502019/", 1011502019)</f>
        <v>1011502019</v>
      </c>
      <c r="D23583">
        <v>0</v>
      </c>
    </row>
    <row r="23584" spans="1:4" hidden="1" x14ac:dyDescent="0.3">
      <c r="A23584" t="s">
        <v>1248</v>
      </c>
      <c r="B23584" t="s">
        <v>11</v>
      </c>
      <c r="C23584" s="1">
        <f>HYPERLINK("https://cao.dolgi.msk.ru/account/1011501753/", 1011501753)</f>
        <v>1011501753</v>
      </c>
      <c r="D23584">
        <v>-849.4</v>
      </c>
    </row>
    <row r="23585" spans="1:4" x14ac:dyDescent="0.3">
      <c r="A23585" t="s">
        <v>1248</v>
      </c>
      <c r="B23585" t="s">
        <v>12</v>
      </c>
      <c r="C23585" s="1">
        <f>HYPERLINK("https://cao.dolgi.msk.ru/account/1011502027/", 1011502027)</f>
        <v>1011502027</v>
      </c>
      <c r="D23585">
        <v>30469.75</v>
      </c>
    </row>
    <row r="23586" spans="1:4" hidden="1" x14ac:dyDescent="0.3">
      <c r="A23586" t="s">
        <v>1248</v>
      </c>
      <c r="B23586" t="s">
        <v>23</v>
      </c>
      <c r="C23586" s="1">
        <f>HYPERLINK("https://cao.dolgi.msk.ru/account/1011501884/", 1011501884)</f>
        <v>1011501884</v>
      </c>
      <c r="D23586">
        <v>-3520.17</v>
      </c>
    </row>
    <row r="23587" spans="1:4" hidden="1" x14ac:dyDescent="0.3">
      <c r="A23587" t="s">
        <v>1248</v>
      </c>
      <c r="B23587" t="s">
        <v>14</v>
      </c>
      <c r="C23587" s="1">
        <f>HYPERLINK("https://cao.dolgi.msk.ru/account/1011501841/", 1011501841)</f>
        <v>1011501841</v>
      </c>
      <c r="D23587">
        <v>0</v>
      </c>
    </row>
    <row r="23588" spans="1:4" hidden="1" x14ac:dyDescent="0.3">
      <c r="A23588" t="s">
        <v>1248</v>
      </c>
      <c r="B23588" t="s">
        <v>16</v>
      </c>
      <c r="C23588" s="1">
        <f>HYPERLINK("https://cao.dolgi.msk.ru/account/1011501761/", 1011501761)</f>
        <v>1011501761</v>
      </c>
      <c r="D23588">
        <v>0</v>
      </c>
    </row>
    <row r="23589" spans="1:4" hidden="1" x14ac:dyDescent="0.3">
      <c r="A23589" t="s">
        <v>1248</v>
      </c>
      <c r="B23589" t="s">
        <v>17</v>
      </c>
      <c r="C23589" s="1">
        <f>HYPERLINK("https://cao.dolgi.msk.ru/account/1011501788/", 1011501788)</f>
        <v>1011501788</v>
      </c>
      <c r="D23589">
        <v>0</v>
      </c>
    </row>
    <row r="23590" spans="1:4" hidden="1" x14ac:dyDescent="0.3">
      <c r="A23590" t="s">
        <v>1248</v>
      </c>
      <c r="B23590" t="s">
        <v>18</v>
      </c>
      <c r="C23590" s="1">
        <f>HYPERLINK("https://cao.dolgi.msk.ru/account/1011501796/", 1011501796)</f>
        <v>1011501796</v>
      </c>
      <c r="D23590">
        <v>-12280.22</v>
      </c>
    </row>
    <row r="23591" spans="1:4" hidden="1" x14ac:dyDescent="0.3">
      <c r="A23591" t="s">
        <v>1248</v>
      </c>
      <c r="B23591" t="s">
        <v>19</v>
      </c>
      <c r="C23591" s="1">
        <f>HYPERLINK("https://cao.dolgi.msk.ru/account/1011501972/", 1011501972)</f>
        <v>1011501972</v>
      </c>
      <c r="D23591">
        <v>-803.35</v>
      </c>
    </row>
    <row r="23592" spans="1:4" hidden="1" x14ac:dyDescent="0.3">
      <c r="A23592" t="s">
        <v>1248</v>
      </c>
      <c r="B23592" t="s">
        <v>20</v>
      </c>
      <c r="C23592" s="1">
        <f>HYPERLINK("https://cao.dolgi.msk.ru/account/1011501892/", 1011501892)</f>
        <v>1011501892</v>
      </c>
      <c r="D23592">
        <v>0</v>
      </c>
    </row>
    <row r="23593" spans="1:4" x14ac:dyDescent="0.3">
      <c r="A23593" t="s">
        <v>1248</v>
      </c>
      <c r="B23593" t="s">
        <v>21</v>
      </c>
      <c r="C23593" s="1">
        <f>HYPERLINK("https://cao.dolgi.msk.ru/account/1011501956/", 1011501956)</f>
        <v>1011501956</v>
      </c>
      <c r="D23593">
        <v>45491.28</v>
      </c>
    </row>
    <row r="23594" spans="1:4" hidden="1" x14ac:dyDescent="0.3">
      <c r="A23594" t="s">
        <v>1248</v>
      </c>
      <c r="B23594" t="s">
        <v>22</v>
      </c>
      <c r="C23594" s="1">
        <f>HYPERLINK("https://cao.dolgi.msk.ru/account/1011501964/", 1011501964)</f>
        <v>1011501964</v>
      </c>
      <c r="D23594">
        <v>-3407.42</v>
      </c>
    </row>
    <row r="23595" spans="1:4" x14ac:dyDescent="0.3">
      <c r="A23595" t="s">
        <v>1248</v>
      </c>
      <c r="B23595" t="s">
        <v>24</v>
      </c>
      <c r="C23595" s="1">
        <f>HYPERLINK("https://cao.dolgi.msk.ru/account/1011501657/", 1011501657)</f>
        <v>1011501657</v>
      </c>
      <c r="D23595">
        <v>866.84</v>
      </c>
    </row>
    <row r="23596" spans="1:4" hidden="1" x14ac:dyDescent="0.3">
      <c r="A23596" t="s">
        <v>1248</v>
      </c>
      <c r="B23596" t="s">
        <v>25</v>
      </c>
      <c r="C23596" s="1">
        <f>HYPERLINK("https://cao.dolgi.msk.ru/account/1011501665/", 1011501665)</f>
        <v>1011501665</v>
      </c>
      <c r="D23596">
        <v>-1423.98</v>
      </c>
    </row>
    <row r="23597" spans="1:4" hidden="1" x14ac:dyDescent="0.3">
      <c r="A23597" t="s">
        <v>1248</v>
      </c>
      <c r="B23597" t="s">
        <v>26</v>
      </c>
      <c r="C23597" s="1">
        <f>HYPERLINK("https://cao.dolgi.msk.ru/account/1011501673/", 1011501673)</f>
        <v>1011501673</v>
      </c>
      <c r="D23597">
        <v>0</v>
      </c>
    </row>
    <row r="23598" spans="1:4" hidden="1" x14ac:dyDescent="0.3">
      <c r="A23598" t="s">
        <v>1248</v>
      </c>
      <c r="B23598" t="s">
        <v>27</v>
      </c>
      <c r="C23598" s="1">
        <f>HYPERLINK("https://cao.dolgi.msk.ru/account/1011501702/", 1011501702)</f>
        <v>1011501702</v>
      </c>
      <c r="D23598">
        <v>0</v>
      </c>
    </row>
    <row r="23599" spans="1:4" hidden="1" x14ac:dyDescent="0.3">
      <c r="A23599" t="s">
        <v>1248</v>
      </c>
      <c r="B23599" t="s">
        <v>29</v>
      </c>
      <c r="C23599" s="1">
        <f>HYPERLINK("https://cao.dolgi.msk.ru/account/1011501809/", 1011501809)</f>
        <v>1011501809</v>
      </c>
      <c r="D23599">
        <v>0</v>
      </c>
    </row>
    <row r="23600" spans="1:4" x14ac:dyDescent="0.3">
      <c r="A23600" t="s">
        <v>1249</v>
      </c>
      <c r="B23600" t="s">
        <v>799</v>
      </c>
      <c r="C23600" s="1">
        <f>HYPERLINK("https://cao.dolgi.msk.ru/account/1011221444/", 1011221444)</f>
        <v>1011221444</v>
      </c>
      <c r="D23600">
        <v>16487.91</v>
      </c>
    </row>
    <row r="23601" spans="1:4" hidden="1" x14ac:dyDescent="0.3">
      <c r="A23601" t="s">
        <v>1249</v>
      </c>
      <c r="B23601" t="s">
        <v>606</v>
      </c>
      <c r="C23601" s="1">
        <f>HYPERLINK("https://cao.dolgi.msk.ru/account/1011221364/", 1011221364)</f>
        <v>1011221364</v>
      </c>
      <c r="D23601">
        <v>0</v>
      </c>
    </row>
    <row r="23602" spans="1:4" hidden="1" x14ac:dyDescent="0.3">
      <c r="A23602" t="s">
        <v>1249</v>
      </c>
      <c r="B23602" t="s">
        <v>739</v>
      </c>
      <c r="C23602" s="1">
        <f>HYPERLINK("https://cao.dolgi.msk.ru/account/1011221452/", 1011221452)</f>
        <v>1011221452</v>
      </c>
      <c r="D23602">
        <v>0</v>
      </c>
    </row>
    <row r="23603" spans="1:4" x14ac:dyDescent="0.3">
      <c r="A23603" t="s">
        <v>1249</v>
      </c>
      <c r="B23603" t="s">
        <v>5</v>
      </c>
      <c r="C23603" s="1">
        <f>HYPERLINK("https://cao.dolgi.msk.ru/account/1011221479/", 1011221479)</f>
        <v>1011221479</v>
      </c>
      <c r="D23603">
        <v>12980.68</v>
      </c>
    </row>
    <row r="23604" spans="1:4" hidden="1" x14ac:dyDescent="0.3">
      <c r="A23604" t="s">
        <v>1249</v>
      </c>
      <c r="B23604" t="s">
        <v>740</v>
      </c>
      <c r="C23604" s="1">
        <f>HYPERLINK("https://cao.dolgi.msk.ru/account/1011221487/", 1011221487)</f>
        <v>1011221487</v>
      </c>
      <c r="D23604">
        <v>0</v>
      </c>
    </row>
    <row r="23605" spans="1:4" hidden="1" x14ac:dyDescent="0.3">
      <c r="A23605" t="s">
        <v>1249</v>
      </c>
      <c r="B23605" t="s">
        <v>7</v>
      </c>
      <c r="C23605" s="1">
        <f>HYPERLINK("https://cao.dolgi.msk.ru/account/1011221348/", 1011221348)</f>
        <v>1011221348</v>
      </c>
      <c r="D23605">
        <v>0</v>
      </c>
    </row>
    <row r="23606" spans="1:4" hidden="1" x14ac:dyDescent="0.3">
      <c r="A23606" t="s">
        <v>1249</v>
      </c>
      <c r="B23606" t="s">
        <v>342</v>
      </c>
      <c r="C23606" s="1">
        <f>HYPERLINK("https://cao.dolgi.msk.ru/account/1011221321/", 1011221321)</f>
        <v>1011221321</v>
      </c>
      <c r="D23606">
        <v>-13554.49</v>
      </c>
    </row>
    <row r="23607" spans="1:4" hidden="1" x14ac:dyDescent="0.3">
      <c r="A23607" t="s">
        <v>1249</v>
      </c>
      <c r="B23607" t="s">
        <v>8</v>
      </c>
      <c r="C23607" s="1">
        <f>HYPERLINK("https://cao.dolgi.msk.ru/account/1011221495/", 1011221495)</f>
        <v>1011221495</v>
      </c>
      <c r="D23607">
        <v>0</v>
      </c>
    </row>
    <row r="23608" spans="1:4" hidden="1" x14ac:dyDescent="0.3">
      <c r="A23608" t="s">
        <v>1249</v>
      </c>
      <c r="B23608" t="s">
        <v>343</v>
      </c>
      <c r="C23608" s="1">
        <f>HYPERLINK("https://cao.dolgi.msk.ru/account/1011221372/", 1011221372)</f>
        <v>1011221372</v>
      </c>
      <c r="D23608">
        <v>-7681.32</v>
      </c>
    </row>
    <row r="23609" spans="1:4" hidden="1" x14ac:dyDescent="0.3">
      <c r="A23609" t="s">
        <v>1249</v>
      </c>
      <c r="B23609" t="s">
        <v>31</v>
      </c>
      <c r="C23609" s="1">
        <f>HYPERLINK("https://cao.dolgi.msk.ru/account/1011221356/", 1011221356)</f>
        <v>1011221356</v>
      </c>
      <c r="D23609">
        <v>0</v>
      </c>
    </row>
    <row r="23610" spans="1:4" hidden="1" x14ac:dyDescent="0.3">
      <c r="A23610" t="s">
        <v>1249</v>
      </c>
      <c r="B23610" t="s">
        <v>31</v>
      </c>
      <c r="C23610" s="1">
        <f>HYPERLINK("https://cao.dolgi.msk.ru/account/1011221559/", 1011221559)</f>
        <v>1011221559</v>
      </c>
      <c r="D23610">
        <v>0</v>
      </c>
    </row>
    <row r="23611" spans="1:4" hidden="1" x14ac:dyDescent="0.3">
      <c r="A23611" t="s">
        <v>1249</v>
      </c>
      <c r="B23611" t="s">
        <v>1045</v>
      </c>
      <c r="C23611" s="1">
        <f>HYPERLINK("https://cao.dolgi.msk.ru/account/1011221305/", 1011221305)</f>
        <v>1011221305</v>
      </c>
      <c r="D23611">
        <v>0</v>
      </c>
    </row>
    <row r="23612" spans="1:4" hidden="1" x14ac:dyDescent="0.3">
      <c r="A23612" t="s">
        <v>1249</v>
      </c>
      <c r="B23612" t="s">
        <v>9</v>
      </c>
      <c r="C23612" s="1">
        <f>HYPERLINK("https://cao.dolgi.msk.ru/account/1011221516/", 1011221516)</f>
        <v>1011221516</v>
      </c>
      <c r="D23612">
        <v>0</v>
      </c>
    </row>
    <row r="23613" spans="1:4" hidden="1" x14ac:dyDescent="0.3">
      <c r="A23613" t="s">
        <v>1249</v>
      </c>
      <c r="B23613" t="s">
        <v>862</v>
      </c>
      <c r="C23613" s="1">
        <f>HYPERLINK("https://cao.dolgi.msk.ru/account/1011221399/", 1011221399)</f>
        <v>1011221399</v>
      </c>
      <c r="D23613">
        <v>-4463.83</v>
      </c>
    </row>
    <row r="23614" spans="1:4" hidden="1" x14ac:dyDescent="0.3">
      <c r="A23614" t="s">
        <v>1249</v>
      </c>
      <c r="B23614" t="s">
        <v>10</v>
      </c>
      <c r="C23614" s="1">
        <f>HYPERLINK("https://cao.dolgi.msk.ru/account/1011221313/", 1011221313)</f>
        <v>1011221313</v>
      </c>
      <c r="D23614">
        <v>0</v>
      </c>
    </row>
    <row r="23615" spans="1:4" x14ac:dyDescent="0.3">
      <c r="A23615" t="s">
        <v>1249</v>
      </c>
      <c r="B23615" t="s">
        <v>1250</v>
      </c>
      <c r="C23615" s="1">
        <f>HYPERLINK("https://cao.dolgi.msk.ru/account/1011221401/", 1011221401)</f>
        <v>1011221401</v>
      </c>
      <c r="D23615">
        <v>5043.84</v>
      </c>
    </row>
    <row r="23616" spans="1:4" x14ac:dyDescent="0.3">
      <c r="A23616" t="s">
        <v>1249</v>
      </c>
      <c r="B23616" t="s">
        <v>11</v>
      </c>
      <c r="C23616" s="1">
        <f>HYPERLINK("https://cao.dolgi.msk.ru/account/1011221567/", 1011221567)</f>
        <v>1011221567</v>
      </c>
      <c r="D23616">
        <v>94873.7</v>
      </c>
    </row>
    <row r="23617" spans="1:4" hidden="1" x14ac:dyDescent="0.3">
      <c r="A23617" t="s">
        <v>1249</v>
      </c>
      <c r="B23617" t="s">
        <v>32</v>
      </c>
      <c r="C23617" s="1">
        <f>HYPERLINK("https://cao.dolgi.msk.ru/account/1011221524/", 1011221524)</f>
        <v>1011221524</v>
      </c>
      <c r="D23617">
        <v>0</v>
      </c>
    </row>
    <row r="23618" spans="1:4" hidden="1" x14ac:dyDescent="0.3">
      <c r="A23618" t="s">
        <v>1249</v>
      </c>
      <c r="B23618" t="s">
        <v>13</v>
      </c>
      <c r="C23618" s="1">
        <f>HYPERLINK("https://cao.dolgi.msk.ru/account/1011221508/", 1011221508)</f>
        <v>1011221508</v>
      </c>
      <c r="D23618">
        <v>-49.4</v>
      </c>
    </row>
    <row r="23619" spans="1:4" hidden="1" x14ac:dyDescent="0.3">
      <c r="A23619" t="s">
        <v>1249</v>
      </c>
      <c r="B23619" t="s">
        <v>14</v>
      </c>
      <c r="C23619" s="1">
        <f>HYPERLINK("https://cao.dolgi.msk.ru/account/1011221428/", 1011221428)</f>
        <v>1011221428</v>
      </c>
      <c r="D23619">
        <v>-10996.09</v>
      </c>
    </row>
    <row r="23620" spans="1:4" hidden="1" x14ac:dyDescent="0.3">
      <c r="A23620" t="s">
        <v>1249</v>
      </c>
      <c r="B23620" t="s">
        <v>16</v>
      </c>
      <c r="C23620" s="1">
        <f>HYPERLINK("https://cao.dolgi.msk.ru/account/1011221532/", 1011221532)</f>
        <v>1011221532</v>
      </c>
      <c r="D23620">
        <v>-1823.72</v>
      </c>
    </row>
    <row r="23621" spans="1:4" x14ac:dyDescent="0.3">
      <c r="A23621" t="s">
        <v>1249</v>
      </c>
      <c r="B23621" t="s">
        <v>17</v>
      </c>
      <c r="C23621" s="1">
        <f>HYPERLINK("https://cao.dolgi.msk.ru/account/1011221436/", 1011221436)</f>
        <v>1011221436</v>
      </c>
      <c r="D23621">
        <v>26644.58</v>
      </c>
    </row>
    <row r="23622" spans="1:4" hidden="1" x14ac:dyDescent="0.3">
      <c r="A23622" t="s">
        <v>1251</v>
      </c>
      <c r="B23622" t="s">
        <v>6</v>
      </c>
      <c r="C23622" s="1">
        <f>HYPERLINK("https://cao.dolgi.msk.ru/account/1011451573/", 1011451573)</f>
        <v>1011451573</v>
      </c>
      <c r="D23622">
        <v>0</v>
      </c>
    </row>
    <row r="23623" spans="1:4" hidden="1" x14ac:dyDescent="0.3">
      <c r="A23623" t="s">
        <v>1251</v>
      </c>
      <c r="B23623" t="s">
        <v>28</v>
      </c>
      <c r="C23623" s="1">
        <f>HYPERLINK("https://cao.dolgi.msk.ru/account/1011451629/", 1011451629)</f>
        <v>1011451629</v>
      </c>
      <c r="D23623">
        <v>0</v>
      </c>
    </row>
    <row r="23624" spans="1:4" x14ac:dyDescent="0.3">
      <c r="A23624" t="s">
        <v>1251</v>
      </c>
      <c r="B23624" t="s">
        <v>7</v>
      </c>
      <c r="C23624" s="1">
        <f>HYPERLINK("https://cao.dolgi.msk.ru/account/1011451928/", 1011451928)</f>
        <v>1011451928</v>
      </c>
      <c r="D23624">
        <v>9185.84</v>
      </c>
    </row>
    <row r="23625" spans="1:4" hidden="1" x14ac:dyDescent="0.3">
      <c r="A23625" t="s">
        <v>1251</v>
      </c>
      <c r="B23625" t="s">
        <v>8</v>
      </c>
      <c r="C23625" s="1">
        <f>HYPERLINK("https://cao.dolgi.msk.ru/account/1011451725/", 1011451725)</f>
        <v>1011451725</v>
      </c>
      <c r="D23625">
        <v>-8856.35</v>
      </c>
    </row>
    <row r="23626" spans="1:4" hidden="1" x14ac:dyDescent="0.3">
      <c r="A23626" t="s">
        <v>1251</v>
      </c>
      <c r="B23626" t="s">
        <v>31</v>
      </c>
      <c r="C23626" s="1">
        <f>HYPERLINK("https://cao.dolgi.msk.ru/account/1011451426/", 1011451426)</f>
        <v>1011451426</v>
      </c>
      <c r="D23626">
        <v>-7435.03</v>
      </c>
    </row>
    <row r="23627" spans="1:4" hidden="1" x14ac:dyDescent="0.3">
      <c r="A23627" t="s">
        <v>1251</v>
      </c>
      <c r="B23627" t="s">
        <v>9</v>
      </c>
      <c r="C23627" s="1">
        <f>HYPERLINK("https://cao.dolgi.msk.ru/account/1011451776/", 1011451776)</f>
        <v>1011451776</v>
      </c>
      <c r="D23627">
        <v>0</v>
      </c>
    </row>
    <row r="23628" spans="1:4" hidden="1" x14ac:dyDescent="0.3">
      <c r="A23628" t="s">
        <v>1251</v>
      </c>
      <c r="B23628" t="s">
        <v>10</v>
      </c>
      <c r="C23628" s="1">
        <f>HYPERLINK("https://cao.dolgi.msk.ru/account/1011451784/", 1011451784)</f>
        <v>1011451784</v>
      </c>
      <c r="D23628">
        <v>-5580.54</v>
      </c>
    </row>
    <row r="23629" spans="1:4" hidden="1" x14ac:dyDescent="0.3">
      <c r="A23629" t="s">
        <v>1251</v>
      </c>
      <c r="B23629" t="s">
        <v>11</v>
      </c>
      <c r="C23629" s="1">
        <f>HYPERLINK("https://cao.dolgi.msk.ru/account/1011451768/", 1011451768)</f>
        <v>1011451768</v>
      </c>
      <c r="D23629">
        <v>0</v>
      </c>
    </row>
    <row r="23630" spans="1:4" hidden="1" x14ac:dyDescent="0.3">
      <c r="A23630" t="s">
        <v>1251</v>
      </c>
      <c r="B23630" t="s">
        <v>12</v>
      </c>
      <c r="C23630" s="1">
        <f>HYPERLINK("https://cao.dolgi.msk.ru/account/1011451944/", 1011451944)</f>
        <v>1011451944</v>
      </c>
      <c r="D23630">
        <v>-7357.73</v>
      </c>
    </row>
    <row r="23631" spans="1:4" hidden="1" x14ac:dyDescent="0.3">
      <c r="A23631" t="s">
        <v>1251</v>
      </c>
      <c r="B23631" t="s">
        <v>23</v>
      </c>
      <c r="C23631" s="1">
        <f>HYPERLINK("https://cao.dolgi.msk.ru/account/1011451872/", 1011451872)</f>
        <v>1011451872</v>
      </c>
      <c r="D23631">
        <v>0</v>
      </c>
    </row>
    <row r="23632" spans="1:4" hidden="1" x14ac:dyDescent="0.3">
      <c r="A23632" t="s">
        <v>1251</v>
      </c>
      <c r="B23632" t="s">
        <v>13</v>
      </c>
      <c r="C23632" s="1">
        <f>HYPERLINK("https://cao.dolgi.msk.ru/account/1011451514/", 1011451514)</f>
        <v>1011451514</v>
      </c>
      <c r="D23632">
        <v>0</v>
      </c>
    </row>
    <row r="23633" spans="1:4" hidden="1" x14ac:dyDescent="0.3">
      <c r="A23633" t="s">
        <v>1251</v>
      </c>
      <c r="B23633" t="s">
        <v>14</v>
      </c>
      <c r="C23633" s="1">
        <f>HYPERLINK("https://cao.dolgi.msk.ru/account/1011451493/", 1011451493)</f>
        <v>1011451493</v>
      </c>
      <c r="D23633">
        <v>0</v>
      </c>
    </row>
    <row r="23634" spans="1:4" hidden="1" x14ac:dyDescent="0.3">
      <c r="A23634" t="s">
        <v>1251</v>
      </c>
      <c r="B23634" t="s">
        <v>16</v>
      </c>
      <c r="C23634" s="1">
        <f>HYPERLINK("https://cao.dolgi.msk.ru/account/1011451602/", 1011451602)</f>
        <v>1011451602</v>
      </c>
      <c r="D23634">
        <v>0</v>
      </c>
    </row>
    <row r="23635" spans="1:4" hidden="1" x14ac:dyDescent="0.3">
      <c r="A23635" t="s">
        <v>1251</v>
      </c>
      <c r="B23635" t="s">
        <v>16</v>
      </c>
      <c r="C23635" s="1">
        <f>HYPERLINK("https://cao.dolgi.msk.ru/account/1011451979/", 1011451979)</f>
        <v>1011451979</v>
      </c>
      <c r="D23635">
        <v>0</v>
      </c>
    </row>
    <row r="23636" spans="1:4" hidden="1" x14ac:dyDescent="0.3">
      <c r="A23636" t="s">
        <v>1251</v>
      </c>
      <c r="B23636" t="s">
        <v>17</v>
      </c>
      <c r="C23636" s="1">
        <f>HYPERLINK("https://cao.dolgi.msk.ru/account/1011452007/", 1011452007)</f>
        <v>1011452007</v>
      </c>
      <c r="D23636">
        <v>-7956.77</v>
      </c>
    </row>
    <row r="23637" spans="1:4" hidden="1" x14ac:dyDescent="0.3">
      <c r="A23637" t="s">
        <v>1251</v>
      </c>
      <c r="B23637" t="s">
        <v>18</v>
      </c>
      <c r="C23637" s="1">
        <f>HYPERLINK("https://cao.dolgi.msk.ru/account/1011451805/", 1011451805)</f>
        <v>1011451805</v>
      </c>
      <c r="D23637">
        <v>0</v>
      </c>
    </row>
    <row r="23638" spans="1:4" hidden="1" x14ac:dyDescent="0.3">
      <c r="A23638" t="s">
        <v>1251</v>
      </c>
      <c r="B23638" t="s">
        <v>19</v>
      </c>
      <c r="C23638" s="1">
        <f>HYPERLINK("https://cao.dolgi.msk.ru/account/1011451581/", 1011451581)</f>
        <v>1011451581</v>
      </c>
      <c r="D23638">
        <v>0</v>
      </c>
    </row>
    <row r="23639" spans="1:4" hidden="1" x14ac:dyDescent="0.3">
      <c r="A23639" t="s">
        <v>1251</v>
      </c>
      <c r="B23639" t="s">
        <v>20</v>
      </c>
      <c r="C23639" s="1">
        <f>HYPERLINK("https://cao.dolgi.msk.ru/account/1011451469/", 1011451469)</f>
        <v>1011451469</v>
      </c>
      <c r="D23639">
        <v>-669.81</v>
      </c>
    </row>
    <row r="23640" spans="1:4" hidden="1" x14ac:dyDescent="0.3">
      <c r="A23640" t="s">
        <v>1251</v>
      </c>
      <c r="B23640" t="s">
        <v>20</v>
      </c>
      <c r="C23640" s="1">
        <f>HYPERLINK("https://cao.dolgi.msk.ru/account/1011451549/", 1011451549)</f>
        <v>1011451549</v>
      </c>
      <c r="D23640">
        <v>0</v>
      </c>
    </row>
    <row r="23641" spans="1:4" hidden="1" x14ac:dyDescent="0.3">
      <c r="A23641" t="s">
        <v>1251</v>
      </c>
      <c r="B23641" t="s">
        <v>21</v>
      </c>
      <c r="C23641" s="1">
        <f>HYPERLINK("https://cao.dolgi.msk.ru/account/1011451434/", 1011451434)</f>
        <v>1011451434</v>
      </c>
      <c r="D23641">
        <v>0</v>
      </c>
    </row>
    <row r="23642" spans="1:4" x14ac:dyDescent="0.3">
      <c r="A23642" t="s">
        <v>1251</v>
      </c>
      <c r="B23642" t="s">
        <v>22</v>
      </c>
      <c r="C23642" s="1">
        <f>HYPERLINK("https://cao.dolgi.msk.ru/account/1011451987/", 1011451987)</f>
        <v>1011451987</v>
      </c>
      <c r="D23642">
        <v>20858.21</v>
      </c>
    </row>
    <row r="23643" spans="1:4" hidden="1" x14ac:dyDescent="0.3">
      <c r="A23643" t="s">
        <v>1251</v>
      </c>
      <c r="B23643" t="s">
        <v>24</v>
      </c>
      <c r="C23643" s="1">
        <f>HYPERLINK("https://cao.dolgi.msk.ru/account/1011451899/", 1011451899)</f>
        <v>1011451899</v>
      </c>
      <c r="D23643">
        <v>0</v>
      </c>
    </row>
    <row r="23644" spans="1:4" hidden="1" x14ac:dyDescent="0.3">
      <c r="A23644" t="s">
        <v>1251</v>
      </c>
      <c r="B23644" t="s">
        <v>25</v>
      </c>
      <c r="C23644" s="1">
        <f>HYPERLINK("https://cao.dolgi.msk.ru/account/1011451813/", 1011451813)</f>
        <v>1011451813</v>
      </c>
      <c r="D23644">
        <v>0</v>
      </c>
    </row>
    <row r="23645" spans="1:4" hidden="1" x14ac:dyDescent="0.3">
      <c r="A23645" t="s">
        <v>1251</v>
      </c>
      <c r="B23645" t="s">
        <v>26</v>
      </c>
      <c r="C23645" s="1">
        <f>HYPERLINK("https://cao.dolgi.msk.ru/account/1011451442/", 1011451442)</f>
        <v>1011451442</v>
      </c>
      <c r="D23645">
        <v>0</v>
      </c>
    </row>
    <row r="23646" spans="1:4" hidden="1" x14ac:dyDescent="0.3">
      <c r="A23646" t="s">
        <v>1251</v>
      </c>
      <c r="B23646" t="s">
        <v>27</v>
      </c>
      <c r="C23646" s="1">
        <f>HYPERLINK("https://cao.dolgi.msk.ru/account/1011451856/", 1011451856)</f>
        <v>1011451856</v>
      </c>
      <c r="D23646">
        <v>0</v>
      </c>
    </row>
    <row r="23647" spans="1:4" hidden="1" x14ac:dyDescent="0.3">
      <c r="A23647" t="s">
        <v>1251</v>
      </c>
      <c r="B23647" t="s">
        <v>29</v>
      </c>
      <c r="C23647" s="1">
        <f>HYPERLINK("https://cao.dolgi.msk.ru/account/1011451557/", 1011451557)</f>
        <v>1011451557</v>
      </c>
      <c r="D23647">
        <v>0</v>
      </c>
    </row>
    <row r="23648" spans="1:4" hidden="1" x14ac:dyDescent="0.3">
      <c r="A23648" t="s">
        <v>1251</v>
      </c>
      <c r="B23648" t="s">
        <v>29</v>
      </c>
      <c r="C23648" s="1">
        <f>HYPERLINK("https://cao.dolgi.msk.ru/account/1011451709/", 1011451709)</f>
        <v>1011451709</v>
      </c>
      <c r="D23648">
        <v>-3037.61</v>
      </c>
    </row>
    <row r="23649" spans="1:4" hidden="1" x14ac:dyDescent="0.3">
      <c r="A23649" t="s">
        <v>1251</v>
      </c>
      <c r="B23649" t="s">
        <v>29</v>
      </c>
      <c r="C23649" s="1">
        <f>HYPERLINK("https://cao.dolgi.msk.ru/account/1011451952/", 1011451952)</f>
        <v>1011451952</v>
      </c>
      <c r="D23649">
        <v>-3281.27</v>
      </c>
    </row>
    <row r="23650" spans="1:4" hidden="1" x14ac:dyDescent="0.3">
      <c r="A23650" t="s">
        <v>1251</v>
      </c>
      <c r="B23650" t="s">
        <v>38</v>
      </c>
      <c r="C23650" s="1">
        <f>HYPERLINK("https://cao.dolgi.msk.ru/account/1011451477/", 1011451477)</f>
        <v>1011451477</v>
      </c>
      <c r="D23650">
        <v>0</v>
      </c>
    </row>
    <row r="23651" spans="1:4" hidden="1" x14ac:dyDescent="0.3">
      <c r="A23651" t="s">
        <v>1251</v>
      </c>
      <c r="B23651" t="s">
        <v>39</v>
      </c>
      <c r="C23651" s="1">
        <f>HYPERLINK("https://cao.dolgi.msk.ru/account/1011451733/", 1011451733)</f>
        <v>1011451733</v>
      </c>
      <c r="D23651">
        <v>0</v>
      </c>
    </row>
    <row r="23652" spans="1:4" x14ac:dyDescent="0.3">
      <c r="A23652" t="s">
        <v>1251</v>
      </c>
      <c r="B23652" t="s">
        <v>39</v>
      </c>
      <c r="C23652" s="1">
        <f>HYPERLINK("https://cao.dolgi.msk.ru/account/1011451848/", 1011451848)</f>
        <v>1011451848</v>
      </c>
      <c r="D23652">
        <v>11537.64</v>
      </c>
    </row>
    <row r="23653" spans="1:4" x14ac:dyDescent="0.3">
      <c r="A23653" t="s">
        <v>1251</v>
      </c>
      <c r="B23653" t="s">
        <v>39</v>
      </c>
      <c r="C23653" s="1">
        <f>HYPERLINK("https://cao.dolgi.msk.ru/account/1011452031/", 1011452031)</f>
        <v>1011452031</v>
      </c>
      <c r="D23653">
        <v>37959.65</v>
      </c>
    </row>
    <row r="23654" spans="1:4" hidden="1" x14ac:dyDescent="0.3">
      <c r="A23654" t="s">
        <v>1251</v>
      </c>
      <c r="B23654" t="s">
        <v>40</v>
      </c>
      <c r="C23654" s="1">
        <f>HYPERLINK("https://cao.dolgi.msk.ru/account/1011451653/", 1011451653)</f>
        <v>1011451653</v>
      </c>
      <c r="D23654">
        <v>0</v>
      </c>
    </row>
    <row r="23655" spans="1:4" hidden="1" x14ac:dyDescent="0.3">
      <c r="A23655" t="s">
        <v>1251</v>
      </c>
      <c r="B23655" t="s">
        <v>41</v>
      </c>
      <c r="C23655" s="1">
        <f>HYPERLINK("https://cao.dolgi.msk.ru/account/1011451792/", 1011451792)</f>
        <v>1011451792</v>
      </c>
      <c r="D23655">
        <v>0</v>
      </c>
    </row>
    <row r="23656" spans="1:4" x14ac:dyDescent="0.3">
      <c r="A23656" t="s">
        <v>1251</v>
      </c>
      <c r="B23656" t="s">
        <v>51</v>
      </c>
      <c r="C23656" s="1">
        <f>HYPERLINK("https://cao.dolgi.msk.ru/account/1011451565/", 1011451565)</f>
        <v>1011451565</v>
      </c>
      <c r="D23656">
        <v>21779.69</v>
      </c>
    </row>
    <row r="23657" spans="1:4" hidden="1" x14ac:dyDescent="0.3">
      <c r="A23657" t="s">
        <v>1251</v>
      </c>
      <c r="B23657" t="s">
        <v>52</v>
      </c>
      <c r="C23657" s="1">
        <f>HYPERLINK("https://cao.dolgi.msk.ru/account/1011451936/", 1011451936)</f>
        <v>1011451936</v>
      </c>
      <c r="D23657">
        <v>0</v>
      </c>
    </row>
    <row r="23658" spans="1:4" x14ac:dyDescent="0.3">
      <c r="A23658" t="s">
        <v>1251</v>
      </c>
      <c r="B23658" t="s">
        <v>54</v>
      </c>
      <c r="C23658" s="1">
        <f>HYPERLINK("https://cao.dolgi.msk.ru/account/1011451637/", 1011451637)</f>
        <v>1011451637</v>
      </c>
      <c r="D23658">
        <v>8347.4500000000007</v>
      </c>
    </row>
    <row r="23659" spans="1:4" hidden="1" x14ac:dyDescent="0.3">
      <c r="A23659" t="s">
        <v>1251</v>
      </c>
      <c r="B23659" t="s">
        <v>54</v>
      </c>
      <c r="C23659" s="1">
        <f>HYPERLINK("https://cao.dolgi.msk.ru/account/1011451661/", 1011451661)</f>
        <v>1011451661</v>
      </c>
      <c r="D23659">
        <v>0</v>
      </c>
    </row>
    <row r="23660" spans="1:4" x14ac:dyDescent="0.3">
      <c r="A23660" t="s">
        <v>1251</v>
      </c>
      <c r="B23660" t="s">
        <v>54</v>
      </c>
      <c r="C23660" s="1">
        <f>HYPERLINK("https://cao.dolgi.msk.ru/account/1011451901/", 1011451901)</f>
        <v>1011451901</v>
      </c>
      <c r="D23660">
        <v>8723.01</v>
      </c>
    </row>
    <row r="23661" spans="1:4" hidden="1" x14ac:dyDescent="0.3">
      <c r="A23661" t="s">
        <v>1251</v>
      </c>
      <c r="B23661" t="s">
        <v>55</v>
      </c>
      <c r="C23661" s="1">
        <f>HYPERLINK("https://cao.dolgi.msk.ru/account/1011451688/", 1011451688)</f>
        <v>1011451688</v>
      </c>
      <c r="D23661">
        <v>0</v>
      </c>
    </row>
    <row r="23662" spans="1:4" hidden="1" x14ac:dyDescent="0.3">
      <c r="A23662" t="s">
        <v>1251</v>
      </c>
      <c r="B23662" t="s">
        <v>56</v>
      </c>
      <c r="C23662" s="1">
        <f>HYPERLINK("https://cao.dolgi.msk.ru/account/1011451995/", 1011451995)</f>
        <v>1011451995</v>
      </c>
      <c r="D23662">
        <v>-6342.67</v>
      </c>
    </row>
    <row r="23663" spans="1:4" hidden="1" x14ac:dyDescent="0.3">
      <c r="A23663" t="s">
        <v>1251</v>
      </c>
      <c r="B23663" t="s">
        <v>87</v>
      </c>
      <c r="C23663" s="1">
        <f>HYPERLINK("https://cao.dolgi.msk.ru/account/1011452015/", 1011452015)</f>
        <v>1011452015</v>
      </c>
      <c r="D23663">
        <v>0</v>
      </c>
    </row>
    <row r="23664" spans="1:4" hidden="1" x14ac:dyDescent="0.3">
      <c r="A23664" t="s">
        <v>1251</v>
      </c>
      <c r="B23664" t="s">
        <v>88</v>
      </c>
      <c r="C23664" s="1">
        <f>HYPERLINK("https://cao.dolgi.msk.ru/account/1011452023/", 1011452023)</f>
        <v>1011452023</v>
      </c>
      <c r="D23664">
        <v>0</v>
      </c>
    </row>
    <row r="23665" spans="1:4" x14ac:dyDescent="0.3">
      <c r="A23665" t="s">
        <v>1251</v>
      </c>
      <c r="B23665" t="s">
        <v>89</v>
      </c>
      <c r="C23665" s="1">
        <f>HYPERLINK("https://cao.dolgi.msk.ru/account/1011451485/", 1011451485)</f>
        <v>1011451485</v>
      </c>
      <c r="D23665">
        <v>4806.71</v>
      </c>
    </row>
    <row r="23666" spans="1:4" hidden="1" x14ac:dyDescent="0.3">
      <c r="A23666" t="s">
        <v>1251</v>
      </c>
      <c r="B23666" t="s">
        <v>89</v>
      </c>
      <c r="C23666" s="1">
        <f>HYPERLINK("https://cao.dolgi.msk.ru/account/1011451522/", 1011451522)</f>
        <v>1011451522</v>
      </c>
      <c r="D23666">
        <v>0</v>
      </c>
    </row>
    <row r="23667" spans="1:4" hidden="1" x14ac:dyDescent="0.3">
      <c r="A23667" t="s">
        <v>1251</v>
      </c>
      <c r="B23667" t="s">
        <v>89</v>
      </c>
      <c r="C23667" s="1">
        <f>HYPERLINK("https://cao.dolgi.msk.ru/account/1011451821/", 1011451821)</f>
        <v>1011451821</v>
      </c>
      <c r="D23667">
        <v>-2999.9</v>
      </c>
    </row>
    <row r="23668" spans="1:4" hidden="1" x14ac:dyDescent="0.3">
      <c r="A23668" t="s">
        <v>1251</v>
      </c>
      <c r="B23668" t="s">
        <v>90</v>
      </c>
      <c r="C23668" s="1">
        <f>HYPERLINK("https://cao.dolgi.msk.ru/account/1011451864/", 1011451864)</f>
        <v>1011451864</v>
      </c>
      <c r="D23668">
        <v>0</v>
      </c>
    </row>
    <row r="23669" spans="1:4" hidden="1" x14ac:dyDescent="0.3">
      <c r="A23669" t="s">
        <v>1251</v>
      </c>
      <c r="B23669" t="s">
        <v>96</v>
      </c>
      <c r="C23669" s="1">
        <f>HYPERLINK("https://cao.dolgi.msk.ru/account/1011451741/", 1011451741)</f>
        <v>1011451741</v>
      </c>
      <c r="D23669">
        <v>0</v>
      </c>
    </row>
    <row r="23670" spans="1:4" hidden="1" x14ac:dyDescent="0.3">
      <c r="A23670" t="s">
        <v>1251</v>
      </c>
      <c r="B23670" t="s">
        <v>97</v>
      </c>
      <c r="C23670" s="1">
        <f>HYPERLINK("https://cao.dolgi.msk.ru/account/1011451645/", 1011451645)</f>
        <v>1011451645</v>
      </c>
      <c r="D23670">
        <v>0</v>
      </c>
    </row>
    <row r="23671" spans="1:4" hidden="1" x14ac:dyDescent="0.3">
      <c r="A23671" t="s">
        <v>1251</v>
      </c>
      <c r="B23671" t="s">
        <v>98</v>
      </c>
      <c r="C23671" s="1">
        <f>HYPERLINK("https://cao.dolgi.msk.ru/account/1011451717/", 1011451717)</f>
        <v>1011451717</v>
      </c>
      <c r="D23671">
        <v>0</v>
      </c>
    </row>
    <row r="23672" spans="1:4" hidden="1" x14ac:dyDescent="0.3">
      <c r="A23672" t="s">
        <v>1251</v>
      </c>
      <c r="B23672" t="s">
        <v>58</v>
      </c>
      <c r="C23672" s="1">
        <f>HYPERLINK("https://cao.dolgi.msk.ru/account/1011451506/", 1011451506)</f>
        <v>1011451506</v>
      </c>
      <c r="D23672">
        <v>0</v>
      </c>
    </row>
    <row r="23673" spans="1:4" hidden="1" x14ac:dyDescent="0.3">
      <c r="A23673" t="s">
        <v>1251</v>
      </c>
      <c r="B23673" t="s">
        <v>59</v>
      </c>
      <c r="C23673" s="1">
        <f>HYPERLINK("https://cao.dolgi.msk.ru/account/1011451696/", 1011451696)</f>
        <v>1011451696</v>
      </c>
      <c r="D23673">
        <v>0</v>
      </c>
    </row>
  </sheetData>
  <autoFilter ref="A1:D23673" xr:uid="{00000000-0009-0000-0000-000000000000}">
    <filterColumn colId="3">
      <customFilters>
        <customFilter operator="greaterThanOrEqual" val="0.01"/>
      </customFilters>
    </filterColumn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>Жилищник Басманного района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Ара Робертович Аракелян (Специалист договорного отдела) &lt;arayik125@mail.ru&gt;</dc:creator>
  <dc:description>uuid: 018d216e17347000954d1d8dd4c33058 generated: 2024-01-19 14:14:39</dc:description>
  <cp:lastModifiedBy>User</cp:lastModifiedBy>
  <dcterms:created xsi:type="dcterms:W3CDTF">2024-01-19T11:15:09Z</dcterms:created>
  <dcterms:modified xsi:type="dcterms:W3CDTF">2024-01-19T11:50:29Z</dcterms:modified>
</cp:coreProperties>
</file>