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1355" windowHeight="8610" activeTab="2"/>
  </bookViews>
  <sheets>
    <sheet name="Лист1" sheetId="1" r:id="rId1"/>
    <sheet name="2017 год" sheetId="2" r:id="rId2"/>
    <sheet name="2018 смета" sheetId="4" r:id="rId3"/>
  </sheets>
  <definedNames>
    <definedName name="_xlnm.Print_Area" localSheetId="1">'2017 год'!$A$1:$M$71</definedName>
    <definedName name="_xlnm.Print_Area" localSheetId="2">'2018 смета'!$A$1:$H$71</definedName>
  </definedNames>
  <calcPr calcId="145621"/>
</workbook>
</file>

<file path=xl/calcChain.xml><?xml version="1.0" encoding="utf-8"?>
<calcChain xmlns="http://schemas.openxmlformats.org/spreadsheetml/2006/main">
  <c r="H64" i="4" l="1"/>
  <c r="H23" i="4"/>
  <c r="H69" i="4" l="1"/>
  <c r="H68" i="4" s="1"/>
  <c r="H25" i="4" l="1"/>
  <c r="H56" i="4"/>
  <c r="H55" i="4"/>
  <c r="H54" i="4"/>
  <c r="H47" i="4"/>
  <c r="H41" i="4"/>
  <c r="H40" i="4"/>
  <c r="H39" i="4"/>
  <c r="H38" i="4"/>
  <c r="H37" i="4"/>
  <c r="H36" i="4"/>
  <c r="H27" i="4"/>
  <c r="H28" i="4" s="1"/>
  <c r="H62" i="4" l="1"/>
  <c r="H24" i="4" l="1"/>
  <c r="H53" i="4" l="1"/>
  <c r="H57" i="4" s="1"/>
  <c r="H48" i="4"/>
  <c r="H46" i="4" s="1"/>
  <c r="H35" i="4"/>
  <c r="H42" i="4" s="1"/>
  <c r="J20" i="2" l="1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J65" i="2"/>
  <c r="K65" i="2"/>
  <c r="L65" i="2"/>
  <c r="M65" i="2"/>
  <c r="M19" i="2"/>
  <c r="L19" i="2"/>
  <c r="K19" i="2"/>
  <c r="J19" i="2"/>
  <c r="H52" i="4" l="1"/>
  <c r="H34" i="4"/>
  <c r="H26" i="4"/>
  <c r="H22" i="4"/>
  <c r="H67" i="4" l="1"/>
  <c r="H69" i="2"/>
  <c r="H68" i="2"/>
  <c r="H67" i="2" s="1"/>
  <c r="H49" i="2" l="1"/>
  <c r="H43" i="2"/>
  <c r="H31" i="2" s="1"/>
  <c r="H23" i="2"/>
  <c r="H19" i="2"/>
  <c r="H66" i="2" l="1"/>
  <c r="J66" i="2" l="1"/>
  <c r="K66" i="2"/>
  <c r="L66" i="2"/>
  <c r="M66" i="2"/>
</calcChain>
</file>

<file path=xl/sharedStrings.xml><?xml version="1.0" encoding="utf-8"?>
<sst xmlns="http://schemas.openxmlformats.org/spreadsheetml/2006/main" count="337" uniqueCount="244">
  <si>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</si>
  <si>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</si>
  <si>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</si>
  <si>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</si>
  <si>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</si>
  <si>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</si>
  <si>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</si>
  <si>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</si>
  <si>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</si>
  <si>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</si>
  <si>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</si>
  <si>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</si>
  <si>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</si>
  <si>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</si>
  <si>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</si>
  <si>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</si>
  <si>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</si>
  <si>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</si>
  <si>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</si>
  <si>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</si>
  <si>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</si>
  <si>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</si>
  <si>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</si>
  <si>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</si>
  <si>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</si>
  <si>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</si>
  <si>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</si>
  <si>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</si>
  <si>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</si>
  <si>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</si>
  <si>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</si>
  <si>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</si>
  <si>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</si>
  <si>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</si>
  <si>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</si>
  <si>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</si>
  <si>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</si>
  <si>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</si>
  <si>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</si>
  <si>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</si>
  <si>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</si>
  <si>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</si>
  <si>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</si>
  <si>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</si>
  <si>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</si>
  <si>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</si>
  <si>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</si>
  <si>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</si>
  <si>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</si>
  <si>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</si>
  <si>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</si>
  <si>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</si>
  <si>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</si>
  <si>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</si>
  <si>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</si>
  <si>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</si>
  <si>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</si>
  <si>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</si>
  <si>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</si>
  <si>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</si>
  <si>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</si>
  <si>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</si>
  <si>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</si>
  <si>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</si>
  <si>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</si>
  <si>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</si>
  <si>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</si>
  <si>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</si>
  <si>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</si>
  <si>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</si>
  <si>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</si>
  <si>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</si>
  <si>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</si>
  <si>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</si>
  <si>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</si>
  <si>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</si>
  <si>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</si>
  <si>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</si>
  <si>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</si>
  <si>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</si>
  <si>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</si>
  <si>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</si>
  <si>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</si>
  <si>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</si>
  <si>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</si>
  <si>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</si>
  <si>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</si>
  <si>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</si>
  <si>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</si>
  <si>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</si>
  <si>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</si>
  <si>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</si>
  <si>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</si>
  <si>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</si>
  <si>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</si>
  <si>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</si>
  <si>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</si>
  <si>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</si>
  <si>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</si>
  <si>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</si>
  <si>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</si>
  <si>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</si>
  <si>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</si>
  <si>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</si>
  <si>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</si>
  <si>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</si>
  <si>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</si>
  <si>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</si>
  <si>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</si>
  <si>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</si>
  <si>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</si>
  <si>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</si>
  <si>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</si>
  <si>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</si>
  <si>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</si>
  <si>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</si>
  <si>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</si>
  <si>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</si>
  <si>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</si>
  <si>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</si>
  <si>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</si>
  <si>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</si>
  <si>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</si>
  <si>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</si>
  <si>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</si>
  <si>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</si>
  <si>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</si>
  <si>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</si>
  <si>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</si>
  <si>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</si>
  <si>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</si>
  <si>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</si>
  <si>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</si>
  <si>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</si>
  <si>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</si>
  <si>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</si>
  <si>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</si>
  <si>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</si>
  <si>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</si>
  <si>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</si>
  <si>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</si>
  <si>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</si>
  <si>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</si>
  <si>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</si>
  <si>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</si>
  <si>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</si>
  <si>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</si>
  <si>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</si>
  <si>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</si>
  <si>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</si>
  <si>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</si>
  <si>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</si>
  <si>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</si>
  <si>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</si>
  <si>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</si>
  <si>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</si>
  <si>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</si>
  <si>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</si>
  <si>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</si>
  <si>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</si>
  <si>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</si>
  <si>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</si>
  <si>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</si>
  <si>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</si>
  <si>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газовых плит</t>
  </si>
  <si>
    <t xml:space="preserve">  Работы по санитарному содержанию</t>
  </si>
  <si>
    <t xml:space="preserve">  Работы по управлению МКД </t>
  </si>
  <si>
    <t xml:space="preserve"> Зарплата   АУП </t>
  </si>
  <si>
    <t xml:space="preserve">Начисления АУП   </t>
  </si>
  <si>
    <t>Ремонт и очистка кровли</t>
  </si>
  <si>
    <t>1.</t>
  </si>
  <si>
    <t>2.</t>
  </si>
  <si>
    <t>Начисления на заработную плату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</si>
  <si>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</si>
  <si>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</si>
  <si>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</si>
  <si>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</si>
  <si>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</si>
  <si>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</si>
  <si>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</si>
  <si>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</si>
  <si>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</si>
  <si>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>Зарплата кровельщика</t>
  </si>
  <si>
    <t xml:space="preserve">Начисления на заработную плату         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</si>
  <si>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</si>
  <si>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</si>
  <si>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</si>
  <si>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</si>
  <si>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</si>
  <si>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</si>
  <si>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</si>
  <si>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>5.</t>
  </si>
  <si>
    <t>6.</t>
  </si>
  <si>
    <t>7.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</si>
  <si>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</si>
  <si>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</si>
  <si>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</si>
  <si>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</si>
  <si>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</si>
  <si>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</si>
  <si>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>С.Ю.Сурнин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</si>
  <si>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</si>
  <si>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</si>
  <si>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</si>
  <si>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Оплата труда мусоросборщиков</t>
  </si>
  <si>
    <t>Начисления на заработную плату мусоросборщиков</t>
  </si>
  <si>
    <t>Начисления на заработную плату уборщиков лестничных клеток</t>
  </si>
  <si>
    <t>Оплата труда уборщиков лестничных клеток</t>
  </si>
  <si>
    <t>АДРЕС  Басманная Стар. ул. д.25 стр.1</t>
  </si>
  <si>
    <t>Стоимость работ и услуг по содержанию и текущему ремонту в МКД , (руб)</t>
  </si>
  <si>
    <t xml:space="preserve">                         планово-нормативного расхода на 2017г.</t>
  </si>
  <si>
    <t>Спецодежда (ГК №12-2017 от 20.01.2017)</t>
  </si>
  <si>
    <t>Внеплановые и аварийные работы (ГК №02-2016 от 02.12.2015г.)</t>
  </si>
  <si>
    <t>Лифты (ГК №3Д-2015 от 25.02.2015г.)</t>
  </si>
  <si>
    <t>Расходы за электроэнергию (ГК №96940362 от 01.01.2014)</t>
  </si>
  <si>
    <t>Материалы  (ГК №18-2017 от 03.02.2017г)</t>
  </si>
  <si>
    <t>Дезинсекция (Договор № б/н  от 09.01.2017г.)</t>
  </si>
  <si>
    <t xml:space="preserve">Градэм(програмное обеспечение) (Договор №149-2016 от 19.12.2016г.) </t>
  </si>
  <si>
    <t>Работы по замерам сопротивления (ГК №07-2017 от 15.12.2016г.)</t>
  </si>
  <si>
    <t>Текущий ремонт вентканалов и дымоходов (ГК №05-2017 от 15.12.2016г.)</t>
  </si>
  <si>
    <t>Работы по содержанию газового оборудования  (ГК № 06-2017 от 20.12.2016г.)</t>
  </si>
  <si>
    <t>План-норм расход 2017</t>
  </si>
  <si>
    <t>Инвентарь (ГК №13-2017 от 20.01.2017)</t>
  </si>
  <si>
    <t>в т.ч. приходящаяся на жилые и нежилые помещения в МКД, (руб.) (с учетом вычета ставки за ТБО и КГМ 2,25 руб.)01.01.2017 по 30.06.2017</t>
  </si>
  <si>
    <t>в т.ч. приходящаяся на жилые и нежилые помещения в МКД, (руб.) (с учетом вычета ставки за ТБО и КГМ 2,34 руб.) с 01.07.2017 по 31.12.2017</t>
  </si>
  <si>
    <t>8.</t>
  </si>
  <si>
    <t xml:space="preserve">Спецодежда </t>
  </si>
  <si>
    <t xml:space="preserve">Инвентарь </t>
  </si>
  <si>
    <t xml:space="preserve">Материалы  </t>
  </si>
  <si>
    <t xml:space="preserve">Заместитель директора по и экономике и финансам  </t>
  </si>
  <si>
    <t>в т.ч. приходящаяся на жилые и нежилые помещения в МКД, (руб.) (с учетом вычета ставки за ТБО и КГМ 2,34руб.)01.01.2018 по 30.12.2018</t>
  </si>
  <si>
    <t>Текущий ремонт вентканалов и дымоходов (ГК №11-2018 от 25.12.2017г.)</t>
  </si>
  <si>
    <t>Работы по содержанию газового оборудования  (ГК № 09-2018 от 15.12.2017г.)</t>
  </si>
  <si>
    <t>Лифты (ГК №13-2018 от 26.12.2017г.)</t>
  </si>
  <si>
    <t>Дезинсекция (Договор № 20-2018  от 30.01.2018г.)</t>
  </si>
  <si>
    <t xml:space="preserve">Градэм(програмное обеспечение) </t>
  </si>
  <si>
    <t xml:space="preserve">               планово-нормативного расхода на 2018г.</t>
  </si>
  <si>
    <t>Ю.С. Сеферова</t>
  </si>
  <si>
    <t xml:space="preserve"> расход на 2018г.</t>
  </si>
  <si>
    <t>Ставка план.-норм. расх.по кат*МКД</t>
  </si>
  <si>
    <t>01.01.2018 по 30.06.2018  -21,95</t>
  </si>
  <si>
    <t xml:space="preserve"> с 01.07.2018 по 31.12.2018  - 21,95</t>
  </si>
  <si>
    <t>Доходы на 2018год.</t>
  </si>
  <si>
    <t>___________________ А.Г. Галкина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</si>
</sst>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₽&quot;;\-#,##0.00\ &quot;₽&quot;"/>
    <numFmt numFmtId="164" formatCode="_-* #,##0.00_р_._-;\-* #,##0.00_р_._-;_-* &quot;-&quot;??_р_._-;_-@_-"/>
    <numFmt numFmtId="165" formatCode="_(* #,##0.00_);_(* \(#,##0.00\);_(* &quot;-&quot;??_);_(@_)"/>
    <numFmt numFmtId="166" formatCode="#,##0.00_ ;\-#,##0.00\ 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0" fontId="10" fillId="0" borderId="0">
      <alignment horizontal="right" vertical="center"/>
    </xf>
    <xf numFmtId="0" fontId="5" fillId="0" borderId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/>
    <xf numFmtId="7" fontId="3" fillId="0" borderId="2" xfId="0" applyNumberFormat="1" applyFont="1" applyBorder="1"/>
    <xf numFmtId="7" fontId="7" fillId="0" borderId="2" xfId="1" applyNumberFormat="1" applyFont="1" applyBorder="1"/>
    <xf numFmtId="2" fontId="0" fillId="0" borderId="2" xfId="0" applyNumberFormat="1" applyFill="1" applyBorder="1" applyAlignment="1">
      <alignment horizontal="right" vertical="center"/>
    </xf>
    <xf numFmtId="49" fontId="2" fillId="0" borderId="2" xfId="0" applyNumberFormat="1" applyFont="1" applyBorder="1"/>
    <xf numFmtId="2" fontId="8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/>
    </xf>
    <xf numFmtId="16" fontId="2" fillId="0" borderId="0" xfId="0" applyNumberFormat="1" applyFont="1"/>
    <xf numFmtId="2" fontId="0" fillId="0" borderId="0" xfId="0" applyNumberFormat="1"/>
    <xf numFmtId="0" fontId="2" fillId="0" borderId="0" xfId="0" applyFont="1"/>
    <xf numFmtId="0" fontId="2" fillId="0" borderId="2" xfId="0" applyFont="1" applyBorder="1"/>
    <xf numFmtId="2" fontId="0" fillId="0" borderId="2" xfId="0" applyNumberForma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Border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2" xfId="1" applyNumberFormat="1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0" xfId="0" applyFont="1" applyFill="1" applyAlignment="1">
      <alignment horizontal="right"/>
    </xf>
    <xf numFmtId="0" fontId="7" fillId="0" borderId="0" xfId="1" applyNumberFormat="1" applyFont="1" applyFill="1" applyBorder="1"/>
    <xf numFmtId="0" fontId="7" fillId="0" borderId="2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0" fillId="0" borderId="2" xfId="0" applyFill="1" applyBorder="1"/>
    <xf numFmtId="0" fontId="2" fillId="0" borderId="2" xfId="0" applyFont="1" applyFill="1" applyBorder="1"/>
    <xf numFmtId="49" fontId="0" fillId="0" borderId="2" xfId="0" applyNumberFormat="1" applyFill="1" applyBorder="1"/>
    <xf numFmtId="2" fontId="0" fillId="0" borderId="0" xfId="0" applyNumberFormat="1" applyFill="1"/>
    <xf numFmtId="49" fontId="2" fillId="0" borderId="2" xfId="0" applyNumberFormat="1" applyFont="1" applyFill="1" applyBorder="1"/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166" fontId="3" fillId="0" borderId="2" xfId="0" applyNumberFormat="1" applyFont="1" applyFill="1" applyBorder="1"/>
    <xf numFmtId="166" fontId="7" fillId="0" borderId="2" xfId="1" applyNumberFormat="1" applyFont="1" applyFill="1" applyBorder="1"/>
    <xf numFmtId="2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2" fontId="2" fillId="0" borderId="2" xfId="0" applyNumberFormat="1" applyFont="1" applyFill="1" applyBorder="1" applyAlignment="1">
      <alignment vertical="center" wrapText="1"/>
    </xf>
    <xf numFmtId="0" fontId="5" fillId="0" borderId="34" xfId="6" applyNumberFormat="1" applyFill="1" applyBorder="1" applyAlignment="1">
      <alignment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0" fillId="0" borderId="6" xfId="0" applyNumberForma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8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33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166" fontId="3" fillId="0" borderId="35" xfId="0" applyNumberFormat="1" applyFont="1" applyFill="1" applyBorder="1" applyAlignment="1">
      <alignment horizontal="center" vertical="center" wrapText="1"/>
    </xf>
    <xf numFmtId="166" fontId="3" fillId="0" borderId="36" xfId="0" applyNumberFormat="1" applyFont="1" applyFill="1" applyBorder="1" applyAlignment="1">
      <alignment horizontal="center" vertical="center" wrapText="1"/>
    </xf>
    <xf numFmtId="166" fontId="3" fillId="0" borderId="3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7">
    <cellStyle name="S6" xfId="5"/>
    <cellStyle name="Обычный" xfId="0" builtinId="0"/>
    <cellStyle name="Обычный 2" xfId="4"/>
    <cellStyle name="Обычный 3" xfId="6"/>
    <cellStyle name="Обычный_Лист1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7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42" t="s">
        <v>1</v>
      </c>
      <c r="E2" s="142"/>
      <c r="F2" s="142"/>
      <c r="G2" s="142"/>
      <c r="H2" s="142"/>
      <c r="I2" s="142"/>
    </row>
    <row r="4" spans="1:12" x14ac:dyDescent="0.2">
      <c r="A4" s="142" t="s">
        <v>23</v>
      </c>
      <c r="B4" s="142"/>
      <c r="C4" s="142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43"/>
      <c r="B27" s="131" t="s">
        <v>15</v>
      </c>
      <c r="C27" s="132"/>
      <c r="D27" s="132"/>
      <c r="E27" s="132"/>
      <c r="F27" s="132"/>
      <c r="G27" s="133"/>
      <c r="H27" s="44" t="s">
        <v>24</v>
      </c>
      <c r="I27" s="46" t="s">
        <v>100</v>
      </c>
      <c r="J27" s="128" t="s">
        <v>16</v>
      </c>
      <c r="K27" s="129"/>
      <c r="L27" s="129"/>
      <c r="M27" s="130"/>
    </row>
    <row r="28" spans="1:15" ht="13.5" thickBot="1" x14ac:dyDescent="0.25">
      <c r="A28" s="144"/>
      <c r="B28" s="134"/>
      <c r="C28" s="135"/>
      <c r="D28" s="135"/>
      <c r="E28" s="135"/>
      <c r="F28" s="135"/>
      <c r="G28" s="13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39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40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40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41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3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38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3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38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3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38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45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38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45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38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zoomScaleNormal="100" workbookViewId="0">
      <selection activeCell="H24" sqref="H24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4.425781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201</v>
      </c>
    </row>
    <row r="3" spans="1:14" x14ac:dyDescent="0.2">
      <c r="J3" t="s">
        <v>202</v>
      </c>
    </row>
    <row r="4" spans="1:14" x14ac:dyDescent="0.2">
      <c r="J4" t="s">
        <v>203</v>
      </c>
    </row>
    <row r="5" spans="1:14" x14ac:dyDescent="0.2">
      <c r="D5" s="1"/>
      <c r="E5" s="1"/>
      <c r="F5" s="1"/>
      <c r="G5" s="2" t="s">
        <v>0</v>
      </c>
      <c r="H5" s="1"/>
      <c r="I5" s="1"/>
    </row>
    <row r="6" spans="1:14" x14ac:dyDescent="0.2">
      <c r="D6" s="142" t="s">
        <v>210</v>
      </c>
      <c r="E6" s="142"/>
      <c r="F6" s="142"/>
      <c r="G6" s="142"/>
      <c r="H6" s="142"/>
      <c r="I6" s="142"/>
    </row>
    <row r="7" spans="1:14" x14ac:dyDescent="0.2">
      <c r="A7" s="168" t="s">
        <v>208</v>
      </c>
      <c r="B7" s="168"/>
      <c r="C7" s="168"/>
      <c r="D7" s="168"/>
      <c r="I7" s="1"/>
    </row>
    <row r="8" spans="1:14" x14ac:dyDescent="0.2">
      <c r="A8" s="169" t="s">
        <v>146</v>
      </c>
      <c r="B8" s="169"/>
      <c r="C8" s="169"/>
      <c r="D8" s="169"/>
      <c r="H8" s="4"/>
      <c r="I8" s="4"/>
      <c r="J8" s="38"/>
      <c r="K8" s="4"/>
      <c r="L8" s="4"/>
    </row>
    <row r="9" spans="1:14" x14ac:dyDescent="0.2">
      <c r="A9" s="166" t="s">
        <v>147</v>
      </c>
      <c r="B9" s="170"/>
      <c r="C9" s="170"/>
      <c r="D9" s="73">
        <v>1917</v>
      </c>
      <c r="E9" s="74"/>
      <c r="F9" s="74"/>
      <c r="G9" s="74"/>
      <c r="H9" s="75"/>
      <c r="I9" s="75"/>
      <c r="J9" s="86" t="s">
        <v>150</v>
      </c>
      <c r="K9" s="86"/>
      <c r="L9" s="76">
        <v>2</v>
      </c>
      <c r="M9" s="77"/>
      <c r="N9" s="78"/>
    </row>
    <row r="10" spans="1:14" x14ac:dyDescent="0.2">
      <c r="A10" s="166" t="s">
        <v>162</v>
      </c>
      <c r="B10" s="170"/>
      <c r="C10" s="170"/>
      <c r="D10" s="89">
        <v>2639.4</v>
      </c>
      <c r="E10" s="74"/>
      <c r="F10" s="74"/>
      <c r="G10" s="74"/>
      <c r="H10" s="75"/>
      <c r="I10" s="75"/>
      <c r="J10" s="86" t="s">
        <v>151</v>
      </c>
      <c r="K10" s="86"/>
      <c r="L10" s="73">
        <v>5</v>
      </c>
      <c r="M10" s="77"/>
      <c r="N10" s="75"/>
    </row>
    <row r="11" spans="1:14" x14ac:dyDescent="0.2">
      <c r="A11" s="166" t="s">
        <v>148</v>
      </c>
      <c r="B11" s="166"/>
      <c r="C11" s="167"/>
      <c r="D11" s="89">
        <v>2130.6999999999998</v>
      </c>
      <c r="E11" s="74"/>
      <c r="F11" s="74"/>
      <c r="G11" s="74"/>
      <c r="H11" s="75"/>
      <c r="I11" s="75"/>
      <c r="J11" s="86" t="s">
        <v>154</v>
      </c>
      <c r="K11" s="86"/>
      <c r="L11" s="73">
        <v>2</v>
      </c>
      <c r="M11" s="77"/>
      <c r="N11" s="75"/>
    </row>
    <row r="12" spans="1:14" x14ac:dyDescent="0.2">
      <c r="A12" s="166" t="s">
        <v>163</v>
      </c>
      <c r="B12" s="170"/>
      <c r="C12" s="170"/>
      <c r="D12" s="89">
        <v>1340.3</v>
      </c>
      <c r="E12" s="74"/>
      <c r="F12" s="74"/>
      <c r="G12" s="74"/>
      <c r="H12" s="75"/>
      <c r="I12" s="75"/>
      <c r="J12" s="86" t="s">
        <v>152</v>
      </c>
      <c r="K12" s="86"/>
      <c r="L12" s="73">
        <v>21</v>
      </c>
      <c r="M12" s="77"/>
      <c r="N12" s="75"/>
    </row>
    <row r="13" spans="1:14" x14ac:dyDescent="0.2">
      <c r="A13" s="166" t="s">
        <v>149</v>
      </c>
      <c r="B13" s="166"/>
      <c r="C13" s="167"/>
      <c r="D13" s="89">
        <v>508.7</v>
      </c>
      <c r="E13" s="74"/>
      <c r="F13" s="74"/>
      <c r="G13" s="74"/>
      <c r="H13" s="75"/>
      <c r="I13" s="75"/>
      <c r="J13" s="86" t="s">
        <v>153</v>
      </c>
      <c r="K13" s="86"/>
      <c r="L13" s="73">
        <v>68</v>
      </c>
      <c r="M13" s="77"/>
      <c r="N13" s="75"/>
    </row>
    <row r="14" spans="1:14" x14ac:dyDescent="0.2">
      <c r="A14" s="166" t="s">
        <v>156</v>
      </c>
      <c r="B14" s="166"/>
      <c r="C14" s="167"/>
      <c r="D14" s="90">
        <v>338</v>
      </c>
      <c r="E14" s="77"/>
      <c r="F14" s="78"/>
      <c r="G14" s="74"/>
      <c r="H14" s="75"/>
      <c r="I14" s="87"/>
      <c r="J14" s="88" t="s">
        <v>164</v>
      </c>
      <c r="K14" s="88"/>
      <c r="L14" s="80">
        <v>23</v>
      </c>
      <c r="M14" s="77"/>
      <c r="N14" s="75"/>
    </row>
    <row r="15" spans="1:14" x14ac:dyDescent="0.2">
      <c r="A15" s="166" t="s">
        <v>155</v>
      </c>
      <c r="B15" s="166"/>
      <c r="C15" s="167"/>
      <c r="D15" s="90">
        <v>803</v>
      </c>
      <c r="E15" s="77"/>
      <c r="F15" s="78"/>
      <c r="G15" s="74"/>
      <c r="H15" s="75"/>
      <c r="I15" s="75"/>
      <c r="J15" s="87"/>
      <c r="K15" s="87"/>
      <c r="L15" s="103"/>
      <c r="M15" s="77"/>
      <c r="N15" s="75"/>
    </row>
    <row r="16" spans="1:14" x14ac:dyDescent="0.2">
      <c r="A16" s="166" t="s">
        <v>157</v>
      </c>
      <c r="B16" s="166"/>
      <c r="C16" s="167"/>
      <c r="D16" s="90">
        <v>968.2</v>
      </c>
      <c r="E16" s="77"/>
      <c r="F16" s="78"/>
      <c r="G16" s="74"/>
      <c r="H16" s="75"/>
      <c r="I16" s="75"/>
      <c r="J16" s="87"/>
      <c r="K16" s="87"/>
      <c r="L16" s="78"/>
      <c r="M16" s="77"/>
      <c r="N16" s="78"/>
    </row>
    <row r="17" spans="1:15" x14ac:dyDescent="0.2">
      <c r="A17" s="77"/>
      <c r="B17" s="77"/>
      <c r="C17" s="79"/>
      <c r="D17" s="73"/>
      <c r="E17" s="77"/>
      <c r="F17" s="78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158</v>
      </c>
      <c r="B18" s="155" t="s">
        <v>159</v>
      </c>
      <c r="C18" s="155"/>
      <c r="D18" s="155"/>
      <c r="E18" s="155"/>
      <c r="F18" s="155"/>
      <c r="G18" s="155"/>
      <c r="H18" s="71" t="s">
        <v>221</v>
      </c>
      <c r="I18" s="71" t="s">
        <v>160</v>
      </c>
      <c r="J18" s="71" t="s">
        <v>17</v>
      </c>
      <c r="K18" s="71" t="s">
        <v>18</v>
      </c>
      <c r="L18" s="71" t="s">
        <v>19</v>
      </c>
      <c r="M18" s="71" t="s">
        <v>161</v>
      </c>
      <c r="O18" s="19"/>
    </row>
    <row r="19" spans="1:15" ht="19.5" customHeight="1" x14ac:dyDescent="0.2">
      <c r="A19" s="85" t="s">
        <v>170</v>
      </c>
      <c r="B19" s="156" t="s">
        <v>166</v>
      </c>
      <c r="C19" s="157"/>
      <c r="D19" s="157"/>
      <c r="E19" s="157"/>
      <c r="F19" s="157"/>
      <c r="G19" s="158"/>
      <c r="H19" s="81">
        <f>H20+H21+H22</f>
        <v>48411.119999999995</v>
      </c>
      <c r="I19" s="81"/>
      <c r="J19" s="81">
        <f>H19/4</f>
        <v>12102.779999999999</v>
      </c>
      <c r="K19" s="81">
        <f>H19/4</f>
        <v>12102.779999999999</v>
      </c>
      <c r="L19" s="81">
        <f>H19/4</f>
        <v>12102.779999999999</v>
      </c>
      <c r="M19" s="81">
        <f>H19/4</f>
        <v>12102.779999999999</v>
      </c>
      <c r="O19" s="19"/>
    </row>
    <row r="20" spans="1:15" ht="15.75" customHeight="1" x14ac:dyDescent="0.2">
      <c r="A20" s="85"/>
      <c r="B20" s="159" t="s">
        <v>167</v>
      </c>
      <c r="C20" s="160"/>
      <c r="D20" s="160"/>
      <c r="E20" s="160"/>
      <c r="F20" s="160"/>
      <c r="G20" s="161"/>
      <c r="H20" s="81">
        <v>35341.199999999997</v>
      </c>
      <c r="I20" s="81"/>
      <c r="J20" s="100">
        <f t="shared" ref="J20:J65" si="0">H20/4</f>
        <v>8835.2999999999993</v>
      </c>
      <c r="K20" s="100">
        <f t="shared" ref="K20:K65" si="1">H20/4</f>
        <v>8835.2999999999993</v>
      </c>
      <c r="L20" s="100">
        <f t="shared" ref="L20:L65" si="2">H20/4</f>
        <v>8835.2999999999993</v>
      </c>
      <c r="M20" s="100">
        <f t="shared" ref="M20:M65" si="3">H20/4</f>
        <v>8835.2999999999993</v>
      </c>
      <c r="O20" s="19"/>
    </row>
    <row r="21" spans="1:15" ht="15.75" customHeight="1" x14ac:dyDescent="0.2">
      <c r="A21" s="85"/>
      <c r="B21" s="159" t="s">
        <v>168</v>
      </c>
      <c r="C21" s="160"/>
      <c r="D21" s="160"/>
      <c r="E21" s="160"/>
      <c r="F21" s="160"/>
      <c r="G21" s="161"/>
      <c r="H21" s="81">
        <v>10673.04</v>
      </c>
      <c r="I21" s="81"/>
      <c r="J21" s="100">
        <f t="shared" si="0"/>
        <v>2668.26</v>
      </c>
      <c r="K21" s="100">
        <f t="shared" si="1"/>
        <v>2668.26</v>
      </c>
      <c r="L21" s="100">
        <f t="shared" si="2"/>
        <v>2668.26</v>
      </c>
      <c r="M21" s="100">
        <f t="shared" si="3"/>
        <v>2668.26</v>
      </c>
      <c r="O21" s="19"/>
    </row>
    <row r="22" spans="1:15" ht="29.25" customHeight="1" x14ac:dyDescent="0.2">
      <c r="A22" s="85"/>
      <c r="B22" s="159" t="s">
        <v>217</v>
      </c>
      <c r="C22" s="160"/>
      <c r="D22" s="160"/>
      <c r="E22" s="160"/>
      <c r="F22" s="160"/>
      <c r="G22" s="161"/>
      <c r="H22" s="81">
        <v>2396.88</v>
      </c>
      <c r="I22" s="81"/>
      <c r="J22" s="100">
        <f t="shared" si="0"/>
        <v>599.22</v>
      </c>
      <c r="K22" s="100">
        <f t="shared" si="1"/>
        <v>599.22</v>
      </c>
      <c r="L22" s="100">
        <f t="shared" si="2"/>
        <v>599.22</v>
      </c>
      <c r="M22" s="100">
        <f t="shared" si="3"/>
        <v>599.22</v>
      </c>
      <c r="O22" s="19"/>
    </row>
    <row r="23" spans="1:15" x14ac:dyDescent="0.2">
      <c r="A23" s="72" t="s">
        <v>171</v>
      </c>
      <c r="B23" s="149" t="s">
        <v>165</v>
      </c>
      <c r="C23" s="150"/>
      <c r="D23" s="150"/>
      <c r="E23" s="150"/>
      <c r="F23" s="150"/>
      <c r="G23" s="151"/>
      <c r="H23" s="82">
        <f>H24+H25+H26+H27+H28+H29+H30</f>
        <v>148404.82999999999</v>
      </c>
      <c r="I23" s="82"/>
      <c r="J23" s="100">
        <f t="shared" si="0"/>
        <v>37101.207499999997</v>
      </c>
      <c r="K23" s="100">
        <f t="shared" si="1"/>
        <v>37101.207499999997</v>
      </c>
      <c r="L23" s="100">
        <f t="shared" si="2"/>
        <v>37101.207499999997</v>
      </c>
      <c r="M23" s="100">
        <f t="shared" si="3"/>
        <v>37101.207499999997</v>
      </c>
      <c r="O23" s="19"/>
    </row>
    <row r="24" spans="1:15" ht="12.75" customHeight="1" x14ac:dyDescent="0.2">
      <c r="A24" s="83"/>
      <c r="B24" s="152" t="s">
        <v>207</v>
      </c>
      <c r="C24" s="153"/>
      <c r="D24" s="153"/>
      <c r="E24" s="153"/>
      <c r="F24" s="153"/>
      <c r="G24" s="154"/>
      <c r="H24" s="82">
        <v>81528</v>
      </c>
      <c r="I24" s="82"/>
      <c r="J24" s="100">
        <f t="shared" si="0"/>
        <v>20382</v>
      </c>
      <c r="K24" s="100">
        <f t="shared" si="1"/>
        <v>20382</v>
      </c>
      <c r="L24" s="100">
        <f t="shared" si="2"/>
        <v>20382</v>
      </c>
      <c r="M24" s="100">
        <f t="shared" si="3"/>
        <v>20382</v>
      </c>
      <c r="O24" s="19"/>
    </row>
    <row r="25" spans="1:15" x14ac:dyDescent="0.2">
      <c r="A25" s="70"/>
      <c r="B25" s="146" t="s">
        <v>206</v>
      </c>
      <c r="C25" s="147"/>
      <c r="D25" s="147"/>
      <c r="E25" s="147"/>
      <c r="F25" s="147"/>
      <c r="G25" s="148"/>
      <c r="H25" s="82">
        <v>24621.46</v>
      </c>
      <c r="I25" s="82"/>
      <c r="J25" s="100">
        <f t="shared" si="0"/>
        <v>6155.3649999999998</v>
      </c>
      <c r="K25" s="100">
        <f t="shared" si="1"/>
        <v>6155.3649999999998</v>
      </c>
      <c r="L25" s="100">
        <f t="shared" si="2"/>
        <v>6155.3649999999998</v>
      </c>
      <c r="M25" s="100">
        <f t="shared" si="3"/>
        <v>6155.3649999999998</v>
      </c>
      <c r="O25" s="19"/>
    </row>
    <row r="26" spans="1:15" ht="12.75" customHeight="1" x14ac:dyDescent="0.2">
      <c r="A26" s="70"/>
      <c r="B26" s="146" t="s">
        <v>204</v>
      </c>
      <c r="C26" s="147"/>
      <c r="D26" s="147"/>
      <c r="E26" s="147"/>
      <c r="F26" s="147"/>
      <c r="G26" s="148"/>
      <c r="H26" s="82">
        <v>0</v>
      </c>
      <c r="I26" s="82"/>
      <c r="J26" s="100">
        <f t="shared" si="0"/>
        <v>0</v>
      </c>
      <c r="K26" s="100">
        <f t="shared" si="1"/>
        <v>0</v>
      </c>
      <c r="L26" s="100">
        <f t="shared" si="2"/>
        <v>0</v>
      </c>
      <c r="M26" s="100">
        <f t="shared" si="3"/>
        <v>0</v>
      </c>
      <c r="O26" s="19"/>
    </row>
    <row r="27" spans="1:15" ht="12.75" customHeight="1" x14ac:dyDescent="0.2">
      <c r="A27" s="70"/>
      <c r="B27" s="146" t="s">
        <v>205</v>
      </c>
      <c r="C27" s="147"/>
      <c r="D27" s="147"/>
      <c r="E27" s="147"/>
      <c r="F27" s="147"/>
      <c r="G27" s="148"/>
      <c r="H27" s="82">
        <v>0</v>
      </c>
      <c r="I27" s="82"/>
      <c r="J27" s="100">
        <f t="shared" si="0"/>
        <v>0</v>
      </c>
      <c r="K27" s="100">
        <f t="shared" si="1"/>
        <v>0</v>
      </c>
      <c r="L27" s="100">
        <f t="shared" si="2"/>
        <v>0</v>
      </c>
      <c r="M27" s="100">
        <f t="shared" si="3"/>
        <v>0</v>
      </c>
      <c r="O27" s="19"/>
    </row>
    <row r="28" spans="1:15" ht="12.75" customHeight="1" x14ac:dyDescent="0.2">
      <c r="A28" s="70"/>
      <c r="B28" s="146" t="s">
        <v>211</v>
      </c>
      <c r="C28" s="147"/>
      <c r="D28" s="147"/>
      <c r="E28" s="147"/>
      <c r="F28" s="147"/>
      <c r="G28" s="148"/>
      <c r="H28" s="82">
        <v>1274.76</v>
      </c>
      <c r="I28" s="82"/>
      <c r="J28" s="100">
        <f t="shared" si="0"/>
        <v>318.69</v>
      </c>
      <c r="K28" s="100">
        <f t="shared" si="1"/>
        <v>318.69</v>
      </c>
      <c r="L28" s="100">
        <f t="shared" si="2"/>
        <v>318.69</v>
      </c>
      <c r="M28" s="100">
        <f t="shared" si="3"/>
        <v>318.69</v>
      </c>
      <c r="O28" s="19"/>
    </row>
    <row r="29" spans="1:15" ht="12.75" customHeight="1" x14ac:dyDescent="0.2">
      <c r="A29" s="83"/>
      <c r="B29" s="146" t="s">
        <v>222</v>
      </c>
      <c r="C29" s="147"/>
      <c r="D29" s="147"/>
      <c r="E29" s="147"/>
      <c r="F29" s="147"/>
      <c r="G29" s="148"/>
      <c r="H29" s="82">
        <v>2530.2600000000002</v>
      </c>
      <c r="I29" s="82"/>
      <c r="J29" s="100">
        <f t="shared" si="0"/>
        <v>632.56500000000005</v>
      </c>
      <c r="K29" s="100">
        <f t="shared" si="1"/>
        <v>632.56500000000005</v>
      </c>
      <c r="L29" s="100">
        <f t="shared" si="2"/>
        <v>632.56500000000005</v>
      </c>
      <c r="M29" s="100">
        <f t="shared" si="3"/>
        <v>632.56500000000005</v>
      </c>
      <c r="O29" s="19"/>
    </row>
    <row r="30" spans="1:15" ht="12.75" customHeight="1" x14ac:dyDescent="0.2">
      <c r="A30" s="83"/>
      <c r="B30" s="146" t="s">
        <v>215</v>
      </c>
      <c r="C30" s="153"/>
      <c r="D30" s="153"/>
      <c r="E30" s="153"/>
      <c r="F30" s="153"/>
      <c r="G30" s="154"/>
      <c r="H30" s="82">
        <v>38450.35</v>
      </c>
      <c r="I30" s="82"/>
      <c r="J30" s="100">
        <f t="shared" si="0"/>
        <v>9612.5874999999996</v>
      </c>
      <c r="K30" s="100">
        <f t="shared" si="1"/>
        <v>9612.5874999999996</v>
      </c>
      <c r="L30" s="100">
        <f t="shared" si="2"/>
        <v>9612.5874999999996</v>
      </c>
      <c r="M30" s="100">
        <f t="shared" si="3"/>
        <v>9612.5874999999996</v>
      </c>
      <c r="O30" s="19"/>
    </row>
    <row r="31" spans="1:15" ht="15.75" customHeight="1" x14ac:dyDescent="0.2">
      <c r="A31" s="72" t="s">
        <v>173</v>
      </c>
      <c r="B31" s="149" t="s">
        <v>174</v>
      </c>
      <c r="C31" s="150"/>
      <c r="D31" s="150"/>
      <c r="E31" s="150"/>
      <c r="F31" s="150"/>
      <c r="G31" s="151"/>
      <c r="H31" s="82">
        <f>H32+H39+H40+H41+H42+H43</f>
        <v>212639.90999999997</v>
      </c>
      <c r="I31" s="82"/>
      <c r="J31" s="100">
        <f t="shared" si="0"/>
        <v>53159.977499999994</v>
      </c>
      <c r="K31" s="100">
        <f t="shared" si="1"/>
        <v>53159.977499999994</v>
      </c>
      <c r="L31" s="100">
        <f t="shared" si="2"/>
        <v>53159.977499999994</v>
      </c>
      <c r="M31" s="100">
        <f t="shared" si="3"/>
        <v>53159.977499999994</v>
      </c>
      <c r="O31" s="19"/>
    </row>
    <row r="32" spans="1:15" ht="12.75" customHeight="1" x14ac:dyDescent="0.2">
      <c r="A32" s="83"/>
      <c r="B32" s="146" t="s">
        <v>175</v>
      </c>
      <c r="C32" s="153"/>
      <c r="D32" s="153"/>
      <c r="E32" s="153"/>
      <c r="F32" s="153"/>
      <c r="G32" s="154"/>
      <c r="H32" s="82">
        <v>91380</v>
      </c>
      <c r="I32" s="82"/>
      <c r="J32" s="100">
        <f t="shared" si="0"/>
        <v>22845</v>
      </c>
      <c r="K32" s="100">
        <f t="shared" si="1"/>
        <v>22845</v>
      </c>
      <c r="L32" s="100">
        <f t="shared" si="2"/>
        <v>22845</v>
      </c>
      <c r="M32" s="100">
        <f t="shared" si="3"/>
        <v>22845</v>
      </c>
      <c r="O32" s="19"/>
    </row>
    <row r="33" spans="1:15" ht="12.75" customHeight="1" x14ac:dyDescent="0.2">
      <c r="A33" s="83"/>
      <c r="B33" s="146" t="s">
        <v>176</v>
      </c>
      <c r="C33" s="153"/>
      <c r="D33" s="153"/>
      <c r="E33" s="153"/>
      <c r="F33" s="153"/>
      <c r="G33" s="154"/>
      <c r="H33" s="82">
        <v>18528</v>
      </c>
      <c r="I33" s="82"/>
      <c r="J33" s="100">
        <f t="shared" si="0"/>
        <v>4632</v>
      </c>
      <c r="K33" s="100">
        <f t="shared" si="1"/>
        <v>4632</v>
      </c>
      <c r="L33" s="100">
        <f t="shared" si="2"/>
        <v>4632</v>
      </c>
      <c r="M33" s="100">
        <f t="shared" si="3"/>
        <v>4632</v>
      </c>
      <c r="O33" s="19"/>
    </row>
    <row r="34" spans="1:15" ht="12.75" customHeight="1" x14ac:dyDescent="0.2">
      <c r="A34" s="83"/>
      <c r="B34" s="146" t="s">
        <v>177</v>
      </c>
      <c r="C34" s="153"/>
      <c r="D34" s="153"/>
      <c r="E34" s="153"/>
      <c r="F34" s="153"/>
      <c r="G34" s="154"/>
      <c r="H34" s="82">
        <v>16212</v>
      </c>
      <c r="I34" s="82"/>
      <c r="J34" s="100">
        <f t="shared" si="0"/>
        <v>4053</v>
      </c>
      <c r="K34" s="100">
        <f t="shared" si="1"/>
        <v>4053</v>
      </c>
      <c r="L34" s="100">
        <f t="shared" si="2"/>
        <v>4053</v>
      </c>
      <c r="M34" s="100">
        <f t="shared" si="3"/>
        <v>4053</v>
      </c>
      <c r="O34" s="19"/>
    </row>
    <row r="35" spans="1:15" ht="12.75" customHeight="1" x14ac:dyDescent="0.2">
      <c r="A35" s="83"/>
      <c r="B35" s="146" t="s">
        <v>178</v>
      </c>
      <c r="C35" s="153"/>
      <c r="D35" s="153"/>
      <c r="E35" s="153"/>
      <c r="F35" s="153"/>
      <c r="G35" s="154"/>
      <c r="H35" s="82">
        <v>6948</v>
      </c>
      <c r="I35" s="82"/>
      <c r="J35" s="100">
        <f t="shared" si="0"/>
        <v>1737</v>
      </c>
      <c r="K35" s="100">
        <f t="shared" si="1"/>
        <v>1737</v>
      </c>
      <c r="L35" s="100">
        <f t="shared" si="2"/>
        <v>1737</v>
      </c>
      <c r="M35" s="100">
        <f t="shared" si="3"/>
        <v>1737</v>
      </c>
      <c r="O35" s="19"/>
    </row>
    <row r="36" spans="1:15" ht="12.75" customHeight="1" x14ac:dyDescent="0.2">
      <c r="A36" s="83"/>
      <c r="B36" s="146" t="s">
        <v>179</v>
      </c>
      <c r="C36" s="147"/>
      <c r="D36" s="147"/>
      <c r="E36" s="147"/>
      <c r="F36" s="147"/>
      <c r="G36" s="148"/>
      <c r="H36" s="82">
        <v>11580</v>
      </c>
      <c r="I36" s="82"/>
      <c r="J36" s="100">
        <f t="shared" si="0"/>
        <v>2895</v>
      </c>
      <c r="K36" s="100">
        <f t="shared" si="1"/>
        <v>2895</v>
      </c>
      <c r="L36" s="100">
        <f t="shared" si="2"/>
        <v>2895</v>
      </c>
      <c r="M36" s="100">
        <f t="shared" si="3"/>
        <v>2895</v>
      </c>
      <c r="O36" s="19"/>
    </row>
    <row r="37" spans="1:15" ht="12.75" customHeight="1" x14ac:dyDescent="0.2">
      <c r="A37" s="83"/>
      <c r="B37" s="146" t="s">
        <v>180</v>
      </c>
      <c r="C37" s="147"/>
      <c r="D37" s="147"/>
      <c r="E37" s="147"/>
      <c r="F37" s="147"/>
      <c r="G37" s="148"/>
      <c r="H37" s="82">
        <v>32424</v>
      </c>
      <c r="I37" s="82"/>
      <c r="J37" s="100">
        <f t="shared" si="0"/>
        <v>8106</v>
      </c>
      <c r="K37" s="100">
        <f t="shared" si="1"/>
        <v>8106</v>
      </c>
      <c r="L37" s="100">
        <f t="shared" si="2"/>
        <v>8106</v>
      </c>
      <c r="M37" s="100">
        <f t="shared" si="3"/>
        <v>8106</v>
      </c>
      <c r="O37" s="19"/>
    </row>
    <row r="38" spans="1:15" ht="12.75" customHeight="1" x14ac:dyDescent="0.2">
      <c r="A38" s="83"/>
      <c r="B38" s="146" t="s">
        <v>181</v>
      </c>
      <c r="C38" s="147"/>
      <c r="D38" s="147"/>
      <c r="E38" s="147"/>
      <c r="F38" s="147"/>
      <c r="G38" s="148"/>
      <c r="H38" s="82">
        <v>5688</v>
      </c>
      <c r="I38" s="82"/>
      <c r="J38" s="100">
        <f t="shared" si="0"/>
        <v>1422</v>
      </c>
      <c r="K38" s="100">
        <f t="shared" si="1"/>
        <v>1422</v>
      </c>
      <c r="L38" s="100">
        <f t="shared" si="2"/>
        <v>1422</v>
      </c>
      <c r="M38" s="100">
        <f t="shared" si="3"/>
        <v>1422</v>
      </c>
      <c r="O38" s="19"/>
    </row>
    <row r="39" spans="1:15" ht="13.5" customHeight="1" x14ac:dyDescent="0.2">
      <c r="A39" s="70"/>
      <c r="B39" s="146" t="s">
        <v>172</v>
      </c>
      <c r="C39" s="147"/>
      <c r="D39" s="147"/>
      <c r="E39" s="147"/>
      <c r="F39" s="147"/>
      <c r="G39" s="148"/>
      <c r="H39" s="82">
        <v>27596.76</v>
      </c>
      <c r="I39" s="82"/>
      <c r="J39" s="100">
        <f t="shared" si="0"/>
        <v>6899.19</v>
      </c>
      <c r="K39" s="100">
        <f t="shared" si="1"/>
        <v>6899.19</v>
      </c>
      <c r="L39" s="100">
        <f t="shared" si="2"/>
        <v>6899.19</v>
      </c>
      <c r="M39" s="100">
        <f t="shared" si="3"/>
        <v>6899.19</v>
      </c>
      <c r="O39" s="19"/>
    </row>
    <row r="40" spans="1:15" ht="13.5" customHeight="1" x14ac:dyDescent="0.2">
      <c r="A40" s="70"/>
      <c r="B40" s="146" t="s">
        <v>211</v>
      </c>
      <c r="C40" s="147"/>
      <c r="D40" s="147"/>
      <c r="E40" s="147"/>
      <c r="F40" s="147"/>
      <c r="G40" s="148"/>
      <c r="H40" s="82">
        <v>1274.76</v>
      </c>
      <c r="I40" s="82"/>
      <c r="J40" s="100">
        <f t="shared" si="0"/>
        <v>318.69</v>
      </c>
      <c r="K40" s="100">
        <f t="shared" si="1"/>
        <v>318.69</v>
      </c>
      <c r="L40" s="100">
        <f t="shared" si="2"/>
        <v>318.69</v>
      </c>
      <c r="M40" s="100">
        <f t="shared" si="3"/>
        <v>318.69</v>
      </c>
      <c r="O40" s="19"/>
    </row>
    <row r="41" spans="1:15" ht="13.5" customHeight="1" x14ac:dyDescent="0.2">
      <c r="A41" s="70"/>
      <c r="B41" s="146" t="s">
        <v>222</v>
      </c>
      <c r="C41" s="147"/>
      <c r="D41" s="147"/>
      <c r="E41" s="147"/>
      <c r="F41" s="147"/>
      <c r="G41" s="148"/>
      <c r="H41" s="82">
        <v>2530.2600000000002</v>
      </c>
      <c r="I41" s="82"/>
      <c r="J41" s="100">
        <f t="shared" si="0"/>
        <v>632.56500000000005</v>
      </c>
      <c r="K41" s="100">
        <f t="shared" si="1"/>
        <v>632.56500000000005</v>
      </c>
      <c r="L41" s="100">
        <f t="shared" si="2"/>
        <v>632.56500000000005</v>
      </c>
      <c r="M41" s="100">
        <f t="shared" si="3"/>
        <v>632.56500000000005</v>
      </c>
      <c r="O41" s="19"/>
    </row>
    <row r="42" spans="1:15" ht="13.5" customHeight="1" x14ac:dyDescent="0.2">
      <c r="A42" s="70"/>
      <c r="B42" s="146" t="s">
        <v>215</v>
      </c>
      <c r="C42" s="153"/>
      <c r="D42" s="153"/>
      <c r="E42" s="153"/>
      <c r="F42" s="153"/>
      <c r="G42" s="154"/>
      <c r="H42" s="82">
        <v>39450.35</v>
      </c>
      <c r="I42" s="82"/>
      <c r="J42" s="100">
        <f t="shared" si="0"/>
        <v>9862.5874999999996</v>
      </c>
      <c r="K42" s="100">
        <f t="shared" si="1"/>
        <v>9862.5874999999996</v>
      </c>
      <c r="L42" s="100">
        <f t="shared" si="2"/>
        <v>9862.5874999999996</v>
      </c>
      <c r="M42" s="100">
        <f t="shared" si="3"/>
        <v>9862.5874999999996</v>
      </c>
      <c r="O42" s="19"/>
    </row>
    <row r="43" spans="1:15" ht="13.5" customHeight="1" x14ac:dyDescent="0.2">
      <c r="A43" s="70"/>
      <c r="B43" s="149" t="s">
        <v>169</v>
      </c>
      <c r="C43" s="150"/>
      <c r="D43" s="150"/>
      <c r="E43" s="150"/>
      <c r="F43" s="150"/>
      <c r="G43" s="151"/>
      <c r="H43" s="82">
        <f>H44+H45+H46+H47+H48</f>
        <v>50407.78</v>
      </c>
      <c r="I43" s="82"/>
      <c r="J43" s="100">
        <f t="shared" si="0"/>
        <v>12601.945</v>
      </c>
      <c r="K43" s="100">
        <f t="shared" si="1"/>
        <v>12601.945</v>
      </c>
      <c r="L43" s="100">
        <f t="shared" si="2"/>
        <v>12601.945</v>
      </c>
      <c r="M43" s="100">
        <f t="shared" si="3"/>
        <v>12601.945</v>
      </c>
      <c r="O43" s="19"/>
    </row>
    <row r="44" spans="1:15" ht="13.5" customHeight="1" x14ac:dyDescent="0.2">
      <c r="A44" s="70"/>
      <c r="B44" s="146" t="s">
        <v>182</v>
      </c>
      <c r="C44" s="147"/>
      <c r="D44" s="147"/>
      <c r="E44" s="147"/>
      <c r="F44" s="147"/>
      <c r="G44" s="148"/>
      <c r="H44" s="82">
        <v>18528</v>
      </c>
      <c r="I44" s="82"/>
      <c r="J44" s="100">
        <f t="shared" si="0"/>
        <v>4632</v>
      </c>
      <c r="K44" s="100">
        <f t="shared" si="1"/>
        <v>4632</v>
      </c>
      <c r="L44" s="100">
        <f t="shared" si="2"/>
        <v>4632</v>
      </c>
      <c r="M44" s="100">
        <f t="shared" si="3"/>
        <v>4632</v>
      </c>
      <c r="O44" s="19"/>
    </row>
    <row r="45" spans="1:15" ht="13.5" customHeight="1" x14ac:dyDescent="0.2">
      <c r="A45" s="70"/>
      <c r="B45" s="146" t="s">
        <v>183</v>
      </c>
      <c r="C45" s="147"/>
      <c r="D45" s="147"/>
      <c r="E45" s="147"/>
      <c r="F45" s="147"/>
      <c r="G45" s="148"/>
      <c r="H45" s="82">
        <v>5595.46</v>
      </c>
      <c r="I45" s="82"/>
      <c r="J45" s="100">
        <f t="shared" si="0"/>
        <v>1398.865</v>
      </c>
      <c r="K45" s="100">
        <f t="shared" si="1"/>
        <v>1398.865</v>
      </c>
      <c r="L45" s="100">
        <f t="shared" si="2"/>
        <v>1398.865</v>
      </c>
      <c r="M45" s="100">
        <f t="shared" si="3"/>
        <v>1398.865</v>
      </c>
      <c r="O45" s="19"/>
    </row>
    <row r="46" spans="1:15" ht="13.5" customHeight="1" x14ac:dyDescent="0.2">
      <c r="A46" s="70"/>
      <c r="B46" s="146" t="s">
        <v>211</v>
      </c>
      <c r="C46" s="147"/>
      <c r="D46" s="147"/>
      <c r="E46" s="147"/>
      <c r="F46" s="147"/>
      <c r="G46" s="148"/>
      <c r="H46" s="82">
        <v>1019.88</v>
      </c>
      <c r="I46" s="82"/>
      <c r="J46" s="100">
        <f t="shared" si="0"/>
        <v>254.97</v>
      </c>
      <c r="K46" s="100">
        <f t="shared" si="1"/>
        <v>254.97</v>
      </c>
      <c r="L46" s="100">
        <f t="shared" si="2"/>
        <v>254.97</v>
      </c>
      <c r="M46" s="100">
        <f t="shared" si="3"/>
        <v>254.97</v>
      </c>
      <c r="O46" s="19"/>
    </row>
    <row r="47" spans="1:15" ht="13.5" customHeight="1" x14ac:dyDescent="0.2">
      <c r="A47" s="70"/>
      <c r="B47" s="146" t="s">
        <v>222</v>
      </c>
      <c r="C47" s="147"/>
      <c r="D47" s="147"/>
      <c r="E47" s="147"/>
      <c r="F47" s="147"/>
      <c r="G47" s="148"/>
      <c r="H47" s="82">
        <v>2104.08</v>
      </c>
      <c r="I47" s="82"/>
      <c r="J47" s="100">
        <f t="shared" si="0"/>
        <v>526.02</v>
      </c>
      <c r="K47" s="100">
        <f t="shared" si="1"/>
        <v>526.02</v>
      </c>
      <c r="L47" s="100">
        <f t="shared" si="2"/>
        <v>526.02</v>
      </c>
      <c r="M47" s="100">
        <f t="shared" si="3"/>
        <v>526.02</v>
      </c>
      <c r="O47" s="19"/>
    </row>
    <row r="48" spans="1:15" ht="13.5" customHeight="1" x14ac:dyDescent="0.2">
      <c r="A48" s="70"/>
      <c r="B48" s="146" t="s">
        <v>215</v>
      </c>
      <c r="C48" s="153"/>
      <c r="D48" s="153"/>
      <c r="E48" s="153"/>
      <c r="F48" s="153"/>
      <c r="G48" s="154"/>
      <c r="H48" s="82">
        <v>23160.36</v>
      </c>
      <c r="I48" s="82"/>
      <c r="J48" s="100">
        <f t="shared" si="0"/>
        <v>5790.09</v>
      </c>
      <c r="K48" s="100">
        <f t="shared" si="1"/>
        <v>5790.09</v>
      </c>
      <c r="L48" s="100">
        <f t="shared" si="2"/>
        <v>5790.09</v>
      </c>
      <c r="M48" s="100">
        <f t="shared" si="3"/>
        <v>5790.09</v>
      </c>
      <c r="O48" s="19"/>
    </row>
    <row r="49" spans="1:15" ht="12.75" customHeight="1" x14ac:dyDescent="0.2">
      <c r="A49" s="72" t="s">
        <v>187</v>
      </c>
      <c r="B49" s="149" t="s">
        <v>184</v>
      </c>
      <c r="C49" s="150"/>
      <c r="D49" s="150"/>
      <c r="E49" s="150"/>
      <c r="F49" s="150"/>
      <c r="G49" s="151"/>
      <c r="H49" s="82">
        <f>H50+H54+H55+H56+H57</f>
        <v>124454.05999999998</v>
      </c>
      <c r="I49" s="82"/>
      <c r="J49" s="100">
        <f t="shared" si="0"/>
        <v>31113.514999999996</v>
      </c>
      <c r="K49" s="100">
        <f t="shared" si="1"/>
        <v>31113.514999999996</v>
      </c>
      <c r="L49" s="100">
        <f t="shared" si="2"/>
        <v>31113.514999999996</v>
      </c>
      <c r="M49" s="100">
        <f t="shared" si="3"/>
        <v>31113.514999999996</v>
      </c>
      <c r="O49" s="19"/>
    </row>
    <row r="50" spans="1:15" ht="12.75" customHeight="1" x14ac:dyDescent="0.2">
      <c r="A50" s="72"/>
      <c r="B50" s="152" t="s">
        <v>185</v>
      </c>
      <c r="C50" s="153"/>
      <c r="D50" s="153"/>
      <c r="E50" s="153"/>
      <c r="F50" s="153"/>
      <c r="G50" s="154"/>
      <c r="H50" s="82">
        <v>62100</v>
      </c>
      <c r="I50" s="82"/>
      <c r="J50" s="100">
        <f t="shared" si="0"/>
        <v>15525</v>
      </c>
      <c r="K50" s="100">
        <f t="shared" si="1"/>
        <v>15525</v>
      </c>
      <c r="L50" s="100">
        <f t="shared" si="2"/>
        <v>15525</v>
      </c>
      <c r="M50" s="100">
        <f t="shared" si="3"/>
        <v>15525</v>
      </c>
      <c r="O50" s="19"/>
    </row>
    <row r="51" spans="1:15" ht="12.75" customHeight="1" x14ac:dyDescent="0.2">
      <c r="A51" s="72"/>
      <c r="B51" s="152" t="s">
        <v>186</v>
      </c>
      <c r="C51" s="153"/>
      <c r="D51" s="153"/>
      <c r="E51" s="153"/>
      <c r="F51" s="153"/>
      <c r="G51" s="154"/>
      <c r="H51" s="82">
        <v>37800</v>
      </c>
      <c r="I51" s="82"/>
      <c r="J51" s="100">
        <f t="shared" si="0"/>
        <v>9450</v>
      </c>
      <c r="K51" s="100">
        <f t="shared" si="1"/>
        <v>9450</v>
      </c>
      <c r="L51" s="100">
        <f t="shared" si="2"/>
        <v>9450</v>
      </c>
      <c r="M51" s="100">
        <f t="shared" si="3"/>
        <v>9450</v>
      </c>
      <c r="O51" s="19"/>
    </row>
    <row r="52" spans="1:15" ht="12.75" customHeight="1" x14ac:dyDescent="0.2">
      <c r="A52" s="72"/>
      <c r="B52" s="152" t="s">
        <v>188</v>
      </c>
      <c r="C52" s="153"/>
      <c r="D52" s="153"/>
      <c r="E52" s="153"/>
      <c r="F52" s="153"/>
      <c r="G52" s="154"/>
      <c r="H52" s="82">
        <v>13500</v>
      </c>
      <c r="I52" s="82"/>
      <c r="J52" s="100">
        <f t="shared" si="0"/>
        <v>3375</v>
      </c>
      <c r="K52" s="100">
        <f t="shared" si="1"/>
        <v>3375</v>
      </c>
      <c r="L52" s="100">
        <f t="shared" si="2"/>
        <v>3375</v>
      </c>
      <c r="M52" s="100">
        <f t="shared" si="3"/>
        <v>3375</v>
      </c>
      <c r="O52" s="19"/>
    </row>
    <row r="53" spans="1:15" ht="12.75" customHeight="1" x14ac:dyDescent="0.2">
      <c r="A53" s="72"/>
      <c r="B53" s="152" t="s">
        <v>189</v>
      </c>
      <c r="C53" s="153"/>
      <c r="D53" s="153"/>
      <c r="E53" s="153"/>
      <c r="F53" s="153"/>
      <c r="G53" s="154"/>
      <c r="H53" s="82">
        <v>10800</v>
      </c>
      <c r="I53" s="82"/>
      <c r="J53" s="100">
        <f t="shared" si="0"/>
        <v>2700</v>
      </c>
      <c r="K53" s="100">
        <f t="shared" si="1"/>
        <v>2700</v>
      </c>
      <c r="L53" s="100">
        <f t="shared" si="2"/>
        <v>2700</v>
      </c>
      <c r="M53" s="100">
        <f t="shared" si="3"/>
        <v>2700</v>
      </c>
      <c r="O53" s="19"/>
    </row>
    <row r="54" spans="1:15" ht="12.75" customHeight="1" x14ac:dyDescent="0.2">
      <c r="A54" s="72"/>
      <c r="B54" s="152" t="s">
        <v>190</v>
      </c>
      <c r="C54" s="153"/>
      <c r="D54" s="153"/>
      <c r="E54" s="153"/>
      <c r="F54" s="153"/>
      <c r="G54" s="154"/>
      <c r="H54" s="82">
        <v>18754.2</v>
      </c>
      <c r="I54" s="82"/>
      <c r="J54" s="100">
        <f t="shared" si="0"/>
        <v>4688.55</v>
      </c>
      <c r="K54" s="100">
        <f t="shared" si="1"/>
        <v>4688.55</v>
      </c>
      <c r="L54" s="100">
        <f t="shared" si="2"/>
        <v>4688.55</v>
      </c>
      <c r="M54" s="100">
        <f t="shared" si="3"/>
        <v>4688.55</v>
      </c>
      <c r="O54" s="19"/>
    </row>
    <row r="55" spans="1:15" ht="12.75" customHeight="1" x14ac:dyDescent="0.2">
      <c r="A55" s="72"/>
      <c r="B55" s="146" t="s">
        <v>211</v>
      </c>
      <c r="C55" s="147"/>
      <c r="D55" s="147"/>
      <c r="E55" s="147"/>
      <c r="F55" s="147"/>
      <c r="G55" s="148"/>
      <c r="H55" s="82">
        <v>1529.76</v>
      </c>
      <c r="I55" s="82"/>
      <c r="J55" s="100">
        <f t="shared" si="0"/>
        <v>382.44</v>
      </c>
      <c r="K55" s="100">
        <f t="shared" si="1"/>
        <v>382.44</v>
      </c>
      <c r="L55" s="100">
        <f t="shared" si="2"/>
        <v>382.44</v>
      </c>
      <c r="M55" s="100">
        <f t="shared" si="3"/>
        <v>382.44</v>
      </c>
      <c r="O55" s="19"/>
    </row>
    <row r="56" spans="1:15" ht="12.75" customHeight="1" x14ac:dyDescent="0.2">
      <c r="A56" s="72"/>
      <c r="B56" s="146" t="s">
        <v>222</v>
      </c>
      <c r="C56" s="147"/>
      <c r="D56" s="147"/>
      <c r="E56" s="147"/>
      <c r="F56" s="147"/>
      <c r="G56" s="148"/>
      <c r="H56" s="82">
        <v>2329.7600000000002</v>
      </c>
      <c r="I56" s="82"/>
      <c r="J56" s="100">
        <f t="shared" si="0"/>
        <v>582.44000000000005</v>
      </c>
      <c r="K56" s="100">
        <f t="shared" si="1"/>
        <v>582.44000000000005</v>
      </c>
      <c r="L56" s="100">
        <f t="shared" si="2"/>
        <v>582.44000000000005</v>
      </c>
      <c r="M56" s="100">
        <f t="shared" si="3"/>
        <v>582.44000000000005</v>
      </c>
      <c r="O56" s="19"/>
    </row>
    <row r="57" spans="1:15" ht="12.75" customHeight="1" x14ac:dyDescent="0.2">
      <c r="A57" s="72"/>
      <c r="B57" s="146" t="s">
        <v>215</v>
      </c>
      <c r="C57" s="153"/>
      <c r="D57" s="153"/>
      <c r="E57" s="153"/>
      <c r="F57" s="153"/>
      <c r="G57" s="154"/>
      <c r="H57" s="82">
        <v>39740.339999999997</v>
      </c>
      <c r="I57" s="82"/>
      <c r="J57" s="100">
        <f t="shared" si="0"/>
        <v>9935.0849999999991</v>
      </c>
      <c r="K57" s="100">
        <f t="shared" si="1"/>
        <v>9935.0849999999991</v>
      </c>
      <c r="L57" s="100">
        <f t="shared" si="2"/>
        <v>9935.0849999999991</v>
      </c>
      <c r="M57" s="100">
        <f t="shared" si="3"/>
        <v>9935.0849999999991</v>
      </c>
      <c r="O57" s="19"/>
    </row>
    <row r="58" spans="1:15" ht="18" customHeight="1" x14ac:dyDescent="0.2">
      <c r="A58" s="72" t="s">
        <v>191</v>
      </c>
      <c r="B58" s="149" t="s">
        <v>213</v>
      </c>
      <c r="C58" s="150"/>
      <c r="D58" s="150"/>
      <c r="E58" s="150"/>
      <c r="F58" s="150"/>
      <c r="G58" s="151"/>
      <c r="H58" s="82">
        <v>53048.22</v>
      </c>
      <c r="I58" s="82"/>
      <c r="J58" s="100">
        <f t="shared" si="0"/>
        <v>13262.055</v>
      </c>
      <c r="K58" s="100">
        <f t="shared" si="1"/>
        <v>13262.055</v>
      </c>
      <c r="L58" s="100">
        <f t="shared" si="2"/>
        <v>13262.055</v>
      </c>
      <c r="M58" s="100">
        <f t="shared" si="3"/>
        <v>13262.055</v>
      </c>
      <c r="O58" s="19"/>
    </row>
    <row r="59" spans="1:15" ht="18" customHeight="1" x14ac:dyDescent="0.2">
      <c r="A59" s="72" t="s">
        <v>192</v>
      </c>
      <c r="B59" s="149" t="s">
        <v>216</v>
      </c>
      <c r="C59" s="150"/>
      <c r="D59" s="150"/>
      <c r="E59" s="150"/>
      <c r="F59" s="150"/>
      <c r="G59" s="151"/>
      <c r="H59" s="82">
        <v>2825.52</v>
      </c>
      <c r="I59" s="82"/>
      <c r="J59" s="100">
        <f t="shared" si="0"/>
        <v>706.38</v>
      </c>
      <c r="K59" s="100">
        <f t="shared" si="1"/>
        <v>706.38</v>
      </c>
      <c r="L59" s="100">
        <f t="shared" si="2"/>
        <v>706.38</v>
      </c>
      <c r="M59" s="100">
        <f t="shared" si="3"/>
        <v>706.38</v>
      </c>
      <c r="O59" s="19"/>
    </row>
    <row r="60" spans="1:15" ht="38.25" customHeight="1" x14ac:dyDescent="0.2">
      <c r="A60" s="72" t="s">
        <v>193</v>
      </c>
      <c r="B60" s="149" t="s">
        <v>220</v>
      </c>
      <c r="C60" s="150"/>
      <c r="D60" s="150"/>
      <c r="E60" s="150"/>
      <c r="F60" s="150"/>
      <c r="G60" s="151"/>
      <c r="H60" s="82">
        <v>19806.36</v>
      </c>
      <c r="I60" s="82"/>
      <c r="J60" s="100">
        <f t="shared" si="0"/>
        <v>4951.59</v>
      </c>
      <c r="K60" s="100">
        <f t="shared" si="1"/>
        <v>4951.59</v>
      </c>
      <c r="L60" s="100">
        <f t="shared" si="2"/>
        <v>4951.59</v>
      </c>
      <c r="M60" s="100">
        <f t="shared" si="3"/>
        <v>4951.59</v>
      </c>
      <c r="O60" s="19"/>
    </row>
    <row r="61" spans="1:15" ht="27" customHeight="1" x14ac:dyDescent="0.2">
      <c r="A61" s="84" t="s">
        <v>225</v>
      </c>
      <c r="B61" s="149" t="s">
        <v>219</v>
      </c>
      <c r="C61" s="150"/>
      <c r="D61" s="150"/>
      <c r="E61" s="150"/>
      <c r="F61" s="150"/>
      <c r="G61" s="151"/>
      <c r="H61" s="82">
        <v>4671.1099999999997</v>
      </c>
      <c r="I61" s="82"/>
      <c r="J61" s="100">
        <f t="shared" si="0"/>
        <v>1167.7774999999999</v>
      </c>
      <c r="K61" s="100">
        <f t="shared" si="1"/>
        <v>1167.7774999999999</v>
      </c>
      <c r="L61" s="100">
        <f t="shared" si="2"/>
        <v>1167.7774999999999</v>
      </c>
      <c r="M61" s="100">
        <f t="shared" si="3"/>
        <v>1167.7774999999999</v>
      </c>
      <c r="O61" s="19"/>
    </row>
    <row r="62" spans="1:15" ht="31.5" customHeight="1" x14ac:dyDescent="0.2">
      <c r="A62" s="84" t="s">
        <v>195</v>
      </c>
      <c r="B62" s="149" t="s">
        <v>212</v>
      </c>
      <c r="C62" s="150"/>
      <c r="D62" s="150"/>
      <c r="E62" s="150"/>
      <c r="F62" s="150"/>
      <c r="G62" s="151"/>
      <c r="H62" s="82">
        <v>17420.04</v>
      </c>
      <c r="I62" s="82"/>
      <c r="J62" s="100">
        <f t="shared" si="0"/>
        <v>4355.01</v>
      </c>
      <c r="K62" s="100">
        <f t="shared" si="1"/>
        <v>4355.01</v>
      </c>
      <c r="L62" s="100">
        <f t="shared" si="2"/>
        <v>4355.01</v>
      </c>
      <c r="M62" s="100">
        <f t="shared" si="3"/>
        <v>4355.01</v>
      </c>
      <c r="O62" s="19"/>
    </row>
    <row r="63" spans="1:15" ht="19.5" customHeight="1" x14ac:dyDescent="0.2">
      <c r="A63" s="84" t="s">
        <v>196</v>
      </c>
      <c r="B63" s="149" t="s">
        <v>214</v>
      </c>
      <c r="C63" s="150"/>
      <c r="D63" s="150"/>
      <c r="E63" s="150"/>
      <c r="F63" s="150"/>
      <c r="G63" s="151"/>
      <c r="H63" s="82">
        <v>54996.34</v>
      </c>
      <c r="I63" s="82"/>
      <c r="J63" s="100">
        <f t="shared" si="0"/>
        <v>13749.084999999999</v>
      </c>
      <c r="K63" s="100">
        <f t="shared" si="1"/>
        <v>13749.084999999999</v>
      </c>
      <c r="L63" s="100">
        <f t="shared" si="2"/>
        <v>13749.084999999999</v>
      </c>
      <c r="M63" s="100">
        <f t="shared" si="3"/>
        <v>13749.084999999999</v>
      </c>
      <c r="O63" s="19"/>
    </row>
    <row r="64" spans="1:15" ht="12.75" customHeight="1" x14ac:dyDescent="0.2">
      <c r="A64" s="84" t="s">
        <v>197</v>
      </c>
      <c r="B64" s="149" t="s">
        <v>194</v>
      </c>
      <c r="C64" s="150"/>
      <c r="D64" s="150"/>
      <c r="E64" s="150"/>
      <c r="F64" s="150"/>
      <c r="G64" s="151"/>
      <c r="H64" s="82">
        <v>6401.16</v>
      </c>
      <c r="I64" s="82"/>
      <c r="J64" s="100">
        <f t="shared" si="0"/>
        <v>1600.29</v>
      </c>
      <c r="K64" s="100">
        <f t="shared" si="1"/>
        <v>1600.29</v>
      </c>
      <c r="L64" s="100">
        <f t="shared" si="2"/>
        <v>1600.29</v>
      </c>
      <c r="M64" s="100">
        <f t="shared" si="3"/>
        <v>1600.29</v>
      </c>
      <c r="O64" s="19"/>
    </row>
    <row r="65" spans="1:15" ht="28.5" customHeight="1" x14ac:dyDescent="0.2">
      <c r="A65" s="84" t="s">
        <v>198</v>
      </c>
      <c r="B65" s="149" t="s">
        <v>218</v>
      </c>
      <c r="C65" s="150"/>
      <c r="D65" s="150"/>
      <c r="E65" s="150"/>
      <c r="F65" s="150"/>
      <c r="G65" s="151"/>
      <c r="H65" s="82">
        <v>12274.59</v>
      </c>
      <c r="I65" s="82"/>
      <c r="J65" s="100">
        <f t="shared" si="0"/>
        <v>3068.6475</v>
      </c>
      <c r="K65" s="100">
        <f t="shared" si="1"/>
        <v>3068.6475</v>
      </c>
      <c r="L65" s="100">
        <f t="shared" si="2"/>
        <v>3068.6475</v>
      </c>
      <c r="M65" s="100">
        <f t="shared" si="3"/>
        <v>3068.6475</v>
      </c>
      <c r="O65" s="19"/>
    </row>
    <row r="66" spans="1:15" s="98" customFormat="1" ht="37.5" customHeight="1" x14ac:dyDescent="0.2">
      <c r="A66" s="99"/>
      <c r="B66" s="149" t="s">
        <v>91</v>
      </c>
      <c r="C66" s="150"/>
      <c r="D66" s="150"/>
      <c r="E66" s="150"/>
      <c r="F66" s="150"/>
      <c r="G66" s="151"/>
      <c r="H66" s="93">
        <f>H65+H64+H63+H62+H61+H60+H59+H58+H49+H31+H23+H19</f>
        <v>705353.26</v>
      </c>
      <c r="I66" s="101"/>
      <c r="J66" s="102">
        <f t="shared" ref="J66" si="4">H66/4</f>
        <v>176338.315</v>
      </c>
      <c r="K66" s="102">
        <f t="shared" ref="K66" si="5">H66/4</f>
        <v>176338.315</v>
      </c>
      <c r="L66" s="102">
        <f t="shared" ref="L66" si="6">H66/4</f>
        <v>176338.315</v>
      </c>
      <c r="M66" s="102">
        <f t="shared" ref="M66" si="7">H66/4</f>
        <v>176338.315</v>
      </c>
      <c r="O66" s="96"/>
    </row>
    <row r="67" spans="1:15" ht="42" customHeight="1" x14ac:dyDescent="0.2">
      <c r="A67" s="92"/>
      <c r="B67" s="162" t="s">
        <v>209</v>
      </c>
      <c r="C67" s="163"/>
      <c r="D67" s="163"/>
      <c r="E67" s="163"/>
      <c r="F67" s="163"/>
      <c r="G67" s="163"/>
      <c r="H67" s="93">
        <f>H68+H69</f>
        <v>705353.25599999982</v>
      </c>
      <c r="I67" s="91"/>
      <c r="J67" s="95"/>
      <c r="K67" s="95"/>
      <c r="L67" s="91"/>
      <c r="M67" s="91"/>
      <c r="O67" s="19"/>
    </row>
    <row r="68" spans="1:15" ht="43.5" customHeight="1" x14ac:dyDescent="0.2">
      <c r="A68" s="92"/>
      <c r="B68" s="164" t="s">
        <v>223</v>
      </c>
      <c r="C68" s="165"/>
      <c r="D68" s="165"/>
      <c r="E68" s="165"/>
      <c r="F68" s="165"/>
      <c r="G68" s="165"/>
      <c r="H68" s="94">
        <f>(24.08-2.25)*(D11+D13)*6</f>
        <v>345708.61199999991</v>
      </c>
      <c r="I68" s="91"/>
      <c r="J68" s="95"/>
      <c r="K68" s="95"/>
      <c r="L68" s="91"/>
      <c r="M68" s="91"/>
      <c r="O68" s="19"/>
    </row>
    <row r="69" spans="1:15" ht="47.25" customHeight="1" x14ac:dyDescent="0.2">
      <c r="A69" s="92"/>
      <c r="B69" s="164" t="s">
        <v>224</v>
      </c>
      <c r="C69" s="165"/>
      <c r="D69" s="165"/>
      <c r="E69" s="165"/>
      <c r="F69" s="165"/>
      <c r="G69" s="165"/>
      <c r="H69" s="94">
        <f>(25.05-2.34)*(D11+D13)*6</f>
        <v>359644.64399999997</v>
      </c>
      <c r="I69" s="91"/>
      <c r="J69" s="95"/>
      <c r="K69" s="95"/>
      <c r="L69" s="91"/>
      <c r="M69" s="91"/>
      <c r="O69" s="19"/>
    </row>
    <row r="70" spans="1:15" ht="18.75" customHeight="1" x14ac:dyDescent="0.2">
      <c r="H70" s="97"/>
    </row>
    <row r="71" spans="1:15" ht="24" customHeight="1" x14ac:dyDescent="0.2">
      <c r="B71" t="s">
        <v>199</v>
      </c>
      <c r="K71" t="s">
        <v>200</v>
      </c>
    </row>
  </sheetData>
  <mergeCells count="63">
    <mergeCell ref="B67:G67"/>
    <mergeCell ref="B68:G68"/>
    <mergeCell ref="B69:G69"/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8:G58"/>
    <mergeCell ref="B38:G38"/>
    <mergeCell ref="B18:G18"/>
    <mergeCell ref="B19:G19"/>
    <mergeCell ref="B21:G21"/>
    <mergeCell ref="B23:G23"/>
    <mergeCell ref="B20:G20"/>
    <mergeCell ref="B22:G22"/>
    <mergeCell ref="B32:G32"/>
    <mergeCell ref="B34:G34"/>
    <mergeCell ref="B35:G35"/>
    <mergeCell ref="B36:G36"/>
    <mergeCell ref="B37:G37"/>
    <mergeCell ref="B24:G24"/>
    <mergeCell ref="B29:G29"/>
    <mergeCell ref="B31:G31"/>
    <mergeCell ref="B25:G25"/>
    <mergeCell ref="B28:G28"/>
    <mergeCell ref="B30:G30"/>
    <mergeCell ref="B26:G26"/>
    <mergeCell ref="B27:G27"/>
    <mergeCell ref="B66:G66"/>
    <mergeCell ref="B33:G33"/>
    <mergeCell ref="B60:G60"/>
    <mergeCell ref="B40:G40"/>
    <mergeCell ref="B41:G41"/>
    <mergeCell ref="B42:G42"/>
    <mergeCell ref="B43:G43"/>
    <mergeCell ref="B63:G63"/>
    <mergeCell ref="B59:G59"/>
    <mergeCell ref="B39:G39"/>
    <mergeCell ref="B65:G65"/>
    <mergeCell ref="B62:G62"/>
    <mergeCell ref="B64:G64"/>
    <mergeCell ref="B44:G44"/>
    <mergeCell ref="B61:G61"/>
    <mergeCell ref="B57:G57"/>
    <mergeCell ref="B45:G45"/>
    <mergeCell ref="B46:G46"/>
    <mergeCell ref="B54:G54"/>
    <mergeCell ref="B55:G55"/>
    <mergeCell ref="B48:G48"/>
    <mergeCell ref="B56:G56"/>
    <mergeCell ref="B47:G47"/>
    <mergeCell ref="B49:G49"/>
    <mergeCell ref="B50:G50"/>
    <mergeCell ref="B51:G51"/>
    <mergeCell ref="B52:G52"/>
    <mergeCell ref="B53:G53"/>
  </mergeCells>
  <phoneticPr fontId="3" type="noConversion"/>
  <pageMargins left="0.21" right="0.17" top="0.27" bottom="0.21" header="0.17" footer="0.17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topLeftCell="A54" zoomScaleNormal="100" workbookViewId="0">
      <selection sqref="A1:H71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14" customWidth="1"/>
    <col min="8" max="8" width="23.140625" style="104" customWidth="1"/>
    <col min="10" max="10" width="11.85546875" customWidth="1"/>
  </cols>
  <sheetData>
    <row r="1" spans="1:8" s="104" customFormat="1" x14ac:dyDescent="0.2">
      <c r="H1" s="125" t="s">
        <v>145</v>
      </c>
    </row>
    <row r="2" spans="1:8" s="104" customFormat="1" x14ac:dyDescent="0.2">
      <c r="H2" s="125" t="s">
        <v>229</v>
      </c>
    </row>
    <row r="3" spans="1:8" s="104" customFormat="1" x14ac:dyDescent="0.2">
      <c r="H3" s="125" t="s">
        <v>202</v>
      </c>
    </row>
    <row r="4" spans="1:8" s="104" customFormat="1" x14ac:dyDescent="0.2">
      <c r="H4" s="125" t="s">
        <v>243</v>
      </c>
    </row>
    <row r="5" spans="1:8" s="104" customFormat="1" x14ac:dyDescent="0.2">
      <c r="H5" s="125"/>
    </row>
    <row r="6" spans="1:8" s="104" customFormat="1" x14ac:dyDescent="0.2">
      <c r="H6" s="125"/>
    </row>
    <row r="7" spans="1:8" s="104" customFormat="1" x14ac:dyDescent="0.2">
      <c r="D7" s="105"/>
      <c r="E7" s="98"/>
      <c r="F7" s="98" t="s">
        <v>0</v>
      </c>
      <c r="G7" s="106"/>
      <c r="H7" s="105"/>
    </row>
    <row r="8" spans="1:8" s="104" customFormat="1" x14ac:dyDescent="0.2">
      <c r="D8" s="186" t="s">
        <v>236</v>
      </c>
      <c r="E8" s="186"/>
      <c r="F8" s="186"/>
      <c r="G8" s="186"/>
      <c r="H8" s="186"/>
    </row>
    <row r="9" spans="1:8" s="104" customFormat="1" x14ac:dyDescent="0.2">
      <c r="D9" s="188"/>
      <c r="E9" s="188"/>
      <c r="F9" s="188"/>
      <c r="G9" s="188"/>
      <c r="H9" s="188"/>
    </row>
    <row r="10" spans="1:8" s="104" customFormat="1" x14ac:dyDescent="0.2">
      <c r="A10" s="189" t="s">
        <v>208</v>
      </c>
      <c r="B10" s="189"/>
      <c r="C10" s="189"/>
      <c r="D10" s="189"/>
      <c r="G10" s="121" t="s">
        <v>150</v>
      </c>
      <c r="H10" s="110">
        <v>2</v>
      </c>
    </row>
    <row r="11" spans="1:8" s="104" customFormat="1" x14ac:dyDescent="0.2">
      <c r="A11" s="190" t="s">
        <v>146</v>
      </c>
      <c r="B11" s="190"/>
      <c r="C11" s="190"/>
      <c r="D11" s="190"/>
      <c r="G11" s="121" t="s">
        <v>151</v>
      </c>
      <c r="H11" s="107">
        <v>5</v>
      </c>
    </row>
    <row r="12" spans="1:8" s="104" customFormat="1" x14ac:dyDescent="0.2">
      <c r="A12" s="191" t="s">
        <v>147</v>
      </c>
      <c r="B12" s="192"/>
      <c r="C12" s="192"/>
      <c r="D12" s="107">
        <v>1917</v>
      </c>
      <c r="E12" s="194" t="s">
        <v>239</v>
      </c>
      <c r="F12" s="108"/>
      <c r="G12" s="121" t="s">
        <v>154</v>
      </c>
      <c r="H12" s="107">
        <v>2</v>
      </c>
    </row>
    <row r="13" spans="1:8" s="104" customFormat="1" ht="12.75" customHeight="1" x14ac:dyDescent="0.2">
      <c r="A13" s="191" t="s">
        <v>162</v>
      </c>
      <c r="B13" s="192"/>
      <c r="C13" s="192"/>
      <c r="D13" s="122">
        <v>2639.4</v>
      </c>
      <c r="E13" s="195"/>
      <c r="F13" s="108"/>
      <c r="G13" s="121" t="s">
        <v>152</v>
      </c>
      <c r="H13" s="107">
        <v>21</v>
      </c>
    </row>
    <row r="14" spans="1:8" s="104" customFormat="1" x14ac:dyDescent="0.2">
      <c r="A14" s="191" t="s">
        <v>148</v>
      </c>
      <c r="B14" s="191"/>
      <c r="C14" s="193"/>
      <c r="D14" s="122">
        <v>2130.6999999999998</v>
      </c>
      <c r="E14" s="196"/>
      <c r="F14" s="108"/>
      <c r="G14" s="121" t="s">
        <v>153</v>
      </c>
      <c r="H14" s="107">
        <v>68</v>
      </c>
    </row>
    <row r="15" spans="1:8" s="104" customFormat="1" x14ac:dyDescent="0.2">
      <c r="A15" s="191" t="s">
        <v>163</v>
      </c>
      <c r="B15" s="192"/>
      <c r="C15" s="192"/>
      <c r="D15" s="122">
        <v>1340.3</v>
      </c>
      <c r="E15" s="197" t="s">
        <v>240</v>
      </c>
      <c r="F15" s="108"/>
      <c r="G15" s="121" t="s">
        <v>164</v>
      </c>
      <c r="H15" s="113">
        <v>23</v>
      </c>
    </row>
    <row r="16" spans="1:8" s="104" customFormat="1" ht="12.75" customHeight="1" x14ac:dyDescent="0.2">
      <c r="A16" s="191" t="s">
        <v>149</v>
      </c>
      <c r="B16" s="191"/>
      <c r="C16" s="193"/>
      <c r="D16" s="122">
        <v>508.7</v>
      </c>
      <c r="E16" s="198"/>
      <c r="F16" s="108"/>
      <c r="G16" s="108"/>
      <c r="H16" s="109"/>
    </row>
    <row r="17" spans="1:10" s="104" customFormat="1" x14ac:dyDescent="0.2">
      <c r="A17" s="191" t="s">
        <v>156</v>
      </c>
      <c r="B17" s="191"/>
      <c r="C17" s="193"/>
      <c r="D17" s="123">
        <v>338</v>
      </c>
      <c r="E17" s="199"/>
      <c r="F17" s="112"/>
      <c r="G17" s="108"/>
      <c r="H17" s="109"/>
    </row>
    <row r="18" spans="1:10" s="104" customFormat="1" x14ac:dyDescent="0.2">
      <c r="A18" s="191" t="s">
        <v>155</v>
      </c>
      <c r="B18" s="191"/>
      <c r="C18" s="193"/>
      <c r="D18" s="123">
        <v>803</v>
      </c>
      <c r="E18" s="200" t="s">
        <v>241</v>
      </c>
      <c r="F18" s="112"/>
      <c r="G18" s="108"/>
      <c r="H18" s="109"/>
    </row>
    <row r="19" spans="1:10" s="104" customFormat="1" ht="19.5" customHeight="1" x14ac:dyDescent="0.2">
      <c r="A19" s="191" t="s">
        <v>157</v>
      </c>
      <c r="B19" s="191"/>
      <c r="C19" s="193"/>
      <c r="D19" s="123">
        <v>968.2</v>
      </c>
      <c r="E19" s="200"/>
      <c r="F19" s="112"/>
      <c r="G19" s="108"/>
      <c r="H19" s="109"/>
    </row>
    <row r="20" spans="1:10" s="104" customFormat="1" x14ac:dyDescent="0.2">
      <c r="A20" s="111"/>
      <c r="B20" s="111"/>
      <c r="C20" s="114"/>
      <c r="D20" s="107"/>
      <c r="E20" s="111"/>
      <c r="F20" s="112"/>
      <c r="G20" s="108"/>
      <c r="H20" s="109"/>
    </row>
    <row r="21" spans="1:10" s="104" customFormat="1" ht="50.25" customHeight="1" x14ac:dyDescent="0.2">
      <c r="A21" s="115" t="s">
        <v>158</v>
      </c>
      <c r="B21" s="187" t="s">
        <v>159</v>
      </c>
      <c r="C21" s="187"/>
      <c r="D21" s="187"/>
      <c r="E21" s="187"/>
      <c r="F21" s="187"/>
      <c r="G21" s="187"/>
      <c r="H21" s="120" t="s">
        <v>238</v>
      </c>
    </row>
    <row r="22" spans="1:10" s="104" customFormat="1" ht="19.5" customHeight="1" x14ac:dyDescent="0.2">
      <c r="A22" s="85" t="s">
        <v>170</v>
      </c>
      <c r="B22" s="180" t="s">
        <v>166</v>
      </c>
      <c r="C22" s="181"/>
      <c r="D22" s="181"/>
      <c r="E22" s="181"/>
      <c r="F22" s="181"/>
      <c r="G22" s="182"/>
      <c r="H22" s="100">
        <f>H23+H24+H25</f>
        <v>28488.006627903145</v>
      </c>
    </row>
    <row r="23" spans="1:10" s="104" customFormat="1" ht="15.75" customHeight="1" x14ac:dyDescent="0.2">
      <c r="A23" s="85"/>
      <c r="B23" s="183" t="s">
        <v>167</v>
      </c>
      <c r="C23" s="184"/>
      <c r="D23" s="184"/>
      <c r="E23" s="184"/>
      <c r="F23" s="184"/>
      <c r="G23" s="185"/>
      <c r="H23" s="100">
        <f>2629229.62/350055.8*D13</f>
        <v>19824.235619087016</v>
      </c>
    </row>
    <row r="24" spans="1:10" s="104" customFormat="1" ht="15.75" customHeight="1" x14ac:dyDescent="0.2">
      <c r="A24" s="85"/>
      <c r="B24" s="183" t="s">
        <v>168</v>
      </c>
      <c r="C24" s="184"/>
      <c r="D24" s="184"/>
      <c r="E24" s="184"/>
      <c r="F24" s="184"/>
      <c r="G24" s="185"/>
      <c r="H24" s="100">
        <f>H23*30.2%</f>
        <v>5986.919156964279</v>
      </c>
    </row>
    <row r="25" spans="1:10" s="104" customFormat="1" ht="29.25" customHeight="1" x14ac:dyDescent="0.2">
      <c r="A25" s="85"/>
      <c r="B25" s="183" t="s">
        <v>235</v>
      </c>
      <c r="C25" s="184"/>
      <c r="D25" s="184"/>
      <c r="E25" s="184"/>
      <c r="F25" s="184"/>
      <c r="G25" s="185"/>
      <c r="H25" s="100">
        <f>28910*10/108</f>
        <v>2676.8518518518517</v>
      </c>
      <c r="J25" s="124"/>
    </row>
    <row r="26" spans="1:10" s="104" customFormat="1" x14ac:dyDescent="0.2">
      <c r="A26" s="116" t="s">
        <v>171</v>
      </c>
      <c r="B26" s="171" t="s">
        <v>165</v>
      </c>
      <c r="C26" s="172"/>
      <c r="D26" s="172"/>
      <c r="E26" s="172"/>
      <c r="F26" s="172"/>
      <c r="G26" s="173"/>
      <c r="H26" s="91">
        <f>H27+H28+H29+H30+H31+H32+H33</f>
        <v>134879.28467065867</v>
      </c>
    </row>
    <row r="27" spans="1:10" s="104" customFormat="1" ht="12.75" customHeight="1" x14ac:dyDescent="0.2">
      <c r="A27" s="117"/>
      <c r="B27" s="179" t="s">
        <v>207</v>
      </c>
      <c r="C27" s="177"/>
      <c r="D27" s="177"/>
      <c r="E27" s="177"/>
      <c r="F27" s="177"/>
      <c r="G27" s="178"/>
      <c r="H27" s="91">
        <f>D17/835*19000*12</f>
        <v>92292.215568862273</v>
      </c>
    </row>
    <row r="28" spans="1:10" s="104" customFormat="1" x14ac:dyDescent="0.2">
      <c r="A28" s="115"/>
      <c r="B28" s="174" t="s">
        <v>206</v>
      </c>
      <c r="C28" s="175"/>
      <c r="D28" s="175"/>
      <c r="E28" s="175"/>
      <c r="F28" s="175"/>
      <c r="G28" s="176"/>
      <c r="H28" s="91">
        <f>H27*30.2%</f>
        <v>27872.249101796406</v>
      </c>
    </row>
    <row r="29" spans="1:10" s="104" customFormat="1" ht="12.75" customHeight="1" x14ac:dyDescent="0.2">
      <c r="A29" s="115"/>
      <c r="B29" s="174" t="s">
        <v>204</v>
      </c>
      <c r="C29" s="175"/>
      <c r="D29" s="175"/>
      <c r="E29" s="175"/>
      <c r="F29" s="175"/>
      <c r="G29" s="176"/>
      <c r="H29" s="91">
        <v>0</v>
      </c>
    </row>
    <row r="30" spans="1:10" s="104" customFormat="1" ht="12.75" customHeight="1" x14ac:dyDescent="0.2">
      <c r="A30" s="115"/>
      <c r="B30" s="174" t="s">
        <v>205</v>
      </c>
      <c r="C30" s="175"/>
      <c r="D30" s="175"/>
      <c r="E30" s="175"/>
      <c r="F30" s="175"/>
      <c r="G30" s="176"/>
      <c r="H30" s="91">
        <v>0</v>
      </c>
    </row>
    <row r="31" spans="1:10" s="104" customFormat="1" ht="12.75" customHeight="1" x14ac:dyDescent="0.2">
      <c r="A31" s="115"/>
      <c r="B31" s="174" t="s">
        <v>226</v>
      </c>
      <c r="C31" s="175"/>
      <c r="D31" s="175"/>
      <c r="E31" s="175"/>
      <c r="F31" s="175"/>
      <c r="G31" s="176"/>
      <c r="H31" s="91">
        <v>1090.07</v>
      </c>
      <c r="I31" s="118"/>
    </row>
    <row r="32" spans="1:10" s="104" customFormat="1" ht="12.75" customHeight="1" x14ac:dyDescent="0.2">
      <c r="A32" s="117"/>
      <c r="B32" s="174" t="s">
        <v>227</v>
      </c>
      <c r="C32" s="175"/>
      <c r="D32" s="175"/>
      <c r="E32" s="175"/>
      <c r="F32" s="175"/>
      <c r="G32" s="176"/>
      <c r="H32" s="91">
        <v>4077.34</v>
      </c>
    </row>
    <row r="33" spans="1:8" s="104" customFormat="1" ht="12.75" customHeight="1" x14ac:dyDescent="0.2">
      <c r="A33" s="117"/>
      <c r="B33" s="174" t="s">
        <v>228</v>
      </c>
      <c r="C33" s="177"/>
      <c r="D33" s="177"/>
      <c r="E33" s="177"/>
      <c r="F33" s="177"/>
      <c r="G33" s="178"/>
      <c r="H33" s="91">
        <v>9547.41</v>
      </c>
    </row>
    <row r="34" spans="1:8" s="104" customFormat="1" ht="15.75" customHeight="1" x14ac:dyDescent="0.2">
      <c r="A34" s="116" t="s">
        <v>173</v>
      </c>
      <c r="B34" s="171" t="s">
        <v>174</v>
      </c>
      <c r="C34" s="172"/>
      <c r="D34" s="172"/>
      <c r="E34" s="172"/>
      <c r="F34" s="172"/>
      <c r="G34" s="173"/>
      <c r="H34" s="91">
        <f>H35+H42+H43+H44+H45+H46</f>
        <v>198791.88880567768</v>
      </c>
    </row>
    <row r="35" spans="1:8" s="104" customFormat="1" ht="12.75" customHeight="1" x14ac:dyDescent="0.2">
      <c r="A35" s="117"/>
      <c r="B35" s="174" t="s">
        <v>175</v>
      </c>
      <c r="C35" s="177"/>
      <c r="D35" s="177"/>
      <c r="E35" s="177"/>
      <c r="F35" s="177"/>
      <c r="G35" s="178"/>
      <c r="H35" s="91">
        <f>SUM(H36:H41)</f>
        <v>101662.72815045698</v>
      </c>
    </row>
    <row r="36" spans="1:8" s="104" customFormat="1" ht="12.75" customHeight="1" x14ac:dyDescent="0.2">
      <c r="A36" s="117"/>
      <c r="B36" s="174" t="s">
        <v>176</v>
      </c>
      <c r="C36" s="177"/>
      <c r="D36" s="177"/>
      <c r="E36" s="177"/>
      <c r="F36" s="177"/>
      <c r="G36" s="178"/>
      <c r="H36" s="91">
        <f>D14/30900*23300*12</f>
        <v>19279.732038834947</v>
      </c>
    </row>
    <row r="37" spans="1:8" s="104" customFormat="1" ht="12.75" customHeight="1" x14ac:dyDescent="0.2">
      <c r="A37" s="117"/>
      <c r="B37" s="174" t="s">
        <v>177</v>
      </c>
      <c r="C37" s="177"/>
      <c r="D37" s="177"/>
      <c r="E37" s="177"/>
      <c r="F37" s="177"/>
      <c r="G37" s="178"/>
      <c r="H37" s="91">
        <f>D14/35600*23300*12</f>
        <v>16734.374157303369</v>
      </c>
    </row>
    <row r="38" spans="1:8" s="104" customFormat="1" ht="12.75" customHeight="1" x14ac:dyDescent="0.2">
      <c r="A38" s="117"/>
      <c r="B38" s="174" t="s">
        <v>178</v>
      </c>
      <c r="C38" s="177"/>
      <c r="D38" s="177"/>
      <c r="E38" s="177"/>
      <c r="F38" s="177"/>
      <c r="G38" s="178"/>
      <c r="H38" s="91">
        <f>D14/61600*23300*12</f>
        <v>9671.1642857142833</v>
      </c>
    </row>
    <row r="39" spans="1:8" s="104" customFormat="1" ht="12.75" customHeight="1" x14ac:dyDescent="0.2">
      <c r="A39" s="117"/>
      <c r="B39" s="174" t="s">
        <v>179</v>
      </c>
      <c r="C39" s="175"/>
      <c r="D39" s="175"/>
      <c r="E39" s="175"/>
      <c r="F39" s="175"/>
      <c r="G39" s="176"/>
      <c r="H39" s="91">
        <f>D14/41100*23300*12</f>
        <v>14494.981021897809</v>
      </c>
    </row>
    <row r="40" spans="1:8" s="104" customFormat="1" ht="12.75" customHeight="1" x14ac:dyDescent="0.2">
      <c r="A40" s="117"/>
      <c r="B40" s="174" t="s">
        <v>180</v>
      </c>
      <c r="C40" s="175"/>
      <c r="D40" s="175"/>
      <c r="E40" s="175"/>
      <c r="F40" s="175"/>
      <c r="G40" s="176"/>
      <c r="H40" s="91">
        <f>D14/16700*23300*12</f>
        <v>35673.276646706581</v>
      </c>
    </row>
    <row r="41" spans="1:8" s="104" customFormat="1" ht="12.75" customHeight="1" x14ac:dyDescent="0.2">
      <c r="A41" s="117"/>
      <c r="B41" s="174" t="s">
        <v>181</v>
      </c>
      <c r="C41" s="175"/>
      <c r="D41" s="175"/>
      <c r="E41" s="175"/>
      <c r="F41" s="175"/>
      <c r="G41" s="176"/>
      <c r="H41" s="91">
        <f>D19/38000*19000*12</f>
        <v>5809.2000000000007</v>
      </c>
    </row>
    <row r="42" spans="1:8" s="104" customFormat="1" ht="13.5" customHeight="1" x14ac:dyDescent="0.2">
      <c r="A42" s="115"/>
      <c r="B42" s="174" t="s">
        <v>172</v>
      </c>
      <c r="C42" s="175"/>
      <c r="D42" s="175"/>
      <c r="E42" s="175"/>
      <c r="F42" s="175"/>
      <c r="G42" s="176"/>
      <c r="H42" s="91">
        <f>H35*30.2%</f>
        <v>30702.143901438008</v>
      </c>
    </row>
    <row r="43" spans="1:8" s="104" customFormat="1" ht="13.5" customHeight="1" x14ac:dyDescent="0.2">
      <c r="A43" s="115"/>
      <c r="B43" s="174" t="s">
        <v>226</v>
      </c>
      <c r="C43" s="175"/>
      <c r="D43" s="175"/>
      <c r="E43" s="175"/>
      <c r="F43" s="175"/>
      <c r="G43" s="176"/>
      <c r="H43" s="91">
        <v>1090.07</v>
      </c>
    </row>
    <row r="44" spans="1:8" s="104" customFormat="1" ht="13.5" customHeight="1" x14ac:dyDescent="0.2">
      <c r="A44" s="115"/>
      <c r="B44" s="174" t="s">
        <v>227</v>
      </c>
      <c r="C44" s="175"/>
      <c r="D44" s="175"/>
      <c r="E44" s="175"/>
      <c r="F44" s="175"/>
      <c r="G44" s="176"/>
      <c r="H44" s="91">
        <v>4903.8900000000003</v>
      </c>
    </row>
    <row r="45" spans="1:8" s="104" customFormat="1" ht="13.5" customHeight="1" x14ac:dyDescent="0.2">
      <c r="A45" s="115"/>
      <c r="B45" s="174" t="s">
        <v>228</v>
      </c>
      <c r="C45" s="177"/>
      <c r="D45" s="177"/>
      <c r="E45" s="177"/>
      <c r="F45" s="177"/>
      <c r="G45" s="178"/>
      <c r="H45" s="91">
        <v>9547.41</v>
      </c>
    </row>
    <row r="46" spans="1:8" s="104" customFormat="1" ht="13.5" customHeight="1" x14ac:dyDescent="0.2">
      <c r="A46" s="115"/>
      <c r="B46" s="171" t="s">
        <v>169</v>
      </c>
      <c r="C46" s="172"/>
      <c r="D46" s="172"/>
      <c r="E46" s="172"/>
      <c r="F46" s="172"/>
      <c r="G46" s="173"/>
      <c r="H46" s="91">
        <f>H47+H48+H49+H50+H51</f>
        <v>50885.646753782676</v>
      </c>
    </row>
    <row r="47" spans="1:8" s="104" customFormat="1" ht="13.5" customHeight="1" x14ac:dyDescent="0.2">
      <c r="A47" s="115"/>
      <c r="B47" s="174" t="s">
        <v>182</v>
      </c>
      <c r="C47" s="175"/>
      <c r="D47" s="175"/>
      <c r="E47" s="175"/>
      <c r="F47" s="175"/>
      <c r="G47" s="176"/>
      <c r="H47" s="91">
        <f>D18/7270*23300*12</f>
        <v>30882.916093535077</v>
      </c>
    </row>
    <row r="48" spans="1:8" s="104" customFormat="1" ht="13.5" customHeight="1" x14ac:dyDescent="0.2">
      <c r="A48" s="115"/>
      <c r="B48" s="174" t="s">
        <v>183</v>
      </c>
      <c r="C48" s="175"/>
      <c r="D48" s="175"/>
      <c r="E48" s="175"/>
      <c r="F48" s="175"/>
      <c r="G48" s="176"/>
      <c r="H48" s="91">
        <f>H47*30.2%</f>
        <v>9326.6406602475927</v>
      </c>
    </row>
    <row r="49" spans="1:10" s="104" customFormat="1" ht="13.5" customHeight="1" x14ac:dyDescent="0.2">
      <c r="A49" s="115"/>
      <c r="B49" s="174" t="s">
        <v>226</v>
      </c>
      <c r="C49" s="175"/>
      <c r="D49" s="175"/>
      <c r="E49" s="175"/>
      <c r="F49" s="175"/>
      <c r="G49" s="176"/>
      <c r="H49" s="91">
        <v>942</v>
      </c>
    </row>
    <row r="50" spans="1:10" s="104" customFormat="1" ht="13.5" customHeight="1" x14ac:dyDescent="0.2">
      <c r="A50" s="115"/>
      <c r="B50" s="174" t="s">
        <v>227</v>
      </c>
      <c r="C50" s="175"/>
      <c r="D50" s="175"/>
      <c r="E50" s="175"/>
      <c r="F50" s="175"/>
      <c r="G50" s="176"/>
      <c r="H50" s="91">
        <v>2395.98</v>
      </c>
    </row>
    <row r="51" spans="1:10" s="104" customFormat="1" ht="13.5" customHeight="1" x14ac:dyDescent="0.2">
      <c r="A51" s="115"/>
      <c r="B51" s="174" t="s">
        <v>228</v>
      </c>
      <c r="C51" s="177"/>
      <c r="D51" s="177"/>
      <c r="E51" s="177"/>
      <c r="F51" s="177"/>
      <c r="G51" s="178"/>
      <c r="H51" s="91">
        <v>7338.11</v>
      </c>
    </row>
    <row r="52" spans="1:10" s="104" customFormat="1" ht="12.75" customHeight="1" x14ac:dyDescent="0.2">
      <c r="A52" s="116" t="s">
        <v>187</v>
      </c>
      <c r="B52" s="171" t="s">
        <v>184</v>
      </c>
      <c r="C52" s="172"/>
      <c r="D52" s="172"/>
      <c r="E52" s="172"/>
      <c r="F52" s="172"/>
      <c r="G52" s="173"/>
      <c r="H52" s="91">
        <f>H53+H57+H58+H59+H60</f>
        <v>112583.44997120003</v>
      </c>
    </row>
    <row r="53" spans="1:10" s="104" customFormat="1" ht="12.75" customHeight="1" x14ac:dyDescent="0.2">
      <c r="A53" s="116"/>
      <c r="B53" s="179" t="s">
        <v>185</v>
      </c>
      <c r="C53" s="177"/>
      <c r="D53" s="177"/>
      <c r="E53" s="177"/>
      <c r="F53" s="177"/>
      <c r="G53" s="178"/>
      <c r="H53" s="91">
        <f>H54+H55+H56</f>
        <v>71130.345600000001</v>
      </c>
    </row>
    <row r="54" spans="1:10" s="104" customFormat="1" ht="12.75" customHeight="1" x14ac:dyDescent="0.2">
      <c r="A54" s="116"/>
      <c r="B54" s="179" t="s">
        <v>186</v>
      </c>
      <c r="C54" s="177"/>
      <c r="D54" s="177"/>
      <c r="E54" s="177"/>
      <c r="F54" s="177"/>
      <c r="G54" s="178"/>
      <c r="H54" s="91">
        <f>0.13*27100*12</f>
        <v>42276</v>
      </c>
    </row>
    <row r="55" spans="1:10" s="104" customFormat="1" ht="12.75" customHeight="1" x14ac:dyDescent="0.2">
      <c r="A55" s="116"/>
      <c r="B55" s="179" t="s">
        <v>188</v>
      </c>
      <c r="C55" s="177"/>
      <c r="D55" s="177"/>
      <c r="E55" s="177"/>
      <c r="F55" s="177"/>
      <c r="G55" s="178"/>
      <c r="H55" s="91">
        <f>0.05*27100*12</f>
        <v>16260</v>
      </c>
    </row>
    <row r="56" spans="1:10" s="104" customFormat="1" ht="12.75" customHeight="1" x14ac:dyDescent="0.2">
      <c r="A56" s="116"/>
      <c r="B56" s="179" t="s">
        <v>189</v>
      </c>
      <c r="C56" s="177"/>
      <c r="D56" s="177"/>
      <c r="E56" s="177"/>
      <c r="F56" s="177"/>
      <c r="G56" s="178"/>
      <c r="H56" s="91">
        <f>D19/25000*27100*12</f>
        <v>12594.345600000001</v>
      </c>
    </row>
    <row r="57" spans="1:10" s="104" customFormat="1" ht="12.75" customHeight="1" x14ac:dyDescent="0.2">
      <c r="A57" s="116"/>
      <c r="B57" s="179" t="s">
        <v>190</v>
      </c>
      <c r="C57" s="177"/>
      <c r="D57" s="177"/>
      <c r="E57" s="177"/>
      <c r="F57" s="177"/>
      <c r="G57" s="178"/>
      <c r="H57" s="91">
        <f>H53*30.2%</f>
        <v>21481.364371200001</v>
      </c>
    </row>
    <row r="58" spans="1:10" s="104" customFormat="1" ht="12.75" customHeight="1" x14ac:dyDescent="0.2">
      <c r="A58" s="116"/>
      <c r="B58" s="174" t="s">
        <v>226</v>
      </c>
      <c r="C58" s="175"/>
      <c r="D58" s="175"/>
      <c r="E58" s="175"/>
      <c r="F58" s="175"/>
      <c r="G58" s="176"/>
      <c r="H58" s="91">
        <v>1765.24</v>
      </c>
    </row>
    <row r="59" spans="1:10" s="104" customFormat="1" ht="12.75" customHeight="1" x14ac:dyDescent="0.2">
      <c r="A59" s="116"/>
      <c r="B59" s="174" t="s">
        <v>227</v>
      </c>
      <c r="C59" s="175"/>
      <c r="D59" s="175"/>
      <c r="E59" s="175"/>
      <c r="F59" s="175"/>
      <c r="G59" s="176"/>
      <c r="H59" s="91">
        <v>5371.71</v>
      </c>
    </row>
    <row r="60" spans="1:10" s="104" customFormat="1" ht="12.75" customHeight="1" x14ac:dyDescent="0.2">
      <c r="A60" s="116"/>
      <c r="B60" s="174" t="s">
        <v>228</v>
      </c>
      <c r="C60" s="177"/>
      <c r="D60" s="177"/>
      <c r="E60" s="177"/>
      <c r="F60" s="177"/>
      <c r="G60" s="178"/>
      <c r="H60" s="91">
        <v>12834.79</v>
      </c>
      <c r="J60" s="118"/>
    </row>
    <row r="61" spans="1:10" s="104" customFormat="1" ht="18" customHeight="1" x14ac:dyDescent="0.2">
      <c r="A61" s="116" t="s">
        <v>191</v>
      </c>
      <c r="B61" s="171" t="s">
        <v>233</v>
      </c>
      <c r="C61" s="172"/>
      <c r="D61" s="172"/>
      <c r="E61" s="172"/>
      <c r="F61" s="172"/>
      <c r="G61" s="173"/>
      <c r="H61" s="91">
        <v>73618.320000000007</v>
      </c>
    </row>
    <row r="62" spans="1:10" s="104" customFormat="1" ht="18" customHeight="1" x14ac:dyDescent="0.2">
      <c r="A62" s="116" t="s">
        <v>192</v>
      </c>
      <c r="B62" s="171" t="s">
        <v>234</v>
      </c>
      <c r="C62" s="172"/>
      <c r="D62" s="172"/>
      <c r="E62" s="172"/>
      <c r="F62" s="172"/>
      <c r="G62" s="173"/>
      <c r="H62" s="91">
        <f>556229.27/76112.38*D19</f>
        <v>7075.6055613291819</v>
      </c>
    </row>
    <row r="63" spans="1:10" s="104" customFormat="1" ht="38.25" customHeight="1" x14ac:dyDescent="0.2">
      <c r="A63" s="116" t="s">
        <v>193</v>
      </c>
      <c r="B63" s="171" t="s">
        <v>232</v>
      </c>
      <c r="C63" s="172"/>
      <c r="D63" s="172"/>
      <c r="E63" s="172"/>
      <c r="F63" s="172"/>
      <c r="G63" s="173"/>
      <c r="H63" s="91">
        <v>19823.830000000002</v>
      </c>
      <c r="J63" s="127"/>
    </row>
    <row r="64" spans="1:10" s="104" customFormat="1" ht="27" customHeight="1" x14ac:dyDescent="0.2">
      <c r="A64" s="119" t="s">
        <v>225</v>
      </c>
      <c r="B64" s="171" t="s">
        <v>231</v>
      </c>
      <c r="C64" s="172"/>
      <c r="D64" s="172"/>
      <c r="E64" s="172"/>
      <c r="F64" s="172"/>
      <c r="G64" s="173"/>
      <c r="H64" s="91">
        <f>(42*332.36)+(147*169.41)+(105*47.74)+(4*868.1)</f>
        <v>47347.49</v>
      </c>
    </row>
    <row r="65" spans="1:9" s="104" customFormat="1" ht="30" customHeight="1" x14ac:dyDescent="0.2">
      <c r="A65" s="119" t="s">
        <v>195</v>
      </c>
      <c r="B65" s="171" t="s">
        <v>214</v>
      </c>
      <c r="C65" s="172"/>
      <c r="D65" s="172"/>
      <c r="E65" s="172"/>
      <c r="F65" s="172"/>
      <c r="G65" s="173"/>
      <c r="H65" s="91">
        <v>85684.01</v>
      </c>
    </row>
    <row r="66" spans="1:9" s="104" customFormat="1" ht="26.25" customHeight="1" x14ac:dyDescent="0.2">
      <c r="A66" s="119" t="s">
        <v>196</v>
      </c>
      <c r="B66" s="171" t="s">
        <v>194</v>
      </c>
      <c r="C66" s="172"/>
      <c r="D66" s="172"/>
      <c r="E66" s="172"/>
      <c r="F66" s="172"/>
      <c r="G66" s="173"/>
      <c r="H66" s="91">
        <v>10997.4</v>
      </c>
    </row>
    <row r="67" spans="1:9" s="105" customFormat="1" ht="51" customHeight="1" x14ac:dyDescent="0.2">
      <c r="A67" s="116"/>
      <c r="B67" s="171" t="s">
        <v>91</v>
      </c>
      <c r="C67" s="172"/>
      <c r="D67" s="172"/>
      <c r="E67" s="172"/>
      <c r="F67" s="172"/>
      <c r="G67" s="173"/>
      <c r="H67" s="93">
        <f>H66+H65+H64+H63+H62+H61+H52+H34+H26+H22</f>
        <v>719289.28563676868</v>
      </c>
    </row>
    <row r="68" spans="1:9" ht="42" customHeight="1" x14ac:dyDescent="0.2">
      <c r="A68" s="92"/>
      <c r="B68" s="162" t="s">
        <v>242</v>
      </c>
      <c r="C68" s="163"/>
      <c r="D68" s="163"/>
      <c r="E68" s="163"/>
      <c r="F68" s="163"/>
      <c r="G68" s="163"/>
      <c r="H68" s="93">
        <f>H69</f>
        <v>719289.28799999994</v>
      </c>
      <c r="I68" s="19"/>
    </row>
    <row r="69" spans="1:9" ht="43.5" customHeight="1" x14ac:dyDescent="0.2">
      <c r="A69" s="92"/>
      <c r="B69" s="164" t="s">
        <v>230</v>
      </c>
      <c r="C69" s="165"/>
      <c r="D69" s="165"/>
      <c r="E69" s="165"/>
      <c r="F69" s="165"/>
      <c r="G69" s="165"/>
      <c r="H69" s="126">
        <f>(25.05-2.34)*(D14+D16)*12</f>
        <v>719289.28799999994</v>
      </c>
      <c r="I69" s="19"/>
    </row>
    <row r="70" spans="1:9" ht="18.75" customHeight="1" x14ac:dyDescent="0.2">
      <c r="H70" s="118"/>
    </row>
    <row r="71" spans="1:9" ht="24" customHeight="1" x14ac:dyDescent="0.2">
      <c r="B71" t="s">
        <v>199</v>
      </c>
      <c r="H71" s="104" t="s">
        <v>237</v>
      </c>
    </row>
  </sheetData>
  <mergeCells count="64">
    <mergeCell ref="E12:E14"/>
    <mergeCell ref="E15:E17"/>
    <mergeCell ref="E18:E19"/>
    <mergeCell ref="D8:H8"/>
    <mergeCell ref="B21:G21"/>
    <mergeCell ref="D9:H9"/>
    <mergeCell ref="A10:D10"/>
    <mergeCell ref="A11:D11"/>
    <mergeCell ref="A12:C12"/>
    <mergeCell ref="A13:C13"/>
    <mergeCell ref="A14:C14"/>
    <mergeCell ref="A15:C15"/>
    <mergeCell ref="A16:C16"/>
    <mergeCell ref="A17:C17"/>
    <mergeCell ref="A18:C18"/>
    <mergeCell ref="A19:C19"/>
    <mergeCell ref="B33:G33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45:G45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57:G57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69:G69"/>
    <mergeCell ref="B67:G6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8:G68"/>
  </mergeCells>
  <pageMargins left="0.21" right="0.17" top="0.27" bottom="0.21" header="0.17" footer="0.1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2017 год</vt:lpstr>
      <vt:lpstr>2018 смета</vt:lpstr>
      <vt:lpstr>'2017 год'!Область_печати</vt:lpstr>
      <vt:lpstr>'2018 смета'!Область_печати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2018-06-04T11:49:27Z</cp:lastPrinted>
  <dcterms:created xsi:type="dcterms:W3CDTF">2009-02-26T12:20:33Z</dcterms:created>
  <dcterms:modified xsi:type="dcterms:W3CDTF">2018-06-04T11:51:03Z</dcterms:modified>
</cp:coreProperties>
</file>